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8_{B715A8D0-C70B-4740-B381-41DE2CF049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rt Items" sheetId="6" r:id="rId1"/>
    <sheet name="Weapon" sheetId="7" r:id="rId2"/>
    <sheet name="Armor" sheetId="8" r:id="rId3"/>
    <sheet name="Adventure" sheetId="9" r:id="rId4"/>
    <sheet name="Magic Items" sheetId="10" r:id="rId5"/>
    <sheet name="Import Items" sheetId="1" r:id="rId6"/>
    <sheet name="MD" sheetId="2" r:id="rId7"/>
    <sheet name="Loot" sheetId="3" r:id="rId8"/>
    <sheet name="Loot Table" sheetId="4" r:id="rId9"/>
    <sheet name="Player Loot Template" sheetId="5" r:id="rId10"/>
  </sheets>
  <definedNames>
    <definedName name="_xlnm._FilterDatabase" localSheetId="0" hidden="1">'Export Items'!$A$1:$Z$1666</definedName>
  </definedNames>
  <calcPr calcId="191029"/>
  <fileRecoveryPr repairLoad="1"/>
</workbook>
</file>

<file path=xl/calcChain.xml><?xml version="1.0" encoding="utf-8"?>
<calcChain xmlns="http://schemas.openxmlformats.org/spreadsheetml/2006/main">
  <c r="D2" i="10" l="1"/>
  <c r="E2" i="10"/>
  <c r="A3" i="10"/>
  <c r="D3" i="10"/>
  <c r="E3" i="10"/>
  <c r="A4" i="10"/>
  <c r="D4" i="10"/>
  <c r="E4" i="10" s="1"/>
  <c r="A5" i="10"/>
  <c r="A6" i="10" s="1"/>
  <c r="D5" i="10"/>
  <c r="E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A339" i="10"/>
  <c r="E339" i="10" s="1"/>
  <c r="D339" i="10"/>
  <c r="A340" i="10"/>
  <c r="D340" i="10"/>
  <c r="A341" i="10"/>
  <c r="D341" i="10"/>
  <c r="E341" i="10"/>
  <c r="A342" i="10"/>
  <c r="E342" i="10" s="1"/>
  <c r="D342" i="10"/>
  <c r="A343" i="10"/>
  <c r="E343" i="10" s="1"/>
  <c r="D343" i="10"/>
  <c r="A344" i="10"/>
  <c r="E344" i="10" s="1"/>
  <c r="D344" i="10"/>
  <c r="A345" i="10"/>
  <c r="D345" i="10"/>
  <c r="E345" i="10"/>
  <c r="A346" i="10"/>
  <c r="D346" i="10"/>
  <c r="E346" i="10"/>
  <c r="A347" i="10"/>
  <c r="D347" i="10"/>
  <c r="E347" i="10" s="1"/>
  <c r="A348" i="10"/>
  <c r="E348" i="10" s="1"/>
  <c r="D348" i="10"/>
  <c r="A349" i="10"/>
  <c r="D349" i="10"/>
  <c r="E349" i="10"/>
  <c r="A350" i="10"/>
  <c r="D350" i="10"/>
  <c r="E350" i="10"/>
  <c r="A351" i="10"/>
  <c r="D351" i="10"/>
  <c r="E351" i="10" s="1"/>
  <c r="A352" i="10"/>
  <c r="E352" i="10" s="1"/>
  <c r="D352" i="10"/>
  <c r="A353" i="10"/>
  <c r="D353" i="10"/>
  <c r="E353" i="10"/>
  <c r="A354" i="10"/>
  <c r="D354" i="10"/>
  <c r="E354" i="10"/>
  <c r="A355" i="10"/>
  <c r="D355" i="10"/>
  <c r="E355" i="10" s="1"/>
  <c r="A356" i="10"/>
  <c r="E356" i="10" s="1"/>
  <c r="D356" i="10"/>
  <c r="A357" i="10"/>
  <c r="D357" i="10"/>
  <c r="E357" i="10"/>
  <c r="A358" i="10"/>
  <c r="D358" i="10"/>
  <c r="E358" i="10" s="1"/>
  <c r="A359" i="10"/>
  <c r="D359" i="10"/>
  <c r="E359" i="10" s="1"/>
  <c r="A360" i="10"/>
  <c r="E360" i="10" s="1"/>
  <c r="D360" i="10"/>
  <c r="A361" i="10"/>
  <c r="D361" i="10"/>
  <c r="E361" i="10"/>
  <c r="A362" i="10"/>
  <c r="D362" i="10"/>
  <c r="E362" i="10"/>
  <c r="A363" i="10"/>
  <c r="D363" i="10"/>
  <c r="E363" i="10" s="1"/>
  <c r="A364" i="10"/>
  <c r="E364" i="10" s="1"/>
  <c r="D364" i="10"/>
  <c r="A365" i="10"/>
  <c r="D365" i="10"/>
  <c r="E365" i="10"/>
  <c r="A366" i="10"/>
  <c r="D366" i="10"/>
  <c r="E366" i="10"/>
  <c r="A367" i="10"/>
  <c r="D367" i="10"/>
  <c r="E367" i="10" s="1"/>
  <c r="A368" i="10"/>
  <c r="E368" i="10" s="1"/>
  <c r="D368" i="10"/>
  <c r="A369" i="10"/>
  <c r="D369" i="10"/>
  <c r="E369" i="10"/>
  <c r="A370" i="10"/>
  <c r="D370" i="10"/>
  <c r="E370" i="10"/>
  <c r="A371" i="10"/>
  <c r="D371" i="10"/>
  <c r="E371" i="10" s="1"/>
  <c r="A372" i="10"/>
  <c r="E372" i="10" s="1"/>
  <c r="D372" i="10"/>
  <c r="A373" i="10"/>
  <c r="D373" i="10"/>
  <c r="E373" i="10"/>
  <c r="A374" i="10"/>
  <c r="D374" i="10"/>
  <c r="E374" i="10"/>
  <c r="A375" i="10"/>
  <c r="D375" i="10"/>
  <c r="E375" i="10" s="1"/>
  <c r="A376" i="10"/>
  <c r="E376" i="10" s="1"/>
  <c r="D376" i="10"/>
  <c r="A377" i="10"/>
  <c r="D377" i="10"/>
  <c r="E377" i="10"/>
  <c r="A378" i="10"/>
  <c r="D378" i="10"/>
  <c r="E378" i="10"/>
  <c r="A379" i="10"/>
  <c r="D379" i="10"/>
  <c r="E379" i="10" s="1"/>
  <c r="A380" i="10"/>
  <c r="E380" i="10" s="1"/>
  <c r="D380" i="10"/>
  <c r="A381" i="10"/>
  <c r="D381" i="10"/>
  <c r="E381" i="10"/>
  <c r="A382" i="10"/>
  <c r="D382" i="10"/>
  <c r="E382" i="10" s="1"/>
  <c r="A383" i="10"/>
  <c r="D383" i="10"/>
  <c r="E383" i="10" s="1"/>
  <c r="A384" i="10"/>
  <c r="E384" i="10" s="1"/>
  <c r="D384" i="10"/>
  <c r="A385" i="10"/>
  <c r="D385" i="10"/>
  <c r="E385" i="10"/>
  <c r="A386" i="10"/>
  <c r="D386" i="10"/>
  <c r="E386" i="10"/>
  <c r="A387" i="10"/>
  <c r="D387" i="10"/>
  <c r="E387" i="10" s="1"/>
  <c r="A388" i="10"/>
  <c r="E388" i="10" s="1"/>
  <c r="D388" i="10"/>
  <c r="A389" i="10"/>
  <c r="D389" i="10"/>
  <c r="E389" i="10"/>
  <c r="A390" i="10"/>
  <c r="D390" i="10"/>
  <c r="E390" i="10"/>
  <c r="A391" i="10"/>
  <c r="D391" i="10"/>
  <c r="E391" i="10" s="1"/>
  <c r="A392" i="10"/>
  <c r="E392" i="10" s="1"/>
  <c r="D392" i="10"/>
  <c r="A393" i="10"/>
  <c r="D393" i="10"/>
  <c r="E393" i="10"/>
  <c r="A394" i="10"/>
  <c r="D394" i="10"/>
  <c r="E394" i="10"/>
  <c r="A395" i="10"/>
  <c r="D395" i="10"/>
  <c r="E395" i="10" s="1"/>
  <c r="A396" i="10"/>
  <c r="E396" i="10" s="1"/>
  <c r="D396" i="10"/>
  <c r="A397" i="10"/>
  <c r="D397" i="10"/>
  <c r="E397" i="10"/>
  <c r="A398" i="10"/>
  <c r="D398" i="10"/>
  <c r="E398" i="10"/>
  <c r="A399" i="10"/>
  <c r="D399" i="10"/>
  <c r="E399" i="10" s="1"/>
  <c r="A400" i="10"/>
  <c r="E400" i="10" s="1"/>
  <c r="D400" i="10"/>
  <c r="A401" i="10"/>
  <c r="D401" i="10"/>
  <c r="E401" i="10"/>
  <c r="A402" i="10"/>
  <c r="D402" i="10"/>
  <c r="E402" i="10"/>
  <c r="A403" i="10"/>
  <c r="D403" i="10"/>
  <c r="E403" i="10" s="1"/>
  <c r="A404" i="10"/>
  <c r="E404" i="10" s="1"/>
  <c r="D404" i="10"/>
  <c r="A405" i="10"/>
  <c r="D405" i="10"/>
  <c r="E405" i="10"/>
  <c r="A406" i="10"/>
  <c r="D406" i="10"/>
  <c r="E406" i="10" s="1"/>
  <c r="A407" i="10"/>
  <c r="D407" i="10"/>
  <c r="E407" i="10" s="1"/>
  <c r="A408" i="10"/>
  <c r="E408" i="10" s="1"/>
  <c r="D408" i="10"/>
  <c r="A409" i="10"/>
  <c r="D409" i="10"/>
  <c r="E409" i="10"/>
  <c r="A410" i="10"/>
  <c r="D410" i="10"/>
  <c r="E410" i="10"/>
  <c r="A411" i="10"/>
  <c r="D411" i="10"/>
  <c r="E411" i="10" s="1"/>
  <c r="A412" i="10"/>
  <c r="E412" i="10" s="1"/>
  <c r="D412" i="10"/>
  <c r="A413" i="10"/>
  <c r="D413" i="10"/>
  <c r="E413" i="10"/>
  <c r="A414" i="10"/>
  <c r="D414" i="10"/>
  <c r="E414" i="10"/>
  <c r="A415" i="10"/>
  <c r="D415" i="10"/>
  <c r="E415" i="10" s="1"/>
  <c r="A416" i="10"/>
  <c r="E416" i="10" s="1"/>
  <c r="D416" i="10"/>
  <c r="A417" i="10"/>
  <c r="D417" i="10"/>
  <c r="E417" i="10"/>
  <c r="A418" i="10"/>
  <c r="D418" i="10"/>
  <c r="E418" i="10"/>
  <c r="A419" i="10"/>
  <c r="D419" i="10"/>
  <c r="E419" i="10" s="1"/>
  <c r="A420" i="10"/>
  <c r="E420" i="10" s="1"/>
  <c r="D420" i="10"/>
  <c r="A421" i="10"/>
  <c r="D421" i="10"/>
  <c r="E421" i="10"/>
  <c r="A422" i="10"/>
  <c r="D422" i="10"/>
  <c r="E422" i="10"/>
  <c r="A423" i="10"/>
  <c r="D423" i="10"/>
  <c r="E423" i="10" s="1"/>
  <c r="A424" i="10"/>
  <c r="E424" i="10" s="1"/>
  <c r="D424" i="10"/>
  <c r="A425" i="10"/>
  <c r="D425" i="10"/>
  <c r="E425" i="10"/>
  <c r="A426" i="10"/>
  <c r="D426" i="10"/>
  <c r="E426" i="10"/>
  <c r="A427" i="10"/>
  <c r="D427" i="10"/>
  <c r="E427" i="10" s="1"/>
  <c r="A428" i="10"/>
  <c r="E428" i="10" s="1"/>
  <c r="D428" i="10"/>
  <c r="A429" i="10"/>
  <c r="D429" i="10"/>
  <c r="E429" i="10"/>
  <c r="A430" i="10"/>
  <c r="D430" i="10"/>
  <c r="E430" i="10" s="1"/>
  <c r="A431" i="10"/>
  <c r="D431" i="10"/>
  <c r="E431" i="10" s="1"/>
  <c r="A432" i="10"/>
  <c r="E432" i="10" s="1"/>
  <c r="D432" i="10"/>
  <c r="A433" i="10"/>
  <c r="D433" i="10"/>
  <c r="E433" i="10"/>
  <c r="A434" i="10"/>
  <c r="D434" i="10"/>
  <c r="E434" i="10"/>
  <c r="A435" i="10"/>
  <c r="D435" i="10"/>
  <c r="E435" i="10" s="1"/>
  <c r="A436" i="10"/>
  <c r="E436" i="10" s="1"/>
  <c r="D436" i="10"/>
  <c r="A437" i="10"/>
  <c r="D437" i="10"/>
  <c r="E437" i="10"/>
  <c r="A438" i="10"/>
  <c r="D438" i="10"/>
  <c r="E438" i="10"/>
  <c r="A439" i="10"/>
  <c r="D439" i="10"/>
  <c r="E439" i="10" s="1"/>
  <c r="A440" i="10"/>
  <c r="E440" i="10" s="1"/>
  <c r="D440" i="10"/>
  <c r="A441" i="10"/>
  <c r="D441" i="10"/>
  <c r="E441" i="10"/>
  <c r="A442" i="10"/>
  <c r="D442" i="10"/>
  <c r="E442" i="10"/>
  <c r="A443" i="10"/>
  <c r="D443" i="10"/>
  <c r="E443" i="10" s="1"/>
  <c r="A444" i="10"/>
  <c r="E444" i="10" s="1"/>
  <c r="D444" i="10"/>
  <c r="A445" i="10"/>
  <c r="D445" i="10"/>
  <c r="E445" i="10"/>
  <c r="A446" i="10"/>
  <c r="D446" i="10"/>
  <c r="E446" i="10"/>
  <c r="A447" i="10"/>
  <c r="D447" i="10"/>
  <c r="E447" i="10" s="1"/>
  <c r="A448" i="10"/>
  <c r="E448" i="10" s="1"/>
  <c r="D448" i="10"/>
  <c r="A449" i="10"/>
  <c r="D449" i="10"/>
  <c r="E449" i="10"/>
  <c r="A450" i="10"/>
  <c r="D450" i="10"/>
  <c r="E450" i="10"/>
  <c r="A451" i="10"/>
  <c r="D451" i="10"/>
  <c r="E451" i="10" s="1"/>
  <c r="A452" i="10"/>
  <c r="E452" i="10" s="1"/>
  <c r="D452" i="10"/>
  <c r="A453" i="10"/>
  <c r="D453" i="10"/>
  <c r="E453" i="10"/>
  <c r="A454" i="10"/>
  <c r="D454" i="10"/>
  <c r="E454" i="10" s="1"/>
  <c r="A455" i="10"/>
  <c r="D455" i="10"/>
  <c r="E455" i="10" s="1"/>
  <c r="A456" i="10"/>
  <c r="E456" i="10" s="1"/>
  <c r="D456" i="10"/>
  <c r="A457" i="10"/>
  <c r="D457" i="10"/>
  <c r="E457" i="10"/>
  <c r="A458" i="10"/>
  <c r="D458" i="10"/>
  <c r="E458" i="10"/>
  <c r="A459" i="10"/>
  <c r="D459" i="10"/>
  <c r="E459" i="10" s="1"/>
  <c r="D460" i="10"/>
  <c r="E460" i="10"/>
  <c r="D461" i="10"/>
  <c r="E461" i="10"/>
  <c r="D462" i="10"/>
  <c r="E462" i="10"/>
  <c r="D463" i="10"/>
  <c r="E463" i="10"/>
  <c r="D464" i="10"/>
  <c r="E464" i="10" s="1"/>
  <c r="D465" i="10"/>
  <c r="E465" i="10" s="1"/>
  <c r="D466" i="10"/>
  <c r="E466" i="10"/>
  <c r="D467" i="10"/>
  <c r="E467" i="10"/>
  <c r="D468" i="10"/>
  <c r="E468" i="10"/>
  <c r="D469" i="10"/>
  <c r="E469" i="10"/>
  <c r="D470" i="10"/>
  <c r="E470" i="10" s="1"/>
  <c r="D471" i="10"/>
  <c r="E471" i="10" s="1"/>
  <c r="D472" i="10"/>
  <c r="E472" i="10"/>
  <c r="D473" i="10"/>
  <c r="E473" i="10"/>
  <c r="D474" i="10"/>
  <c r="E474" i="10"/>
  <c r="D475" i="10"/>
  <c r="E475" i="10"/>
  <c r="D476" i="10"/>
  <c r="E476" i="10" s="1"/>
  <c r="D477" i="10"/>
  <c r="E477" i="10" s="1"/>
  <c r="D478" i="10"/>
  <c r="E478" i="10"/>
  <c r="D479" i="10"/>
  <c r="E479" i="10"/>
  <c r="D480" i="10"/>
  <c r="E480" i="10" s="1"/>
  <c r="D481" i="10"/>
  <c r="E481" i="10"/>
  <c r="D482" i="10"/>
  <c r="E482" i="10" s="1"/>
  <c r="D483" i="10"/>
  <c r="E483" i="10" s="1"/>
  <c r="D484" i="10"/>
  <c r="E484" i="10"/>
  <c r="D485" i="10"/>
  <c r="E485" i="10"/>
  <c r="D486" i="10"/>
  <c r="E486" i="10"/>
  <c r="D487" i="10"/>
  <c r="E487" i="10"/>
  <c r="D488" i="10"/>
  <c r="E488" i="10" s="1"/>
  <c r="D489" i="10"/>
  <c r="E489" i="10" s="1"/>
  <c r="D490" i="10"/>
  <c r="E490" i="10"/>
  <c r="D491" i="10"/>
  <c r="E491" i="10"/>
  <c r="D492" i="10"/>
  <c r="E492" i="10"/>
  <c r="D493" i="10"/>
  <c r="E493" i="10"/>
  <c r="D494" i="10"/>
  <c r="E494" i="10" s="1"/>
  <c r="D495" i="10"/>
  <c r="E495" i="10" s="1"/>
  <c r="D496" i="10"/>
  <c r="E496" i="10"/>
  <c r="D497" i="10"/>
  <c r="E497" i="10"/>
  <c r="D498" i="10"/>
  <c r="E498" i="10"/>
  <c r="D499" i="10"/>
  <c r="E499" i="10"/>
  <c r="D500" i="10"/>
  <c r="E500" i="10" s="1"/>
  <c r="D501" i="10"/>
  <c r="E501" i="10" s="1"/>
  <c r="D502" i="10"/>
  <c r="E502" i="10"/>
  <c r="D503" i="10"/>
  <c r="E503" i="10"/>
  <c r="D504" i="10"/>
  <c r="E504" i="10"/>
  <c r="D505" i="10"/>
  <c r="E505" i="10"/>
  <c r="D506" i="10"/>
  <c r="E506" i="10" s="1"/>
  <c r="D507" i="10"/>
  <c r="E507" i="10" s="1"/>
  <c r="D508" i="10"/>
  <c r="E508" i="10"/>
  <c r="D509" i="10"/>
  <c r="E509" i="10"/>
  <c r="D510" i="10"/>
  <c r="E510" i="10"/>
  <c r="D511" i="10"/>
  <c r="E511" i="10"/>
  <c r="D512" i="10"/>
  <c r="E512" i="10" s="1"/>
  <c r="D513" i="10"/>
  <c r="E513" i="10" s="1"/>
  <c r="D514" i="10"/>
  <c r="E514" i="10"/>
  <c r="D515" i="10"/>
  <c r="E515" i="10"/>
  <c r="D516" i="10"/>
  <c r="E516" i="10" s="1"/>
  <c r="D517" i="10"/>
  <c r="E517" i="10"/>
  <c r="D518" i="10"/>
  <c r="E518" i="10" s="1"/>
  <c r="D519" i="10"/>
  <c r="E519" i="10" s="1"/>
  <c r="D520" i="10"/>
  <c r="E520" i="10"/>
  <c r="D521" i="10"/>
  <c r="E521" i="10"/>
  <c r="D522" i="10"/>
  <c r="E522" i="10"/>
  <c r="D523" i="10"/>
  <c r="E523" i="10" s="1"/>
  <c r="D524" i="10"/>
  <c r="E524" i="10" s="1"/>
  <c r="D525" i="10"/>
  <c r="E525" i="10" s="1"/>
  <c r="D526" i="10"/>
  <c r="E526" i="10"/>
  <c r="D527" i="10"/>
  <c r="E527" i="10"/>
  <c r="D528" i="10"/>
  <c r="E528" i="10"/>
  <c r="D529" i="10"/>
  <c r="E529" i="10"/>
  <c r="D530" i="10"/>
  <c r="E530" i="10" s="1"/>
  <c r="D531" i="10"/>
  <c r="E531" i="10" s="1"/>
  <c r="D532" i="10"/>
  <c r="E532" i="10"/>
  <c r="D533" i="10"/>
  <c r="E533" i="10"/>
  <c r="D534" i="10"/>
  <c r="E534" i="10"/>
  <c r="D535" i="10"/>
  <c r="E535" i="10"/>
  <c r="D536" i="10"/>
  <c r="E536" i="10" s="1"/>
  <c r="D537" i="10"/>
  <c r="E537" i="10" s="1"/>
  <c r="D538" i="10"/>
  <c r="E538" i="10"/>
  <c r="D539" i="10"/>
  <c r="E539" i="10"/>
  <c r="D540" i="10"/>
  <c r="E540" i="10"/>
  <c r="D541" i="10"/>
  <c r="E541" i="10"/>
  <c r="D542" i="10"/>
  <c r="E542" i="10" s="1"/>
  <c r="D543" i="10"/>
  <c r="E543" i="10" s="1"/>
  <c r="D544" i="10"/>
  <c r="E544" i="10"/>
  <c r="D545" i="10"/>
  <c r="E545" i="10"/>
  <c r="D546" i="10"/>
  <c r="E546" i="10"/>
  <c r="D547" i="10"/>
  <c r="E547" i="10"/>
  <c r="D548" i="10"/>
  <c r="E548" i="10" s="1"/>
  <c r="D549" i="10"/>
  <c r="E549" i="10" s="1"/>
  <c r="D550" i="10"/>
  <c r="E550" i="10"/>
  <c r="D551" i="10"/>
  <c r="E551" i="10"/>
  <c r="D552" i="10"/>
  <c r="E552" i="10" s="1"/>
  <c r="D553" i="10"/>
  <c r="E553" i="10"/>
  <c r="D554" i="10"/>
  <c r="E554" i="10" s="1"/>
  <c r="D555" i="10"/>
  <c r="E555" i="10" s="1"/>
  <c r="D556" i="10"/>
  <c r="E556" i="10"/>
  <c r="D557" i="10"/>
  <c r="E557" i="10"/>
  <c r="D558" i="10"/>
  <c r="E558" i="10"/>
  <c r="D559" i="10"/>
  <c r="E559" i="10" s="1"/>
  <c r="D560" i="10"/>
  <c r="E560" i="10" s="1"/>
  <c r="D561" i="10"/>
  <c r="E561" i="10" s="1"/>
  <c r="D562" i="10"/>
  <c r="E562" i="10"/>
  <c r="D563" i="10"/>
  <c r="E563" i="10"/>
  <c r="D564" i="10"/>
  <c r="E564" i="10"/>
  <c r="D565" i="10"/>
  <c r="E565" i="10"/>
  <c r="D566" i="10"/>
  <c r="E566" i="10" s="1"/>
  <c r="D567" i="10"/>
  <c r="E567" i="10" s="1"/>
  <c r="D568" i="10"/>
  <c r="E568" i="10"/>
  <c r="D569" i="10"/>
  <c r="E569" i="10"/>
  <c r="D570" i="10"/>
  <c r="E570" i="10"/>
  <c r="D571" i="10"/>
  <c r="E571" i="10"/>
  <c r="D572" i="10"/>
  <c r="E572" i="10" s="1"/>
  <c r="D573" i="10"/>
  <c r="E573" i="10" s="1"/>
  <c r="D574" i="10"/>
  <c r="E574" i="10"/>
  <c r="D575" i="10"/>
  <c r="E575" i="10"/>
  <c r="D576" i="10"/>
  <c r="E576" i="10"/>
  <c r="D577" i="10"/>
  <c r="E577" i="10"/>
  <c r="D578" i="10"/>
  <c r="E578" i="10" s="1"/>
  <c r="D579" i="10"/>
  <c r="E579" i="10" s="1"/>
  <c r="D580" i="10"/>
  <c r="E580" i="10"/>
  <c r="D581" i="10"/>
  <c r="E581" i="10"/>
  <c r="D582" i="10"/>
  <c r="E582" i="10"/>
  <c r="D583" i="10"/>
  <c r="E583" i="10"/>
  <c r="D584" i="10"/>
  <c r="E584" i="10" s="1"/>
  <c r="D585" i="10"/>
  <c r="E585" i="10" s="1"/>
  <c r="D586" i="10"/>
  <c r="E586" i="10"/>
  <c r="D587" i="10"/>
  <c r="E587" i="10"/>
  <c r="D588" i="10"/>
  <c r="E588" i="10" s="1"/>
  <c r="D589" i="10"/>
  <c r="E589" i="10"/>
  <c r="D590" i="10"/>
  <c r="E590" i="10" s="1"/>
  <c r="D591" i="10"/>
  <c r="E591" i="10" s="1"/>
  <c r="D592" i="10"/>
  <c r="E592" i="10"/>
  <c r="D593" i="10"/>
  <c r="E593" i="10"/>
  <c r="D594" i="10"/>
  <c r="E594" i="10"/>
  <c r="D595" i="10"/>
  <c r="E595" i="10" s="1"/>
  <c r="D596" i="10"/>
  <c r="E596" i="10" s="1"/>
  <c r="D597" i="10"/>
  <c r="E597" i="10" s="1"/>
  <c r="D598" i="10"/>
  <c r="E598" i="10"/>
  <c r="D599" i="10"/>
  <c r="E599" i="10"/>
  <c r="D600" i="10"/>
  <c r="E600" i="10"/>
  <c r="D601" i="10"/>
  <c r="E601" i="10"/>
  <c r="D602" i="10"/>
  <c r="E602" i="10" s="1"/>
  <c r="D603" i="10"/>
  <c r="E603" i="10" s="1"/>
  <c r="D604" i="10"/>
  <c r="E604" i="10"/>
  <c r="D605" i="10"/>
  <c r="E605" i="10"/>
  <c r="D606" i="10"/>
  <c r="E606" i="10"/>
  <c r="D607" i="10"/>
  <c r="E607" i="10"/>
  <c r="D608" i="10"/>
  <c r="E608" i="10" s="1"/>
  <c r="D609" i="10"/>
  <c r="E609" i="10" s="1"/>
  <c r="D610" i="10"/>
  <c r="E610" i="10"/>
  <c r="D611" i="10"/>
  <c r="E611" i="10"/>
  <c r="D612" i="10"/>
  <c r="E612" i="10"/>
  <c r="D613" i="10"/>
  <c r="E613" i="10"/>
  <c r="D614" i="10"/>
  <c r="E614" i="10" s="1"/>
  <c r="D615" i="10"/>
  <c r="E615" i="10" s="1"/>
  <c r="D616" i="10"/>
  <c r="E616" i="10"/>
  <c r="D617" i="10"/>
  <c r="E617" i="10"/>
  <c r="D618" i="10"/>
  <c r="E618" i="10"/>
  <c r="D619" i="10"/>
  <c r="E619" i="10"/>
  <c r="D620" i="10"/>
  <c r="E620" i="10" s="1"/>
  <c r="D621" i="10"/>
  <c r="E621" i="10" s="1"/>
  <c r="D622" i="10"/>
  <c r="E622" i="10"/>
  <c r="D623" i="10"/>
  <c r="E623" i="10"/>
  <c r="D624" i="10"/>
  <c r="E624" i="10" s="1"/>
  <c r="D625" i="10"/>
  <c r="E625" i="10"/>
  <c r="D626" i="10"/>
  <c r="E626" i="10" s="1"/>
  <c r="D627" i="10"/>
  <c r="E627" i="10" s="1"/>
  <c r="D628" i="10"/>
  <c r="E628" i="10"/>
  <c r="D629" i="10"/>
  <c r="E629" i="10"/>
  <c r="D630" i="10"/>
  <c r="E630" i="10"/>
  <c r="D631" i="10"/>
  <c r="E631" i="10" s="1"/>
  <c r="D632" i="10"/>
  <c r="E632" i="10" s="1"/>
  <c r="D633" i="10"/>
  <c r="E633" i="10" s="1"/>
  <c r="D634" i="10"/>
  <c r="E634" i="10"/>
  <c r="D635" i="10"/>
  <c r="E635" i="10"/>
  <c r="D636" i="10"/>
  <c r="E636" i="10"/>
  <c r="D637" i="10"/>
  <c r="E637" i="10"/>
  <c r="D638" i="10"/>
  <c r="E638" i="10" s="1"/>
  <c r="D639" i="10"/>
  <c r="E639" i="10" s="1"/>
  <c r="D640" i="10"/>
  <c r="E640" i="10"/>
  <c r="D641" i="10"/>
  <c r="E641" i="10"/>
  <c r="D642" i="10"/>
  <c r="E642" i="10"/>
  <c r="D643" i="10"/>
  <c r="E643" i="10"/>
  <c r="D644" i="10"/>
  <c r="E644" i="10" s="1"/>
  <c r="D645" i="10"/>
  <c r="E645" i="10" s="1"/>
  <c r="D646" i="10"/>
  <c r="E646" i="10"/>
  <c r="D647" i="10"/>
  <c r="E647" i="10"/>
  <c r="D648" i="10"/>
  <c r="E648" i="10"/>
  <c r="D649" i="10"/>
  <c r="E649" i="10"/>
  <c r="D650" i="10"/>
  <c r="E650" i="10" s="1"/>
  <c r="D651" i="10"/>
  <c r="E651" i="10" s="1"/>
  <c r="D652" i="10"/>
  <c r="E652" i="10"/>
  <c r="D653" i="10"/>
  <c r="E653" i="10"/>
  <c r="D654" i="10"/>
  <c r="E654" i="10"/>
  <c r="D655" i="10"/>
  <c r="E655" i="10"/>
  <c r="D656" i="10"/>
  <c r="E656" i="10" s="1"/>
  <c r="D657" i="10"/>
  <c r="E657" i="10" s="1"/>
  <c r="D658" i="10"/>
  <c r="E658" i="10"/>
  <c r="D659" i="10"/>
  <c r="E659" i="10"/>
  <c r="D660" i="10"/>
  <c r="E660" i="10" s="1"/>
  <c r="D661" i="10"/>
  <c r="E661" i="10"/>
  <c r="D662" i="10"/>
  <c r="E662" i="10" s="1"/>
  <c r="D663" i="10"/>
  <c r="E663" i="10" s="1"/>
  <c r="D664" i="10"/>
  <c r="E664" i="10"/>
  <c r="D665" i="10"/>
  <c r="E665" i="10"/>
  <c r="D666" i="10"/>
  <c r="E666" i="10"/>
  <c r="D667" i="10"/>
  <c r="E667" i="10" s="1"/>
  <c r="D668" i="10"/>
  <c r="E668" i="10" s="1"/>
  <c r="D669" i="10"/>
  <c r="E669" i="10" s="1"/>
  <c r="D670" i="10"/>
  <c r="E670" i="10"/>
  <c r="D671" i="10"/>
  <c r="E671" i="10"/>
  <c r="D672" i="10"/>
  <c r="E672" i="10"/>
  <c r="D673" i="10"/>
  <c r="E673" i="10"/>
  <c r="D674" i="10"/>
  <c r="E674" i="10" s="1"/>
  <c r="D675" i="10"/>
  <c r="E675" i="10" s="1"/>
  <c r="D676" i="10"/>
  <c r="E676" i="10"/>
  <c r="D677" i="10"/>
  <c r="E677" i="10"/>
  <c r="D678" i="10"/>
  <c r="E678" i="10"/>
  <c r="D679" i="10"/>
  <c r="E679" i="10"/>
  <c r="D680" i="10"/>
  <c r="E680" i="10" s="1"/>
  <c r="D681" i="10"/>
  <c r="E681" i="10" s="1"/>
  <c r="D682" i="10"/>
  <c r="E682" i="10"/>
  <c r="D683" i="10"/>
  <c r="E683" i="10"/>
  <c r="D684" i="10"/>
  <c r="E684" i="10"/>
  <c r="D685" i="10"/>
  <c r="E685" i="10"/>
  <c r="D686" i="10"/>
  <c r="E686" i="10" s="1"/>
  <c r="D687" i="10"/>
  <c r="E687" i="10" s="1"/>
  <c r="D688" i="10"/>
  <c r="E688" i="10"/>
  <c r="D689" i="10"/>
  <c r="E689" i="10" s="1"/>
  <c r="D690" i="10"/>
  <c r="E690" i="10"/>
  <c r="D691" i="10"/>
  <c r="E691" i="10"/>
  <c r="D692" i="10"/>
  <c r="E692" i="10" s="1"/>
  <c r="D693" i="10"/>
  <c r="E693" i="10" s="1"/>
  <c r="D694" i="10"/>
  <c r="E694" i="10"/>
  <c r="D695" i="10"/>
  <c r="E695" i="10"/>
  <c r="D696" i="10"/>
  <c r="E696" i="10" s="1"/>
  <c r="D697" i="10"/>
  <c r="E697" i="10"/>
  <c r="D698" i="10"/>
  <c r="E698" i="10" s="1"/>
  <c r="D699" i="10"/>
  <c r="E699" i="10" s="1"/>
  <c r="D700" i="10"/>
  <c r="E700" i="10"/>
  <c r="D701" i="10"/>
  <c r="E701" i="10"/>
  <c r="D702" i="10"/>
  <c r="E702" i="10"/>
  <c r="D703" i="10"/>
  <c r="E703" i="10" s="1"/>
  <c r="D704" i="10"/>
  <c r="E704" i="10" s="1"/>
  <c r="D705" i="10"/>
  <c r="E705" i="10" s="1"/>
  <c r="D706" i="10"/>
  <c r="E706" i="10"/>
  <c r="D707" i="10"/>
  <c r="E707" i="10"/>
  <c r="D708" i="10"/>
  <c r="E708" i="10"/>
  <c r="D709" i="10"/>
  <c r="E709" i="10"/>
  <c r="D710" i="10"/>
  <c r="E710" i="10" s="1"/>
  <c r="D711" i="10"/>
  <c r="E711" i="10" s="1"/>
  <c r="D712" i="10"/>
  <c r="E712" i="10" s="1"/>
  <c r="D713" i="10"/>
  <c r="E713" i="10" s="1"/>
  <c r="D714" i="10"/>
  <c r="E714" i="10" s="1"/>
  <c r="D715" i="10"/>
  <c r="E715" i="10"/>
  <c r="D716" i="10"/>
  <c r="E716" i="10" s="1"/>
  <c r="D717" i="10"/>
  <c r="E717" i="10" s="1"/>
  <c r="D718" i="10"/>
  <c r="E718" i="10"/>
  <c r="D719" i="10"/>
  <c r="E719" i="10"/>
  <c r="D720" i="10"/>
  <c r="E720" i="10"/>
  <c r="D721" i="10"/>
  <c r="E721" i="10"/>
  <c r="D722" i="10"/>
  <c r="E722" i="10" s="1"/>
  <c r="D723" i="10"/>
  <c r="E723" i="10" s="1"/>
  <c r="D724" i="10"/>
  <c r="E724" i="10" s="1"/>
  <c r="D725" i="10"/>
  <c r="E725" i="10" s="1"/>
  <c r="D726" i="10"/>
  <c r="E726" i="10" s="1"/>
  <c r="D727" i="10"/>
  <c r="E727" i="10" s="1"/>
  <c r="D728" i="10"/>
  <c r="E728" i="10" s="1"/>
  <c r="D729" i="10"/>
  <c r="E729" i="10"/>
  <c r="D730" i="10"/>
  <c r="E730" i="10" s="1"/>
  <c r="D731" i="10"/>
  <c r="E731" i="10"/>
  <c r="D732" i="10"/>
  <c r="E732" i="10"/>
  <c r="D733" i="10"/>
  <c r="E733" i="10"/>
  <c r="D734" i="10"/>
  <c r="E734" i="10" s="1"/>
  <c r="D735" i="10"/>
  <c r="E735" i="10"/>
  <c r="D736" i="10"/>
  <c r="E736" i="10" s="1"/>
  <c r="D737" i="10"/>
  <c r="E737" i="10" s="1"/>
  <c r="D738" i="10"/>
  <c r="E738" i="10" s="1"/>
  <c r="D739" i="10"/>
  <c r="E739" i="10" s="1"/>
  <c r="D740" i="10"/>
  <c r="E740" i="10" s="1"/>
  <c r="D741" i="10"/>
  <c r="E741" i="10"/>
  <c r="D742" i="10"/>
  <c r="E742" i="10"/>
  <c r="D743" i="10"/>
  <c r="E743" i="10" s="1"/>
  <c r="D744" i="10"/>
  <c r="E744" i="10"/>
  <c r="D745" i="10"/>
  <c r="E745" i="10"/>
  <c r="D746" i="10"/>
  <c r="E746" i="10" s="1"/>
  <c r="D747" i="10"/>
  <c r="E747" i="10" s="1"/>
  <c r="D748" i="10"/>
  <c r="E748" i="10"/>
  <c r="D749" i="10"/>
  <c r="E749" i="10" s="1"/>
  <c r="D750" i="10"/>
  <c r="E750" i="10" s="1"/>
  <c r="D751" i="10"/>
  <c r="E751" i="10" s="1"/>
  <c r="D752" i="10"/>
  <c r="E752" i="10" s="1"/>
  <c r="D753" i="10"/>
  <c r="E753" i="10"/>
  <c r="D754" i="10"/>
  <c r="E754" i="10"/>
  <c r="D755" i="10"/>
  <c r="E755" i="10"/>
  <c r="D756" i="10"/>
  <c r="E756" i="10" s="1"/>
  <c r="D757" i="10"/>
  <c r="E757" i="10"/>
  <c r="D758" i="10"/>
  <c r="E758" i="10" s="1"/>
  <c r="D759" i="10"/>
  <c r="E759" i="10" s="1"/>
  <c r="D760" i="10"/>
  <c r="E760" i="10" s="1"/>
  <c r="D761" i="10"/>
  <c r="E761" i="10"/>
  <c r="D762" i="10"/>
  <c r="E762" i="10" s="1"/>
  <c r="D763" i="10"/>
  <c r="E763" i="10" s="1"/>
  <c r="D764" i="10"/>
  <c r="E764" i="10" s="1"/>
  <c r="D765" i="10"/>
  <c r="E765" i="10"/>
  <c r="D766" i="10"/>
  <c r="E766" i="10"/>
  <c r="D767" i="10"/>
  <c r="E767" i="10"/>
  <c r="D768" i="10"/>
  <c r="E768" i="10"/>
  <c r="D769" i="10"/>
  <c r="E769" i="10" s="1"/>
  <c r="D770" i="10"/>
  <c r="E770" i="10" s="1"/>
  <c r="D771" i="10"/>
  <c r="E771" i="10" s="1"/>
  <c r="D772" i="10"/>
  <c r="E772" i="10" s="1"/>
  <c r="D773" i="10"/>
  <c r="E773" i="10" s="1"/>
  <c r="D774" i="10"/>
  <c r="E774" i="10"/>
  <c r="D775" i="10"/>
  <c r="E775" i="10" s="1"/>
  <c r="D776" i="10"/>
  <c r="E776" i="10" s="1"/>
  <c r="D777" i="10"/>
  <c r="E777" i="10"/>
  <c r="D778" i="10"/>
  <c r="E778" i="10"/>
  <c r="D779" i="10"/>
  <c r="E779" i="10"/>
  <c r="D780" i="10"/>
  <c r="E780" i="10"/>
  <c r="D781" i="10"/>
  <c r="E781" i="10"/>
  <c r="D782" i="10"/>
  <c r="E782" i="10" s="1"/>
  <c r="D783" i="10"/>
  <c r="E783" i="10" s="1"/>
  <c r="D784" i="10"/>
  <c r="E784" i="10" s="1"/>
  <c r="D785" i="10"/>
  <c r="E785" i="10" s="1"/>
  <c r="D786" i="10"/>
  <c r="E786" i="10" s="1"/>
  <c r="D787" i="10"/>
  <c r="E787" i="10"/>
  <c r="D788" i="10"/>
  <c r="E788" i="10" s="1"/>
  <c r="D789" i="10"/>
  <c r="E789" i="10" s="1"/>
  <c r="D790" i="10"/>
  <c r="E790" i="10"/>
  <c r="D791" i="10"/>
  <c r="E791" i="10"/>
  <c r="D792" i="10"/>
  <c r="E792" i="10"/>
  <c r="D793" i="10"/>
  <c r="E793" i="10"/>
  <c r="D794" i="10"/>
  <c r="E794" i="10" s="1"/>
  <c r="D795" i="10"/>
  <c r="E795" i="10" s="1"/>
  <c r="D796" i="10"/>
  <c r="E796" i="10" s="1"/>
  <c r="D797" i="10"/>
  <c r="E797" i="10" s="1"/>
  <c r="D798" i="10"/>
  <c r="E798" i="10" s="1"/>
  <c r="D799" i="10"/>
  <c r="E799" i="10" s="1"/>
  <c r="D800" i="10"/>
  <c r="E800" i="10" s="1"/>
  <c r="D801" i="10"/>
  <c r="E801" i="10"/>
  <c r="D802" i="10"/>
  <c r="E802" i="10" s="1"/>
  <c r="D803" i="10"/>
  <c r="E803" i="10"/>
  <c r="D804" i="10"/>
  <c r="E804" i="10"/>
  <c r="D805" i="10"/>
  <c r="E805" i="10"/>
  <c r="D806" i="10"/>
  <c r="E806" i="10" s="1"/>
  <c r="D807" i="10"/>
  <c r="E807" i="10"/>
  <c r="D808" i="10"/>
  <c r="E808" i="10" s="1"/>
  <c r="D809" i="10"/>
  <c r="E809" i="10" s="1"/>
  <c r="D810" i="10"/>
  <c r="E810" i="10" s="1"/>
  <c r="D811" i="10"/>
  <c r="E811" i="10" s="1"/>
  <c r="D812" i="10"/>
  <c r="E812" i="10" s="1"/>
  <c r="D813" i="10"/>
  <c r="E813" i="10"/>
  <c r="D814" i="10"/>
  <c r="E814" i="10" s="1"/>
  <c r="D815" i="10"/>
  <c r="E815" i="10" s="1"/>
  <c r="D816" i="10"/>
  <c r="E816" i="10" s="1"/>
  <c r="D817" i="10"/>
  <c r="E817" i="10" s="1"/>
  <c r="D818" i="10"/>
  <c r="E818" i="10" s="1"/>
  <c r="D819" i="10"/>
  <c r="E819" i="10"/>
  <c r="D820" i="10"/>
  <c r="E820" i="10" s="1"/>
  <c r="D821" i="10"/>
  <c r="E821" i="10" s="1"/>
  <c r="D822" i="10"/>
  <c r="E822" i="10" s="1"/>
  <c r="D823" i="10"/>
  <c r="E823" i="10" s="1"/>
  <c r="D824" i="10"/>
  <c r="E824" i="10" s="1"/>
  <c r="D825" i="10"/>
  <c r="E825" i="10"/>
  <c r="D826" i="10"/>
  <c r="E826" i="10" s="1"/>
  <c r="D827" i="10"/>
  <c r="E827" i="10" s="1"/>
  <c r="D828" i="10"/>
  <c r="E828" i="10" s="1"/>
  <c r="D829" i="10"/>
  <c r="E829" i="10" s="1"/>
  <c r="D830" i="10"/>
  <c r="E830" i="10" s="1"/>
  <c r="D831" i="10"/>
  <c r="E831" i="10"/>
  <c r="D832" i="10"/>
  <c r="E832" i="10" s="1"/>
  <c r="D833" i="10"/>
  <c r="E833" i="10" s="1"/>
  <c r="D834" i="10"/>
  <c r="E834" i="10" s="1"/>
  <c r="D835" i="10"/>
  <c r="E835" i="10" s="1"/>
  <c r="D836" i="10"/>
  <c r="E836" i="10" s="1"/>
  <c r="D837" i="10"/>
  <c r="E837" i="10"/>
  <c r="D838" i="10"/>
  <c r="E838" i="10" s="1"/>
  <c r="D839" i="10"/>
  <c r="E839" i="10" s="1"/>
  <c r="D840" i="10"/>
  <c r="E840" i="10" s="1"/>
  <c r="D841" i="10"/>
  <c r="E841" i="10" s="1"/>
  <c r="D842" i="10"/>
  <c r="E842" i="10" s="1"/>
  <c r="D843" i="10"/>
  <c r="E843" i="10"/>
  <c r="D844" i="10"/>
  <c r="E844" i="10" s="1"/>
  <c r="D845" i="10"/>
  <c r="E845" i="10" s="1"/>
  <c r="D846" i="10"/>
  <c r="E846" i="10" s="1"/>
  <c r="D847" i="10"/>
  <c r="E847" i="10" s="1"/>
  <c r="D848" i="10"/>
  <c r="E848" i="10" s="1"/>
  <c r="D849" i="10"/>
  <c r="E849" i="10"/>
  <c r="D850" i="10"/>
  <c r="E850" i="10" s="1"/>
  <c r="D851" i="10"/>
  <c r="E851" i="10" s="1"/>
  <c r="D852" i="10"/>
  <c r="E852" i="10" s="1"/>
  <c r="D853" i="10"/>
  <c r="E853" i="10" s="1"/>
  <c r="D854" i="10"/>
  <c r="E854" i="10" s="1"/>
  <c r="D855" i="10"/>
  <c r="E855" i="10"/>
  <c r="D856" i="10"/>
  <c r="E856" i="10" s="1"/>
  <c r="D857" i="10"/>
  <c r="E857" i="10" s="1"/>
  <c r="D858" i="10"/>
  <c r="E858" i="10" s="1"/>
  <c r="D859" i="10"/>
  <c r="E859" i="10" s="1"/>
  <c r="D860" i="10"/>
  <c r="E860" i="10" s="1"/>
  <c r="D861" i="10"/>
  <c r="E861" i="10"/>
  <c r="D862" i="10"/>
  <c r="E862" i="10" s="1"/>
  <c r="D863" i="10"/>
  <c r="E863" i="10" s="1"/>
  <c r="D864" i="10"/>
  <c r="E864" i="10" s="1"/>
  <c r="D865" i="10"/>
  <c r="E865" i="10" s="1"/>
  <c r="D866" i="10"/>
  <c r="E866" i="10" s="1"/>
  <c r="D867" i="10"/>
  <c r="E867" i="10"/>
  <c r="D868" i="10"/>
  <c r="E868" i="10" s="1"/>
  <c r="D869" i="10"/>
  <c r="E869" i="10" s="1"/>
  <c r="D870" i="10"/>
  <c r="E870" i="10" s="1"/>
  <c r="D871" i="10"/>
  <c r="E871" i="10" s="1"/>
  <c r="D872" i="10"/>
  <c r="E872" i="10" s="1"/>
  <c r="D873" i="10"/>
  <c r="E873" i="10"/>
  <c r="D874" i="10"/>
  <c r="E874" i="10" s="1"/>
  <c r="D875" i="10"/>
  <c r="E875" i="10" s="1"/>
  <c r="D876" i="10"/>
  <c r="E876" i="10" s="1"/>
  <c r="D877" i="10"/>
  <c r="E877" i="10" s="1"/>
  <c r="D878" i="10"/>
  <c r="E878" i="10" s="1"/>
  <c r="D879" i="10"/>
  <c r="E879" i="10"/>
  <c r="D880" i="10"/>
  <c r="E880" i="10" s="1"/>
  <c r="D881" i="10"/>
  <c r="E881" i="10" s="1"/>
  <c r="D882" i="10"/>
  <c r="E882" i="10" s="1"/>
  <c r="D883" i="10"/>
  <c r="E883" i="10" s="1"/>
  <c r="D884" i="10"/>
  <c r="E884" i="10" s="1"/>
  <c r="D885" i="10"/>
  <c r="E885" i="10"/>
  <c r="D886" i="10"/>
  <c r="E886" i="10" s="1"/>
  <c r="D887" i="10"/>
  <c r="E887" i="10" s="1"/>
  <c r="D888" i="10"/>
  <c r="E888" i="10" s="1"/>
  <c r="D889" i="10"/>
  <c r="E889" i="10" s="1"/>
  <c r="D890" i="10"/>
  <c r="E890" i="10" s="1"/>
  <c r="D891" i="10"/>
  <c r="E891" i="10"/>
  <c r="D892" i="10"/>
  <c r="E892" i="10" s="1"/>
  <c r="D893" i="10"/>
  <c r="E893" i="10" s="1"/>
  <c r="D894" i="10"/>
  <c r="E894" i="10" s="1"/>
  <c r="D895" i="10"/>
  <c r="E895" i="10" s="1"/>
  <c r="D896" i="10"/>
  <c r="E896" i="10" s="1"/>
  <c r="D897" i="10"/>
  <c r="E897" i="10"/>
  <c r="D898" i="10"/>
  <c r="E898" i="10" s="1"/>
  <c r="D899" i="10"/>
  <c r="E899" i="10" s="1"/>
  <c r="D900" i="10"/>
  <c r="E900" i="10" s="1"/>
  <c r="D901" i="10"/>
  <c r="E901" i="10" s="1"/>
  <c r="D902" i="10"/>
  <c r="E902" i="10" s="1"/>
  <c r="D903" i="10"/>
  <c r="E903" i="10"/>
  <c r="D904" i="10"/>
  <c r="E904" i="10" s="1"/>
  <c r="D905" i="10"/>
  <c r="E905" i="10" s="1"/>
  <c r="D906" i="10"/>
  <c r="E906" i="10" s="1"/>
  <c r="D907" i="10"/>
  <c r="E907" i="10" s="1"/>
  <c r="D908" i="10"/>
  <c r="E908" i="10" s="1"/>
  <c r="D909" i="10"/>
  <c r="E909" i="10"/>
  <c r="D910" i="10"/>
  <c r="E910" i="10" s="1"/>
  <c r="D911" i="10"/>
  <c r="E911" i="10" s="1"/>
  <c r="D912" i="10"/>
  <c r="E912" i="10" s="1"/>
  <c r="D913" i="10"/>
  <c r="E913" i="10" s="1"/>
  <c r="D914" i="10"/>
  <c r="E914" i="10" s="1"/>
  <c r="D915" i="10"/>
  <c r="E915" i="10"/>
  <c r="D916" i="10"/>
  <c r="E916" i="10" s="1"/>
  <c r="D917" i="10"/>
  <c r="E917" i="10" s="1"/>
  <c r="D918" i="10"/>
  <c r="E918" i="10" s="1"/>
  <c r="D919" i="10"/>
  <c r="E919" i="10" s="1"/>
  <c r="D920" i="10"/>
  <c r="E920" i="10" s="1"/>
  <c r="D921" i="10"/>
  <c r="E921" i="10"/>
  <c r="D922" i="10"/>
  <c r="E922" i="10" s="1"/>
  <c r="D923" i="10"/>
  <c r="E923" i="10" s="1"/>
  <c r="D924" i="10"/>
  <c r="E924" i="10" s="1"/>
  <c r="D925" i="10"/>
  <c r="E925" i="10" s="1"/>
  <c r="D926" i="10"/>
  <c r="E926" i="10" s="1"/>
  <c r="D927" i="10"/>
  <c r="E927" i="10"/>
  <c r="D928" i="10"/>
  <c r="E928" i="10" s="1"/>
  <c r="D929" i="10"/>
  <c r="E929" i="10" s="1"/>
  <c r="D930" i="10"/>
  <c r="E930" i="10" s="1"/>
  <c r="D931" i="10"/>
  <c r="E931" i="10" s="1"/>
  <c r="D932" i="10"/>
  <c r="E932" i="10" s="1"/>
  <c r="D933" i="10"/>
  <c r="E933" i="10"/>
  <c r="D934" i="10"/>
  <c r="E934" i="10" s="1"/>
  <c r="D935" i="10"/>
  <c r="E935" i="10" s="1"/>
  <c r="D936" i="10"/>
  <c r="E936" i="10" s="1"/>
  <c r="D937" i="10"/>
  <c r="E937" i="10" s="1"/>
  <c r="D938" i="10"/>
  <c r="E938" i="10" s="1"/>
  <c r="D939" i="10"/>
  <c r="E939" i="10"/>
  <c r="D940" i="10"/>
  <c r="E940" i="10" s="1"/>
  <c r="D941" i="10"/>
  <c r="E941" i="10" s="1"/>
  <c r="D942" i="10"/>
  <c r="E942" i="10" s="1"/>
  <c r="D943" i="10"/>
  <c r="E943" i="10" s="1"/>
  <c r="D944" i="10"/>
  <c r="E944" i="10" s="1"/>
  <c r="D945" i="10"/>
  <c r="E945" i="10"/>
  <c r="D946" i="10"/>
  <c r="E946" i="10" s="1"/>
  <c r="D947" i="10"/>
  <c r="E947" i="10" s="1"/>
  <c r="D948" i="10"/>
  <c r="E948" i="10" s="1"/>
  <c r="D949" i="10"/>
  <c r="E949" i="10" s="1"/>
  <c r="D950" i="10"/>
  <c r="E950" i="10" s="1"/>
  <c r="D951" i="10"/>
  <c r="E951" i="10"/>
  <c r="D952" i="10"/>
  <c r="E952" i="10" s="1"/>
  <c r="D953" i="10"/>
  <c r="E953" i="10" s="1"/>
  <c r="D954" i="10"/>
  <c r="E954" i="10" s="1"/>
  <c r="D955" i="10"/>
  <c r="E955" i="10" s="1"/>
  <c r="D956" i="10"/>
  <c r="E956" i="10" s="1"/>
  <c r="D957" i="10"/>
  <c r="E957" i="10"/>
  <c r="D958" i="10"/>
  <c r="E958" i="10" s="1"/>
  <c r="D959" i="10"/>
  <c r="E959" i="10" s="1"/>
  <c r="D960" i="10"/>
  <c r="E960" i="10" s="1"/>
  <c r="D961" i="10"/>
  <c r="E961" i="10" s="1"/>
  <c r="D962" i="10"/>
  <c r="E962" i="10" s="1"/>
  <c r="D963" i="10"/>
  <c r="E963" i="10"/>
  <c r="D964" i="10"/>
  <c r="E964" i="10" s="1"/>
  <c r="D965" i="10"/>
  <c r="E965" i="10" s="1"/>
  <c r="D966" i="10"/>
  <c r="E966" i="10" s="1"/>
  <c r="D967" i="10"/>
  <c r="E967" i="10" s="1"/>
  <c r="D968" i="10"/>
  <c r="E968" i="10" s="1"/>
  <c r="D969" i="10"/>
  <c r="E969" i="10"/>
  <c r="D970" i="10"/>
  <c r="E970" i="10" s="1"/>
  <c r="D971" i="10"/>
  <c r="E971" i="10" s="1"/>
  <c r="D972" i="10"/>
  <c r="E972" i="10" s="1"/>
  <c r="D973" i="10"/>
  <c r="E973" i="10" s="1"/>
  <c r="D974" i="10"/>
  <c r="E974" i="10" s="1"/>
  <c r="D975" i="10"/>
  <c r="E975" i="10"/>
  <c r="D976" i="10"/>
  <c r="E976" i="10" s="1"/>
  <c r="D977" i="10"/>
  <c r="E977" i="10" s="1"/>
  <c r="D978" i="10"/>
  <c r="E978" i="10" s="1"/>
  <c r="D979" i="10"/>
  <c r="E979" i="10" s="1"/>
  <c r="D980" i="10"/>
  <c r="E980" i="10" s="1"/>
  <c r="D981" i="10"/>
  <c r="E981" i="10"/>
  <c r="D982" i="10"/>
  <c r="E982" i="10" s="1"/>
  <c r="D983" i="10"/>
  <c r="E983" i="10" s="1"/>
  <c r="D984" i="10"/>
  <c r="E984" i="10" s="1"/>
  <c r="D985" i="10"/>
  <c r="E985" i="10" s="1"/>
  <c r="D986" i="10"/>
  <c r="E986" i="10" s="1"/>
  <c r="D987" i="10"/>
  <c r="E987" i="10"/>
  <c r="D988" i="10"/>
  <c r="E988" i="10" s="1"/>
  <c r="D989" i="10"/>
  <c r="E989" i="10" s="1"/>
  <c r="D990" i="10"/>
  <c r="E990" i="10" s="1"/>
  <c r="D991" i="10"/>
  <c r="E991" i="10" s="1"/>
  <c r="D992" i="10"/>
  <c r="E992" i="10" s="1"/>
  <c r="D993" i="10"/>
  <c r="E993" i="10"/>
  <c r="D994" i="10"/>
  <c r="E994" i="10" s="1"/>
  <c r="D995" i="10"/>
  <c r="E995" i="10" s="1"/>
  <c r="D996" i="10"/>
  <c r="E996" i="10" s="1"/>
  <c r="D997" i="10"/>
  <c r="E997" i="10" s="1"/>
  <c r="D998" i="10"/>
  <c r="E998" i="10" s="1"/>
  <c r="D999" i="10"/>
  <c r="E999" i="10"/>
  <c r="D1000" i="10"/>
  <c r="E1000" i="10" s="1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D16" i="8"/>
  <c r="D17" i="8"/>
  <c r="D18" i="8"/>
  <c r="D19" i="8"/>
  <c r="D20" i="8"/>
  <c r="E20" i="8"/>
  <c r="A3" i="7"/>
  <c r="A4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A255" i="6"/>
  <c r="B255" i="6"/>
  <c r="C255" i="6"/>
  <c r="D255" i="6"/>
  <c r="A256" i="6"/>
  <c r="B256" i="6"/>
  <c r="C256" i="6"/>
  <c r="D256" i="6"/>
  <c r="A257" i="6"/>
  <c r="B257" i="6"/>
  <c r="C257" i="6"/>
  <c r="D257" i="6"/>
  <c r="A258" i="6"/>
  <c r="B258" i="6"/>
  <c r="C258" i="6"/>
  <c r="D258" i="6"/>
  <c r="A259" i="6"/>
  <c r="B259" i="6"/>
  <c r="C259" i="6"/>
  <c r="D259" i="6"/>
  <c r="A260" i="6"/>
  <c r="B260" i="6"/>
  <c r="C260" i="6"/>
  <c r="D260" i="6"/>
  <c r="A261" i="6"/>
  <c r="B261" i="6"/>
  <c r="C261" i="6"/>
  <c r="D261" i="6"/>
  <c r="A262" i="6"/>
  <c r="B262" i="6"/>
  <c r="C262" i="6"/>
  <c r="D262" i="6"/>
  <c r="A263" i="6"/>
  <c r="B263" i="6"/>
  <c r="C263" i="6"/>
  <c r="D263" i="6"/>
  <c r="A264" i="6"/>
  <c r="B264" i="6"/>
  <c r="C264" i="6"/>
  <c r="D264" i="6"/>
  <c r="A265" i="6"/>
  <c r="B265" i="6"/>
  <c r="C265" i="6"/>
  <c r="D265" i="6"/>
  <c r="A266" i="6"/>
  <c r="B266" i="6"/>
  <c r="C266" i="6"/>
  <c r="D266" i="6"/>
  <c r="A267" i="6"/>
  <c r="B267" i="6"/>
  <c r="C267" i="6"/>
  <c r="D267" i="6"/>
  <c r="A268" i="6"/>
  <c r="B268" i="6"/>
  <c r="C268" i="6"/>
  <c r="D268" i="6"/>
  <c r="A269" i="6"/>
  <c r="B269" i="6"/>
  <c r="C269" i="6"/>
  <c r="D269" i="6"/>
  <c r="A270" i="6"/>
  <c r="B270" i="6"/>
  <c r="C270" i="6"/>
  <c r="D270" i="6"/>
  <c r="A271" i="6"/>
  <c r="B271" i="6"/>
  <c r="C271" i="6"/>
  <c r="D271" i="6"/>
  <c r="A272" i="6"/>
  <c r="B272" i="6"/>
  <c r="C272" i="6"/>
  <c r="D272" i="6"/>
  <c r="A273" i="6"/>
  <c r="B273" i="6"/>
  <c r="C273" i="6"/>
  <c r="D273" i="6"/>
  <c r="A274" i="6"/>
  <c r="B274" i="6"/>
  <c r="C274" i="6"/>
  <c r="D274" i="6"/>
  <c r="A275" i="6"/>
  <c r="B275" i="6"/>
  <c r="C275" i="6"/>
  <c r="D275" i="6"/>
  <c r="A276" i="6"/>
  <c r="B276" i="6"/>
  <c r="C276" i="6"/>
  <c r="D276" i="6"/>
  <c r="A277" i="6"/>
  <c r="B277" i="6"/>
  <c r="C277" i="6"/>
  <c r="D277" i="6"/>
  <c r="A278" i="6"/>
  <c r="B278" i="6"/>
  <c r="C278" i="6"/>
  <c r="D278" i="6"/>
  <c r="A279" i="6"/>
  <c r="B279" i="6"/>
  <c r="C279" i="6"/>
  <c r="D279" i="6"/>
  <c r="A280" i="6"/>
  <c r="B280" i="6"/>
  <c r="C280" i="6"/>
  <c r="D280" i="6"/>
  <c r="A281" i="6"/>
  <c r="B281" i="6"/>
  <c r="C281" i="6"/>
  <c r="D281" i="6"/>
  <c r="A282" i="6"/>
  <c r="B282" i="6"/>
  <c r="C282" i="6"/>
  <c r="D282" i="6"/>
  <c r="A283" i="6"/>
  <c r="B283" i="6"/>
  <c r="C283" i="6"/>
  <c r="D283" i="6"/>
  <c r="A284" i="6"/>
  <c r="B284" i="6"/>
  <c r="C284" i="6"/>
  <c r="D284" i="6"/>
  <c r="A285" i="6"/>
  <c r="B285" i="6"/>
  <c r="C285" i="6"/>
  <c r="D285" i="6"/>
  <c r="A286" i="6"/>
  <c r="B286" i="6"/>
  <c r="C286" i="6"/>
  <c r="D286" i="6"/>
  <c r="A287" i="6"/>
  <c r="B287" i="6"/>
  <c r="C287" i="6"/>
  <c r="D287" i="6"/>
  <c r="A288" i="6"/>
  <c r="B288" i="6"/>
  <c r="C288" i="6"/>
  <c r="D288" i="6"/>
  <c r="A289" i="6"/>
  <c r="B289" i="6"/>
  <c r="C289" i="6"/>
  <c r="D289" i="6"/>
  <c r="A290" i="6"/>
  <c r="B290" i="6"/>
  <c r="C290" i="6"/>
  <c r="D290" i="6"/>
  <c r="A291" i="6"/>
  <c r="B291" i="6"/>
  <c r="C291" i="6"/>
  <c r="D291" i="6"/>
  <c r="A292" i="6"/>
  <c r="B292" i="6"/>
  <c r="C292" i="6"/>
  <c r="D292" i="6"/>
  <c r="A293" i="6"/>
  <c r="B293" i="6"/>
  <c r="C293" i="6"/>
  <c r="D293" i="6"/>
  <c r="A294" i="6"/>
  <c r="B294" i="6"/>
  <c r="C294" i="6"/>
  <c r="D294" i="6"/>
  <c r="A295" i="6"/>
  <c r="B295" i="6"/>
  <c r="C295" i="6"/>
  <c r="D295" i="6"/>
  <c r="A296" i="6"/>
  <c r="B296" i="6"/>
  <c r="C296" i="6"/>
  <c r="D296" i="6"/>
  <c r="A297" i="6"/>
  <c r="B297" i="6"/>
  <c r="C297" i="6"/>
  <c r="D297" i="6"/>
  <c r="A298" i="6"/>
  <c r="B298" i="6"/>
  <c r="C298" i="6"/>
  <c r="D298" i="6"/>
  <c r="A299" i="6"/>
  <c r="B299" i="6"/>
  <c r="C299" i="6"/>
  <c r="D299" i="6"/>
  <c r="A300" i="6"/>
  <c r="B300" i="6"/>
  <c r="C300" i="6"/>
  <c r="D300" i="6"/>
  <c r="A301" i="6"/>
  <c r="B301" i="6"/>
  <c r="C301" i="6"/>
  <c r="D301" i="6"/>
  <c r="A302" i="6"/>
  <c r="B302" i="6"/>
  <c r="C302" i="6"/>
  <c r="D302" i="6"/>
  <c r="A303" i="6"/>
  <c r="B303" i="6"/>
  <c r="C303" i="6"/>
  <c r="D303" i="6"/>
  <c r="A304" i="6"/>
  <c r="B304" i="6"/>
  <c r="C304" i="6"/>
  <c r="D304" i="6"/>
  <c r="A305" i="6"/>
  <c r="B305" i="6"/>
  <c r="C305" i="6"/>
  <c r="D305" i="6"/>
  <c r="A306" i="6"/>
  <c r="B306" i="6"/>
  <c r="C306" i="6"/>
  <c r="D306" i="6"/>
  <c r="A307" i="6"/>
  <c r="B307" i="6"/>
  <c r="C307" i="6"/>
  <c r="D307" i="6"/>
  <c r="A308" i="6"/>
  <c r="B308" i="6"/>
  <c r="C308" i="6"/>
  <c r="D308" i="6"/>
  <c r="A309" i="6"/>
  <c r="B309" i="6"/>
  <c r="C309" i="6"/>
  <c r="D309" i="6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/>
  <c r="A314" i="6"/>
  <c r="B314" i="6"/>
  <c r="C314" i="6"/>
  <c r="D314" i="6"/>
  <c r="A315" i="6"/>
  <c r="B315" i="6"/>
  <c r="C315" i="6"/>
  <c r="D315" i="6"/>
  <c r="A316" i="6"/>
  <c r="B316" i="6"/>
  <c r="C316" i="6"/>
  <c r="D316" i="6"/>
  <c r="A317" i="6"/>
  <c r="B317" i="6"/>
  <c r="C317" i="6"/>
  <c r="D317" i="6"/>
  <c r="A318" i="6"/>
  <c r="B318" i="6"/>
  <c r="C318" i="6"/>
  <c r="D318" i="6"/>
  <c r="A319" i="6"/>
  <c r="B319" i="6"/>
  <c r="C319" i="6"/>
  <c r="D319" i="6"/>
  <c r="A320" i="6"/>
  <c r="B320" i="6"/>
  <c r="C320" i="6"/>
  <c r="D320" i="6"/>
  <c r="A321" i="6"/>
  <c r="B321" i="6"/>
  <c r="C321" i="6"/>
  <c r="D321" i="6"/>
  <c r="A322" i="6"/>
  <c r="B322" i="6"/>
  <c r="C322" i="6"/>
  <c r="D322" i="6"/>
  <c r="A323" i="6"/>
  <c r="B323" i="6"/>
  <c r="C323" i="6"/>
  <c r="D323" i="6"/>
  <c r="A324" i="6"/>
  <c r="B324" i="6"/>
  <c r="C324" i="6"/>
  <c r="D324" i="6"/>
  <c r="A325" i="6"/>
  <c r="B325" i="6"/>
  <c r="C325" i="6"/>
  <c r="D325" i="6"/>
  <c r="A326" i="6"/>
  <c r="B326" i="6"/>
  <c r="C326" i="6"/>
  <c r="D326" i="6"/>
  <c r="A327" i="6"/>
  <c r="B327" i="6"/>
  <c r="C327" i="6"/>
  <c r="D327" i="6"/>
  <c r="A328" i="6"/>
  <c r="B328" i="6"/>
  <c r="C328" i="6"/>
  <c r="D328" i="6"/>
  <c r="A329" i="6"/>
  <c r="B329" i="6"/>
  <c r="C329" i="6"/>
  <c r="D329" i="6"/>
  <c r="A330" i="6"/>
  <c r="B330" i="6"/>
  <c r="C330" i="6"/>
  <c r="D330" i="6"/>
  <c r="A331" i="6"/>
  <c r="B331" i="6"/>
  <c r="C331" i="6"/>
  <c r="D331" i="6"/>
  <c r="A332" i="6"/>
  <c r="B332" i="6"/>
  <c r="C332" i="6"/>
  <c r="D332" i="6"/>
  <c r="A333" i="6"/>
  <c r="B333" i="6"/>
  <c r="C333" i="6"/>
  <c r="D333" i="6"/>
  <c r="A334" i="6"/>
  <c r="B334" i="6"/>
  <c r="C334" i="6"/>
  <c r="D334" i="6"/>
  <c r="A335" i="6"/>
  <c r="B335" i="6"/>
  <c r="C335" i="6"/>
  <c r="D335" i="6"/>
  <c r="A336" i="6"/>
  <c r="B336" i="6"/>
  <c r="C336" i="6"/>
  <c r="D336" i="6"/>
  <c r="A337" i="6"/>
  <c r="B337" i="6"/>
  <c r="C337" i="6"/>
  <c r="D337" i="6"/>
  <c r="A338" i="6"/>
  <c r="B338" i="6"/>
  <c r="C338" i="6"/>
  <c r="D338" i="6"/>
  <c r="A339" i="6"/>
  <c r="B339" i="6"/>
  <c r="C339" i="6"/>
  <c r="D339" i="6"/>
  <c r="A340" i="6"/>
  <c r="B340" i="6"/>
  <c r="C340" i="6"/>
  <c r="D340" i="6"/>
  <c r="A341" i="6"/>
  <c r="B341" i="6"/>
  <c r="C341" i="6"/>
  <c r="D341" i="6"/>
  <c r="A342" i="6"/>
  <c r="B342" i="6"/>
  <c r="C342" i="6"/>
  <c r="D342" i="6"/>
  <c r="A343" i="6"/>
  <c r="B343" i="6"/>
  <c r="C343" i="6"/>
  <c r="D343" i="6"/>
  <c r="A344" i="6"/>
  <c r="B344" i="6"/>
  <c r="C344" i="6"/>
  <c r="D344" i="6"/>
  <c r="A345" i="6"/>
  <c r="B345" i="6"/>
  <c r="C345" i="6"/>
  <c r="D345" i="6"/>
  <c r="A346" i="6"/>
  <c r="B346" i="6"/>
  <c r="C346" i="6"/>
  <c r="D346" i="6"/>
  <c r="A347" i="6"/>
  <c r="B347" i="6"/>
  <c r="C347" i="6"/>
  <c r="D347" i="6"/>
  <c r="A348" i="6"/>
  <c r="B348" i="6"/>
  <c r="C348" i="6"/>
  <c r="D348" i="6"/>
  <c r="A349" i="6"/>
  <c r="B349" i="6"/>
  <c r="C349" i="6"/>
  <c r="D349" i="6"/>
  <c r="A350" i="6"/>
  <c r="B350" i="6"/>
  <c r="C350" i="6"/>
  <c r="D350" i="6"/>
  <c r="A351" i="6"/>
  <c r="B351" i="6"/>
  <c r="C351" i="6"/>
  <c r="D351" i="6"/>
  <c r="A352" i="6"/>
  <c r="B352" i="6"/>
  <c r="C352" i="6"/>
  <c r="D352" i="6"/>
  <c r="A353" i="6"/>
  <c r="B353" i="6"/>
  <c r="C353" i="6"/>
  <c r="D353" i="6"/>
  <c r="A354" i="6"/>
  <c r="B354" i="6"/>
  <c r="C354" i="6"/>
  <c r="D354" i="6"/>
  <c r="A355" i="6"/>
  <c r="B355" i="6"/>
  <c r="C355" i="6"/>
  <c r="D355" i="6"/>
  <c r="A356" i="6"/>
  <c r="B356" i="6"/>
  <c r="C356" i="6"/>
  <c r="D356" i="6"/>
  <c r="A357" i="6"/>
  <c r="B357" i="6"/>
  <c r="C357" i="6"/>
  <c r="D357" i="6"/>
  <c r="A358" i="6"/>
  <c r="B358" i="6"/>
  <c r="C358" i="6"/>
  <c r="D358" i="6"/>
  <c r="A359" i="6"/>
  <c r="B359" i="6"/>
  <c r="C359" i="6"/>
  <c r="D359" i="6"/>
  <c r="A360" i="6"/>
  <c r="B360" i="6"/>
  <c r="C360" i="6"/>
  <c r="D360" i="6"/>
  <c r="A361" i="6"/>
  <c r="B361" i="6"/>
  <c r="C361" i="6"/>
  <c r="D361" i="6"/>
  <c r="A362" i="6"/>
  <c r="B362" i="6"/>
  <c r="C362" i="6"/>
  <c r="D362" i="6"/>
  <c r="A363" i="6"/>
  <c r="B363" i="6"/>
  <c r="C363" i="6"/>
  <c r="D363" i="6"/>
  <c r="A364" i="6"/>
  <c r="B364" i="6"/>
  <c r="C364" i="6"/>
  <c r="D364" i="6"/>
  <c r="A365" i="6"/>
  <c r="B365" i="6"/>
  <c r="C365" i="6"/>
  <c r="D365" i="6"/>
  <c r="A366" i="6"/>
  <c r="B366" i="6"/>
  <c r="C366" i="6"/>
  <c r="D366" i="6"/>
  <c r="A367" i="6"/>
  <c r="B367" i="6"/>
  <c r="C367" i="6"/>
  <c r="D367" i="6"/>
  <c r="A368" i="6"/>
  <c r="B368" i="6"/>
  <c r="C368" i="6"/>
  <c r="D368" i="6"/>
  <c r="A369" i="6"/>
  <c r="B369" i="6"/>
  <c r="C369" i="6"/>
  <c r="D369" i="6"/>
  <c r="A370" i="6"/>
  <c r="B370" i="6"/>
  <c r="C370" i="6"/>
  <c r="D370" i="6"/>
  <c r="A371" i="6"/>
  <c r="B371" i="6"/>
  <c r="C371" i="6"/>
  <c r="D371" i="6"/>
  <c r="A372" i="6"/>
  <c r="B372" i="6"/>
  <c r="C372" i="6"/>
  <c r="D372" i="6"/>
  <c r="A373" i="6"/>
  <c r="B373" i="6"/>
  <c r="C373" i="6"/>
  <c r="D373" i="6"/>
  <c r="A374" i="6"/>
  <c r="B374" i="6"/>
  <c r="C374" i="6"/>
  <c r="D374" i="6"/>
  <c r="A375" i="6"/>
  <c r="B375" i="6"/>
  <c r="C375" i="6"/>
  <c r="D375" i="6"/>
  <c r="A376" i="6"/>
  <c r="B376" i="6"/>
  <c r="C376" i="6"/>
  <c r="D376" i="6"/>
  <c r="A377" i="6"/>
  <c r="B377" i="6"/>
  <c r="C377" i="6"/>
  <c r="D377" i="6"/>
  <c r="A378" i="6"/>
  <c r="B378" i="6"/>
  <c r="C378" i="6"/>
  <c r="D378" i="6"/>
  <c r="A379" i="6"/>
  <c r="B379" i="6"/>
  <c r="C379" i="6"/>
  <c r="D379" i="6"/>
  <c r="A380" i="6"/>
  <c r="B380" i="6"/>
  <c r="C380" i="6"/>
  <c r="D380" i="6"/>
  <c r="A381" i="6"/>
  <c r="B381" i="6"/>
  <c r="C381" i="6"/>
  <c r="D381" i="6"/>
  <c r="A382" i="6"/>
  <c r="B382" i="6"/>
  <c r="C382" i="6"/>
  <c r="D382" i="6"/>
  <c r="A383" i="6"/>
  <c r="B383" i="6"/>
  <c r="C383" i="6"/>
  <c r="D383" i="6"/>
  <c r="A384" i="6"/>
  <c r="B384" i="6"/>
  <c r="C384" i="6"/>
  <c r="D384" i="6"/>
  <c r="A385" i="6"/>
  <c r="B385" i="6"/>
  <c r="C385" i="6"/>
  <c r="D385" i="6"/>
  <c r="A386" i="6"/>
  <c r="B386" i="6"/>
  <c r="C386" i="6"/>
  <c r="D386" i="6"/>
  <c r="A387" i="6"/>
  <c r="B387" i="6"/>
  <c r="C387" i="6"/>
  <c r="D387" i="6"/>
  <c r="A388" i="6"/>
  <c r="B388" i="6"/>
  <c r="C388" i="6"/>
  <c r="D388" i="6"/>
  <c r="A389" i="6"/>
  <c r="B389" i="6"/>
  <c r="C389" i="6"/>
  <c r="D389" i="6"/>
  <c r="A390" i="6"/>
  <c r="B390" i="6"/>
  <c r="C390" i="6"/>
  <c r="D390" i="6"/>
  <c r="A391" i="6"/>
  <c r="B391" i="6"/>
  <c r="C391" i="6"/>
  <c r="D391" i="6"/>
  <c r="A392" i="6"/>
  <c r="B392" i="6"/>
  <c r="C392" i="6"/>
  <c r="D392" i="6"/>
  <c r="A393" i="6"/>
  <c r="B393" i="6"/>
  <c r="C393" i="6"/>
  <c r="D393" i="6"/>
  <c r="A394" i="6"/>
  <c r="B394" i="6"/>
  <c r="C394" i="6"/>
  <c r="D394" i="6"/>
  <c r="A395" i="6"/>
  <c r="B395" i="6"/>
  <c r="C395" i="6"/>
  <c r="D395" i="6"/>
  <c r="A396" i="6"/>
  <c r="B396" i="6"/>
  <c r="C396" i="6"/>
  <c r="D396" i="6"/>
  <c r="A397" i="6"/>
  <c r="B397" i="6"/>
  <c r="C397" i="6"/>
  <c r="D397" i="6"/>
  <c r="A398" i="6"/>
  <c r="B398" i="6"/>
  <c r="C398" i="6"/>
  <c r="D398" i="6"/>
  <c r="A399" i="6"/>
  <c r="B399" i="6"/>
  <c r="C399" i="6"/>
  <c r="D399" i="6"/>
  <c r="A400" i="6"/>
  <c r="B400" i="6"/>
  <c r="C400" i="6"/>
  <c r="D400" i="6"/>
  <c r="A401" i="6"/>
  <c r="B401" i="6"/>
  <c r="C401" i="6"/>
  <c r="D401" i="6"/>
  <c r="A402" i="6"/>
  <c r="B402" i="6"/>
  <c r="C402" i="6"/>
  <c r="D402" i="6"/>
  <c r="A403" i="6"/>
  <c r="B403" i="6"/>
  <c r="C403" i="6"/>
  <c r="D403" i="6"/>
  <c r="A404" i="6"/>
  <c r="B404" i="6"/>
  <c r="C404" i="6"/>
  <c r="D404" i="6"/>
  <c r="A405" i="6"/>
  <c r="B405" i="6"/>
  <c r="C405" i="6"/>
  <c r="D405" i="6"/>
  <c r="A406" i="6"/>
  <c r="B406" i="6"/>
  <c r="C406" i="6"/>
  <c r="D406" i="6"/>
  <c r="A407" i="6"/>
  <c r="B407" i="6"/>
  <c r="C407" i="6"/>
  <c r="D407" i="6"/>
  <c r="A408" i="6"/>
  <c r="B408" i="6"/>
  <c r="C408" i="6"/>
  <c r="D408" i="6"/>
  <c r="A409" i="6"/>
  <c r="B409" i="6"/>
  <c r="C409" i="6"/>
  <c r="D409" i="6"/>
  <c r="A410" i="6"/>
  <c r="B410" i="6"/>
  <c r="C410" i="6"/>
  <c r="D410" i="6"/>
  <c r="A411" i="6"/>
  <c r="B411" i="6"/>
  <c r="C411" i="6"/>
  <c r="D411" i="6"/>
  <c r="A412" i="6"/>
  <c r="B412" i="6"/>
  <c r="C412" i="6"/>
  <c r="D412" i="6"/>
  <c r="A413" i="6"/>
  <c r="B413" i="6"/>
  <c r="C413" i="6"/>
  <c r="D413" i="6"/>
  <c r="A414" i="6"/>
  <c r="B414" i="6"/>
  <c r="C414" i="6"/>
  <c r="D414" i="6"/>
  <c r="A415" i="6"/>
  <c r="B415" i="6"/>
  <c r="C415" i="6"/>
  <c r="D415" i="6"/>
  <c r="A416" i="6"/>
  <c r="B416" i="6"/>
  <c r="C416" i="6"/>
  <c r="D416" i="6"/>
  <c r="A417" i="6"/>
  <c r="B417" i="6"/>
  <c r="C417" i="6"/>
  <c r="D417" i="6"/>
  <c r="A418" i="6"/>
  <c r="B418" i="6"/>
  <c r="C418" i="6"/>
  <c r="D418" i="6"/>
  <c r="A419" i="6"/>
  <c r="B419" i="6"/>
  <c r="C419" i="6"/>
  <c r="D419" i="6"/>
  <c r="A420" i="6"/>
  <c r="B420" i="6"/>
  <c r="C420" i="6"/>
  <c r="D420" i="6"/>
  <c r="A421" i="6"/>
  <c r="B421" i="6"/>
  <c r="C421" i="6"/>
  <c r="D421" i="6"/>
  <c r="A422" i="6"/>
  <c r="B422" i="6"/>
  <c r="C422" i="6"/>
  <c r="D422" i="6"/>
  <c r="A423" i="6"/>
  <c r="B423" i="6"/>
  <c r="C423" i="6"/>
  <c r="D423" i="6"/>
  <c r="A424" i="6"/>
  <c r="B424" i="6"/>
  <c r="C424" i="6"/>
  <c r="D424" i="6"/>
  <c r="A425" i="6"/>
  <c r="B425" i="6"/>
  <c r="C425" i="6"/>
  <c r="D425" i="6"/>
  <c r="A426" i="6"/>
  <c r="B426" i="6"/>
  <c r="C426" i="6"/>
  <c r="D426" i="6"/>
  <c r="A427" i="6"/>
  <c r="B427" i="6"/>
  <c r="C427" i="6"/>
  <c r="D427" i="6"/>
  <c r="A428" i="6"/>
  <c r="B428" i="6"/>
  <c r="C428" i="6"/>
  <c r="D428" i="6"/>
  <c r="A429" i="6"/>
  <c r="B429" i="6"/>
  <c r="C429" i="6"/>
  <c r="D429" i="6"/>
  <c r="A430" i="6"/>
  <c r="B430" i="6"/>
  <c r="C430" i="6"/>
  <c r="D430" i="6"/>
  <c r="A431" i="6"/>
  <c r="B431" i="6"/>
  <c r="C431" i="6"/>
  <c r="D431" i="6"/>
  <c r="A432" i="6"/>
  <c r="B432" i="6"/>
  <c r="C432" i="6"/>
  <c r="D432" i="6"/>
  <c r="A433" i="6"/>
  <c r="B433" i="6"/>
  <c r="C433" i="6"/>
  <c r="D433" i="6"/>
  <c r="A434" i="6"/>
  <c r="B434" i="6"/>
  <c r="C434" i="6"/>
  <c r="D434" i="6"/>
  <c r="A435" i="6"/>
  <c r="B435" i="6"/>
  <c r="C435" i="6"/>
  <c r="D435" i="6"/>
  <c r="A436" i="6"/>
  <c r="B436" i="6"/>
  <c r="C436" i="6"/>
  <c r="D436" i="6"/>
  <c r="A437" i="6"/>
  <c r="B437" i="6"/>
  <c r="C437" i="6"/>
  <c r="D437" i="6"/>
  <c r="A438" i="6"/>
  <c r="B438" i="6"/>
  <c r="C438" i="6"/>
  <c r="D438" i="6"/>
  <c r="A439" i="6"/>
  <c r="B439" i="6"/>
  <c r="C439" i="6"/>
  <c r="D439" i="6"/>
  <c r="A440" i="6"/>
  <c r="B440" i="6"/>
  <c r="C440" i="6"/>
  <c r="D440" i="6"/>
  <c r="A441" i="6"/>
  <c r="B441" i="6"/>
  <c r="C441" i="6"/>
  <c r="D441" i="6"/>
  <c r="A442" i="6"/>
  <c r="B442" i="6"/>
  <c r="C442" i="6"/>
  <c r="D442" i="6"/>
  <c r="A443" i="6"/>
  <c r="B443" i="6"/>
  <c r="C443" i="6"/>
  <c r="D443" i="6"/>
  <c r="A444" i="6"/>
  <c r="B444" i="6"/>
  <c r="C444" i="6"/>
  <c r="D444" i="6"/>
  <c r="A445" i="6"/>
  <c r="B445" i="6"/>
  <c r="C445" i="6"/>
  <c r="D445" i="6"/>
  <c r="A446" i="6"/>
  <c r="B446" i="6"/>
  <c r="C446" i="6"/>
  <c r="D446" i="6"/>
  <c r="A447" i="6"/>
  <c r="B447" i="6"/>
  <c r="C447" i="6"/>
  <c r="D447" i="6"/>
  <c r="A448" i="6"/>
  <c r="B448" i="6"/>
  <c r="C448" i="6"/>
  <c r="D448" i="6"/>
  <c r="A449" i="6"/>
  <c r="B449" i="6"/>
  <c r="C449" i="6"/>
  <c r="D449" i="6"/>
  <c r="A450" i="6"/>
  <c r="B450" i="6"/>
  <c r="C450" i="6"/>
  <c r="D450" i="6"/>
  <c r="A451" i="6"/>
  <c r="B451" i="6"/>
  <c r="C451" i="6"/>
  <c r="D451" i="6"/>
  <c r="A452" i="6"/>
  <c r="B452" i="6"/>
  <c r="C452" i="6"/>
  <c r="D452" i="6"/>
  <c r="A453" i="6"/>
  <c r="B453" i="6"/>
  <c r="C453" i="6"/>
  <c r="D453" i="6"/>
  <c r="A454" i="6"/>
  <c r="B454" i="6"/>
  <c r="C454" i="6"/>
  <c r="D454" i="6"/>
  <c r="A455" i="6"/>
  <c r="B455" i="6"/>
  <c r="C455" i="6"/>
  <c r="D455" i="6"/>
  <c r="A456" i="6"/>
  <c r="B456" i="6"/>
  <c r="C456" i="6"/>
  <c r="D456" i="6"/>
  <c r="A457" i="6"/>
  <c r="B457" i="6"/>
  <c r="C457" i="6"/>
  <c r="D457" i="6"/>
  <c r="A458" i="6"/>
  <c r="B458" i="6"/>
  <c r="C458" i="6"/>
  <c r="D458" i="6"/>
  <c r="A459" i="6"/>
  <c r="B459" i="6"/>
  <c r="C459" i="6"/>
  <c r="D459" i="6"/>
  <c r="A460" i="6"/>
  <c r="B460" i="6"/>
  <c r="C460" i="6"/>
  <c r="D460" i="6"/>
  <c r="A461" i="6"/>
  <c r="B461" i="6"/>
  <c r="C461" i="6"/>
  <c r="D461" i="6"/>
  <c r="A462" i="6"/>
  <c r="B462" i="6"/>
  <c r="C462" i="6"/>
  <c r="D462" i="6"/>
  <c r="A463" i="6"/>
  <c r="B463" i="6"/>
  <c r="C463" i="6"/>
  <c r="D463" i="6"/>
  <c r="A464" i="6"/>
  <c r="B464" i="6"/>
  <c r="C464" i="6"/>
  <c r="D464" i="6"/>
  <c r="A465" i="6"/>
  <c r="B465" i="6"/>
  <c r="C465" i="6"/>
  <c r="D465" i="6"/>
  <c r="A466" i="6"/>
  <c r="B466" i="6"/>
  <c r="C466" i="6"/>
  <c r="D466" i="6"/>
  <c r="A467" i="6"/>
  <c r="B467" i="6"/>
  <c r="C467" i="6"/>
  <c r="D467" i="6"/>
  <c r="A468" i="6"/>
  <c r="B468" i="6"/>
  <c r="C468" i="6"/>
  <c r="D468" i="6"/>
  <c r="A469" i="6"/>
  <c r="B469" i="6"/>
  <c r="C469" i="6"/>
  <c r="D469" i="6"/>
  <c r="A470" i="6"/>
  <c r="B470" i="6"/>
  <c r="C470" i="6"/>
  <c r="D470" i="6"/>
  <c r="A471" i="6"/>
  <c r="B471" i="6"/>
  <c r="C471" i="6"/>
  <c r="D471" i="6"/>
  <c r="A472" i="6"/>
  <c r="B472" i="6"/>
  <c r="C472" i="6"/>
  <c r="D472" i="6"/>
  <c r="A473" i="6"/>
  <c r="B473" i="6"/>
  <c r="C473" i="6"/>
  <c r="D473" i="6"/>
  <c r="A474" i="6"/>
  <c r="B474" i="6"/>
  <c r="C474" i="6"/>
  <c r="D474" i="6"/>
  <c r="A475" i="6"/>
  <c r="B475" i="6"/>
  <c r="C475" i="6"/>
  <c r="D475" i="6"/>
  <c r="A476" i="6"/>
  <c r="B476" i="6"/>
  <c r="C476" i="6"/>
  <c r="D476" i="6"/>
  <c r="A477" i="6"/>
  <c r="B477" i="6"/>
  <c r="C477" i="6"/>
  <c r="D477" i="6"/>
  <c r="A478" i="6"/>
  <c r="B478" i="6"/>
  <c r="C478" i="6"/>
  <c r="D478" i="6"/>
  <c r="A479" i="6"/>
  <c r="B479" i="6"/>
  <c r="C479" i="6"/>
  <c r="D479" i="6"/>
  <c r="A480" i="6"/>
  <c r="B480" i="6"/>
  <c r="C480" i="6"/>
  <c r="D480" i="6"/>
  <c r="A481" i="6"/>
  <c r="B481" i="6"/>
  <c r="C481" i="6"/>
  <c r="D481" i="6"/>
  <c r="A482" i="6"/>
  <c r="B482" i="6"/>
  <c r="C482" i="6"/>
  <c r="D482" i="6"/>
  <c r="A483" i="6"/>
  <c r="B483" i="6"/>
  <c r="C483" i="6"/>
  <c r="D483" i="6"/>
  <c r="A484" i="6"/>
  <c r="B484" i="6"/>
  <c r="C484" i="6"/>
  <c r="D484" i="6"/>
  <c r="A485" i="6"/>
  <c r="B485" i="6"/>
  <c r="C485" i="6"/>
  <c r="D485" i="6"/>
  <c r="A486" i="6"/>
  <c r="B486" i="6"/>
  <c r="C486" i="6"/>
  <c r="D486" i="6"/>
  <c r="A487" i="6"/>
  <c r="B487" i="6"/>
  <c r="C487" i="6"/>
  <c r="D487" i="6"/>
  <c r="A488" i="6"/>
  <c r="B488" i="6"/>
  <c r="C488" i="6"/>
  <c r="D488" i="6"/>
  <c r="A489" i="6"/>
  <c r="B489" i="6"/>
  <c r="C489" i="6"/>
  <c r="D489" i="6"/>
  <c r="A490" i="6"/>
  <c r="B490" i="6"/>
  <c r="C490" i="6"/>
  <c r="D490" i="6"/>
  <c r="A491" i="6"/>
  <c r="B491" i="6"/>
  <c r="C491" i="6"/>
  <c r="D491" i="6"/>
  <c r="A492" i="6"/>
  <c r="B492" i="6"/>
  <c r="C492" i="6"/>
  <c r="D492" i="6"/>
  <c r="A493" i="6"/>
  <c r="B493" i="6"/>
  <c r="C493" i="6"/>
  <c r="D493" i="6"/>
  <c r="A494" i="6"/>
  <c r="B494" i="6"/>
  <c r="C494" i="6"/>
  <c r="D494" i="6"/>
  <c r="A495" i="6"/>
  <c r="B495" i="6"/>
  <c r="C495" i="6"/>
  <c r="D495" i="6"/>
  <c r="A496" i="6"/>
  <c r="B496" i="6"/>
  <c r="C496" i="6"/>
  <c r="D496" i="6"/>
  <c r="A497" i="6"/>
  <c r="B497" i="6"/>
  <c r="C497" i="6"/>
  <c r="D497" i="6"/>
  <c r="A498" i="6"/>
  <c r="B498" i="6"/>
  <c r="C498" i="6"/>
  <c r="D498" i="6"/>
  <c r="A499" i="6"/>
  <c r="B499" i="6"/>
  <c r="C499" i="6"/>
  <c r="D499" i="6"/>
  <c r="A500" i="6"/>
  <c r="B500" i="6"/>
  <c r="C500" i="6"/>
  <c r="D500" i="6"/>
  <c r="A501" i="6"/>
  <c r="B501" i="6"/>
  <c r="C501" i="6"/>
  <c r="D501" i="6"/>
  <c r="A502" i="6"/>
  <c r="B502" i="6"/>
  <c r="C502" i="6"/>
  <c r="D502" i="6"/>
  <c r="A503" i="6"/>
  <c r="B503" i="6"/>
  <c r="C503" i="6"/>
  <c r="D503" i="6"/>
  <c r="A504" i="6"/>
  <c r="B504" i="6"/>
  <c r="C504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C15" i="5"/>
  <c r="C14" i="5"/>
  <c r="C13" i="5"/>
  <c r="C12" i="5"/>
  <c r="G11" i="5"/>
  <c r="C11" i="5"/>
  <c r="K10" i="5"/>
  <c r="G10" i="5"/>
  <c r="C10" i="5"/>
  <c r="K9" i="5"/>
  <c r="G9" i="5"/>
  <c r="C9" i="5"/>
  <c r="O8" i="5"/>
  <c r="K8" i="5"/>
  <c r="G8" i="5"/>
  <c r="C8" i="5"/>
  <c r="O7" i="5"/>
  <c r="K7" i="5"/>
  <c r="G7" i="5"/>
  <c r="C7" i="5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O499" i="4"/>
  <c r="M499" i="4"/>
  <c r="K499" i="4"/>
  <c r="I499" i="4"/>
  <c r="G499" i="4"/>
  <c r="F499" i="4"/>
  <c r="E499" i="4"/>
  <c r="D499" i="4"/>
  <c r="B499" i="4"/>
  <c r="O498" i="4"/>
  <c r="M498" i="4"/>
  <c r="K498" i="4"/>
  <c r="I498" i="4"/>
  <c r="G498" i="4"/>
  <c r="F498" i="4"/>
  <c r="E498" i="4"/>
  <c r="D498" i="4"/>
  <c r="B498" i="4"/>
  <c r="O497" i="4"/>
  <c r="M497" i="4"/>
  <c r="K497" i="4"/>
  <c r="I497" i="4"/>
  <c r="G497" i="4"/>
  <c r="F497" i="4"/>
  <c r="E497" i="4"/>
  <c r="D497" i="4"/>
  <c r="B497" i="4"/>
  <c r="O496" i="4"/>
  <c r="M496" i="4"/>
  <c r="K496" i="4"/>
  <c r="I496" i="4"/>
  <c r="G496" i="4"/>
  <c r="F496" i="4"/>
  <c r="E496" i="4"/>
  <c r="D496" i="4"/>
  <c r="B496" i="4"/>
  <c r="O495" i="4"/>
  <c r="M495" i="4"/>
  <c r="K495" i="4"/>
  <c r="I495" i="4"/>
  <c r="G495" i="4"/>
  <c r="F495" i="4"/>
  <c r="E495" i="4"/>
  <c r="D495" i="4"/>
  <c r="B495" i="4"/>
  <c r="O494" i="4"/>
  <c r="M494" i="4"/>
  <c r="K494" i="4"/>
  <c r="I494" i="4"/>
  <c r="G494" i="4"/>
  <c r="F494" i="4"/>
  <c r="E494" i="4"/>
  <c r="D494" i="4"/>
  <c r="B494" i="4"/>
  <c r="O493" i="4"/>
  <c r="M493" i="4"/>
  <c r="K493" i="4"/>
  <c r="I493" i="4"/>
  <c r="G493" i="4"/>
  <c r="F493" i="4"/>
  <c r="E493" i="4"/>
  <c r="D493" i="4"/>
  <c r="B493" i="4"/>
  <c r="O492" i="4"/>
  <c r="M492" i="4"/>
  <c r="K492" i="4"/>
  <c r="I492" i="4"/>
  <c r="G492" i="4"/>
  <c r="F492" i="4"/>
  <c r="E492" i="4"/>
  <c r="D492" i="4"/>
  <c r="B492" i="4"/>
  <c r="O491" i="4"/>
  <c r="M491" i="4"/>
  <c r="K491" i="4"/>
  <c r="I491" i="4"/>
  <c r="G491" i="4"/>
  <c r="F491" i="4"/>
  <c r="E491" i="4"/>
  <c r="D491" i="4"/>
  <c r="B491" i="4"/>
  <c r="O490" i="4"/>
  <c r="M490" i="4"/>
  <c r="K490" i="4"/>
  <c r="I490" i="4"/>
  <c r="G490" i="4"/>
  <c r="F490" i="4"/>
  <c r="E490" i="4"/>
  <c r="D490" i="4"/>
  <c r="B490" i="4"/>
  <c r="O489" i="4"/>
  <c r="M489" i="4"/>
  <c r="K489" i="4"/>
  <c r="I489" i="4"/>
  <c r="G489" i="4"/>
  <c r="F489" i="4"/>
  <c r="E489" i="4"/>
  <c r="D489" i="4"/>
  <c r="B489" i="4"/>
  <c r="O488" i="4"/>
  <c r="M488" i="4"/>
  <c r="K488" i="4"/>
  <c r="I488" i="4"/>
  <c r="G488" i="4"/>
  <c r="F488" i="4"/>
  <c r="E488" i="4"/>
  <c r="D488" i="4"/>
  <c r="B488" i="4"/>
  <c r="O487" i="4"/>
  <c r="M487" i="4"/>
  <c r="K487" i="4"/>
  <c r="I487" i="4"/>
  <c r="G487" i="4"/>
  <c r="F487" i="4"/>
  <c r="E487" i="4"/>
  <c r="D487" i="4"/>
  <c r="B487" i="4"/>
  <c r="O486" i="4"/>
  <c r="M486" i="4"/>
  <c r="K486" i="4"/>
  <c r="I486" i="4"/>
  <c r="G486" i="4"/>
  <c r="F486" i="4"/>
  <c r="E486" i="4"/>
  <c r="D486" i="4"/>
  <c r="B486" i="4"/>
  <c r="O485" i="4"/>
  <c r="M485" i="4"/>
  <c r="K485" i="4"/>
  <c r="I485" i="4"/>
  <c r="G485" i="4"/>
  <c r="F485" i="4"/>
  <c r="E485" i="4"/>
  <c r="D485" i="4"/>
  <c r="B485" i="4"/>
  <c r="O484" i="4"/>
  <c r="M484" i="4"/>
  <c r="K484" i="4"/>
  <c r="I484" i="4"/>
  <c r="G484" i="4"/>
  <c r="F484" i="4"/>
  <c r="E484" i="4"/>
  <c r="D484" i="4"/>
  <c r="B484" i="4"/>
  <c r="O483" i="4"/>
  <c r="M483" i="4"/>
  <c r="K483" i="4"/>
  <c r="I483" i="4"/>
  <c r="G483" i="4"/>
  <c r="F483" i="4"/>
  <c r="E483" i="4"/>
  <c r="D483" i="4"/>
  <c r="B483" i="4"/>
  <c r="O482" i="4"/>
  <c r="M482" i="4"/>
  <c r="K482" i="4"/>
  <c r="I482" i="4"/>
  <c r="G482" i="4"/>
  <c r="F482" i="4"/>
  <c r="E482" i="4"/>
  <c r="D482" i="4"/>
  <c r="B482" i="4"/>
  <c r="O481" i="4"/>
  <c r="M481" i="4"/>
  <c r="K481" i="4"/>
  <c r="I481" i="4"/>
  <c r="G481" i="4"/>
  <c r="F481" i="4"/>
  <c r="E481" i="4"/>
  <c r="D481" i="4"/>
  <c r="B481" i="4"/>
  <c r="O480" i="4"/>
  <c r="M480" i="4"/>
  <c r="K480" i="4"/>
  <c r="I480" i="4"/>
  <c r="G480" i="4"/>
  <c r="F480" i="4"/>
  <c r="E480" i="4"/>
  <c r="D480" i="4"/>
  <c r="B480" i="4"/>
  <c r="O479" i="4"/>
  <c r="M479" i="4"/>
  <c r="K479" i="4"/>
  <c r="I479" i="4"/>
  <c r="G479" i="4"/>
  <c r="F479" i="4"/>
  <c r="E479" i="4"/>
  <c r="D479" i="4"/>
  <c r="B479" i="4"/>
  <c r="O478" i="4"/>
  <c r="M478" i="4"/>
  <c r="K478" i="4"/>
  <c r="I478" i="4"/>
  <c r="G478" i="4"/>
  <c r="F478" i="4"/>
  <c r="E478" i="4"/>
  <c r="D478" i="4"/>
  <c r="B478" i="4"/>
  <c r="O477" i="4"/>
  <c r="M477" i="4"/>
  <c r="K477" i="4"/>
  <c r="I477" i="4"/>
  <c r="G477" i="4"/>
  <c r="F477" i="4"/>
  <c r="E477" i="4"/>
  <c r="D477" i="4"/>
  <c r="B477" i="4"/>
  <c r="O476" i="4"/>
  <c r="M476" i="4"/>
  <c r="K476" i="4"/>
  <c r="I476" i="4"/>
  <c r="G476" i="4"/>
  <c r="F476" i="4"/>
  <c r="E476" i="4"/>
  <c r="D476" i="4"/>
  <c r="B476" i="4"/>
  <c r="O475" i="4"/>
  <c r="M475" i="4"/>
  <c r="K475" i="4"/>
  <c r="I475" i="4"/>
  <c r="G475" i="4"/>
  <c r="F475" i="4"/>
  <c r="E475" i="4"/>
  <c r="D475" i="4"/>
  <c r="B475" i="4"/>
  <c r="O474" i="4"/>
  <c r="M474" i="4"/>
  <c r="K474" i="4"/>
  <c r="I474" i="4"/>
  <c r="G474" i="4"/>
  <c r="F474" i="4"/>
  <c r="E474" i="4"/>
  <c r="D474" i="4"/>
  <c r="B474" i="4"/>
  <c r="O473" i="4"/>
  <c r="M473" i="4"/>
  <c r="K473" i="4"/>
  <c r="I473" i="4"/>
  <c r="G473" i="4"/>
  <c r="F473" i="4"/>
  <c r="E473" i="4"/>
  <c r="D473" i="4"/>
  <c r="B473" i="4"/>
  <c r="O472" i="4"/>
  <c r="M472" i="4"/>
  <c r="K472" i="4"/>
  <c r="I472" i="4"/>
  <c r="G472" i="4"/>
  <c r="F472" i="4"/>
  <c r="E472" i="4"/>
  <c r="D472" i="4"/>
  <c r="B472" i="4"/>
  <c r="O471" i="4"/>
  <c r="M471" i="4"/>
  <c r="K471" i="4"/>
  <c r="I471" i="4"/>
  <c r="G471" i="4"/>
  <c r="F471" i="4"/>
  <c r="E471" i="4"/>
  <c r="D471" i="4"/>
  <c r="B471" i="4"/>
  <c r="O470" i="4"/>
  <c r="M470" i="4"/>
  <c r="K470" i="4"/>
  <c r="I470" i="4"/>
  <c r="G470" i="4"/>
  <c r="F470" i="4"/>
  <c r="E470" i="4"/>
  <c r="D470" i="4"/>
  <c r="B470" i="4"/>
  <c r="O469" i="4"/>
  <c r="M469" i="4"/>
  <c r="K469" i="4"/>
  <c r="I469" i="4"/>
  <c r="G469" i="4"/>
  <c r="F469" i="4"/>
  <c r="E469" i="4"/>
  <c r="D469" i="4"/>
  <c r="B469" i="4"/>
  <c r="O468" i="4"/>
  <c r="M468" i="4"/>
  <c r="K468" i="4"/>
  <c r="I468" i="4"/>
  <c r="G468" i="4"/>
  <c r="F468" i="4"/>
  <c r="E468" i="4"/>
  <c r="D468" i="4"/>
  <c r="B468" i="4"/>
  <c r="O467" i="4"/>
  <c r="M467" i="4"/>
  <c r="K467" i="4"/>
  <c r="I467" i="4"/>
  <c r="G467" i="4"/>
  <c r="F467" i="4"/>
  <c r="E467" i="4"/>
  <c r="D467" i="4"/>
  <c r="B467" i="4"/>
  <c r="O466" i="4"/>
  <c r="M466" i="4"/>
  <c r="K466" i="4"/>
  <c r="I466" i="4"/>
  <c r="G466" i="4"/>
  <c r="F466" i="4"/>
  <c r="E466" i="4"/>
  <c r="D466" i="4"/>
  <c r="B466" i="4"/>
  <c r="O465" i="4"/>
  <c r="M465" i="4"/>
  <c r="K465" i="4"/>
  <c r="I465" i="4"/>
  <c r="G465" i="4"/>
  <c r="F465" i="4"/>
  <c r="E465" i="4"/>
  <c r="D465" i="4"/>
  <c r="B465" i="4"/>
  <c r="O464" i="4"/>
  <c r="M464" i="4"/>
  <c r="K464" i="4"/>
  <c r="I464" i="4"/>
  <c r="G464" i="4"/>
  <c r="F464" i="4"/>
  <c r="E464" i="4"/>
  <c r="D464" i="4"/>
  <c r="B464" i="4"/>
  <c r="O463" i="4"/>
  <c r="M463" i="4"/>
  <c r="K463" i="4"/>
  <c r="I463" i="4"/>
  <c r="G463" i="4"/>
  <c r="F463" i="4"/>
  <c r="E463" i="4"/>
  <c r="D463" i="4"/>
  <c r="B463" i="4"/>
  <c r="O462" i="4"/>
  <c r="M462" i="4"/>
  <c r="K462" i="4"/>
  <c r="I462" i="4"/>
  <c r="G462" i="4"/>
  <c r="F462" i="4"/>
  <c r="E462" i="4"/>
  <c r="D462" i="4"/>
  <c r="B462" i="4"/>
  <c r="O461" i="4"/>
  <c r="M461" i="4"/>
  <c r="K461" i="4"/>
  <c r="I461" i="4"/>
  <c r="G461" i="4"/>
  <c r="F461" i="4"/>
  <c r="E461" i="4"/>
  <c r="D461" i="4"/>
  <c r="B461" i="4"/>
  <c r="O460" i="4"/>
  <c r="M460" i="4"/>
  <c r="K460" i="4"/>
  <c r="I460" i="4"/>
  <c r="G460" i="4"/>
  <c r="F460" i="4"/>
  <c r="E460" i="4"/>
  <c r="D460" i="4"/>
  <c r="B460" i="4"/>
  <c r="O459" i="4"/>
  <c r="M459" i="4"/>
  <c r="K459" i="4"/>
  <c r="I459" i="4"/>
  <c r="G459" i="4"/>
  <c r="F459" i="4"/>
  <c r="E459" i="4"/>
  <c r="D459" i="4"/>
  <c r="B459" i="4"/>
  <c r="O458" i="4"/>
  <c r="M458" i="4"/>
  <c r="K458" i="4"/>
  <c r="I458" i="4"/>
  <c r="G458" i="4"/>
  <c r="F458" i="4"/>
  <c r="E458" i="4"/>
  <c r="D458" i="4"/>
  <c r="B458" i="4"/>
  <c r="O457" i="4"/>
  <c r="M457" i="4"/>
  <c r="K457" i="4"/>
  <c r="I457" i="4"/>
  <c r="G457" i="4"/>
  <c r="F457" i="4"/>
  <c r="E457" i="4"/>
  <c r="D457" i="4"/>
  <c r="B457" i="4"/>
  <c r="O456" i="4"/>
  <c r="M456" i="4"/>
  <c r="K456" i="4"/>
  <c r="I456" i="4"/>
  <c r="G456" i="4"/>
  <c r="F456" i="4"/>
  <c r="E456" i="4"/>
  <c r="D456" i="4"/>
  <c r="B456" i="4"/>
  <c r="O455" i="4"/>
  <c r="M455" i="4"/>
  <c r="K455" i="4"/>
  <c r="I455" i="4"/>
  <c r="G455" i="4"/>
  <c r="F455" i="4"/>
  <c r="E455" i="4"/>
  <c r="D455" i="4"/>
  <c r="B455" i="4"/>
  <c r="O454" i="4"/>
  <c r="M454" i="4"/>
  <c r="K454" i="4"/>
  <c r="I454" i="4"/>
  <c r="G454" i="4"/>
  <c r="F454" i="4"/>
  <c r="E454" i="4"/>
  <c r="D454" i="4"/>
  <c r="B454" i="4"/>
  <c r="O453" i="4"/>
  <c r="M453" i="4"/>
  <c r="K453" i="4"/>
  <c r="I453" i="4"/>
  <c r="G453" i="4"/>
  <c r="F453" i="4"/>
  <c r="E453" i="4"/>
  <c r="D453" i="4"/>
  <c r="B453" i="4"/>
  <c r="O452" i="4"/>
  <c r="M452" i="4"/>
  <c r="K452" i="4"/>
  <c r="I452" i="4"/>
  <c r="G452" i="4"/>
  <c r="F452" i="4"/>
  <c r="E452" i="4"/>
  <c r="D452" i="4"/>
  <c r="B452" i="4"/>
  <c r="O451" i="4"/>
  <c r="M451" i="4"/>
  <c r="K451" i="4"/>
  <c r="I451" i="4"/>
  <c r="G451" i="4"/>
  <c r="F451" i="4"/>
  <c r="E451" i="4"/>
  <c r="D451" i="4"/>
  <c r="B451" i="4"/>
  <c r="O450" i="4"/>
  <c r="M450" i="4"/>
  <c r="K450" i="4"/>
  <c r="I450" i="4"/>
  <c r="G450" i="4"/>
  <c r="F450" i="4"/>
  <c r="E450" i="4"/>
  <c r="D450" i="4"/>
  <c r="B450" i="4"/>
  <c r="O449" i="4"/>
  <c r="M449" i="4"/>
  <c r="K449" i="4"/>
  <c r="I449" i="4"/>
  <c r="G449" i="4"/>
  <c r="F449" i="4"/>
  <c r="E449" i="4"/>
  <c r="D449" i="4"/>
  <c r="B449" i="4"/>
  <c r="O448" i="4"/>
  <c r="M448" i="4"/>
  <c r="K448" i="4"/>
  <c r="I448" i="4"/>
  <c r="G448" i="4"/>
  <c r="F448" i="4"/>
  <c r="E448" i="4"/>
  <c r="D448" i="4"/>
  <c r="B448" i="4"/>
  <c r="O447" i="4"/>
  <c r="M447" i="4"/>
  <c r="K447" i="4"/>
  <c r="I447" i="4"/>
  <c r="G447" i="4"/>
  <c r="F447" i="4"/>
  <c r="E447" i="4"/>
  <c r="D447" i="4"/>
  <c r="B447" i="4"/>
  <c r="O446" i="4"/>
  <c r="M446" i="4"/>
  <c r="K446" i="4"/>
  <c r="I446" i="4"/>
  <c r="G446" i="4"/>
  <c r="F446" i="4"/>
  <c r="E446" i="4"/>
  <c r="D446" i="4"/>
  <c r="B446" i="4"/>
  <c r="O445" i="4"/>
  <c r="M445" i="4"/>
  <c r="K445" i="4"/>
  <c r="I445" i="4"/>
  <c r="G445" i="4"/>
  <c r="F445" i="4"/>
  <c r="E445" i="4"/>
  <c r="D445" i="4"/>
  <c r="B445" i="4"/>
  <c r="O444" i="4"/>
  <c r="M444" i="4"/>
  <c r="K444" i="4"/>
  <c r="I444" i="4"/>
  <c r="G444" i="4"/>
  <c r="F444" i="4"/>
  <c r="E444" i="4"/>
  <c r="D444" i="4"/>
  <c r="B444" i="4"/>
  <c r="O443" i="4"/>
  <c r="M443" i="4"/>
  <c r="K443" i="4"/>
  <c r="I443" i="4"/>
  <c r="G443" i="4"/>
  <c r="F443" i="4"/>
  <c r="E443" i="4"/>
  <c r="D443" i="4"/>
  <c r="B443" i="4"/>
  <c r="O442" i="4"/>
  <c r="M442" i="4"/>
  <c r="K442" i="4"/>
  <c r="I442" i="4"/>
  <c r="G442" i="4"/>
  <c r="F442" i="4"/>
  <c r="E442" i="4"/>
  <c r="D442" i="4"/>
  <c r="B442" i="4"/>
  <c r="O441" i="4"/>
  <c r="M441" i="4"/>
  <c r="K441" i="4"/>
  <c r="I441" i="4"/>
  <c r="G441" i="4"/>
  <c r="F441" i="4"/>
  <c r="E441" i="4"/>
  <c r="D441" i="4"/>
  <c r="B441" i="4"/>
  <c r="O440" i="4"/>
  <c r="M440" i="4"/>
  <c r="K440" i="4"/>
  <c r="I440" i="4"/>
  <c r="G440" i="4"/>
  <c r="F440" i="4"/>
  <c r="E440" i="4"/>
  <c r="D440" i="4"/>
  <c r="B440" i="4"/>
  <c r="O439" i="4"/>
  <c r="M439" i="4"/>
  <c r="K439" i="4"/>
  <c r="I439" i="4"/>
  <c r="G439" i="4"/>
  <c r="F439" i="4"/>
  <c r="E439" i="4"/>
  <c r="D439" i="4"/>
  <c r="B439" i="4"/>
  <c r="O438" i="4"/>
  <c r="M438" i="4"/>
  <c r="K438" i="4"/>
  <c r="I438" i="4"/>
  <c r="G438" i="4"/>
  <c r="F438" i="4"/>
  <c r="E438" i="4"/>
  <c r="D438" i="4"/>
  <c r="B438" i="4"/>
  <c r="O437" i="4"/>
  <c r="M437" i="4"/>
  <c r="K437" i="4"/>
  <c r="I437" i="4"/>
  <c r="G437" i="4"/>
  <c r="F437" i="4"/>
  <c r="E437" i="4"/>
  <c r="D437" i="4"/>
  <c r="B437" i="4"/>
  <c r="O436" i="4"/>
  <c r="M436" i="4"/>
  <c r="K436" i="4"/>
  <c r="I436" i="4"/>
  <c r="G436" i="4"/>
  <c r="F436" i="4"/>
  <c r="E436" i="4"/>
  <c r="D436" i="4"/>
  <c r="B436" i="4"/>
  <c r="O435" i="4"/>
  <c r="M435" i="4"/>
  <c r="K435" i="4"/>
  <c r="I435" i="4"/>
  <c r="G435" i="4"/>
  <c r="F435" i="4"/>
  <c r="E435" i="4"/>
  <c r="D435" i="4"/>
  <c r="B435" i="4"/>
  <c r="O434" i="4"/>
  <c r="M434" i="4"/>
  <c r="K434" i="4"/>
  <c r="I434" i="4"/>
  <c r="G434" i="4"/>
  <c r="F434" i="4"/>
  <c r="E434" i="4"/>
  <c r="D434" i="4"/>
  <c r="B434" i="4"/>
  <c r="O433" i="4"/>
  <c r="M433" i="4"/>
  <c r="K433" i="4"/>
  <c r="I433" i="4"/>
  <c r="G433" i="4"/>
  <c r="F433" i="4"/>
  <c r="E433" i="4"/>
  <c r="D433" i="4"/>
  <c r="B433" i="4"/>
  <c r="O432" i="4"/>
  <c r="M432" i="4"/>
  <c r="K432" i="4"/>
  <c r="I432" i="4"/>
  <c r="G432" i="4"/>
  <c r="F432" i="4"/>
  <c r="E432" i="4"/>
  <c r="D432" i="4"/>
  <c r="B432" i="4"/>
  <c r="O431" i="4"/>
  <c r="M431" i="4"/>
  <c r="K431" i="4"/>
  <c r="I431" i="4"/>
  <c r="G431" i="4"/>
  <c r="F431" i="4"/>
  <c r="E431" i="4"/>
  <c r="D431" i="4"/>
  <c r="B431" i="4"/>
  <c r="O430" i="4"/>
  <c r="M430" i="4"/>
  <c r="K430" i="4"/>
  <c r="I430" i="4"/>
  <c r="G430" i="4"/>
  <c r="F430" i="4"/>
  <c r="E430" i="4"/>
  <c r="D430" i="4"/>
  <c r="B430" i="4"/>
  <c r="O429" i="4"/>
  <c r="M429" i="4"/>
  <c r="K429" i="4"/>
  <c r="I429" i="4"/>
  <c r="G429" i="4"/>
  <c r="F429" i="4"/>
  <c r="E429" i="4"/>
  <c r="D429" i="4"/>
  <c r="B429" i="4"/>
  <c r="O428" i="4"/>
  <c r="M428" i="4"/>
  <c r="K428" i="4"/>
  <c r="I428" i="4"/>
  <c r="G428" i="4"/>
  <c r="F428" i="4"/>
  <c r="E428" i="4"/>
  <c r="D428" i="4"/>
  <c r="B428" i="4"/>
  <c r="O427" i="4"/>
  <c r="M427" i="4"/>
  <c r="K427" i="4"/>
  <c r="I427" i="4"/>
  <c r="G427" i="4"/>
  <c r="F427" i="4"/>
  <c r="E427" i="4"/>
  <c r="D427" i="4"/>
  <c r="B427" i="4"/>
  <c r="O426" i="4"/>
  <c r="M426" i="4"/>
  <c r="K426" i="4"/>
  <c r="I426" i="4"/>
  <c r="G426" i="4"/>
  <c r="F426" i="4"/>
  <c r="E426" i="4"/>
  <c r="D426" i="4"/>
  <c r="B426" i="4"/>
  <c r="O425" i="4"/>
  <c r="M425" i="4"/>
  <c r="K425" i="4"/>
  <c r="I425" i="4"/>
  <c r="G425" i="4"/>
  <c r="F425" i="4"/>
  <c r="E425" i="4"/>
  <c r="D425" i="4"/>
  <c r="B425" i="4"/>
  <c r="O424" i="4"/>
  <c r="M424" i="4"/>
  <c r="K424" i="4"/>
  <c r="I424" i="4"/>
  <c r="G424" i="4"/>
  <c r="F424" i="4"/>
  <c r="E424" i="4"/>
  <c r="D424" i="4"/>
  <c r="B424" i="4"/>
  <c r="O423" i="4"/>
  <c r="M423" i="4"/>
  <c r="K423" i="4"/>
  <c r="I423" i="4"/>
  <c r="G423" i="4"/>
  <c r="F423" i="4"/>
  <c r="E423" i="4"/>
  <c r="D423" i="4"/>
  <c r="B423" i="4"/>
  <c r="O422" i="4"/>
  <c r="M422" i="4"/>
  <c r="K422" i="4"/>
  <c r="I422" i="4"/>
  <c r="G422" i="4"/>
  <c r="F422" i="4"/>
  <c r="E422" i="4"/>
  <c r="D422" i="4"/>
  <c r="B422" i="4"/>
  <c r="O421" i="4"/>
  <c r="M421" i="4"/>
  <c r="K421" i="4"/>
  <c r="I421" i="4"/>
  <c r="G421" i="4"/>
  <c r="F421" i="4"/>
  <c r="E421" i="4"/>
  <c r="D421" i="4"/>
  <c r="B421" i="4"/>
  <c r="O420" i="4"/>
  <c r="M420" i="4"/>
  <c r="K420" i="4"/>
  <c r="I420" i="4"/>
  <c r="G420" i="4"/>
  <c r="F420" i="4"/>
  <c r="E420" i="4"/>
  <c r="D420" i="4"/>
  <c r="B420" i="4"/>
  <c r="O419" i="4"/>
  <c r="M419" i="4"/>
  <c r="K419" i="4"/>
  <c r="I419" i="4"/>
  <c r="G419" i="4"/>
  <c r="F419" i="4"/>
  <c r="E419" i="4"/>
  <c r="D419" i="4"/>
  <c r="B419" i="4"/>
  <c r="O418" i="4"/>
  <c r="M418" i="4"/>
  <c r="K418" i="4"/>
  <c r="I418" i="4"/>
  <c r="G418" i="4"/>
  <c r="F418" i="4"/>
  <c r="E418" i="4"/>
  <c r="D418" i="4"/>
  <c r="B418" i="4"/>
  <c r="O417" i="4"/>
  <c r="M417" i="4"/>
  <c r="K417" i="4"/>
  <c r="I417" i="4"/>
  <c r="G417" i="4"/>
  <c r="F417" i="4"/>
  <c r="E417" i="4"/>
  <c r="D417" i="4"/>
  <c r="B417" i="4"/>
  <c r="O416" i="4"/>
  <c r="M416" i="4"/>
  <c r="K416" i="4"/>
  <c r="I416" i="4"/>
  <c r="G416" i="4"/>
  <c r="F416" i="4"/>
  <c r="E416" i="4"/>
  <c r="D416" i="4"/>
  <c r="B416" i="4"/>
  <c r="O415" i="4"/>
  <c r="M415" i="4"/>
  <c r="K415" i="4"/>
  <c r="I415" i="4"/>
  <c r="G415" i="4"/>
  <c r="F415" i="4"/>
  <c r="E415" i="4"/>
  <c r="D415" i="4"/>
  <c r="B415" i="4"/>
  <c r="O414" i="4"/>
  <c r="M414" i="4"/>
  <c r="K414" i="4"/>
  <c r="I414" i="4"/>
  <c r="G414" i="4"/>
  <c r="F414" i="4"/>
  <c r="E414" i="4"/>
  <c r="D414" i="4"/>
  <c r="B414" i="4"/>
  <c r="O413" i="4"/>
  <c r="M413" i="4"/>
  <c r="K413" i="4"/>
  <c r="I413" i="4"/>
  <c r="G413" i="4"/>
  <c r="F413" i="4"/>
  <c r="E413" i="4"/>
  <c r="D413" i="4"/>
  <c r="B413" i="4"/>
  <c r="O412" i="4"/>
  <c r="M412" i="4"/>
  <c r="K412" i="4"/>
  <c r="I412" i="4"/>
  <c r="G412" i="4"/>
  <c r="F412" i="4"/>
  <c r="E412" i="4"/>
  <c r="D412" i="4"/>
  <c r="B412" i="4"/>
  <c r="O411" i="4"/>
  <c r="M411" i="4"/>
  <c r="K411" i="4"/>
  <c r="I411" i="4"/>
  <c r="G411" i="4"/>
  <c r="F411" i="4"/>
  <c r="E411" i="4"/>
  <c r="D411" i="4"/>
  <c r="B411" i="4"/>
  <c r="O410" i="4"/>
  <c r="M410" i="4"/>
  <c r="K410" i="4"/>
  <c r="I410" i="4"/>
  <c r="G410" i="4"/>
  <c r="F410" i="4"/>
  <c r="E410" i="4"/>
  <c r="D410" i="4"/>
  <c r="B410" i="4"/>
  <c r="O409" i="4"/>
  <c r="M409" i="4"/>
  <c r="K409" i="4"/>
  <c r="I409" i="4"/>
  <c r="G409" i="4"/>
  <c r="F409" i="4"/>
  <c r="E409" i="4"/>
  <c r="D409" i="4"/>
  <c r="B409" i="4"/>
  <c r="O408" i="4"/>
  <c r="M408" i="4"/>
  <c r="K408" i="4"/>
  <c r="I408" i="4"/>
  <c r="G408" i="4"/>
  <c r="F408" i="4"/>
  <c r="E408" i="4"/>
  <c r="D408" i="4"/>
  <c r="B408" i="4"/>
  <c r="O407" i="4"/>
  <c r="M407" i="4"/>
  <c r="K407" i="4"/>
  <c r="I407" i="4"/>
  <c r="G407" i="4"/>
  <c r="F407" i="4"/>
  <c r="E407" i="4"/>
  <c r="D407" i="4"/>
  <c r="B407" i="4"/>
  <c r="O406" i="4"/>
  <c r="M406" i="4"/>
  <c r="K406" i="4"/>
  <c r="I406" i="4"/>
  <c r="G406" i="4"/>
  <c r="F406" i="4"/>
  <c r="E406" i="4"/>
  <c r="D406" i="4"/>
  <c r="B406" i="4"/>
  <c r="O405" i="4"/>
  <c r="M405" i="4"/>
  <c r="K405" i="4"/>
  <c r="I405" i="4"/>
  <c r="G405" i="4"/>
  <c r="F405" i="4"/>
  <c r="E405" i="4"/>
  <c r="D405" i="4"/>
  <c r="B405" i="4"/>
  <c r="O404" i="4"/>
  <c r="M404" i="4"/>
  <c r="K404" i="4"/>
  <c r="I404" i="4"/>
  <c r="G404" i="4"/>
  <c r="F404" i="4"/>
  <c r="E404" i="4"/>
  <c r="D404" i="4"/>
  <c r="B404" i="4"/>
  <c r="O403" i="4"/>
  <c r="M403" i="4"/>
  <c r="K403" i="4"/>
  <c r="I403" i="4"/>
  <c r="G403" i="4"/>
  <c r="F403" i="4"/>
  <c r="E403" i="4"/>
  <c r="D403" i="4"/>
  <c r="B403" i="4"/>
  <c r="O402" i="4"/>
  <c r="M402" i="4"/>
  <c r="K402" i="4"/>
  <c r="I402" i="4"/>
  <c r="G402" i="4"/>
  <c r="F402" i="4"/>
  <c r="E402" i="4"/>
  <c r="D402" i="4"/>
  <c r="B402" i="4"/>
  <c r="O401" i="4"/>
  <c r="M401" i="4"/>
  <c r="K401" i="4"/>
  <c r="I401" i="4"/>
  <c r="G401" i="4"/>
  <c r="F401" i="4"/>
  <c r="E401" i="4"/>
  <c r="D401" i="4"/>
  <c r="B401" i="4"/>
  <c r="O400" i="4"/>
  <c r="M400" i="4"/>
  <c r="K400" i="4"/>
  <c r="I400" i="4"/>
  <c r="G400" i="4"/>
  <c r="F400" i="4"/>
  <c r="E400" i="4"/>
  <c r="D400" i="4"/>
  <c r="B400" i="4"/>
  <c r="O399" i="4"/>
  <c r="M399" i="4"/>
  <c r="K399" i="4"/>
  <c r="I399" i="4"/>
  <c r="G399" i="4"/>
  <c r="F399" i="4"/>
  <c r="E399" i="4"/>
  <c r="D399" i="4"/>
  <c r="B399" i="4"/>
  <c r="O398" i="4"/>
  <c r="M398" i="4"/>
  <c r="K398" i="4"/>
  <c r="I398" i="4"/>
  <c r="G398" i="4"/>
  <c r="F398" i="4"/>
  <c r="E398" i="4"/>
  <c r="D398" i="4"/>
  <c r="B398" i="4"/>
  <c r="O397" i="4"/>
  <c r="M397" i="4"/>
  <c r="K397" i="4"/>
  <c r="I397" i="4"/>
  <c r="G397" i="4"/>
  <c r="F397" i="4"/>
  <c r="E397" i="4"/>
  <c r="D397" i="4"/>
  <c r="B397" i="4"/>
  <c r="O396" i="4"/>
  <c r="M396" i="4"/>
  <c r="K396" i="4"/>
  <c r="I396" i="4"/>
  <c r="G396" i="4"/>
  <c r="F396" i="4"/>
  <c r="E396" i="4"/>
  <c r="D396" i="4"/>
  <c r="B396" i="4"/>
  <c r="O395" i="4"/>
  <c r="M395" i="4"/>
  <c r="K395" i="4"/>
  <c r="I395" i="4"/>
  <c r="G395" i="4"/>
  <c r="F395" i="4"/>
  <c r="E395" i="4"/>
  <c r="D395" i="4"/>
  <c r="B395" i="4"/>
  <c r="O394" i="4"/>
  <c r="M394" i="4"/>
  <c r="K394" i="4"/>
  <c r="I394" i="4"/>
  <c r="G394" i="4"/>
  <c r="F394" i="4"/>
  <c r="E394" i="4"/>
  <c r="D394" i="4"/>
  <c r="B394" i="4"/>
  <c r="O393" i="4"/>
  <c r="M393" i="4"/>
  <c r="K393" i="4"/>
  <c r="I393" i="4"/>
  <c r="G393" i="4"/>
  <c r="F393" i="4"/>
  <c r="E393" i="4"/>
  <c r="D393" i="4"/>
  <c r="B393" i="4"/>
  <c r="O392" i="4"/>
  <c r="M392" i="4"/>
  <c r="K392" i="4"/>
  <c r="I392" i="4"/>
  <c r="G392" i="4"/>
  <c r="F392" i="4"/>
  <c r="E392" i="4"/>
  <c r="D392" i="4"/>
  <c r="B392" i="4"/>
  <c r="O391" i="4"/>
  <c r="M391" i="4"/>
  <c r="K391" i="4"/>
  <c r="I391" i="4"/>
  <c r="G391" i="4"/>
  <c r="F391" i="4"/>
  <c r="E391" i="4"/>
  <c r="D391" i="4"/>
  <c r="B391" i="4"/>
  <c r="O390" i="4"/>
  <c r="M390" i="4"/>
  <c r="K390" i="4"/>
  <c r="I390" i="4"/>
  <c r="G390" i="4"/>
  <c r="F390" i="4"/>
  <c r="E390" i="4"/>
  <c r="D390" i="4"/>
  <c r="B390" i="4"/>
  <c r="O389" i="4"/>
  <c r="M389" i="4"/>
  <c r="K389" i="4"/>
  <c r="I389" i="4"/>
  <c r="G389" i="4"/>
  <c r="F389" i="4"/>
  <c r="E389" i="4"/>
  <c r="D389" i="4"/>
  <c r="B389" i="4"/>
  <c r="O388" i="4"/>
  <c r="M388" i="4"/>
  <c r="K388" i="4"/>
  <c r="I388" i="4"/>
  <c r="G388" i="4"/>
  <c r="F388" i="4"/>
  <c r="E388" i="4"/>
  <c r="D388" i="4"/>
  <c r="B388" i="4"/>
  <c r="O387" i="4"/>
  <c r="M387" i="4"/>
  <c r="K387" i="4"/>
  <c r="I387" i="4"/>
  <c r="G387" i="4"/>
  <c r="F387" i="4"/>
  <c r="E387" i="4"/>
  <c r="D387" i="4"/>
  <c r="B387" i="4"/>
  <c r="O386" i="4"/>
  <c r="M386" i="4"/>
  <c r="K386" i="4"/>
  <c r="I386" i="4"/>
  <c r="G386" i="4"/>
  <c r="F386" i="4"/>
  <c r="E386" i="4"/>
  <c r="D386" i="4"/>
  <c r="B386" i="4"/>
  <c r="O385" i="4"/>
  <c r="M385" i="4"/>
  <c r="K385" i="4"/>
  <c r="I385" i="4"/>
  <c r="G385" i="4"/>
  <c r="F385" i="4"/>
  <c r="E385" i="4"/>
  <c r="D385" i="4"/>
  <c r="B385" i="4"/>
  <c r="O384" i="4"/>
  <c r="M384" i="4"/>
  <c r="K384" i="4"/>
  <c r="I384" i="4"/>
  <c r="G384" i="4"/>
  <c r="F384" i="4"/>
  <c r="E384" i="4"/>
  <c r="D384" i="4"/>
  <c r="B384" i="4"/>
  <c r="O383" i="4"/>
  <c r="M383" i="4"/>
  <c r="K383" i="4"/>
  <c r="I383" i="4"/>
  <c r="G383" i="4"/>
  <c r="F383" i="4"/>
  <c r="E383" i="4"/>
  <c r="D383" i="4"/>
  <c r="B383" i="4"/>
  <c r="O382" i="4"/>
  <c r="M382" i="4"/>
  <c r="K382" i="4"/>
  <c r="I382" i="4"/>
  <c r="G382" i="4"/>
  <c r="F382" i="4"/>
  <c r="E382" i="4"/>
  <c r="D382" i="4"/>
  <c r="B382" i="4"/>
  <c r="O381" i="4"/>
  <c r="M381" i="4"/>
  <c r="K381" i="4"/>
  <c r="I381" i="4"/>
  <c r="G381" i="4"/>
  <c r="F381" i="4"/>
  <c r="E381" i="4"/>
  <c r="D381" i="4"/>
  <c r="B381" i="4"/>
  <c r="O380" i="4"/>
  <c r="M380" i="4"/>
  <c r="K380" i="4"/>
  <c r="I380" i="4"/>
  <c r="G380" i="4"/>
  <c r="F380" i="4"/>
  <c r="E380" i="4"/>
  <c r="D380" i="4"/>
  <c r="B380" i="4"/>
  <c r="O379" i="4"/>
  <c r="M379" i="4"/>
  <c r="K379" i="4"/>
  <c r="I379" i="4"/>
  <c r="G379" i="4"/>
  <c r="F379" i="4"/>
  <c r="E379" i="4"/>
  <c r="D379" i="4"/>
  <c r="B379" i="4"/>
  <c r="O378" i="4"/>
  <c r="M378" i="4"/>
  <c r="K378" i="4"/>
  <c r="I378" i="4"/>
  <c r="G378" i="4"/>
  <c r="F378" i="4"/>
  <c r="E378" i="4"/>
  <c r="D378" i="4"/>
  <c r="B378" i="4"/>
  <c r="O377" i="4"/>
  <c r="M377" i="4"/>
  <c r="K377" i="4"/>
  <c r="I377" i="4"/>
  <c r="G377" i="4"/>
  <c r="F377" i="4"/>
  <c r="E377" i="4"/>
  <c r="D377" i="4"/>
  <c r="B377" i="4"/>
  <c r="O376" i="4"/>
  <c r="M376" i="4"/>
  <c r="K376" i="4"/>
  <c r="I376" i="4"/>
  <c r="G376" i="4"/>
  <c r="F376" i="4"/>
  <c r="E376" i="4"/>
  <c r="D376" i="4"/>
  <c r="B376" i="4"/>
  <c r="O375" i="4"/>
  <c r="M375" i="4"/>
  <c r="K375" i="4"/>
  <c r="I375" i="4"/>
  <c r="G375" i="4"/>
  <c r="F375" i="4"/>
  <c r="E375" i="4"/>
  <c r="D375" i="4"/>
  <c r="B375" i="4"/>
  <c r="O374" i="4"/>
  <c r="M374" i="4"/>
  <c r="K374" i="4"/>
  <c r="I374" i="4"/>
  <c r="G374" i="4"/>
  <c r="F374" i="4"/>
  <c r="E374" i="4"/>
  <c r="D374" i="4"/>
  <c r="B374" i="4"/>
  <c r="O373" i="4"/>
  <c r="M373" i="4"/>
  <c r="K373" i="4"/>
  <c r="I373" i="4"/>
  <c r="G373" i="4"/>
  <c r="F373" i="4"/>
  <c r="E373" i="4"/>
  <c r="D373" i="4"/>
  <c r="B373" i="4"/>
  <c r="O372" i="4"/>
  <c r="M372" i="4"/>
  <c r="K372" i="4"/>
  <c r="I372" i="4"/>
  <c r="G372" i="4"/>
  <c r="F372" i="4"/>
  <c r="E372" i="4"/>
  <c r="D372" i="4"/>
  <c r="B372" i="4"/>
  <c r="O371" i="4"/>
  <c r="M371" i="4"/>
  <c r="K371" i="4"/>
  <c r="I371" i="4"/>
  <c r="G371" i="4"/>
  <c r="F371" i="4"/>
  <c r="E371" i="4"/>
  <c r="D371" i="4"/>
  <c r="B371" i="4"/>
  <c r="O370" i="4"/>
  <c r="M370" i="4"/>
  <c r="K370" i="4"/>
  <c r="I370" i="4"/>
  <c r="G370" i="4"/>
  <c r="F370" i="4"/>
  <c r="E370" i="4"/>
  <c r="D370" i="4"/>
  <c r="B370" i="4"/>
  <c r="O369" i="4"/>
  <c r="M369" i="4"/>
  <c r="K369" i="4"/>
  <c r="I369" i="4"/>
  <c r="G369" i="4"/>
  <c r="F369" i="4"/>
  <c r="E369" i="4"/>
  <c r="D369" i="4"/>
  <c r="B369" i="4"/>
  <c r="O368" i="4"/>
  <c r="M368" i="4"/>
  <c r="K368" i="4"/>
  <c r="I368" i="4"/>
  <c r="G368" i="4"/>
  <c r="F368" i="4"/>
  <c r="E368" i="4"/>
  <c r="D368" i="4"/>
  <c r="B368" i="4"/>
  <c r="O367" i="4"/>
  <c r="M367" i="4"/>
  <c r="K367" i="4"/>
  <c r="I367" i="4"/>
  <c r="G367" i="4"/>
  <c r="F367" i="4"/>
  <c r="E367" i="4"/>
  <c r="D367" i="4"/>
  <c r="B367" i="4"/>
  <c r="O366" i="4"/>
  <c r="M366" i="4"/>
  <c r="K366" i="4"/>
  <c r="I366" i="4"/>
  <c r="G366" i="4"/>
  <c r="F366" i="4"/>
  <c r="E366" i="4"/>
  <c r="D366" i="4"/>
  <c r="B366" i="4"/>
  <c r="O365" i="4"/>
  <c r="M365" i="4"/>
  <c r="K365" i="4"/>
  <c r="I365" i="4"/>
  <c r="G365" i="4"/>
  <c r="F365" i="4"/>
  <c r="E365" i="4"/>
  <c r="D365" i="4"/>
  <c r="B365" i="4"/>
  <c r="O364" i="4"/>
  <c r="M364" i="4"/>
  <c r="K364" i="4"/>
  <c r="I364" i="4"/>
  <c r="G364" i="4"/>
  <c r="F364" i="4"/>
  <c r="E364" i="4"/>
  <c r="D364" i="4"/>
  <c r="B364" i="4"/>
  <c r="O363" i="4"/>
  <c r="M363" i="4"/>
  <c r="K363" i="4"/>
  <c r="I363" i="4"/>
  <c r="G363" i="4"/>
  <c r="F363" i="4"/>
  <c r="E363" i="4"/>
  <c r="D363" i="4"/>
  <c r="B363" i="4"/>
  <c r="O362" i="4"/>
  <c r="M362" i="4"/>
  <c r="K362" i="4"/>
  <c r="I362" i="4"/>
  <c r="G362" i="4"/>
  <c r="F362" i="4"/>
  <c r="E362" i="4"/>
  <c r="D362" i="4"/>
  <c r="B362" i="4"/>
  <c r="O361" i="4"/>
  <c r="M361" i="4"/>
  <c r="K361" i="4"/>
  <c r="I361" i="4"/>
  <c r="G361" i="4"/>
  <c r="F361" i="4"/>
  <c r="E361" i="4"/>
  <c r="D361" i="4"/>
  <c r="B361" i="4"/>
  <c r="O360" i="4"/>
  <c r="M360" i="4"/>
  <c r="K360" i="4"/>
  <c r="I360" i="4"/>
  <c r="G360" i="4"/>
  <c r="F360" i="4"/>
  <c r="E360" i="4"/>
  <c r="D360" i="4"/>
  <c r="B360" i="4"/>
  <c r="O359" i="4"/>
  <c r="M359" i="4"/>
  <c r="K359" i="4"/>
  <c r="I359" i="4"/>
  <c r="G359" i="4"/>
  <c r="F359" i="4"/>
  <c r="E359" i="4"/>
  <c r="D359" i="4"/>
  <c r="B359" i="4"/>
  <c r="O358" i="4"/>
  <c r="M358" i="4"/>
  <c r="K358" i="4"/>
  <c r="I358" i="4"/>
  <c r="G358" i="4"/>
  <c r="F358" i="4"/>
  <c r="E358" i="4"/>
  <c r="D358" i="4"/>
  <c r="B358" i="4"/>
  <c r="O357" i="4"/>
  <c r="M357" i="4"/>
  <c r="K357" i="4"/>
  <c r="I357" i="4"/>
  <c r="G357" i="4"/>
  <c r="F357" i="4"/>
  <c r="E357" i="4"/>
  <c r="D357" i="4"/>
  <c r="B357" i="4"/>
  <c r="O356" i="4"/>
  <c r="M356" i="4"/>
  <c r="K356" i="4"/>
  <c r="I356" i="4"/>
  <c r="G356" i="4"/>
  <c r="F356" i="4"/>
  <c r="E356" i="4"/>
  <c r="D356" i="4"/>
  <c r="B356" i="4"/>
  <c r="O355" i="4"/>
  <c r="M355" i="4"/>
  <c r="K355" i="4"/>
  <c r="I355" i="4"/>
  <c r="G355" i="4"/>
  <c r="F355" i="4"/>
  <c r="E355" i="4"/>
  <c r="D355" i="4"/>
  <c r="B355" i="4"/>
  <c r="O354" i="4"/>
  <c r="M354" i="4"/>
  <c r="K354" i="4"/>
  <c r="I354" i="4"/>
  <c r="G354" i="4"/>
  <c r="F354" i="4"/>
  <c r="E354" i="4"/>
  <c r="D354" i="4"/>
  <c r="B354" i="4"/>
  <c r="O353" i="4"/>
  <c r="M353" i="4"/>
  <c r="K353" i="4"/>
  <c r="I353" i="4"/>
  <c r="G353" i="4"/>
  <c r="F353" i="4"/>
  <c r="E353" i="4"/>
  <c r="D353" i="4"/>
  <c r="B353" i="4"/>
  <c r="O352" i="4"/>
  <c r="M352" i="4"/>
  <c r="K352" i="4"/>
  <c r="I352" i="4"/>
  <c r="G352" i="4"/>
  <c r="F352" i="4"/>
  <c r="E352" i="4"/>
  <c r="D352" i="4"/>
  <c r="B352" i="4"/>
  <c r="O351" i="4"/>
  <c r="M351" i="4"/>
  <c r="K351" i="4"/>
  <c r="I351" i="4"/>
  <c r="G351" i="4"/>
  <c r="F351" i="4"/>
  <c r="E351" i="4"/>
  <c r="D351" i="4"/>
  <c r="B351" i="4"/>
  <c r="O350" i="4"/>
  <c r="M350" i="4"/>
  <c r="K350" i="4"/>
  <c r="I350" i="4"/>
  <c r="G350" i="4"/>
  <c r="F350" i="4"/>
  <c r="E350" i="4"/>
  <c r="D350" i="4"/>
  <c r="B350" i="4"/>
  <c r="O349" i="4"/>
  <c r="M349" i="4"/>
  <c r="K349" i="4"/>
  <c r="I349" i="4"/>
  <c r="G349" i="4"/>
  <c r="F349" i="4"/>
  <c r="E349" i="4"/>
  <c r="D349" i="4"/>
  <c r="B349" i="4"/>
  <c r="O348" i="4"/>
  <c r="M348" i="4"/>
  <c r="K348" i="4"/>
  <c r="I348" i="4"/>
  <c r="G348" i="4"/>
  <c r="F348" i="4"/>
  <c r="E348" i="4"/>
  <c r="D348" i="4"/>
  <c r="B348" i="4"/>
  <c r="O347" i="4"/>
  <c r="M347" i="4"/>
  <c r="K347" i="4"/>
  <c r="I347" i="4"/>
  <c r="G347" i="4"/>
  <c r="F347" i="4"/>
  <c r="E347" i="4"/>
  <c r="D347" i="4"/>
  <c r="B347" i="4"/>
  <c r="O346" i="4"/>
  <c r="M346" i="4"/>
  <c r="K346" i="4"/>
  <c r="I346" i="4"/>
  <c r="G346" i="4"/>
  <c r="F346" i="4"/>
  <c r="E346" i="4"/>
  <c r="D346" i="4"/>
  <c r="B346" i="4"/>
  <c r="O345" i="4"/>
  <c r="M345" i="4"/>
  <c r="K345" i="4"/>
  <c r="I345" i="4"/>
  <c r="G345" i="4"/>
  <c r="F345" i="4"/>
  <c r="E345" i="4"/>
  <c r="D345" i="4"/>
  <c r="B345" i="4"/>
  <c r="O344" i="4"/>
  <c r="M344" i="4"/>
  <c r="K344" i="4"/>
  <c r="I344" i="4"/>
  <c r="G344" i="4"/>
  <c r="F344" i="4"/>
  <c r="E344" i="4"/>
  <c r="D344" i="4"/>
  <c r="B344" i="4"/>
  <c r="O343" i="4"/>
  <c r="M343" i="4"/>
  <c r="K343" i="4"/>
  <c r="I343" i="4"/>
  <c r="G343" i="4"/>
  <c r="F343" i="4"/>
  <c r="E343" i="4"/>
  <c r="D343" i="4"/>
  <c r="B343" i="4"/>
  <c r="O342" i="4"/>
  <c r="M342" i="4"/>
  <c r="K342" i="4"/>
  <c r="I342" i="4"/>
  <c r="G342" i="4"/>
  <c r="F342" i="4"/>
  <c r="E342" i="4"/>
  <c r="D342" i="4"/>
  <c r="B342" i="4"/>
  <c r="O341" i="4"/>
  <c r="M341" i="4"/>
  <c r="K341" i="4"/>
  <c r="I341" i="4"/>
  <c r="G341" i="4"/>
  <c r="F341" i="4"/>
  <c r="E341" i="4"/>
  <c r="D341" i="4"/>
  <c r="B341" i="4"/>
  <c r="O340" i="4"/>
  <c r="M340" i="4"/>
  <c r="K340" i="4"/>
  <c r="I340" i="4"/>
  <c r="G340" i="4"/>
  <c r="F340" i="4"/>
  <c r="E340" i="4"/>
  <c r="D340" i="4"/>
  <c r="B340" i="4"/>
  <c r="O339" i="4"/>
  <c r="M339" i="4"/>
  <c r="K339" i="4"/>
  <c r="I339" i="4"/>
  <c r="G339" i="4"/>
  <c r="F339" i="4"/>
  <c r="E339" i="4"/>
  <c r="D339" i="4"/>
  <c r="B339" i="4"/>
  <c r="O338" i="4"/>
  <c r="M338" i="4"/>
  <c r="K338" i="4"/>
  <c r="I338" i="4"/>
  <c r="G338" i="4"/>
  <c r="F338" i="4"/>
  <c r="E338" i="4"/>
  <c r="D338" i="4"/>
  <c r="B338" i="4"/>
  <c r="O337" i="4"/>
  <c r="M337" i="4"/>
  <c r="K337" i="4"/>
  <c r="I337" i="4"/>
  <c r="G337" i="4"/>
  <c r="F337" i="4"/>
  <c r="E337" i="4"/>
  <c r="D337" i="4"/>
  <c r="B337" i="4"/>
  <c r="O336" i="4"/>
  <c r="M336" i="4"/>
  <c r="K336" i="4"/>
  <c r="I336" i="4"/>
  <c r="G336" i="4"/>
  <c r="F336" i="4"/>
  <c r="E336" i="4"/>
  <c r="D336" i="4"/>
  <c r="B336" i="4"/>
  <c r="O335" i="4"/>
  <c r="M335" i="4"/>
  <c r="K335" i="4"/>
  <c r="I335" i="4"/>
  <c r="G335" i="4"/>
  <c r="F335" i="4"/>
  <c r="E335" i="4"/>
  <c r="D335" i="4"/>
  <c r="B335" i="4"/>
  <c r="O334" i="4"/>
  <c r="M334" i="4"/>
  <c r="K334" i="4"/>
  <c r="I334" i="4"/>
  <c r="G334" i="4"/>
  <c r="F334" i="4"/>
  <c r="E334" i="4"/>
  <c r="D334" i="4"/>
  <c r="B334" i="4"/>
  <c r="O333" i="4"/>
  <c r="M333" i="4"/>
  <c r="K333" i="4"/>
  <c r="I333" i="4"/>
  <c r="G333" i="4"/>
  <c r="F333" i="4"/>
  <c r="E333" i="4"/>
  <c r="D333" i="4"/>
  <c r="B333" i="4"/>
  <c r="O332" i="4"/>
  <c r="M332" i="4"/>
  <c r="K332" i="4"/>
  <c r="I332" i="4"/>
  <c r="G332" i="4"/>
  <c r="F332" i="4"/>
  <c r="E332" i="4"/>
  <c r="D332" i="4"/>
  <c r="B332" i="4"/>
  <c r="O331" i="4"/>
  <c r="M331" i="4"/>
  <c r="K331" i="4"/>
  <c r="I331" i="4"/>
  <c r="G331" i="4"/>
  <c r="F331" i="4"/>
  <c r="E331" i="4"/>
  <c r="D331" i="4"/>
  <c r="B331" i="4"/>
  <c r="O330" i="4"/>
  <c r="M330" i="4"/>
  <c r="K330" i="4"/>
  <c r="I330" i="4"/>
  <c r="G330" i="4"/>
  <c r="F330" i="4"/>
  <c r="E330" i="4"/>
  <c r="D330" i="4"/>
  <c r="B330" i="4"/>
  <c r="O329" i="4"/>
  <c r="M329" i="4"/>
  <c r="K329" i="4"/>
  <c r="I329" i="4"/>
  <c r="G329" i="4"/>
  <c r="F329" i="4"/>
  <c r="E329" i="4"/>
  <c r="D329" i="4"/>
  <c r="B329" i="4"/>
  <c r="O328" i="4"/>
  <c r="M328" i="4"/>
  <c r="K328" i="4"/>
  <c r="I328" i="4"/>
  <c r="G328" i="4"/>
  <c r="F328" i="4"/>
  <c r="E328" i="4"/>
  <c r="D328" i="4"/>
  <c r="B328" i="4"/>
  <c r="O327" i="4"/>
  <c r="M327" i="4"/>
  <c r="K327" i="4"/>
  <c r="I327" i="4"/>
  <c r="G327" i="4"/>
  <c r="F327" i="4"/>
  <c r="E327" i="4"/>
  <c r="D327" i="4"/>
  <c r="B327" i="4"/>
  <c r="O326" i="4"/>
  <c r="M326" i="4"/>
  <c r="K326" i="4"/>
  <c r="I326" i="4"/>
  <c r="G326" i="4"/>
  <c r="F326" i="4"/>
  <c r="E326" i="4"/>
  <c r="D326" i="4"/>
  <c r="B326" i="4"/>
  <c r="O325" i="4"/>
  <c r="M325" i="4"/>
  <c r="K325" i="4"/>
  <c r="I325" i="4"/>
  <c r="G325" i="4"/>
  <c r="F325" i="4"/>
  <c r="E325" i="4"/>
  <c r="D325" i="4"/>
  <c r="B325" i="4"/>
  <c r="O324" i="4"/>
  <c r="M324" i="4"/>
  <c r="K324" i="4"/>
  <c r="I324" i="4"/>
  <c r="G324" i="4"/>
  <c r="F324" i="4"/>
  <c r="E324" i="4"/>
  <c r="D324" i="4"/>
  <c r="B324" i="4"/>
  <c r="O323" i="4"/>
  <c r="M323" i="4"/>
  <c r="K323" i="4"/>
  <c r="I323" i="4"/>
  <c r="G323" i="4"/>
  <c r="F323" i="4"/>
  <c r="E323" i="4"/>
  <c r="D323" i="4"/>
  <c r="B323" i="4"/>
  <c r="O322" i="4"/>
  <c r="M322" i="4"/>
  <c r="K322" i="4"/>
  <c r="I322" i="4"/>
  <c r="G322" i="4"/>
  <c r="F322" i="4"/>
  <c r="E322" i="4"/>
  <c r="D322" i="4"/>
  <c r="B322" i="4"/>
  <c r="O321" i="4"/>
  <c r="M321" i="4"/>
  <c r="K321" i="4"/>
  <c r="I321" i="4"/>
  <c r="G321" i="4"/>
  <c r="F321" i="4"/>
  <c r="E321" i="4"/>
  <c r="D321" i="4"/>
  <c r="B321" i="4"/>
  <c r="O320" i="4"/>
  <c r="M320" i="4"/>
  <c r="K320" i="4"/>
  <c r="I320" i="4"/>
  <c r="G320" i="4"/>
  <c r="F320" i="4"/>
  <c r="E320" i="4"/>
  <c r="D320" i="4"/>
  <c r="B320" i="4"/>
  <c r="O319" i="4"/>
  <c r="M319" i="4"/>
  <c r="K319" i="4"/>
  <c r="I319" i="4"/>
  <c r="G319" i="4"/>
  <c r="F319" i="4"/>
  <c r="E319" i="4"/>
  <c r="D319" i="4"/>
  <c r="B319" i="4"/>
  <c r="O318" i="4"/>
  <c r="M318" i="4"/>
  <c r="K318" i="4"/>
  <c r="I318" i="4"/>
  <c r="G318" i="4"/>
  <c r="F318" i="4"/>
  <c r="E318" i="4"/>
  <c r="D318" i="4"/>
  <c r="B318" i="4"/>
  <c r="O317" i="4"/>
  <c r="M317" i="4"/>
  <c r="K317" i="4"/>
  <c r="I317" i="4"/>
  <c r="G317" i="4"/>
  <c r="F317" i="4"/>
  <c r="E317" i="4"/>
  <c r="D317" i="4"/>
  <c r="B317" i="4"/>
  <c r="O316" i="4"/>
  <c r="M316" i="4"/>
  <c r="K316" i="4"/>
  <c r="I316" i="4"/>
  <c r="G316" i="4"/>
  <c r="F316" i="4"/>
  <c r="E316" i="4"/>
  <c r="D316" i="4"/>
  <c r="B316" i="4"/>
  <c r="O315" i="4"/>
  <c r="M315" i="4"/>
  <c r="K315" i="4"/>
  <c r="I315" i="4"/>
  <c r="G315" i="4"/>
  <c r="F315" i="4"/>
  <c r="E315" i="4"/>
  <c r="D315" i="4"/>
  <c r="B315" i="4"/>
  <c r="O314" i="4"/>
  <c r="M314" i="4"/>
  <c r="K314" i="4"/>
  <c r="I314" i="4"/>
  <c r="G314" i="4"/>
  <c r="F314" i="4"/>
  <c r="E314" i="4"/>
  <c r="D314" i="4"/>
  <c r="B314" i="4"/>
  <c r="O313" i="4"/>
  <c r="M313" i="4"/>
  <c r="K313" i="4"/>
  <c r="I313" i="4"/>
  <c r="G313" i="4"/>
  <c r="F313" i="4"/>
  <c r="E313" i="4"/>
  <c r="D313" i="4"/>
  <c r="B313" i="4"/>
  <c r="O312" i="4"/>
  <c r="M312" i="4"/>
  <c r="K312" i="4"/>
  <c r="I312" i="4"/>
  <c r="G312" i="4"/>
  <c r="F312" i="4"/>
  <c r="E312" i="4"/>
  <c r="D312" i="4"/>
  <c r="B312" i="4"/>
  <c r="O311" i="4"/>
  <c r="M311" i="4"/>
  <c r="K311" i="4"/>
  <c r="I311" i="4"/>
  <c r="G311" i="4"/>
  <c r="F311" i="4"/>
  <c r="E311" i="4"/>
  <c r="D311" i="4"/>
  <c r="B311" i="4"/>
  <c r="O310" i="4"/>
  <c r="M310" i="4"/>
  <c r="K310" i="4"/>
  <c r="I310" i="4"/>
  <c r="G310" i="4"/>
  <c r="F310" i="4"/>
  <c r="E310" i="4"/>
  <c r="D310" i="4"/>
  <c r="B310" i="4"/>
  <c r="O309" i="4"/>
  <c r="M309" i="4"/>
  <c r="K309" i="4"/>
  <c r="I309" i="4"/>
  <c r="G309" i="4"/>
  <c r="F309" i="4"/>
  <c r="E309" i="4"/>
  <c r="D309" i="4"/>
  <c r="B309" i="4"/>
  <c r="O308" i="4"/>
  <c r="M308" i="4"/>
  <c r="K308" i="4"/>
  <c r="I308" i="4"/>
  <c r="G308" i="4"/>
  <c r="F308" i="4"/>
  <c r="E308" i="4"/>
  <c r="D308" i="4"/>
  <c r="B308" i="4"/>
  <c r="O307" i="4"/>
  <c r="M307" i="4"/>
  <c r="K307" i="4"/>
  <c r="I307" i="4"/>
  <c r="G307" i="4"/>
  <c r="F307" i="4"/>
  <c r="E307" i="4"/>
  <c r="D307" i="4"/>
  <c r="B307" i="4"/>
  <c r="O306" i="4"/>
  <c r="M306" i="4"/>
  <c r="K306" i="4"/>
  <c r="I306" i="4"/>
  <c r="G306" i="4"/>
  <c r="F306" i="4"/>
  <c r="E306" i="4"/>
  <c r="D306" i="4"/>
  <c r="B306" i="4"/>
  <c r="O305" i="4"/>
  <c r="M305" i="4"/>
  <c r="K305" i="4"/>
  <c r="I305" i="4"/>
  <c r="G305" i="4"/>
  <c r="F305" i="4"/>
  <c r="E305" i="4"/>
  <c r="D305" i="4"/>
  <c r="B305" i="4"/>
  <c r="O304" i="4"/>
  <c r="M304" i="4"/>
  <c r="K304" i="4"/>
  <c r="I304" i="4"/>
  <c r="G304" i="4"/>
  <c r="F304" i="4"/>
  <c r="E304" i="4"/>
  <c r="D304" i="4"/>
  <c r="B304" i="4"/>
  <c r="O303" i="4"/>
  <c r="M303" i="4"/>
  <c r="K303" i="4"/>
  <c r="I303" i="4"/>
  <c r="G303" i="4"/>
  <c r="F303" i="4"/>
  <c r="E303" i="4"/>
  <c r="D303" i="4"/>
  <c r="B303" i="4"/>
  <c r="O302" i="4"/>
  <c r="M302" i="4"/>
  <c r="K302" i="4"/>
  <c r="I302" i="4"/>
  <c r="G302" i="4"/>
  <c r="F302" i="4"/>
  <c r="E302" i="4"/>
  <c r="D302" i="4"/>
  <c r="B302" i="4"/>
  <c r="O301" i="4"/>
  <c r="M301" i="4"/>
  <c r="K301" i="4"/>
  <c r="I301" i="4"/>
  <c r="G301" i="4"/>
  <c r="F301" i="4"/>
  <c r="E301" i="4"/>
  <c r="D301" i="4"/>
  <c r="B301" i="4"/>
  <c r="O300" i="4"/>
  <c r="M300" i="4"/>
  <c r="K300" i="4"/>
  <c r="I300" i="4"/>
  <c r="G300" i="4"/>
  <c r="F300" i="4"/>
  <c r="E300" i="4"/>
  <c r="D300" i="4"/>
  <c r="B300" i="4"/>
  <c r="O299" i="4"/>
  <c r="M299" i="4"/>
  <c r="K299" i="4"/>
  <c r="I299" i="4"/>
  <c r="G299" i="4"/>
  <c r="F299" i="4"/>
  <c r="E299" i="4"/>
  <c r="D299" i="4"/>
  <c r="B299" i="4"/>
  <c r="O298" i="4"/>
  <c r="M298" i="4"/>
  <c r="K298" i="4"/>
  <c r="I298" i="4"/>
  <c r="G298" i="4"/>
  <c r="F298" i="4"/>
  <c r="E298" i="4"/>
  <c r="D298" i="4"/>
  <c r="B298" i="4"/>
  <c r="O297" i="4"/>
  <c r="M297" i="4"/>
  <c r="K297" i="4"/>
  <c r="I297" i="4"/>
  <c r="G297" i="4"/>
  <c r="F297" i="4"/>
  <c r="E297" i="4"/>
  <c r="D297" i="4"/>
  <c r="B297" i="4"/>
  <c r="O296" i="4"/>
  <c r="M296" i="4"/>
  <c r="K296" i="4"/>
  <c r="I296" i="4"/>
  <c r="G296" i="4"/>
  <c r="F296" i="4"/>
  <c r="E296" i="4"/>
  <c r="D296" i="4"/>
  <c r="B296" i="4"/>
  <c r="O295" i="4"/>
  <c r="M295" i="4"/>
  <c r="K295" i="4"/>
  <c r="I295" i="4"/>
  <c r="G295" i="4"/>
  <c r="F295" i="4"/>
  <c r="E295" i="4"/>
  <c r="D295" i="4"/>
  <c r="B295" i="4"/>
  <c r="O294" i="4"/>
  <c r="M294" i="4"/>
  <c r="K294" i="4"/>
  <c r="I294" i="4"/>
  <c r="G294" i="4"/>
  <c r="F294" i="4"/>
  <c r="E294" i="4"/>
  <c r="D294" i="4"/>
  <c r="B294" i="4"/>
  <c r="O293" i="4"/>
  <c r="M293" i="4"/>
  <c r="K293" i="4"/>
  <c r="I293" i="4"/>
  <c r="G293" i="4"/>
  <c r="F293" i="4"/>
  <c r="E293" i="4"/>
  <c r="D293" i="4"/>
  <c r="B293" i="4"/>
  <c r="O292" i="4"/>
  <c r="M292" i="4"/>
  <c r="K292" i="4"/>
  <c r="I292" i="4"/>
  <c r="G292" i="4"/>
  <c r="F292" i="4"/>
  <c r="E292" i="4"/>
  <c r="D292" i="4"/>
  <c r="B292" i="4"/>
  <c r="O291" i="4"/>
  <c r="M291" i="4"/>
  <c r="K291" i="4"/>
  <c r="I291" i="4"/>
  <c r="G291" i="4"/>
  <c r="F291" i="4"/>
  <c r="E291" i="4"/>
  <c r="D291" i="4"/>
  <c r="B291" i="4"/>
  <c r="O290" i="4"/>
  <c r="M290" i="4"/>
  <c r="K290" i="4"/>
  <c r="I290" i="4"/>
  <c r="G290" i="4"/>
  <c r="F290" i="4"/>
  <c r="E290" i="4"/>
  <c r="D290" i="4"/>
  <c r="B290" i="4"/>
  <c r="O289" i="4"/>
  <c r="M289" i="4"/>
  <c r="K289" i="4"/>
  <c r="I289" i="4"/>
  <c r="G289" i="4"/>
  <c r="F289" i="4"/>
  <c r="E289" i="4"/>
  <c r="D289" i="4"/>
  <c r="B289" i="4"/>
  <c r="O288" i="4"/>
  <c r="M288" i="4"/>
  <c r="K288" i="4"/>
  <c r="I288" i="4"/>
  <c r="G288" i="4"/>
  <c r="F288" i="4"/>
  <c r="E288" i="4"/>
  <c r="D288" i="4"/>
  <c r="B288" i="4"/>
  <c r="O287" i="4"/>
  <c r="M287" i="4"/>
  <c r="K287" i="4"/>
  <c r="I287" i="4"/>
  <c r="G287" i="4"/>
  <c r="F287" i="4"/>
  <c r="E287" i="4"/>
  <c r="D287" i="4"/>
  <c r="B287" i="4"/>
  <c r="O286" i="4"/>
  <c r="M286" i="4"/>
  <c r="K286" i="4"/>
  <c r="I286" i="4"/>
  <c r="G286" i="4"/>
  <c r="F286" i="4"/>
  <c r="E286" i="4"/>
  <c r="D286" i="4"/>
  <c r="B286" i="4"/>
  <c r="O285" i="4"/>
  <c r="M285" i="4"/>
  <c r="K285" i="4"/>
  <c r="I285" i="4"/>
  <c r="G285" i="4"/>
  <c r="F285" i="4"/>
  <c r="E285" i="4"/>
  <c r="D285" i="4"/>
  <c r="B285" i="4"/>
  <c r="O284" i="4"/>
  <c r="M284" i="4"/>
  <c r="K284" i="4"/>
  <c r="I284" i="4"/>
  <c r="G284" i="4"/>
  <c r="F284" i="4"/>
  <c r="E284" i="4"/>
  <c r="D284" i="4"/>
  <c r="B284" i="4"/>
  <c r="O283" i="4"/>
  <c r="M283" i="4"/>
  <c r="K283" i="4"/>
  <c r="I283" i="4"/>
  <c r="G283" i="4"/>
  <c r="F283" i="4"/>
  <c r="E283" i="4"/>
  <c r="D283" i="4"/>
  <c r="B283" i="4"/>
  <c r="O282" i="4"/>
  <c r="M282" i="4"/>
  <c r="K282" i="4"/>
  <c r="I282" i="4"/>
  <c r="G282" i="4"/>
  <c r="F282" i="4"/>
  <c r="E282" i="4"/>
  <c r="D282" i="4"/>
  <c r="B282" i="4"/>
  <c r="O281" i="4"/>
  <c r="M281" i="4"/>
  <c r="K281" i="4"/>
  <c r="I281" i="4"/>
  <c r="G281" i="4"/>
  <c r="F281" i="4"/>
  <c r="E281" i="4"/>
  <c r="D281" i="4"/>
  <c r="B281" i="4"/>
  <c r="O280" i="4"/>
  <c r="M280" i="4"/>
  <c r="K280" i="4"/>
  <c r="I280" i="4"/>
  <c r="G280" i="4"/>
  <c r="F280" i="4"/>
  <c r="E280" i="4"/>
  <c r="D280" i="4"/>
  <c r="B280" i="4"/>
  <c r="O279" i="4"/>
  <c r="M279" i="4"/>
  <c r="K279" i="4"/>
  <c r="I279" i="4"/>
  <c r="G279" i="4"/>
  <c r="F279" i="4"/>
  <c r="E279" i="4"/>
  <c r="D279" i="4"/>
  <c r="B279" i="4"/>
  <c r="O278" i="4"/>
  <c r="M278" i="4"/>
  <c r="K278" i="4"/>
  <c r="I278" i="4"/>
  <c r="G278" i="4"/>
  <c r="F278" i="4"/>
  <c r="E278" i="4"/>
  <c r="D278" i="4"/>
  <c r="B278" i="4"/>
  <c r="O277" i="4"/>
  <c r="M277" i="4"/>
  <c r="K277" i="4"/>
  <c r="I277" i="4"/>
  <c r="G277" i="4"/>
  <c r="F277" i="4"/>
  <c r="E277" i="4"/>
  <c r="D277" i="4"/>
  <c r="B277" i="4"/>
  <c r="O276" i="4"/>
  <c r="M276" i="4"/>
  <c r="K276" i="4"/>
  <c r="I276" i="4"/>
  <c r="G276" i="4"/>
  <c r="F276" i="4"/>
  <c r="E276" i="4"/>
  <c r="D276" i="4"/>
  <c r="B276" i="4"/>
  <c r="O275" i="4"/>
  <c r="M275" i="4"/>
  <c r="K275" i="4"/>
  <c r="I275" i="4"/>
  <c r="G275" i="4"/>
  <c r="F275" i="4"/>
  <c r="E275" i="4"/>
  <c r="D275" i="4"/>
  <c r="B275" i="4"/>
  <c r="O274" i="4"/>
  <c r="M274" i="4"/>
  <c r="K274" i="4"/>
  <c r="I274" i="4"/>
  <c r="G274" i="4"/>
  <c r="F274" i="4"/>
  <c r="E274" i="4"/>
  <c r="D274" i="4"/>
  <c r="B274" i="4"/>
  <c r="O273" i="4"/>
  <c r="M273" i="4"/>
  <c r="K273" i="4"/>
  <c r="I273" i="4"/>
  <c r="G273" i="4"/>
  <c r="F273" i="4"/>
  <c r="E273" i="4"/>
  <c r="D273" i="4"/>
  <c r="B273" i="4"/>
  <c r="O272" i="4"/>
  <c r="M272" i="4"/>
  <c r="K272" i="4"/>
  <c r="I272" i="4"/>
  <c r="G272" i="4"/>
  <c r="F272" i="4"/>
  <c r="E272" i="4"/>
  <c r="D272" i="4"/>
  <c r="B272" i="4"/>
  <c r="O271" i="4"/>
  <c r="M271" i="4"/>
  <c r="K271" i="4"/>
  <c r="I271" i="4"/>
  <c r="G271" i="4"/>
  <c r="F271" i="4"/>
  <c r="E271" i="4"/>
  <c r="D271" i="4"/>
  <c r="B271" i="4"/>
  <c r="O270" i="4"/>
  <c r="M270" i="4"/>
  <c r="K270" i="4"/>
  <c r="I270" i="4"/>
  <c r="G270" i="4"/>
  <c r="F270" i="4"/>
  <c r="E270" i="4"/>
  <c r="D270" i="4"/>
  <c r="B270" i="4"/>
  <c r="O269" i="4"/>
  <c r="M269" i="4"/>
  <c r="K269" i="4"/>
  <c r="I269" i="4"/>
  <c r="G269" i="4"/>
  <c r="F269" i="4"/>
  <c r="E269" i="4"/>
  <c r="D269" i="4"/>
  <c r="B269" i="4"/>
  <c r="O268" i="4"/>
  <c r="M268" i="4"/>
  <c r="K268" i="4"/>
  <c r="I268" i="4"/>
  <c r="G268" i="4"/>
  <c r="F268" i="4"/>
  <c r="E268" i="4"/>
  <c r="D268" i="4"/>
  <c r="B268" i="4"/>
  <c r="O267" i="4"/>
  <c r="M267" i="4"/>
  <c r="K267" i="4"/>
  <c r="I267" i="4"/>
  <c r="G267" i="4"/>
  <c r="F267" i="4"/>
  <c r="E267" i="4"/>
  <c r="D267" i="4"/>
  <c r="B267" i="4"/>
  <c r="O266" i="4"/>
  <c r="M266" i="4"/>
  <c r="K266" i="4"/>
  <c r="I266" i="4"/>
  <c r="G266" i="4"/>
  <c r="F266" i="4"/>
  <c r="E266" i="4"/>
  <c r="D266" i="4"/>
  <c r="B266" i="4"/>
  <c r="O265" i="4"/>
  <c r="M265" i="4"/>
  <c r="K265" i="4"/>
  <c r="I265" i="4"/>
  <c r="G265" i="4"/>
  <c r="F265" i="4"/>
  <c r="E265" i="4"/>
  <c r="D265" i="4"/>
  <c r="B265" i="4"/>
  <c r="O264" i="4"/>
  <c r="M264" i="4"/>
  <c r="K264" i="4"/>
  <c r="I264" i="4"/>
  <c r="G264" i="4"/>
  <c r="F264" i="4"/>
  <c r="E264" i="4"/>
  <c r="D264" i="4"/>
  <c r="B264" i="4"/>
  <c r="O263" i="4"/>
  <c r="M263" i="4"/>
  <c r="K263" i="4"/>
  <c r="I263" i="4"/>
  <c r="G263" i="4"/>
  <c r="F263" i="4"/>
  <c r="E263" i="4"/>
  <c r="D263" i="4"/>
  <c r="B263" i="4"/>
  <c r="O262" i="4"/>
  <c r="M262" i="4"/>
  <c r="K262" i="4"/>
  <c r="I262" i="4"/>
  <c r="G262" i="4"/>
  <c r="F262" i="4"/>
  <c r="E262" i="4"/>
  <c r="D262" i="4"/>
  <c r="B262" i="4"/>
  <c r="O261" i="4"/>
  <c r="M261" i="4"/>
  <c r="K261" i="4"/>
  <c r="I261" i="4"/>
  <c r="G261" i="4"/>
  <c r="F261" i="4"/>
  <c r="E261" i="4"/>
  <c r="D261" i="4"/>
  <c r="B261" i="4"/>
  <c r="O260" i="4"/>
  <c r="M260" i="4"/>
  <c r="K260" i="4"/>
  <c r="I260" i="4"/>
  <c r="G260" i="4"/>
  <c r="F260" i="4"/>
  <c r="E260" i="4"/>
  <c r="D260" i="4"/>
  <c r="B260" i="4"/>
  <c r="O259" i="4"/>
  <c r="M259" i="4"/>
  <c r="K259" i="4"/>
  <c r="I259" i="4"/>
  <c r="G259" i="4"/>
  <c r="F259" i="4"/>
  <c r="E259" i="4"/>
  <c r="D259" i="4"/>
  <c r="B259" i="4"/>
  <c r="O258" i="4"/>
  <c r="M258" i="4"/>
  <c r="K258" i="4"/>
  <c r="I258" i="4"/>
  <c r="G258" i="4"/>
  <c r="F258" i="4"/>
  <c r="E258" i="4"/>
  <c r="D258" i="4"/>
  <c r="B258" i="4"/>
  <c r="O257" i="4"/>
  <c r="M257" i="4"/>
  <c r="K257" i="4"/>
  <c r="I257" i="4"/>
  <c r="G257" i="4"/>
  <c r="F257" i="4"/>
  <c r="E257" i="4"/>
  <c r="D257" i="4"/>
  <c r="B257" i="4"/>
  <c r="O256" i="4"/>
  <c r="M256" i="4"/>
  <c r="K256" i="4"/>
  <c r="I256" i="4"/>
  <c r="G256" i="4"/>
  <c r="F256" i="4"/>
  <c r="E256" i="4"/>
  <c r="D256" i="4"/>
  <c r="B256" i="4"/>
  <c r="O255" i="4"/>
  <c r="M255" i="4"/>
  <c r="K255" i="4"/>
  <c r="I255" i="4"/>
  <c r="G255" i="4"/>
  <c r="F255" i="4"/>
  <c r="E255" i="4"/>
  <c r="D255" i="4"/>
  <c r="B255" i="4"/>
  <c r="O254" i="4"/>
  <c r="M254" i="4"/>
  <c r="K254" i="4"/>
  <c r="I254" i="4"/>
  <c r="G254" i="4"/>
  <c r="F254" i="4"/>
  <c r="E254" i="4"/>
  <c r="D254" i="4"/>
  <c r="B254" i="4"/>
  <c r="O253" i="4"/>
  <c r="M253" i="4"/>
  <c r="K253" i="4"/>
  <c r="I253" i="4"/>
  <c r="G253" i="4"/>
  <c r="F253" i="4"/>
  <c r="E253" i="4"/>
  <c r="D253" i="4"/>
  <c r="B253" i="4"/>
  <c r="O252" i="4"/>
  <c r="M252" i="4"/>
  <c r="K252" i="4"/>
  <c r="I252" i="4"/>
  <c r="G252" i="4"/>
  <c r="F252" i="4"/>
  <c r="E252" i="4"/>
  <c r="D252" i="4"/>
  <c r="B252" i="4"/>
  <c r="O251" i="4"/>
  <c r="M251" i="4"/>
  <c r="K251" i="4"/>
  <c r="I251" i="4"/>
  <c r="G251" i="4"/>
  <c r="F251" i="4"/>
  <c r="E251" i="4"/>
  <c r="D251" i="4"/>
  <c r="B251" i="4"/>
  <c r="O250" i="4"/>
  <c r="M250" i="4"/>
  <c r="K250" i="4"/>
  <c r="I250" i="4"/>
  <c r="G250" i="4"/>
  <c r="F250" i="4"/>
  <c r="E250" i="4"/>
  <c r="D250" i="4"/>
  <c r="B250" i="4"/>
  <c r="O249" i="4"/>
  <c r="M249" i="4"/>
  <c r="K249" i="4"/>
  <c r="I249" i="4"/>
  <c r="G249" i="4"/>
  <c r="F249" i="4"/>
  <c r="E249" i="4"/>
  <c r="D249" i="4"/>
  <c r="B249" i="4"/>
  <c r="O248" i="4"/>
  <c r="M248" i="4"/>
  <c r="K248" i="4"/>
  <c r="I248" i="4"/>
  <c r="G248" i="4"/>
  <c r="F248" i="4"/>
  <c r="E248" i="4"/>
  <c r="D248" i="4"/>
  <c r="B248" i="4"/>
  <c r="O247" i="4"/>
  <c r="M247" i="4"/>
  <c r="K247" i="4"/>
  <c r="I247" i="4"/>
  <c r="G247" i="4"/>
  <c r="F247" i="4"/>
  <c r="E247" i="4"/>
  <c r="D247" i="4"/>
  <c r="B247" i="4"/>
  <c r="O246" i="4"/>
  <c r="M246" i="4"/>
  <c r="K246" i="4"/>
  <c r="I246" i="4"/>
  <c r="G246" i="4"/>
  <c r="F246" i="4"/>
  <c r="E246" i="4"/>
  <c r="D246" i="4"/>
  <c r="B246" i="4"/>
  <c r="O245" i="4"/>
  <c r="M245" i="4"/>
  <c r="K245" i="4"/>
  <c r="I245" i="4"/>
  <c r="G245" i="4"/>
  <c r="F245" i="4"/>
  <c r="E245" i="4"/>
  <c r="D245" i="4"/>
  <c r="B245" i="4"/>
  <c r="O244" i="4"/>
  <c r="M244" i="4"/>
  <c r="K244" i="4"/>
  <c r="I244" i="4"/>
  <c r="G244" i="4"/>
  <c r="F244" i="4"/>
  <c r="E244" i="4"/>
  <c r="D244" i="4"/>
  <c r="B244" i="4"/>
  <c r="O243" i="4"/>
  <c r="M243" i="4"/>
  <c r="K243" i="4"/>
  <c r="I243" i="4"/>
  <c r="G243" i="4"/>
  <c r="F243" i="4"/>
  <c r="E243" i="4"/>
  <c r="D243" i="4"/>
  <c r="B243" i="4"/>
  <c r="O242" i="4"/>
  <c r="M242" i="4"/>
  <c r="K242" i="4"/>
  <c r="I242" i="4"/>
  <c r="G242" i="4"/>
  <c r="F242" i="4"/>
  <c r="E242" i="4"/>
  <c r="D242" i="4"/>
  <c r="B242" i="4"/>
  <c r="O241" i="4"/>
  <c r="M241" i="4"/>
  <c r="K241" i="4"/>
  <c r="I241" i="4"/>
  <c r="G241" i="4"/>
  <c r="F241" i="4"/>
  <c r="E241" i="4"/>
  <c r="D241" i="4"/>
  <c r="B241" i="4"/>
  <c r="O240" i="4"/>
  <c r="M240" i="4"/>
  <c r="K240" i="4"/>
  <c r="I240" i="4"/>
  <c r="G240" i="4"/>
  <c r="F240" i="4"/>
  <c r="E240" i="4"/>
  <c r="D240" i="4"/>
  <c r="B240" i="4"/>
  <c r="O239" i="4"/>
  <c r="M239" i="4"/>
  <c r="K239" i="4"/>
  <c r="I239" i="4"/>
  <c r="G239" i="4"/>
  <c r="F239" i="4"/>
  <c r="E239" i="4"/>
  <c r="D239" i="4"/>
  <c r="B239" i="4"/>
  <c r="O238" i="4"/>
  <c r="M238" i="4"/>
  <c r="K238" i="4"/>
  <c r="I238" i="4"/>
  <c r="G238" i="4"/>
  <c r="F238" i="4"/>
  <c r="E238" i="4"/>
  <c r="D238" i="4"/>
  <c r="B238" i="4"/>
  <c r="O237" i="4"/>
  <c r="M237" i="4"/>
  <c r="K237" i="4"/>
  <c r="I237" i="4"/>
  <c r="G237" i="4"/>
  <c r="F237" i="4"/>
  <c r="E237" i="4"/>
  <c r="D237" i="4"/>
  <c r="B237" i="4"/>
  <c r="O236" i="4"/>
  <c r="M236" i="4"/>
  <c r="K236" i="4"/>
  <c r="I236" i="4"/>
  <c r="G236" i="4"/>
  <c r="F236" i="4"/>
  <c r="E236" i="4"/>
  <c r="D236" i="4"/>
  <c r="B236" i="4"/>
  <c r="O235" i="4"/>
  <c r="M235" i="4"/>
  <c r="K235" i="4"/>
  <c r="I235" i="4"/>
  <c r="G235" i="4"/>
  <c r="F235" i="4"/>
  <c r="E235" i="4"/>
  <c r="D235" i="4"/>
  <c r="B235" i="4"/>
  <c r="O234" i="4"/>
  <c r="M234" i="4"/>
  <c r="K234" i="4"/>
  <c r="I234" i="4"/>
  <c r="G234" i="4"/>
  <c r="F234" i="4"/>
  <c r="E234" i="4"/>
  <c r="D234" i="4"/>
  <c r="B234" i="4"/>
  <c r="O233" i="4"/>
  <c r="M233" i="4"/>
  <c r="K233" i="4"/>
  <c r="I233" i="4"/>
  <c r="G233" i="4"/>
  <c r="F233" i="4"/>
  <c r="E233" i="4"/>
  <c r="D233" i="4"/>
  <c r="B233" i="4"/>
  <c r="O232" i="4"/>
  <c r="M232" i="4"/>
  <c r="K232" i="4"/>
  <c r="I232" i="4"/>
  <c r="G232" i="4"/>
  <c r="F232" i="4"/>
  <c r="E232" i="4"/>
  <c r="D232" i="4"/>
  <c r="B232" i="4"/>
  <c r="O231" i="4"/>
  <c r="M231" i="4"/>
  <c r="K231" i="4"/>
  <c r="I231" i="4"/>
  <c r="G231" i="4"/>
  <c r="F231" i="4"/>
  <c r="E231" i="4"/>
  <c r="D231" i="4"/>
  <c r="B231" i="4"/>
  <c r="O230" i="4"/>
  <c r="M230" i="4"/>
  <c r="K230" i="4"/>
  <c r="I230" i="4"/>
  <c r="G230" i="4"/>
  <c r="F230" i="4"/>
  <c r="E230" i="4"/>
  <c r="D230" i="4"/>
  <c r="B230" i="4"/>
  <c r="O229" i="4"/>
  <c r="M229" i="4"/>
  <c r="K229" i="4"/>
  <c r="I229" i="4"/>
  <c r="G229" i="4"/>
  <c r="F229" i="4"/>
  <c r="E229" i="4"/>
  <c r="D229" i="4"/>
  <c r="B229" i="4"/>
  <c r="O228" i="4"/>
  <c r="M228" i="4"/>
  <c r="K228" i="4"/>
  <c r="I228" i="4"/>
  <c r="G228" i="4"/>
  <c r="F228" i="4"/>
  <c r="E228" i="4"/>
  <c r="D228" i="4"/>
  <c r="B228" i="4"/>
  <c r="O227" i="4"/>
  <c r="M227" i="4"/>
  <c r="K227" i="4"/>
  <c r="I227" i="4"/>
  <c r="G227" i="4"/>
  <c r="F227" i="4"/>
  <c r="E227" i="4"/>
  <c r="D227" i="4"/>
  <c r="B227" i="4"/>
  <c r="O226" i="4"/>
  <c r="M226" i="4"/>
  <c r="K226" i="4"/>
  <c r="I226" i="4"/>
  <c r="G226" i="4"/>
  <c r="F226" i="4"/>
  <c r="E226" i="4"/>
  <c r="D226" i="4"/>
  <c r="B226" i="4"/>
  <c r="O225" i="4"/>
  <c r="M225" i="4"/>
  <c r="K225" i="4"/>
  <c r="I225" i="4"/>
  <c r="G225" i="4"/>
  <c r="F225" i="4"/>
  <c r="E225" i="4"/>
  <c r="D225" i="4"/>
  <c r="B225" i="4"/>
  <c r="O224" i="4"/>
  <c r="M224" i="4"/>
  <c r="K224" i="4"/>
  <c r="I224" i="4"/>
  <c r="G224" i="4"/>
  <c r="F224" i="4"/>
  <c r="E224" i="4"/>
  <c r="D224" i="4"/>
  <c r="B224" i="4"/>
  <c r="O223" i="4"/>
  <c r="M223" i="4"/>
  <c r="K223" i="4"/>
  <c r="I223" i="4"/>
  <c r="G223" i="4"/>
  <c r="F223" i="4"/>
  <c r="E223" i="4"/>
  <c r="D223" i="4"/>
  <c r="B223" i="4"/>
  <c r="O222" i="4"/>
  <c r="M222" i="4"/>
  <c r="K222" i="4"/>
  <c r="I222" i="4"/>
  <c r="G222" i="4"/>
  <c r="F222" i="4"/>
  <c r="E222" i="4"/>
  <c r="D222" i="4"/>
  <c r="B222" i="4"/>
  <c r="O221" i="4"/>
  <c r="M221" i="4"/>
  <c r="K221" i="4"/>
  <c r="I221" i="4"/>
  <c r="G221" i="4"/>
  <c r="F221" i="4"/>
  <c r="E221" i="4"/>
  <c r="D221" i="4"/>
  <c r="B221" i="4"/>
  <c r="O220" i="4"/>
  <c r="M220" i="4"/>
  <c r="K220" i="4"/>
  <c r="I220" i="4"/>
  <c r="G220" i="4"/>
  <c r="F220" i="4"/>
  <c r="E220" i="4"/>
  <c r="D220" i="4"/>
  <c r="B220" i="4"/>
  <c r="O219" i="4"/>
  <c r="M219" i="4"/>
  <c r="K219" i="4"/>
  <c r="I219" i="4"/>
  <c r="G219" i="4"/>
  <c r="F219" i="4"/>
  <c r="E219" i="4"/>
  <c r="D219" i="4"/>
  <c r="B219" i="4"/>
  <c r="O218" i="4"/>
  <c r="M218" i="4"/>
  <c r="K218" i="4"/>
  <c r="I218" i="4"/>
  <c r="G218" i="4"/>
  <c r="F218" i="4"/>
  <c r="E218" i="4"/>
  <c r="D218" i="4"/>
  <c r="B218" i="4"/>
  <c r="O217" i="4"/>
  <c r="M217" i="4"/>
  <c r="K217" i="4"/>
  <c r="I217" i="4"/>
  <c r="G217" i="4"/>
  <c r="F217" i="4"/>
  <c r="E217" i="4"/>
  <c r="D217" i="4"/>
  <c r="B217" i="4"/>
  <c r="O216" i="4"/>
  <c r="M216" i="4"/>
  <c r="K216" i="4"/>
  <c r="I216" i="4"/>
  <c r="G216" i="4"/>
  <c r="F216" i="4"/>
  <c r="E216" i="4"/>
  <c r="D216" i="4"/>
  <c r="B216" i="4"/>
  <c r="O215" i="4"/>
  <c r="M215" i="4"/>
  <c r="K215" i="4"/>
  <c r="I215" i="4"/>
  <c r="G215" i="4"/>
  <c r="F215" i="4"/>
  <c r="E215" i="4"/>
  <c r="D215" i="4"/>
  <c r="B215" i="4"/>
  <c r="O214" i="4"/>
  <c r="M214" i="4"/>
  <c r="K214" i="4"/>
  <c r="I214" i="4"/>
  <c r="G214" i="4"/>
  <c r="F214" i="4"/>
  <c r="E214" i="4"/>
  <c r="D214" i="4"/>
  <c r="B214" i="4"/>
  <c r="O213" i="4"/>
  <c r="M213" i="4"/>
  <c r="K213" i="4"/>
  <c r="I213" i="4"/>
  <c r="G213" i="4"/>
  <c r="F213" i="4"/>
  <c r="E213" i="4"/>
  <c r="D213" i="4"/>
  <c r="B213" i="4"/>
  <c r="O212" i="4"/>
  <c r="M212" i="4"/>
  <c r="K212" i="4"/>
  <c r="I212" i="4"/>
  <c r="G212" i="4"/>
  <c r="F212" i="4"/>
  <c r="E212" i="4"/>
  <c r="D212" i="4"/>
  <c r="B212" i="4"/>
  <c r="O211" i="4"/>
  <c r="M211" i="4"/>
  <c r="K211" i="4"/>
  <c r="I211" i="4"/>
  <c r="G211" i="4"/>
  <c r="F211" i="4"/>
  <c r="E211" i="4"/>
  <c r="D211" i="4"/>
  <c r="B211" i="4"/>
  <c r="O210" i="4"/>
  <c r="M210" i="4"/>
  <c r="K210" i="4"/>
  <c r="I210" i="4"/>
  <c r="G210" i="4"/>
  <c r="F210" i="4"/>
  <c r="E210" i="4"/>
  <c r="D210" i="4"/>
  <c r="B210" i="4"/>
  <c r="O209" i="4"/>
  <c r="M209" i="4"/>
  <c r="K209" i="4"/>
  <c r="I209" i="4"/>
  <c r="G209" i="4"/>
  <c r="F209" i="4"/>
  <c r="E209" i="4"/>
  <c r="D209" i="4"/>
  <c r="B209" i="4"/>
  <c r="O208" i="4"/>
  <c r="M208" i="4"/>
  <c r="K208" i="4"/>
  <c r="I208" i="4"/>
  <c r="G208" i="4"/>
  <c r="F208" i="4"/>
  <c r="E208" i="4"/>
  <c r="D208" i="4"/>
  <c r="B208" i="4"/>
  <c r="O207" i="4"/>
  <c r="M207" i="4"/>
  <c r="K207" i="4"/>
  <c r="I207" i="4"/>
  <c r="G207" i="4"/>
  <c r="F207" i="4"/>
  <c r="E207" i="4"/>
  <c r="D207" i="4"/>
  <c r="B207" i="4"/>
  <c r="O206" i="4"/>
  <c r="M206" i="4"/>
  <c r="K206" i="4"/>
  <c r="I206" i="4"/>
  <c r="G206" i="4"/>
  <c r="F206" i="4"/>
  <c r="E206" i="4"/>
  <c r="D206" i="4"/>
  <c r="B206" i="4"/>
  <c r="O205" i="4"/>
  <c r="M205" i="4"/>
  <c r="K205" i="4"/>
  <c r="I205" i="4"/>
  <c r="G205" i="4"/>
  <c r="F205" i="4"/>
  <c r="E205" i="4"/>
  <c r="D205" i="4"/>
  <c r="B205" i="4"/>
  <c r="O204" i="4"/>
  <c r="M204" i="4"/>
  <c r="K204" i="4"/>
  <c r="I204" i="4"/>
  <c r="G204" i="4"/>
  <c r="F204" i="4"/>
  <c r="E204" i="4"/>
  <c r="D204" i="4"/>
  <c r="B204" i="4"/>
  <c r="O203" i="4"/>
  <c r="M203" i="4"/>
  <c r="K203" i="4"/>
  <c r="I203" i="4"/>
  <c r="G203" i="4"/>
  <c r="F203" i="4"/>
  <c r="E203" i="4"/>
  <c r="D203" i="4"/>
  <c r="B203" i="4"/>
  <c r="O202" i="4"/>
  <c r="M202" i="4"/>
  <c r="K202" i="4"/>
  <c r="I202" i="4"/>
  <c r="G202" i="4"/>
  <c r="F202" i="4"/>
  <c r="E202" i="4"/>
  <c r="D202" i="4"/>
  <c r="B202" i="4"/>
  <c r="O201" i="4"/>
  <c r="M201" i="4"/>
  <c r="K201" i="4"/>
  <c r="I201" i="4"/>
  <c r="G201" i="4"/>
  <c r="F201" i="4"/>
  <c r="E201" i="4"/>
  <c r="D201" i="4"/>
  <c r="B201" i="4"/>
  <c r="O200" i="4"/>
  <c r="M200" i="4"/>
  <c r="K200" i="4"/>
  <c r="I200" i="4"/>
  <c r="G200" i="4"/>
  <c r="F200" i="4"/>
  <c r="E200" i="4"/>
  <c r="D200" i="4"/>
  <c r="B200" i="4"/>
  <c r="O199" i="4"/>
  <c r="M199" i="4"/>
  <c r="K199" i="4"/>
  <c r="I199" i="4"/>
  <c r="G199" i="4"/>
  <c r="F199" i="4"/>
  <c r="E199" i="4"/>
  <c r="D199" i="4"/>
  <c r="B199" i="4"/>
  <c r="O198" i="4"/>
  <c r="M198" i="4"/>
  <c r="K198" i="4"/>
  <c r="I198" i="4"/>
  <c r="G198" i="4"/>
  <c r="F198" i="4"/>
  <c r="E198" i="4"/>
  <c r="D198" i="4"/>
  <c r="B198" i="4"/>
  <c r="O197" i="4"/>
  <c r="M197" i="4"/>
  <c r="K197" i="4"/>
  <c r="I197" i="4"/>
  <c r="G197" i="4"/>
  <c r="F197" i="4"/>
  <c r="E197" i="4"/>
  <c r="D197" i="4"/>
  <c r="B197" i="4"/>
  <c r="O196" i="4"/>
  <c r="M196" i="4"/>
  <c r="K196" i="4"/>
  <c r="I196" i="4"/>
  <c r="G196" i="4"/>
  <c r="F196" i="4"/>
  <c r="E196" i="4"/>
  <c r="D196" i="4"/>
  <c r="B196" i="4"/>
  <c r="O195" i="4"/>
  <c r="M195" i="4"/>
  <c r="K195" i="4"/>
  <c r="I195" i="4"/>
  <c r="G195" i="4"/>
  <c r="F195" i="4"/>
  <c r="E195" i="4"/>
  <c r="D195" i="4"/>
  <c r="B195" i="4"/>
  <c r="O194" i="4"/>
  <c r="M194" i="4"/>
  <c r="K194" i="4"/>
  <c r="I194" i="4"/>
  <c r="G194" i="4"/>
  <c r="F194" i="4"/>
  <c r="E194" i="4"/>
  <c r="D194" i="4"/>
  <c r="B194" i="4"/>
  <c r="O193" i="4"/>
  <c r="M193" i="4"/>
  <c r="K193" i="4"/>
  <c r="I193" i="4"/>
  <c r="G193" i="4"/>
  <c r="F193" i="4"/>
  <c r="E193" i="4"/>
  <c r="D193" i="4"/>
  <c r="B193" i="4"/>
  <c r="O192" i="4"/>
  <c r="M192" i="4"/>
  <c r="K192" i="4"/>
  <c r="I192" i="4"/>
  <c r="G192" i="4"/>
  <c r="F192" i="4"/>
  <c r="E192" i="4"/>
  <c r="D192" i="4"/>
  <c r="B192" i="4"/>
  <c r="O191" i="4"/>
  <c r="M191" i="4"/>
  <c r="K191" i="4"/>
  <c r="I191" i="4"/>
  <c r="G191" i="4"/>
  <c r="F191" i="4"/>
  <c r="E191" i="4"/>
  <c r="D191" i="4"/>
  <c r="B191" i="4"/>
  <c r="O190" i="4"/>
  <c r="M190" i="4"/>
  <c r="K190" i="4"/>
  <c r="I190" i="4"/>
  <c r="G190" i="4"/>
  <c r="F190" i="4"/>
  <c r="E190" i="4"/>
  <c r="D190" i="4"/>
  <c r="B190" i="4"/>
  <c r="O189" i="4"/>
  <c r="M189" i="4"/>
  <c r="K189" i="4"/>
  <c r="I189" i="4"/>
  <c r="G189" i="4"/>
  <c r="F189" i="4"/>
  <c r="E189" i="4"/>
  <c r="D189" i="4"/>
  <c r="B189" i="4"/>
  <c r="O188" i="4"/>
  <c r="M188" i="4"/>
  <c r="K188" i="4"/>
  <c r="I188" i="4"/>
  <c r="G188" i="4"/>
  <c r="F188" i="4"/>
  <c r="E188" i="4"/>
  <c r="D188" i="4"/>
  <c r="B188" i="4"/>
  <c r="O187" i="4"/>
  <c r="M187" i="4"/>
  <c r="K187" i="4"/>
  <c r="I187" i="4"/>
  <c r="G187" i="4"/>
  <c r="F187" i="4"/>
  <c r="E187" i="4"/>
  <c r="D187" i="4"/>
  <c r="B187" i="4"/>
  <c r="O186" i="4"/>
  <c r="M186" i="4"/>
  <c r="K186" i="4"/>
  <c r="I186" i="4"/>
  <c r="G186" i="4"/>
  <c r="F186" i="4"/>
  <c r="E186" i="4"/>
  <c r="D186" i="4"/>
  <c r="B186" i="4"/>
  <c r="O185" i="4"/>
  <c r="M185" i="4"/>
  <c r="K185" i="4"/>
  <c r="I185" i="4"/>
  <c r="G185" i="4"/>
  <c r="F185" i="4"/>
  <c r="E185" i="4"/>
  <c r="D185" i="4"/>
  <c r="B185" i="4"/>
  <c r="O184" i="4"/>
  <c r="M184" i="4"/>
  <c r="K184" i="4"/>
  <c r="I184" i="4"/>
  <c r="G184" i="4"/>
  <c r="F184" i="4"/>
  <c r="E184" i="4"/>
  <c r="D184" i="4"/>
  <c r="B184" i="4"/>
  <c r="O183" i="4"/>
  <c r="M183" i="4"/>
  <c r="K183" i="4"/>
  <c r="I183" i="4"/>
  <c r="G183" i="4"/>
  <c r="F183" i="4"/>
  <c r="E183" i="4"/>
  <c r="D183" i="4"/>
  <c r="B183" i="4"/>
  <c r="O182" i="4"/>
  <c r="M182" i="4"/>
  <c r="K182" i="4"/>
  <c r="I182" i="4"/>
  <c r="G182" i="4"/>
  <c r="F182" i="4"/>
  <c r="E182" i="4"/>
  <c r="D182" i="4"/>
  <c r="B182" i="4"/>
  <c r="O181" i="4"/>
  <c r="M181" i="4"/>
  <c r="K181" i="4"/>
  <c r="I181" i="4"/>
  <c r="G181" i="4"/>
  <c r="F181" i="4"/>
  <c r="E181" i="4"/>
  <c r="D181" i="4"/>
  <c r="B181" i="4"/>
  <c r="O180" i="4"/>
  <c r="M180" i="4"/>
  <c r="K180" i="4"/>
  <c r="I180" i="4"/>
  <c r="G180" i="4"/>
  <c r="F180" i="4"/>
  <c r="E180" i="4"/>
  <c r="D180" i="4"/>
  <c r="B180" i="4"/>
  <c r="O179" i="4"/>
  <c r="M179" i="4"/>
  <c r="K179" i="4"/>
  <c r="I179" i="4"/>
  <c r="G179" i="4"/>
  <c r="F179" i="4"/>
  <c r="E179" i="4"/>
  <c r="D179" i="4"/>
  <c r="B179" i="4"/>
  <c r="O178" i="4"/>
  <c r="M178" i="4"/>
  <c r="K178" i="4"/>
  <c r="I178" i="4"/>
  <c r="G178" i="4"/>
  <c r="F178" i="4"/>
  <c r="E178" i="4"/>
  <c r="D178" i="4"/>
  <c r="B178" i="4"/>
  <c r="O177" i="4"/>
  <c r="M177" i="4"/>
  <c r="K177" i="4"/>
  <c r="I177" i="4"/>
  <c r="G177" i="4"/>
  <c r="F177" i="4"/>
  <c r="E177" i="4"/>
  <c r="D177" i="4"/>
  <c r="B177" i="4"/>
  <c r="O176" i="4"/>
  <c r="M176" i="4"/>
  <c r="K176" i="4"/>
  <c r="I176" i="4"/>
  <c r="G176" i="4"/>
  <c r="F176" i="4"/>
  <c r="E176" i="4"/>
  <c r="D176" i="4"/>
  <c r="B176" i="4"/>
  <c r="O175" i="4"/>
  <c r="M175" i="4"/>
  <c r="K175" i="4"/>
  <c r="I175" i="4"/>
  <c r="G175" i="4"/>
  <c r="F175" i="4"/>
  <c r="E175" i="4"/>
  <c r="D175" i="4"/>
  <c r="B175" i="4"/>
  <c r="O174" i="4"/>
  <c r="M174" i="4"/>
  <c r="K174" i="4"/>
  <c r="I174" i="4"/>
  <c r="G174" i="4"/>
  <c r="F174" i="4"/>
  <c r="E174" i="4"/>
  <c r="D174" i="4"/>
  <c r="B174" i="4"/>
  <c r="O173" i="4"/>
  <c r="M173" i="4"/>
  <c r="K173" i="4"/>
  <c r="I173" i="4"/>
  <c r="G173" i="4"/>
  <c r="F173" i="4"/>
  <c r="E173" i="4"/>
  <c r="D173" i="4"/>
  <c r="B173" i="4"/>
  <c r="O172" i="4"/>
  <c r="M172" i="4"/>
  <c r="K172" i="4"/>
  <c r="I172" i="4"/>
  <c r="G172" i="4"/>
  <c r="F172" i="4"/>
  <c r="E172" i="4"/>
  <c r="D172" i="4"/>
  <c r="B172" i="4"/>
  <c r="O171" i="4"/>
  <c r="M171" i="4"/>
  <c r="K171" i="4"/>
  <c r="I171" i="4"/>
  <c r="G171" i="4"/>
  <c r="F171" i="4"/>
  <c r="E171" i="4"/>
  <c r="D171" i="4"/>
  <c r="B171" i="4"/>
  <c r="O170" i="4"/>
  <c r="M170" i="4"/>
  <c r="K170" i="4"/>
  <c r="I170" i="4"/>
  <c r="G170" i="4"/>
  <c r="F170" i="4"/>
  <c r="E170" i="4"/>
  <c r="D170" i="4"/>
  <c r="B170" i="4"/>
  <c r="O169" i="4"/>
  <c r="M169" i="4"/>
  <c r="K169" i="4"/>
  <c r="I169" i="4"/>
  <c r="G169" i="4"/>
  <c r="F169" i="4"/>
  <c r="E169" i="4"/>
  <c r="D169" i="4"/>
  <c r="B169" i="4"/>
  <c r="O168" i="4"/>
  <c r="M168" i="4"/>
  <c r="K168" i="4"/>
  <c r="I168" i="4"/>
  <c r="G168" i="4"/>
  <c r="F168" i="4"/>
  <c r="E168" i="4"/>
  <c r="D168" i="4"/>
  <c r="B168" i="4"/>
  <c r="O167" i="4"/>
  <c r="M167" i="4"/>
  <c r="K167" i="4"/>
  <c r="I167" i="4"/>
  <c r="G167" i="4"/>
  <c r="F167" i="4"/>
  <c r="E167" i="4"/>
  <c r="D167" i="4"/>
  <c r="B167" i="4"/>
  <c r="O166" i="4"/>
  <c r="M166" i="4"/>
  <c r="K166" i="4"/>
  <c r="I166" i="4"/>
  <c r="G166" i="4"/>
  <c r="F166" i="4"/>
  <c r="E166" i="4"/>
  <c r="D166" i="4"/>
  <c r="B166" i="4"/>
  <c r="O165" i="4"/>
  <c r="M165" i="4"/>
  <c r="K165" i="4"/>
  <c r="I165" i="4"/>
  <c r="G165" i="4"/>
  <c r="F165" i="4"/>
  <c r="E165" i="4"/>
  <c r="D165" i="4"/>
  <c r="B165" i="4"/>
  <c r="O164" i="4"/>
  <c r="M164" i="4"/>
  <c r="K164" i="4"/>
  <c r="I164" i="4"/>
  <c r="G164" i="4"/>
  <c r="F164" i="4"/>
  <c r="E164" i="4"/>
  <c r="D164" i="4"/>
  <c r="B164" i="4"/>
  <c r="O163" i="4"/>
  <c r="M163" i="4"/>
  <c r="K163" i="4"/>
  <c r="I163" i="4"/>
  <c r="G163" i="4"/>
  <c r="F163" i="4"/>
  <c r="E163" i="4"/>
  <c r="D163" i="4"/>
  <c r="B163" i="4"/>
  <c r="O162" i="4"/>
  <c r="M162" i="4"/>
  <c r="K162" i="4"/>
  <c r="I162" i="4"/>
  <c r="G162" i="4"/>
  <c r="F162" i="4"/>
  <c r="E162" i="4"/>
  <c r="D162" i="4"/>
  <c r="B162" i="4"/>
  <c r="O161" i="4"/>
  <c r="M161" i="4"/>
  <c r="K161" i="4"/>
  <c r="I161" i="4"/>
  <c r="G161" i="4"/>
  <c r="F161" i="4"/>
  <c r="E161" i="4"/>
  <c r="D161" i="4"/>
  <c r="B161" i="4"/>
  <c r="O160" i="4"/>
  <c r="M160" i="4"/>
  <c r="K160" i="4"/>
  <c r="I160" i="4"/>
  <c r="G160" i="4"/>
  <c r="F160" i="4"/>
  <c r="E160" i="4"/>
  <c r="D160" i="4"/>
  <c r="B160" i="4"/>
  <c r="O159" i="4"/>
  <c r="M159" i="4"/>
  <c r="K159" i="4"/>
  <c r="I159" i="4"/>
  <c r="G159" i="4"/>
  <c r="F159" i="4"/>
  <c r="E159" i="4"/>
  <c r="D159" i="4"/>
  <c r="B159" i="4"/>
  <c r="O158" i="4"/>
  <c r="M158" i="4"/>
  <c r="K158" i="4"/>
  <c r="I158" i="4"/>
  <c r="G158" i="4"/>
  <c r="F158" i="4"/>
  <c r="E158" i="4"/>
  <c r="D158" i="4"/>
  <c r="B158" i="4"/>
  <c r="O157" i="4"/>
  <c r="M157" i="4"/>
  <c r="K157" i="4"/>
  <c r="I157" i="4"/>
  <c r="G157" i="4"/>
  <c r="F157" i="4"/>
  <c r="E157" i="4"/>
  <c r="D157" i="4"/>
  <c r="B157" i="4"/>
  <c r="O156" i="4"/>
  <c r="M156" i="4"/>
  <c r="K156" i="4"/>
  <c r="I156" i="4"/>
  <c r="G156" i="4"/>
  <c r="F156" i="4"/>
  <c r="E156" i="4"/>
  <c r="D156" i="4"/>
  <c r="B156" i="4"/>
  <c r="O155" i="4"/>
  <c r="M155" i="4"/>
  <c r="K155" i="4"/>
  <c r="I155" i="4"/>
  <c r="G155" i="4"/>
  <c r="F155" i="4"/>
  <c r="E155" i="4"/>
  <c r="D155" i="4"/>
  <c r="B155" i="4"/>
  <c r="O154" i="4"/>
  <c r="M154" i="4"/>
  <c r="K154" i="4"/>
  <c r="I154" i="4"/>
  <c r="G154" i="4"/>
  <c r="F154" i="4"/>
  <c r="E154" i="4"/>
  <c r="D154" i="4"/>
  <c r="B154" i="4"/>
  <c r="O153" i="4"/>
  <c r="M153" i="4"/>
  <c r="K153" i="4"/>
  <c r="I153" i="4"/>
  <c r="G153" i="4"/>
  <c r="F153" i="4"/>
  <c r="E153" i="4"/>
  <c r="D153" i="4"/>
  <c r="B153" i="4"/>
  <c r="O152" i="4"/>
  <c r="M152" i="4"/>
  <c r="K152" i="4"/>
  <c r="I152" i="4"/>
  <c r="G152" i="4"/>
  <c r="F152" i="4"/>
  <c r="E152" i="4"/>
  <c r="D152" i="4"/>
  <c r="B152" i="4"/>
  <c r="O151" i="4"/>
  <c r="M151" i="4"/>
  <c r="K151" i="4"/>
  <c r="I151" i="4"/>
  <c r="G151" i="4"/>
  <c r="F151" i="4"/>
  <c r="E151" i="4"/>
  <c r="D151" i="4"/>
  <c r="B151" i="4"/>
  <c r="O150" i="4"/>
  <c r="M150" i="4"/>
  <c r="K150" i="4"/>
  <c r="I150" i="4"/>
  <c r="G150" i="4"/>
  <c r="F150" i="4"/>
  <c r="E150" i="4"/>
  <c r="D150" i="4"/>
  <c r="B150" i="4"/>
  <c r="O149" i="4"/>
  <c r="M149" i="4"/>
  <c r="K149" i="4"/>
  <c r="I149" i="4"/>
  <c r="G149" i="4"/>
  <c r="F149" i="4"/>
  <c r="E149" i="4"/>
  <c r="D149" i="4"/>
  <c r="B149" i="4"/>
  <c r="O148" i="4"/>
  <c r="M148" i="4"/>
  <c r="K148" i="4"/>
  <c r="I148" i="4"/>
  <c r="G148" i="4"/>
  <c r="F148" i="4"/>
  <c r="E148" i="4"/>
  <c r="D148" i="4"/>
  <c r="B148" i="4"/>
  <c r="O147" i="4"/>
  <c r="M147" i="4"/>
  <c r="K147" i="4"/>
  <c r="I147" i="4"/>
  <c r="G147" i="4"/>
  <c r="F147" i="4"/>
  <c r="E147" i="4"/>
  <c r="D147" i="4"/>
  <c r="B147" i="4"/>
  <c r="O146" i="4"/>
  <c r="M146" i="4"/>
  <c r="K146" i="4"/>
  <c r="I146" i="4"/>
  <c r="G146" i="4"/>
  <c r="F146" i="4"/>
  <c r="E146" i="4"/>
  <c r="D146" i="4"/>
  <c r="B146" i="4"/>
  <c r="O145" i="4"/>
  <c r="M145" i="4"/>
  <c r="K145" i="4"/>
  <c r="I145" i="4"/>
  <c r="G145" i="4"/>
  <c r="F145" i="4"/>
  <c r="E145" i="4"/>
  <c r="D145" i="4"/>
  <c r="B145" i="4"/>
  <c r="O144" i="4"/>
  <c r="M144" i="4"/>
  <c r="K144" i="4"/>
  <c r="I144" i="4"/>
  <c r="G144" i="4"/>
  <c r="F144" i="4"/>
  <c r="E144" i="4"/>
  <c r="D144" i="4"/>
  <c r="B144" i="4"/>
  <c r="O143" i="4"/>
  <c r="M143" i="4"/>
  <c r="K143" i="4"/>
  <c r="I143" i="4"/>
  <c r="G143" i="4"/>
  <c r="F143" i="4"/>
  <c r="E143" i="4"/>
  <c r="D143" i="4"/>
  <c r="B143" i="4"/>
  <c r="O142" i="4"/>
  <c r="M142" i="4"/>
  <c r="K142" i="4"/>
  <c r="I142" i="4"/>
  <c r="G142" i="4"/>
  <c r="F142" i="4"/>
  <c r="E142" i="4"/>
  <c r="D142" i="4"/>
  <c r="B142" i="4"/>
  <c r="O141" i="4"/>
  <c r="M141" i="4"/>
  <c r="K141" i="4"/>
  <c r="I141" i="4"/>
  <c r="G141" i="4"/>
  <c r="F141" i="4"/>
  <c r="E141" i="4"/>
  <c r="D141" i="4"/>
  <c r="B141" i="4"/>
  <c r="O140" i="4"/>
  <c r="M140" i="4"/>
  <c r="K140" i="4"/>
  <c r="I140" i="4"/>
  <c r="G140" i="4"/>
  <c r="F140" i="4"/>
  <c r="E140" i="4"/>
  <c r="D140" i="4"/>
  <c r="B140" i="4"/>
  <c r="O139" i="4"/>
  <c r="M139" i="4"/>
  <c r="K139" i="4"/>
  <c r="I139" i="4"/>
  <c r="G139" i="4"/>
  <c r="F139" i="4"/>
  <c r="E139" i="4"/>
  <c r="D139" i="4"/>
  <c r="B139" i="4"/>
  <c r="O138" i="4"/>
  <c r="M138" i="4"/>
  <c r="K138" i="4"/>
  <c r="I138" i="4"/>
  <c r="G138" i="4"/>
  <c r="F138" i="4"/>
  <c r="E138" i="4"/>
  <c r="D138" i="4"/>
  <c r="B138" i="4"/>
  <c r="O137" i="4"/>
  <c r="M137" i="4"/>
  <c r="K137" i="4"/>
  <c r="I137" i="4"/>
  <c r="G137" i="4"/>
  <c r="F137" i="4"/>
  <c r="E137" i="4"/>
  <c r="D137" i="4"/>
  <c r="B137" i="4"/>
  <c r="O136" i="4"/>
  <c r="M136" i="4"/>
  <c r="K136" i="4"/>
  <c r="I136" i="4"/>
  <c r="G136" i="4"/>
  <c r="F136" i="4"/>
  <c r="E136" i="4"/>
  <c r="D136" i="4"/>
  <c r="B136" i="4"/>
  <c r="O135" i="4"/>
  <c r="M135" i="4"/>
  <c r="K135" i="4"/>
  <c r="I135" i="4"/>
  <c r="G135" i="4"/>
  <c r="F135" i="4"/>
  <c r="E135" i="4"/>
  <c r="D135" i="4"/>
  <c r="B135" i="4"/>
  <c r="O134" i="4"/>
  <c r="M134" i="4"/>
  <c r="K134" i="4"/>
  <c r="I134" i="4"/>
  <c r="G134" i="4"/>
  <c r="F134" i="4"/>
  <c r="E134" i="4"/>
  <c r="D134" i="4"/>
  <c r="B134" i="4"/>
  <c r="O133" i="4"/>
  <c r="M133" i="4"/>
  <c r="K133" i="4"/>
  <c r="I133" i="4"/>
  <c r="G133" i="4"/>
  <c r="F133" i="4"/>
  <c r="E133" i="4"/>
  <c r="D133" i="4"/>
  <c r="B133" i="4"/>
  <c r="O132" i="4"/>
  <c r="M132" i="4"/>
  <c r="K132" i="4"/>
  <c r="I132" i="4"/>
  <c r="G132" i="4"/>
  <c r="F132" i="4"/>
  <c r="E132" i="4"/>
  <c r="D132" i="4"/>
  <c r="B132" i="4"/>
  <c r="O131" i="4"/>
  <c r="M131" i="4"/>
  <c r="K131" i="4"/>
  <c r="I131" i="4"/>
  <c r="G131" i="4"/>
  <c r="F131" i="4"/>
  <c r="E131" i="4"/>
  <c r="D131" i="4"/>
  <c r="B131" i="4"/>
  <c r="O130" i="4"/>
  <c r="M130" i="4"/>
  <c r="K130" i="4"/>
  <c r="I130" i="4"/>
  <c r="G130" i="4"/>
  <c r="F130" i="4"/>
  <c r="E130" i="4"/>
  <c r="D130" i="4"/>
  <c r="B130" i="4"/>
  <c r="O129" i="4"/>
  <c r="M129" i="4"/>
  <c r="K129" i="4"/>
  <c r="I129" i="4"/>
  <c r="G129" i="4"/>
  <c r="F129" i="4"/>
  <c r="E129" i="4"/>
  <c r="D129" i="4"/>
  <c r="B129" i="4"/>
  <c r="O128" i="4"/>
  <c r="M128" i="4"/>
  <c r="K128" i="4"/>
  <c r="I128" i="4"/>
  <c r="G128" i="4"/>
  <c r="F128" i="4"/>
  <c r="E128" i="4"/>
  <c r="D128" i="4"/>
  <c r="B128" i="4"/>
  <c r="O127" i="4"/>
  <c r="M127" i="4"/>
  <c r="K127" i="4"/>
  <c r="I127" i="4"/>
  <c r="G127" i="4"/>
  <c r="F127" i="4"/>
  <c r="E127" i="4"/>
  <c r="D127" i="4"/>
  <c r="B127" i="4"/>
  <c r="O126" i="4"/>
  <c r="M126" i="4"/>
  <c r="K126" i="4"/>
  <c r="I126" i="4"/>
  <c r="G126" i="4"/>
  <c r="F126" i="4"/>
  <c r="E126" i="4"/>
  <c r="D126" i="4"/>
  <c r="B126" i="4"/>
  <c r="O125" i="4"/>
  <c r="M125" i="4"/>
  <c r="K125" i="4"/>
  <c r="I125" i="4"/>
  <c r="G125" i="4"/>
  <c r="F125" i="4"/>
  <c r="E125" i="4"/>
  <c r="D125" i="4"/>
  <c r="B125" i="4"/>
  <c r="O124" i="4"/>
  <c r="M124" i="4"/>
  <c r="K124" i="4"/>
  <c r="I124" i="4"/>
  <c r="G124" i="4"/>
  <c r="F124" i="4"/>
  <c r="E124" i="4"/>
  <c r="D124" i="4"/>
  <c r="B124" i="4"/>
  <c r="O123" i="4"/>
  <c r="M123" i="4"/>
  <c r="K123" i="4"/>
  <c r="I123" i="4"/>
  <c r="G123" i="4"/>
  <c r="F123" i="4"/>
  <c r="E123" i="4"/>
  <c r="D123" i="4"/>
  <c r="B123" i="4"/>
  <c r="O122" i="4"/>
  <c r="M122" i="4"/>
  <c r="K122" i="4"/>
  <c r="I122" i="4"/>
  <c r="G122" i="4"/>
  <c r="F122" i="4"/>
  <c r="E122" i="4"/>
  <c r="D122" i="4"/>
  <c r="B122" i="4"/>
  <c r="O121" i="4"/>
  <c r="M121" i="4"/>
  <c r="K121" i="4"/>
  <c r="I121" i="4"/>
  <c r="G121" i="4"/>
  <c r="F121" i="4"/>
  <c r="E121" i="4"/>
  <c r="D121" i="4"/>
  <c r="B121" i="4"/>
  <c r="O120" i="4"/>
  <c r="M120" i="4"/>
  <c r="K120" i="4"/>
  <c r="I120" i="4"/>
  <c r="G120" i="4"/>
  <c r="F120" i="4"/>
  <c r="E120" i="4"/>
  <c r="D120" i="4"/>
  <c r="B120" i="4"/>
  <c r="O119" i="4"/>
  <c r="M119" i="4"/>
  <c r="K119" i="4"/>
  <c r="I119" i="4"/>
  <c r="G119" i="4"/>
  <c r="F119" i="4"/>
  <c r="E119" i="4"/>
  <c r="D119" i="4"/>
  <c r="B119" i="4"/>
  <c r="O118" i="4"/>
  <c r="M118" i="4"/>
  <c r="K118" i="4"/>
  <c r="I118" i="4"/>
  <c r="G118" i="4"/>
  <c r="F118" i="4"/>
  <c r="E118" i="4"/>
  <c r="D118" i="4"/>
  <c r="B118" i="4"/>
  <c r="O117" i="4"/>
  <c r="M117" i="4"/>
  <c r="K117" i="4"/>
  <c r="I117" i="4"/>
  <c r="G117" i="4"/>
  <c r="F117" i="4"/>
  <c r="E117" i="4"/>
  <c r="D117" i="4"/>
  <c r="B117" i="4"/>
  <c r="O116" i="4"/>
  <c r="M116" i="4"/>
  <c r="K116" i="4"/>
  <c r="I116" i="4"/>
  <c r="G116" i="4"/>
  <c r="F116" i="4"/>
  <c r="E116" i="4"/>
  <c r="D116" i="4"/>
  <c r="B116" i="4"/>
  <c r="O115" i="4"/>
  <c r="M115" i="4"/>
  <c r="K115" i="4"/>
  <c r="I115" i="4"/>
  <c r="G115" i="4"/>
  <c r="F115" i="4"/>
  <c r="E115" i="4"/>
  <c r="D115" i="4"/>
  <c r="B115" i="4"/>
  <c r="O114" i="4"/>
  <c r="M114" i="4"/>
  <c r="K114" i="4"/>
  <c r="I114" i="4"/>
  <c r="G114" i="4"/>
  <c r="F114" i="4"/>
  <c r="E114" i="4"/>
  <c r="D114" i="4"/>
  <c r="B114" i="4"/>
  <c r="O113" i="4"/>
  <c r="M113" i="4"/>
  <c r="K113" i="4"/>
  <c r="I113" i="4"/>
  <c r="G113" i="4"/>
  <c r="F113" i="4"/>
  <c r="E113" i="4"/>
  <c r="D113" i="4"/>
  <c r="B113" i="4"/>
  <c r="O112" i="4"/>
  <c r="M112" i="4"/>
  <c r="K112" i="4"/>
  <c r="I112" i="4"/>
  <c r="G112" i="4"/>
  <c r="F112" i="4"/>
  <c r="E112" i="4"/>
  <c r="D112" i="4"/>
  <c r="B112" i="4"/>
  <c r="O111" i="4"/>
  <c r="M111" i="4"/>
  <c r="K111" i="4"/>
  <c r="I111" i="4"/>
  <c r="G111" i="4"/>
  <c r="F111" i="4"/>
  <c r="E111" i="4"/>
  <c r="D111" i="4"/>
  <c r="B111" i="4"/>
  <c r="O110" i="4"/>
  <c r="M110" i="4"/>
  <c r="K110" i="4"/>
  <c r="I110" i="4"/>
  <c r="G110" i="4"/>
  <c r="F110" i="4"/>
  <c r="E110" i="4"/>
  <c r="D110" i="4"/>
  <c r="B110" i="4"/>
  <c r="O109" i="4"/>
  <c r="M109" i="4"/>
  <c r="K109" i="4"/>
  <c r="I109" i="4"/>
  <c r="G109" i="4"/>
  <c r="F109" i="4"/>
  <c r="E109" i="4"/>
  <c r="D109" i="4"/>
  <c r="B109" i="4"/>
  <c r="O108" i="4"/>
  <c r="M108" i="4"/>
  <c r="K108" i="4"/>
  <c r="I108" i="4"/>
  <c r="G108" i="4"/>
  <c r="F108" i="4"/>
  <c r="E108" i="4"/>
  <c r="D108" i="4"/>
  <c r="B108" i="4"/>
  <c r="O107" i="4"/>
  <c r="M107" i="4"/>
  <c r="K107" i="4"/>
  <c r="I107" i="4"/>
  <c r="G107" i="4"/>
  <c r="F107" i="4"/>
  <c r="E107" i="4"/>
  <c r="D107" i="4"/>
  <c r="B107" i="4"/>
  <c r="O106" i="4"/>
  <c r="M106" i="4"/>
  <c r="K106" i="4"/>
  <c r="I106" i="4"/>
  <c r="G106" i="4"/>
  <c r="F106" i="4"/>
  <c r="E106" i="4"/>
  <c r="D106" i="4"/>
  <c r="B106" i="4"/>
  <c r="O105" i="4"/>
  <c r="M105" i="4"/>
  <c r="K105" i="4"/>
  <c r="I105" i="4"/>
  <c r="G105" i="4"/>
  <c r="F105" i="4"/>
  <c r="E105" i="4"/>
  <c r="D105" i="4"/>
  <c r="B105" i="4"/>
  <c r="O104" i="4"/>
  <c r="M104" i="4"/>
  <c r="K104" i="4"/>
  <c r="I104" i="4"/>
  <c r="G104" i="4"/>
  <c r="F104" i="4"/>
  <c r="E104" i="4"/>
  <c r="D104" i="4"/>
  <c r="B104" i="4"/>
  <c r="O103" i="4"/>
  <c r="M103" i="4"/>
  <c r="K103" i="4"/>
  <c r="I103" i="4"/>
  <c r="G103" i="4"/>
  <c r="F103" i="4"/>
  <c r="E103" i="4"/>
  <c r="D103" i="4"/>
  <c r="B103" i="4"/>
  <c r="O102" i="4"/>
  <c r="M102" i="4"/>
  <c r="K102" i="4"/>
  <c r="I102" i="4"/>
  <c r="G102" i="4"/>
  <c r="F102" i="4"/>
  <c r="E102" i="4"/>
  <c r="D102" i="4"/>
  <c r="B102" i="4"/>
  <c r="O101" i="4"/>
  <c r="M101" i="4"/>
  <c r="K101" i="4"/>
  <c r="I101" i="4"/>
  <c r="G101" i="4"/>
  <c r="F101" i="4"/>
  <c r="E101" i="4"/>
  <c r="D101" i="4"/>
  <c r="B101" i="4"/>
  <c r="O100" i="4"/>
  <c r="M100" i="4"/>
  <c r="K100" i="4"/>
  <c r="I100" i="4"/>
  <c r="G100" i="4"/>
  <c r="F100" i="4"/>
  <c r="E100" i="4"/>
  <c r="D100" i="4"/>
  <c r="B100" i="4"/>
  <c r="O99" i="4"/>
  <c r="M99" i="4"/>
  <c r="K99" i="4"/>
  <c r="I99" i="4"/>
  <c r="G99" i="4"/>
  <c r="F99" i="4"/>
  <c r="E99" i="4"/>
  <c r="D99" i="4"/>
  <c r="B99" i="4"/>
  <c r="O98" i="4"/>
  <c r="M98" i="4"/>
  <c r="K98" i="4"/>
  <c r="I98" i="4"/>
  <c r="G98" i="4"/>
  <c r="F98" i="4"/>
  <c r="E98" i="4"/>
  <c r="D98" i="4"/>
  <c r="B98" i="4"/>
  <c r="O97" i="4"/>
  <c r="M97" i="4"/>
  <c r="K97" i="4"/>
  <c r="I97" i="4"/>
  <c r="G97" i="4"/>
  <c r="F97" i="4"/>
  <c r="E97" i="4"/>
  <c r="D97" i="4"/>
  <c r="B97" i="4"/>
  <c r="O96" i="4"/>
  <c r="M96" i="4"/>
  <c r="K96" i="4"/>
  <c r="I96" i="4"/>
  <c r="G96" i="4"/>
  <c r="F96" i="4"/>
  <c r="E96" i="4"/>
  <c r="D96" i="4"/>
  <c r="B96" i="4"/>
  <c r="O95" i="4"/>
  <c r="M95" i="4"/>
  <c r="K95" i="4"/>
  <c r="I95" i="4"/>
  <c r="G95" i="4"/>
  <c r="F95" i="4"/>
  <c r="E95" i="4"/>
  <c r="D95" i="4"/>
  <c r="B95" i="4"/>
  <c r="O94" i="4"/>
  <c r="M94" i="4"/>
  <c r="K94" i="4"/>
  <c r="I94" i="4"/>
  <c r="G94" i="4"/>
  <c r="F94" i="4"/>
  <c r="E94" i="4"/>
  <c r="D94" i="4"/>
  <c r="B94" i="4"/>
  <c r="O93" i="4"/>
  <c r="M93" i="4"/>
  <c r="K93" i="4"/>
  <c r="I93" i="4"/>
  <c r="G93" i="4"/>
  <c r="F93" i="4"/>
  <c r="E93" i="4"/>
  <c r="D93" i="4"/>
  <c r="B93" i="4"/>
  <c r="O92" i="4"/>
  <c r="M92" i="4"/>
  <c r="K92" i="4"/>
  <c r="I92" i="4"/>
  <c r="G92" i="4"/>
  <c r="F92" i="4"/>
  <c r="E92" i="4"/>
  <c r="D92" i="4"/>
  <c r="B92" i="4"/>
  <c r="O91" i="4"/>
  <c r="M91" i="4"/>
  <c r="K91" i="4"/>
  <c r="I91" i="4"/>
  <c r="G91" i="4"/>
  <c r="F91" i="4"/>
  <c r="E91" i="4"/>
  <c r="D91" i="4"/>
  <c r="B91" i="4"/>
  <c r="O90" i="4"/>
  <c r="M90" i="4"/>
  <c r="K90" i="4"/>
  <c r="I90" i="4"/>
  <c r="G90" i="4"/>
  <c r="F90" i="4"/>
  <c r="E90" i="4"/>
  <c r="D90" i="4"/>
  <c r="B90" i="4"/>
  <c r="O89" i="4"/>
  <c r="M89" i="4"/>
  <c r="K89" i="4"/>
  <c r="I89" i="4"/>
  <c r="G89" i="4"/>
  <c r="F89" i="4"/>
  <c r="E89" i="4"/>
  <c r="D89" i="4"/>
  <c r="B89" i="4"/>
  <c r="O88" i="4"/>
  <c r="M88" i="4"/>
  <c r="K88" i="4"/>
  <c r="I88" i="4"/>
  <c r="G88" i="4"/>
  <c r="F88" i="4"/>
  <c r="E88" i="4"/>
  <c r="D88" i="4"/>
  <c r="B88" i="4"/>
  <c r="O87" i="4"/>
  <c r="M87" i="4"/>
  <c r="K87" i="4"/>
  <c r="I87" i="4"/>
  <c r="G87" i="4"/>
  <c r="F87" i="4"/>
  <c r="E87" i="4"/>
  <c r="D87" i="4"/>
  <c r="B87" i="4"/>
  <c r="O86" i="4"/>
  <c r="M86" i="4"/>
  <c r="K86" i="4"/>
  <c r="I86" i="4"/>
  <c r="G86" i="4"/>
  <c r="F86" i="4"/>
  <c r="E86" i="4"/>
  <c r="D86" i="4"/>
  <c r="B86" i="4"/>
  <c r="O85" i="4"/>
  <c r="M85" i="4"/>
  <c r="K85" i="4"/>
  <c r="I85" i="4"/>
  <c r="G85" i="4"/>
  <c r="F85" i="4"/>
  <c r="E85" i="4"/>
  <c r="D85" i="4"/>
  <c r="B85" i="4"/>
  <c r="O84" i="4"/>
  <c r="M84" i="4"/>
  <c r="K84" i="4"/>
  <c r="I84" i="4"/>
  <c r="G84" i="4"/>
  <c r="F84" i="4"/>
  <c r="E84" i="4"/>
  <c r="D84" i="4"/>
  <c r="B84" i="4"/>
  <c r="O83" i="4"/>
  <c r="M83" i="4"/>
  <c r="K83" i="4"/>
  <c r="I83" i="4"/>
  <c r="G83" i="4"/>
  <c r="F83" i="4"/>
  <c r="E83" i="4"/>
  <c r="D83" i="4"/>
  <c r="B83" i="4"/>
  <c r="O82" i="4"/>
  <c r="M82" i="4"/>
  <c r="K82" i="4"/>
  <c r="I82" i="4"/>
  <c r="G82" i="4"/>
  <c r="F82" i="4"/>
  <c r="E82" i="4"/>
  <c r="D82" i="4"/>
  <c r="B82" i="4"/>
  <c r="O81" i="4"/>
  <c r="M81" i="4"/>
  <c r="K81" i="4"/>
  <c r="I81" i="4"/>
  <c r="G81" i="4"/>
  <c r="F81" i="4"/>
  <c r="E81" i="4"/>
  <c r="D81" i="4"/>
  <c r="B81" i="4"/>
  <c r="O80" i="4"/>
  <c r="M80" i="4"/>
  <c r="K80" i="4"/>
  <c r="I80" i="4"/>
  <c r="G80" i="4"/>
  <c r="F80" i="4"/>
  <c r="E80" i="4"/>
  <c r="D80" i="4"/>
  <c r="B80" i="4"/>
  <c r="O79" i="4"/>
  <c r="M79" i="4"/>
  <c r="K79" i="4"/>
  <c r="I79" i="4"/>
  <c r="G79" i="4"/>
  <c r="F79" i="4"/>
  <c r="E79" i="4"/>
  <c r="D79" i="4"/>
  <c r="B79" i="4"/>
  <c r="O78" i="4"/>
  <c r="M78" i="4"/>
  <c r="K78" i="4"/>
  <c r="I78" i="4"/>
  <c r="G78" i="4"/>
  <c r="F78" i="4"/>
  <c r="E78" i="4"/>
  <c r="D78" i="4"/>
  <c r="B78" i="4"/>
  <c r="O77" i="4"/>
  <c r="M77" i="4"/>
  <c r="K77" i="4"/>
  <c r="I77" i="4"/>
  <c r="G77" i="4"/>
  <c r="F77" i="4"/>
  <c r="E77" i="4"/>
  <c r="D77" i="4"/>
  <c r="B77" i="4"/>
  <c r="O76" i="4"/>
  <c r="M76" i="4"/>
  <c r="K76" i="4"/>
  <c r="I76" i="4"/>
  <c r="G76" i="4"/>
  <c r="F76" i="4"/>
  <c r="E76" i="4"/>
  <c r="D76" i="4"/>
  <c r="B76" i="4"/>
  <c r="O75" i="4"/>
  <c r="M75" i="4"/>
  <c r="K75" i="4"/>
  <c r="I75" i="4"/>
  <c r="G75" i="4"/>
  <c r="F75" i="4"/>
  <c r="E75" i="4"/>
  <c r="D75" i="4"/>
  <c r="B75" i="4"/>
  <c r="O74" i="4"/>
  <c r="M74" i="4"/>
  <c r="K74" i="4"/>
  <c r="I74" i="4"/>
  <c r="G74" i="4"/>
  <c r="F74" i="4"/>
  <c r="E74" i="4"/>
  <c r="D74" i="4"/>
  <c r="B74" i="4"/>
  <c r="O73" i="4"/>
  <c r="M73" i="4"/>
  <c r="K73" i="4"/>
  <c r="I73" i="4"/>
  <c r="G73" i="4"/>
  <c r="F73" i="4"/>
  <c r="E73" i="4"/>
  <c r="D73" i="4"/>
  <c r="B73" i="4"/>
  <c r="O72" i="4"/>
  <c r="M72" i="4"/>
  <c r="K72" i="4"/>
  <c r="I72" i="4"/>
  <c r="G72" i="4"/>
  <c r="F72" i="4"/>
  <c r="E72" i="4"/>
  <c r="D72" i="4"/>
  <c r="B72" i="4"/>
  <c r="O71" i="4"/>
  <c r="M71" i="4"/>
  <c r="K71" i="4"/>
  <c r="I71" i="4"/>
  <c r="G71" i="4"/>
  <c r="F71" i="4"/>
  <c r="E71" i="4"/>
  <c r="D71" i="4"/>
  <c r="B71" i="4"/>
  <c r="O70" i="4"/>
  <c r="M70" i="4"/>
  <c r="K70" i="4"/>
  <c r="I70" i="4"/>
  <c r="G70" i="4"/>
  <c r="F70" i="4"/>
  <c r="E70" i="4"/>
  <c r="D70" i="4"/>
  <c r="B70" i="4"/>
  <c r="O69" i="4"/>
  <c r="M69" i="4"/>
  <c r="K69" i="4"/>
  <c r="I69" i="4"/>
  <c r="G69" i="4"/>
  <c r="F69" i="4"/>
  <c r="E69" i="4"/>
  <c r="D69" i="4"/>
  <c r="B69" i="4"/>
  <c r="O68" i="4"/>
  <c r="M68" i="4"/>
  <c r="K68" i="4"/>
  <c r="I68" i="4"/>
  <c r="G68" i="4"/>
  <c r="F68" i="4"/>
  <c r="E68" i="4"/>
  <c r="D68" i="4"/>
  <c r="B68" i="4"/>
  <c r="O67" i="4"/>
  <c r="M67" i="4"/>
  <c r="K67" i="4"/>
  <c r="I67" i="4"/>
  <c r="G67" i="4"/>
  <c r="F67" i="4"/>
  <c r="E67" i="4"/>
  <c r="D67" i="4"/>
  <c r="B67" i="4"/>
  <c r="O66" i="4"/>
  <c r="M66" i="4"/>
  <c r="K66" i="4"/>
  <c r="I66" i="4"/>
  <c r="G66" i="4"/>
  <c r="F66" i="4"/>
  <c r="E66" i="4"/>
  <c r="D66" i="4"/>
  <c r="B66" i="4"/>
  <c r="O65" i="4"/>
  <c r="M65" i="4"/>
  <c r="K65" i="4"/>
  <c r="I65" i="4"/>
  <c r="G65" i="4"/>
  <c r="F65" i="4"/>
  <c r="E65" i="4"/>
  <c r="D65" i="4"/>
  <c r="B65" i="4"/>
  <c r="O64" i="4"/>
  <c r="M64" i="4"/>
  <c r="K64" i="4"/>
  <c r="I64" i="4"/>
  <c r="G64" i="4"/>
  <c r="F64" i="4"/>
  <c r="E64" i="4"/>
  <c r="D64" i="4"/>
  <c r="B64" i="4"/>
  <c r="O63" i="4"/>
  <c r="M63" i="4"/>
  <c r="K63" i="4"/>
  <c r="I63" i="4"/>
  <c r="G63" i="4"/>
  <c r="F63" i="4"/>
  <c r="E63" i="4"/>
  <c r="D63" i="4"/>
  <c r="B63" i="4"/>
  <c r="O62" i="4"/>
  <c r="M62" i="4"/>
  <c r="K62" i="4"/>
  <c r="I62" i="4"/>
  <c r="G62" i="4"/>
  <c r="F62" i="4"/>
  <c r="E62" i="4"/>
  <c r="D62" i="4"/>
  <c r="B62" i="4"/>
  <c r="O61" i="4"/>
  <c r="M61" i="4"/>
  <c r="K61" i="4"/>
  <c r="I61" i="4"/>
  <c r="G61" i="4"/>
  <c r="F61" i="4"/>
  <c r="E61" i="4"/>
  <c r="D61" i="4"/>
  <c r="B61" i="4"/>
  <c r="O60" i="4"/>
  <c r="M60" i="4"/>
  <c r="K60" i="4"/>
  <c r="I60" i="4"/>
  <c r="G60" i="4"/>
  <c r="F60" i="4"/>
  <c r="E60" i="4"/>
  <c r="D60" i="4"/>
  <c r="B60" i="4"/>
  <c r="O59" i="4"/>
  <c r="M59" i="4"/>
  <c r="K59" i="4"/>
  <c r="I59" i="4"/>
  <c r="G59" i="4"/>
  <c r="F59" i="4"/>
  <c r="E59" i="4"/>
  <c r="D59" i="4"/>
  <c r="B59" i="4"/>
  <c r="O58" i="4"/>
  <c r="M58" i="4"/>
  <c r="K58" i="4"/>
  <c r="I58" i="4"/>
  <c r="G58" i="4"/>
  <c r="F58" i="4"/>
  <c r="E58" i="4"/>
  <c r="D58" i="4"/>
  <c r="B58" i="4"/>
  <c r="O57" i="4"/>
  <c r="M57" i="4"/>
  <c r="K57" i="4"/>
  <c r="I57" i="4"/>
  <c r="G57" i="4"/>
  <c r="F57" i="4"/>
  <c r="E57" i="4"/>
  <c r="D57" i="4"/>
  <c r="B57" i="4"/>
  <c r="O56" i="4"/>
  <c r="M56" i="4"/>
  <c r="K56" i="4"/>
  <c r="I56" i="4"/>
  <c r="G56" i="4"/>
  <c r="F56" i="4"/>
  <c r="E56" i="4"/>
  <c r="D56" i="4"/>
  <c r="B56" i="4"/>
  <c r="O55" i="4"/>
  <c r="M55" i="4"/>
  <c r="K55" i="4"/>
  <c r="I55" i="4"/>
  <c r="G55" i="4"/>
  <c r="F55" i="4"/>
  <c r="E55" i="4"/>
  <c r="D55" i="4"/>
  <c r="B55" i="4"/>
  <c r="O54" i="4"/>
  <c r="M54" i="4"/>
  <c r="K54" i="4"/>
  <c r="I54" i="4"/>
  <c r="G54" i="4"/>
  <c r="F54" i="4"/>
  <c r="E54" i="4"/>
  <c r="D54" i="4"/>
  <c r="B54" i="4"/>
  <c r="O53" i="4"/>
  <c r="M53" i="4"/>
  <c r="K53" i="4"/>
  <c r="I53" i="4"/>
  <c r="G53" i="4"/>
  <c r="F53" i="4"/>
  <c r="E53" i="4"/>
  <c r="D53" i="4"/>
  <c r="B53" i="4"/>
  <c r="O52" i="4"/>
  <c r="M52" i="4"/>
  <c r="K52" i="4"/>
  <c r="I52" i="4"/>
  <c r="G52" i="4"/>
  <c r="F52" i="4"/>
  <c r="E52" i="4"/>
  <c r="D52" i="4"/>
  <c r="B52" i="4"/>
  <c r="O51" i="4"/>
  <c r="M51" i="4"/>
  <c r="K51" i="4"/>
  <c r="I51" i="4"/>
  <c r="G51" i="4"/>
  <c r="F51" i="4"/>
  <c r="E51" i="4"/>
  <c r="D51" i="4"/>
  <c r="B51" i="4"/>
  <c r="O50" i="4"/>
  <c r="M50" i="4"/>
  <c r="K50" i="4"/>
  <c r="I50" i="4"/>
  <c r="G50" i="4"/>
  <c r="F50" i="4"/>
  <c r="E50" i="4"/>
  <c r="D50" i="4"/>
  <c r="B50" i="4"/>
  <c r="O49" i="4"/>
  <c r="M49" i="4"/>
  <c r="K49" i="4"/>
  <c r="I49" i="4"/>
  <c r="G49" i="4"/>
  <c r="F49" i="4"/>
  <c r="E49" i="4"/>
  <c r="D49" i="4"/>
  <c r="B49" i="4"/>
  <c r="O48" i="4"/>
  <c r="M48" i="4"/>
  <c r="K48" i="4"/>
  <c r="I48" i="4"/>
  <c r="G48" i="4"/>
  <c r="F48" i="4"/>
  <c r="E48" i="4"/>
  <c r="D48" i="4"/>
  <c r="B48" i="4"/>
  <c r="O47" i="4"/>
  <c r="M47" i="4"/>
  <c r="K47" i="4"/>
  <c r="I47" i="4"/>
  <c r="G47" i="4"/>
  <c r="F47" i="4"/>
  <c r="E47" i="4"/>
  <c r="D47" i="4"/>
  <c r="B47" i="4"/>
  <c r="O46" i="4"/>
  <c r="M46" i="4"/>
  <c r="K46" i="4"/>
  <c r="I46" i="4"/>
  <c r="G46" i="4"/>
  <c r="F46" i="4"/>
  <c r="E46" i="4"/>
  <c r="D46" i="4"/>
  <c r="B46" i="4"/>
  <c r="O45" i="4"/>
  <c r="M45" i="4"/>
  <c r="K45" i="4"/>
  <c r="I45" i="4"/>
  <c r="G45" i="4"/>
  <c r="F45" i="4"/>
  <c r="E45" i="4"/>
  <c r="D45" i="4"/>
  <c r="B45" i="4"/>
  <c r="O44" i="4"/>
  <c r="M44" i="4"/>
  <c r="K44" i="4"/>
  <c r="I44" i="4"/>
  <c r="G44" i="4"/>
  <c r="F44" i="4"/>
  <c r="E44" i="4"/>
  <c r="D44" i="4"/>
  <c r="B44" i="4"/>
  <c r="O43" i="4"/>
  <c r="M43" i="4"/>
  <c r="K43" i="4"/>
  <c r="I43" i="4"/>
  <c r="G43" i="4"/>
  <c r="F43" i="4"/>
  <c r="E43" i="4"/>
  <c r="D43" i="4"/>
  <c r="B43" i="4"/>
  <c r="O42" i="4"/>
  <c r="M42" i="4"/>
  <c r="K42" i="4"/>
  <c r="I42" i="4"/>
  <c r="G42" i="4"/>
  <c r="F42" i="4"/>
  <c r="E42" i="4"/>
  <c r="D42" i="4"/>
  <c r="B42" i="4"/>
  <c r="O41" i="4"/>
  <c r="M41" i="4"/>
  <c r="K41" i="4"/>
  <c r="I41" i="4"/>
  <c r="G41" i="4"/>
  <c r="F41" i="4"/>
  <c r="E41" i="4"/>
  <c r="D41" i="4"/>
  <c r="B41" i="4"/>
  <c r="O40" i="4"/>
  <c r="M40" i="4"/>
  <c r="K40" i="4"/>
  <c r="I40" i="4"/>
  <c r="G40" i="4"/>
  <c r="F40" i="4"/>
  <c r="E40" i="4"/>
  <c r="D40" i="4"/>
  <c r="B40" i="4"/>
  <c r="O39" i="4"/>
  <c r="M39" i="4"/>
  <c r="K39" i="4"/>
  <c r="I39" i="4"/>
  <c r="G39" i="4"/>
  <c r="F39" i="4"/>
  <c r="E39" i="4"/>
  <c r="D39" i="4"/>
  <c r="B39" i="4"/>
  <c r="O38" i="4"/>
  <c r="M38" i="4"/>
  <c r="K38" i="4"/>
  <c r="I38" i="4"/>
  <c r="G38" i="4"/>
  <c r="F38" i="4"/>
  <c r="E38" i="4"/>
  <c r="D38" i="4"/>
  <c r="B38" i="4"/>
  <c r="O37" i="4"/>
  <c r="M37" i="4"/>
  <c r="K37" i="4"/>
  <c r="I37" i="4"/>
  <c r="G37" i="4"/>
  <c r="F37" i="4"/>
  <c r="E37" i="4"/>
  <c r="D37" i="4"/>
  <c r="B37" i="4"/>
  <c r="O36" i="4"/>
  <c r="M36" i="4"/>
  <c r="K36" i="4"/>
  <c r="I36" i="4"/>
  <c r="G36" i="4"/>
  <c r="F36" i="4"/>
  <c r="E36" i="4"/>
  <c r="D36" i="4"/>
  <c r="B36" i="4"/>
  <c r="O35" i="4"/>
  <c r="M35" i="4"/>
  <c r="K35" i="4"/>
  <c r="I35" i="4"/>
  <c r="G35" i="4"/>
  <c r="F35" i="4"/>
  <c r="E35" i="4"/>
  <c r="D35" i="4"/>
  <c r="B35" i="4"/>
  <c r="O34" i="4"/>
  <c r="M34" i="4"/>
  <c r="K34" i="4"/>
  <c r="I34" i="4"/>
  <c r="G34" i="4"/>
  <c r="F34" i="4"/>
  <c r="E34" i="4"/>
  <c r="D34" i="4"/>
  <c r="B34" i="4"/>
  <c r="O33" i="4"/>
  <c r="M33" i="4"/>
  <c r="K33" i="4"/>
  <c r="I33" i="4"/>
  <c r="G33" i="4"/>
  <c r="F33" i="4"/>
  <c r="E33" i="4"/>
  <c r="D33" i="4"/>
  <c r="B33" i="4"/>
  <c r="O32" i="4"/>
  <c r="M32" i="4"/>
  <c r="K32" i="4"/>
  <c r="I32" i="4"/>
  <c r="G32" i="4"/>
  <c r="F32" i="4"/>
  <c r="E32" i="4"/>
  <c r="D32" i="4"/>
  <c r="B32" i="4"/>
  <c r="O31" i="4"/>
  <c r="M31" i="4"/>
  <c r="K31" i="4"/>
  <c r="I31" i="4"/>
  <c r="G31" i="4"/>
  <c r="F31" i="4"/>
  <c r="E31" i="4"/>
  <c r="D31" i="4"/>
  <c r="B31" i="4"/>
  <c r="O30" i="4"/>
  <c r="M30" i="4"/>
  <c r="K30" i="4"/>
  <c r="I30" i="4"/>
  <c r="G30" i="4"/>
  <c r="F30" i="4"/>
  <c r="E30" i="4"/>
  <c r="D30" i="4"/>
  <c r="B30" i="4"/>
  <c r="O29" i="4"/>
  <c r="M29" i="4"/>
  <c r="K29" i="4"/>
  <c r="I29" i="4"/>
  <c r="G29" i="4"/>
  <c r="F29" i="4"/>
  <c r="E29" i="4"/>
  <c r="D29" i="4"/>
  <c r="B29" i="4"/>
  <c r="O28" i="4"/>
  <c r="M28" i="4"/>
  <c r="K28" i="4"/>
  <c r="I28" i="4"/>
  <c r="G28" i="4"/>
  <c r="F28" i="4"/>
  <c r="E28" i="4"/>
  <c r="D28" i="4"/>
  <c r="B28" i="4"/>
  <c r="O27" i="4"/>
  <c r="M27" i="4"/>
  <c r="K27" i="4"/>
  <c r="I27" i="4"/>
  <c r="G27" i="4"/>
  <c r="F27" i="4"/>
  <c r="E27" i="4"/>
  <c r="D27" i="4"/>
  <c r="B27" i="4"/>
  <c r="O26" i="4"/>
  <c r="M26" i="4"/>
  <c r="K26" i="4"/>
  <c r="I26" i="4"/>
  <c r="G26" i="4"/>
  <c r="F26" i="4"/>
  <c r="E26" i="4"/>
  <c r="D26" i="4"/>
  <c r="B26" i="4"/>
  <c r="O25" i="4"/>
  <c r="M25" i="4"/>
  <c r="K25" i="4"/>
  <c r="I25" i="4"/>
  <c r="G25" i="4"/>
  <c r="F25" i="4"/>
  <c r="E25" i="4"/>
  <c r="D25" i="4"/>
  <c r="B25" i="4"/>
  <c r="O24" i="4"/>
  <c r="M24" i="4"/>
  <c r="K24" i="4"/>
  <c r="I24" i="4"/>
  <c r="G24" i="4"/>
  <c r="F24" i="4"/>
  <c r="E24" i="4"/>
  <c r="D24" i="4"/>
  <c r="B24" i="4"/>
  <c r="O23" i="4"/>
  <c r="M23" i="4"/>
  <c r="K23" i="4"/>
  <c r="I23" i="4"/>
  <c r="G23" i="4"/>
  <c r="F23" i="4"/>
  <c r="E23" i="4"/>
  <c r="D23" i="4"/>
  <c r="B23" i="4"/>
  <c r="O22" i="4"/>
  <c r="M22" i="4"/>
  <c r="K22" i="4"/>
  <c r="I22" i="4"/>
  <c r="G22" i="4"/>
  <c r="F22" i="4"/>
  <c r="E22" i="4"/>
  <c r="D22" i="4"/>
  <c r="B22" i="4"/>
  <c r="O21" i="4"/>
  <c r="M21" i="4"/>
  <c r="K21" i="4"/>
  <c r="I21" i="4"/>
  <c r="G21" i="4"/>
  <c r="F21" i="4"/>
  <c r="E21" i="4"/>
  <c r="D21" i="4"/>
  <c r="B21" i="4"/>
  <c r="O20" i="4"/>
  <c r="M20" i="4"/>
  <c r="K20" i="4"/>
  <c r="I20" i="4"/>
  <c r="G20" i="4"/>
  <c r="F20" i="4"/>
  <c r="E20" i="4"/>
  <c r="D20" i="4"/>
  <c r="B20" i="4"/>
  <c r="O19" i="4"/>
  <c r="M19" i="4"/>
  <c r="K19" i="4"/>
  <c r="I19" i="4"/>
  <c r="G19" i="4"/>
  <c r="F19" i="4"/>
  <c r="E19" i="4"/>
  <c r="D19" i="4"/>
  <c r="B19" i="4"/>
  <c r="O18" i="4"/>
  <c r="M18" i="4"/>
  <c r="K18" i="4"/>
  <c r="I18" i="4"/>
  <c r="G18" i="4"/>
  <c r="F18" i="4"/>
  <c r="E18" i="4"/>
  <c r="D18" i="4"/>
  <c r="B18" i="4"/>
  <c r="O17" i="4"/>
  <c r="M17" i="4"/>
  <c r="K17" i="4"/>
  <c r="I17" i="4"/>
  <c r="G17" i="4"/>
  <c r="F17" i="4"/>
  <c r="E17" i="4"/>
  <c r="D17" i="4"/>
  <c r="B17" i="4"/>
  <c r="O16" i="4"/>
  <c r="M16" i="4"/>
  <c r="K16" i="4"/>
  <c r="I16" i="4"/>
  <c r="G16" i="4"/>
  <c r="F16" i="4"/>
  <c r="E16" i="4"/>
  <c r="D16" i="4"/>
  <c r="B16" i="4"/>
  <c r="O15" i="4"/>
  <c r="M15" i="4"/>
  <c r="K15" i="4"/>
  <c r="I15" i="4"/>
  <c r="G15" i="4"/>
  <c r="F15" i="4"/>
  <c r="E15" i="4"/>
  <c r="D15" i="4"/>
  <c r="B15" i="4"/>
  <c r="O14" i="4"/>
  <c r="M14" i="4"/>
  <c r="K14" i="4"/>
  <c r="I14" i="4"/>
  <c r="G14" i="4"/>
  <c r="F14" i="4"/>
  <c r="E14" i="4"/>
  <c r="D14" i="4"/>
  <c r="B14" i="4"/>
  <c r="O13" i="4"/>
  <c r="M13" i="4"/>
  <c r="K13" i="4"/>
  <c r="I13" i="4"/>
  <c r="G13" i="4"/>
  <c r="F13" i="4"/>
  <c r="E13" i="4"/>
  <c r="D13" i="4"/>
  <c r="B13" i="4"/>
  <c r="O12" i="4"/>
  <c r="M12" i="4"/>
  <c r="K12" i="4"/>
  <c r="I12" i="4"/>
  <c r="G12" i="4"/>
  <c r="F12" i="4"/>
  <c r="E12" i="4"/>
  <c r="D12" i="4"/>
  <c r="B12" i="4"/>
  <c r="O11" i="4"/>
  <c r="M11" i="4"/>
  <c r="K11" i="4"/>
  <c r="I11" i="4"/>
  <c r="G11" i="4"/>
  <c r="F11" i="4"/>
  <c r="E11" i="4"/>
  <c r="D11" i="4"/>
  <c r="B11" i="4"/>
  <c r="O10" i="4"/>
  <c r="M10" i="4"/>
  <c r="K10" i="4"/>
  <c r="I10" i="4"/>
  <c r="G10" i="4"/>
  <c r="F10" i="4"/>
  <c r="E10" i="4"/>
  <c r="D10" i="4"/>
  <c r="B10" i="4"/>
  <c r="O9" i="4"/>
  <c r="M9" i="4"/>
  <c r="K9" i="4"/>
  <c r="I9" i="4"/>
  <c r="G9" i="4"/>
  <c r="F9" i="4"/>
  <c r="E9" i="4"/>
  <c r="D9" i="4"/>
  <c r="B9" i="4"/>
  <c r="O8" i="4"/>
  <c r="M8" i="4"/>
  <c r="K8" i="4"/>
  <c r="I8" i="4"/>
  <c r="G8" i="4"/>
  <c r="F8" i="4"/>
  <c r="E8" i="4"/>
  <c r="D8" i="4"/>
  <c r="B8" i="4"/>
  <c r="O7" i="4"/>
  <c r="M7" i="4"/>
  <c r="K7" i="4"/>
  <c r="I7" i="4"/>
  <c r="G7" i="4"/>
  <c r="F7" i="4"/>
  <c r="E7" i="4"/>
  <c r="D7" i="4"/>
  <c r="B7" i="4"/>
  <c r="O6" i="4"/>
  <c r="M6" i="4"/>
  <c r="K6" i="4"/>
  <c r="G6" i="4"/>
  <c r="F6" i="4"/>
  <c r="D6" i="4"/>
  <c r="B6" i="4"/>
  <c r="O5" i="4"/>
  <c r="G5" i="4"/>
  <c r="F5" i="4"/>
  <c r="E5" i="4"/>
  <c r="D5" i="4"/>
  <c r="B5" i="4"/>
  <c r="O4" i="4"/>
  <c r="G4" i="4"/>
  <c r="F4" i="4"/>
  <c r="E4" i="4"/>
  <c r="D4" i="4"/>
  <c r="B4" i="4"/>
  <c r="O3" i="4"/>
  <c r="G3" i="4"/>
  <c r="F3" i="4"/>
  <c r="E3" i="4"/>
  <c r="D3" i="4"/>
  <c r="B3" i="4"/>
  <c r="A3" i="4" s="1"/>
  <c r="A4" i="4" s="1"/>
  <c r="F2" i="4"/>
  <c r="E2" i="4"/>
  <c r="D2" i="4"/>
  <c r="B2" i="4"/>
  <c r="G17" i="3"/>
  <c r="G16" i="3"/>
  <c r="G15" i="3"/>
  <c r="G14" i="3"/>
  <c r="G13" i="3"/>
  <c r="G12" i="3"/>
  <c r="D12" i="3"/>
  <c r="D13" i="3" s="1"/>
  <c r="D14" i="3" s="1"/>
  <c r="D15" i="3" s="1"/>
  <c r="D16" i="3" s="1"/>
  <c r="D17" i="3" s="1"/>
  <c r="G11" i="3"/>
  <c r="G10" i="3"/>
  <c r="G9" i="3"/>
  <c r="G8" i="3"/>
  <c r="G7" i="3"/>
  <c r="G6" i="3"/>
  <c r="G5" i="3"/>
  <c r="G4" i="3"/>
  <c r="G3" i="3"/>
  <c r="G2" i="3"/>
  <c r="D429" i="2"/>
  <c r="B429" i="2"/>
  <c r="D428" i="2"/>
  <c r="B428" i="2"/>
  <c r="D427" i="2"/>
  <c r="B427" i="2"/>
  <c r="D426" i="2"/>
  <c r="B426" i="2"/>
  <c r="D425" i="2"/>
  <c r="B425" i="2"/>
  <c r="D424" i="2"/>
  <c r="B424" i="2"/>
  <c r="D423" i="2"/>
  <c r="B423" i="2"/>
  <c r="D422" i="2"/>
  <c r="B422" i="2"/>
  <c r="D421" i="2"/>
  <c r="B421" i="2"/>
  <c r="D420" i="2"/>
  <c r="B420" i="2"/>
  <c r="D419" i="2"/>
  <c r="B419" i="2"/>
  <c r="D418" i="2"/>
  <c r="B418" i="2"/>
  <c r="D417" i="2"/>
  <c r="B417" i="2"/>
  <c r="D416" i="2"/>
  <c r="B416" i="2"/>
  <c r="D415" i="2"/>
  <c r="B415" i="2"/>
  <c r="D414" i="2"/>
  <c r="B414" i="2"/>
  <c r="D413" i="2"/>
  <c r="B413" i="2"/>
  <c r="D412" i="2"/>
  <c r="B412" i="2"/>
  <c r="D411" i="2"/>
  <c r="B411" i="2"/>
  <c r="D410" i="2"/>
  <c r="B410" i="2"/>
  <c r="D409" i="2"/>
  <c r="B409" i="2"/>
  <c r="D408" i="2"/>
  <c r="B408" i="2"/>
  <c r="D407" i="2"/>
  <c r="B407" i="2"/>
  <c r="D406" i="2"/>
  <c r="B406" i="2"/>
  <c r="D405" i="2"/>
  <c r="B405" i="2"/>
  <c r="D404" i="2"/>
  <c r="B404" i="2"/>
  <c r="D403" i="2"/>
  <c r="B403" i="2"/>
  <c r="D402" i="2"/>
  <c r="B402" i="2"/>
  <c r="D401" i="2"/>
  <c r="B401" i="2"/>
  <c r="D400" i="2"/>
  <c r="B400" i="2"/>
  <c r="D399" i="2"/>
  <c r="B399" i="2"/>
  <c r="D398" i="2"/>
  <c r="B398" i="2"/>
  <c r="D397" i="2"/>
  <c r="B397" i="2"/>
  <c r="D396" i="2"/>
  <c r="B396" i="2"/>
  <c r="D395" i="2"/>
  <c r="B395" i="2"/>
  <c r="D394" i="2"/>
  <c r="B394" i="2"/>
  <c r="D393" i="2"/>
  <c r="B393" i="2"/>
  <c r="D392" i="2"/>
  <c r="B392" i="2"/>
  <c r="D391" i="2"/>
  <c r="B391" i="2"/>
  <c r="D390" i="2"/>
  <c r="B390" i="2"/>
  <c r="D389" i="2"/>
  <c r="B389" i="2"/>
  <c r="D388" i="2"/>
  <c r="B388" i="2"/>
  <c r="D387" i="2"/>
  <c r="B387" i="2"/>
  <c r="D386" i="2"/>
  <c r="B386" i="2"/>
  <c r="D385" i="2"/>
  <c r="B385" i="2"/>
  <c r="D384" i="2"/>
  <c r="B384" i="2"/>
  <c r="D383" i="2"/>
  <c r="B383" i="2"/>
  <c r="D382" i="2"/>
  <c r="B382" i="2"/>
  <c r="D381" i="2"/>
  <c r="B381" i="2"/>
  <c r="D380" i="2"/>
  <c r="B380" i="2"/>
  <c r="D379" i="2"/>
  <c r="B379" i="2"/>
  <c r="D378" i="2"/>
  <c r="B378" i="2"/>
  <c r="D377" i="2"/>
  <c r="B377" i="2"/>
  <c r="D376" i="2"/>
  <c r="B376" i="2"/>
  <c r="D375" i="2"/>
  <c r="B375" i="2"/>
  <c r="D374" i="2"/>
  <c r="B374" i="2"/>
  <c r="D373" i="2"/>
  <c r="B373" i="2"/>
  <c r="D372" i="2"/>
  <c r="B372" i="2"/>
  <c r="D371" i="2"/>
  <c r="B371" i="2"/>
  <c r="D370" i="2"/>
  <c r="B370" i="2"/>
  <c r="D369" i="2"/>
  <c r="B369" i="2"/>
  <c r="D368" i="2"/>
  <c r="B368" i="2"/>
  <c r="D367" i="2"/>
  <c r="B367" i="2"/>
  <c r="D366" i="2"/>
  <c r="B366" i="2"/>
  <c r="D365" i="2"/>
  <c r="B365" i="2"/>
  <c r="D364" i="2"/>
  <c r="B364" i="2"/>
  <c r="D363" i="2"/>
  <c r="B363" i="2"/>
  <c r="D362" i="2"/>
  <c r="B362" i="2"/>
  <c r="D361" i="2"/>
  <c r="B361" i="2"/>
  <c r="D360" i="2"/>
  <c r="B360" i="2"/>
  <c r="D359" i="2"/>
  <c r="B359" i="2"/>
  <c r="D358" i="2"/>
  <c r="B358" i="2"/>
  <c r="D357" i="2"/>
  <c r="B357" i="2"/>
  <c r="D356" i="2"/>
  <c r="B356" i="2"/>
  <c r="D355" i="2"/>
  <c r="B355" i="2"/>
  <c r="D354" i="2"/>
  <c r="B354" i="2"/>
  <c r="D353" i="2"/>
  <c r="B353" i="2"/>
  <c r="D352" i="2"/>
  <c r="B352" i="2"/>
  <c r="D351" i="2"/>
  <c r="B351" i="2"/>
  <c r="D350" i="2"/>
  <c r="B350" i="2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E6" i="10" l="1"/>
  <c r="A7" i="10"/>
  <c r="E340" i="10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E7" i="10" l="1"/>
  <c r="A8" i="10"/>
  <c r="E8" i="10" l="1"/>
  <c r="A9" i="10"/>
  <c r="A10" i="10" l="1"/>
  <c r="E9" i="10"/>
  <c r="E10" i="10" l="1"/>
  <c r="A11" i="10"/>
  <c r="E11" i="10" l="1"/>
  <c r="A12" i="10"/>
  <c r="E12" i="10" l="1"/>
  <c r="A13" i="10"/>
  <c r="A14" i="10" l="1"/>
  <c r="E13" i="10"/>
  <c r="E14" i="10" l="1"/>
  <c r="A15" i="10"/>
  <c r="E15" i="10" l="1"/>
  <c r="A16" i="10"/>
  <c r="E16" i="10" l="1"/>
  <c r="A17" i="10"/>
  <c r="A18" i="10" l="1"/>
  <c r="E17" i="10"/>
  <c r="E18" i="10" l="1"/>
  <c r="A19" i="10"/>
  <c r="E19" i="10" l="1"/>
  <c r="A20" i="10"/>
  <c r="E20" i="10" l="1"/>
  <c r="A21" i="10"/>
  <c r="A22" i="10" l="1"/>
  <c r="E21" i="10"/>
  <c r="E22" i="10" l="1"/>
  <c r="A23" i="10"/>
  <c r="E23" i="10" l="1"/>
  <c r="A24" i="10"/>
  <c r="E24" i="10" l="1"/>
  <c r="A25" i="10"/>
  <c r="A26" i="10" l="1"/>
  <c r="E25" i="10"/>
  <c r="E26" i="10" l="1"/>
  <c r="A27" i="10"/>
  <c r="E27" i="10" l="1"/>
  <c r="A28" i="10"/>
  <c r="E28" i="10" l="1"/>
  <c r="A29" i="10"/>
  <c r="A30" i="10" l="1"/>
  <c r="E29" i="10"/>
  <c r="E30" i="10" l="1"/>
  <c r="A31" i="10"/>
  <c r="E31" i="10" l="1"/>
  <c r="A32" i="10"/>
  <c r="E32" i="10" l="1"/>
  <c r="A33" i="10"/>
  <c r="A34" i="10" l="1"/>
  <c r="E33" i="10"/>
  <c r="E34" i="10" l="1"/>
  <c r="A35" i="10"/>
  <c r="E35" i="10" l="1"/>
  <c r="A36" i="10"/>
  <c r="E36" i="10" l="1"/>
  <c r="A37" i="10"/>
  <c r="A38" i="10" l="1"/>
  <c r="E37" i="10"/>
  <c r="E38" i="10" l="1"/>
  <c r="A39" i="10"/>
  <c r="E39" i="10" l="1"/>
  <c r="A40" i="10"/>
  <c r="E40" i="10" l="1"/>
  <c r="A41" i="10"/>
  <c r="A42" i="10" l="1"/>
  <c r="E41" i="10"/>
  <c r="E42" i="10" l="1"/>
  <c r="A43" i="10"/>
  <c r="E43" i="10" l="1"/>
  <c r="A44" i="10"/>
  <c r="E44" i="10" l="1"/>
  <c r="A45" i="10"/>
  <c r="A46" i="10" l="1"/>
  <c r="E45" i="10"/>
  <c r="E46" i="10" l="1"/>
  <c r="A47" i="10"/>
  <c r="E47" i="10" l="1"/>
  <c r="A48" i="10"/>
  <c r="E48" i="10" l="1"/>
  <c r="A49" i="10"/>
  <c r="A50" i="10" l="1"/>
  <c r="E49" i="10"/>
  <c r="E50" i="10" l="1"/>
  <c r="A51" i="10"/>
  <c r="E51" i="10" l="1"/>
  <c r="A52" i="10"/>
  <c r="E52" i="10" l="1"/>
  <c r="A53" i="10"/>
  <c r="A54" i="10" l="1"/>
  <c r="E53" i="10"/>
  <c r="E54" i="10" l="1"/>
  <c r="A55" i="10"/>
  <c r="E55" i="10" l="1"/>
  <c r="A56" i="10"/>
  <c r="E56" i="10" l="1"/>
  <c r="A57" i="10"/>
  <c r="A58" i="10" l="1"/>
  <c r="E57" i="10"/>
  <c r="E58" i="10" l="1"/>
  <c r="A59" i="10"/>
  <c r="E59" i="10" l="1"/>
  <c r="A60" i="10"/>
  <c r="E60" i="10" l="1"/>
  <c r="A61" i="10"/>
  <c r="A62" i="10" l="1"/>
  <c r="E61" i="10"/>
  <c r="E62" i="10" l="1"/>
  <c r="A63" i="10"/>
  <c r="E63" i="10" l="1"/>
  <c r="A64" i="10"/>
  <c r="E64" i="10" l="1"/>
  <c r="A65" i="10"/>
  <c r="A66" i="10" l="1"/>
  <c r="E65" i="10"/>
  <c r="E66" i="10" l="1"/>
  <c r="A67" i="10"/>
  <c r="E67" i="10" l="1"/>
  <c r="A68" i="10"/>
  <c r="E68" i="10" l="1"/>
  <c r="A69" i="10"/>
  <c r="A70" i="10" l="1"/>
  <c r="E69" i="10"/>
  <c r="E70" i="10" l="1"/>
  <c r="A71" i="10"/>
  <c r="E71" i="10" l="1"/>
  <c r="A72" i="10"/>
  <c r="E72" i="10" l="1"/>
  <c r="A73" i="10"/>
  <c r="A74" i="10" l="1"/>
  <c r="E73" i="10"/>
  <c r="E74" i="10" l="1"/>
  <c r="A75" i="10"/>
  <c r="E75" i="10" l="1"/>
  <c r="A76" i="10"/>
  <c r="E76" i="10" l="1"/>
  <c r="A77" i="10"/>
  <c r="A78" i="10" l="1"/>
  <c r="E77" i="10"/>
  <c r="E78" i="10" l="1"/>
  <c r="A79" i="10"/>
  <c r="E79" i="10" l="1"/>
  <c r="A80" i="10"/>
  <c r="E80" i="10" l="1"/>
  <c r="A81" i="10"/>
  <c r="A82" i="10" l="1"/>
  <c r="E81" i="10"/>
  <c r="E82" i="10" l="1"/>
  <c r="A83" i="10"/>
  <c r="E83" i="10" l="1"/>
  <c r="A84" i="10"/>
  <c r="E84" i="10" l="1"/>
  <c r="A85" i="10"/>
  <c r="A86" i="10" l="1"/>
  <c r="E85" i="10"/>
  <c r="E86" i="10" l="1"/>
  <c r="A87" i="10"/>
  <c r="E87" i="10" l="1"/>
  <c r="A88" i="10"/>
  <c r="E88" i="10" l="1"/>
  <c r="A89" i="10"/>
  <c r="A90" i="10" l="1"/>
  <c r="E89" i="10"/>
  <c r="E90" i="10" l="1"/>
  <c r="A91" i="10"/>
  <c r="E91" i="10" l="1"/>
  <c r="A92" i="10"/>
  <c r="E92" i="10" l="1"/>
  <c r="A93" i="10"/>
  <c r="A94" i="10" l="1"/>
  <c r="E93" i="10"/>
  <c r="E94" i="10" l="1"/>
  <c r="A95" i="10"/>
  <c r="E95" i="10" l="1"/>
  <c r="A96" i="10"/>
  <c r="E96" i="10" l="1"/>
  <c r="A97" i="10"/>
  <c r="A98" i="10" l="1"/>
  <c r="E97" i="10"/>
  <c r="E98" i="10" l="1"/>
  <c r="A99" i="10"/>
  <c r="E99" i="10" l="1"/>
  <c r="A100" i="10"/>
  <c r="E100" i="10" l="1"/>
  <c r="A101" i="10"/>
  <c r="A102" i="10" l="1"/>
  <c r="E101" i="10"/>
  <c r="E102" i="10" l="1"/>
  <c r="A103" i="10"/>
  <c r="E103" i="10" l="1"/>
  <c r="A104" i="10"/>
  <c r="E104" i="10" l="1"/>
  <c r="A105" i="10"/>
  <c r="A106" i="10" l="1"/>
  <c r="E105" i="10"/>
  <c r="E106" i="10" l="1"/>
  <c r="A107" i="10"/>
  <c r="E107" i="10" l="1"/>
  <c r="A108" i="10"/>
  <c r="E108" i="10" l="1"/>
  <c r="A109" i="10"/>
  <c r="A110" i="10" l="1"/>
  <c r="E109" i="10"/>
  <c r="E110" i="10" l="1"/>
  <c r="A111" i="10"/>
  <c r="E111" i="10" l="1"/>
  <c r="A112" i="10"/>
  <c r="E112" i="10" l="1"/>
  <c r="A113" i="10"/>
  <c r="A114" i="10" l="1"/>
  <c r="E113" i="10"/>
  <c r="E114" i="10" l="1"/>
  <c r="A115" i="10"/>
  <c r="E115" i="10" l="1"/>
  <c r="A116" i="10"/>
  <c r="E116" i="10" l="1"/>
  <c r="A117" i="10"/>
  <c r="A118" i="10" l="1"/>
  <c r="E117" i="10"/>
  <c r="E118" i="10" l="1"/>
  <c r="A119" i="10"/>
  <c r="E119" i="10" l="1"/>
  <c r="A120" i="10"/>
  <c r="E120" i="10" l="1"/>
  <c r="A121" i="10"/>
  <c r="A122" i="10" l="1"/>
  <c r="E121" i="10"/>
  <c r="E122" i="10" l="1"/>
  <c r="A123" i="10"/>
  <c r="E123" i="10" l="1"/>
  <c r="A124" i="10"/>
  <c r="E124" i="10" l="1"/>
  <c r="A125" i="10"/>
  <c r="A126" i="10" l="1"/>
  <c r="E125" i="10"/>
  <c r="E126" i="10" l="1"/>
  <c r="A127" i="10"/>
  <c r="E127" i="10" l="1"/>
  <c r="A128" i="10"/>
  <c r="E128" i="10" l="1"/>
  <c r="A129" i="10"/>
  <c r="A130" i="10" l="1"/>
  <c r="E129" i="10"/>
  <c r="E130" i="10" l="1"/>
  <c r="A131" i="10"/>
  <c r="E131" i="10" l="1"/>
  <c r="A132" i="10"/>
  <c r="E132" i="10" l="1"/>
  <c r="A133" i="10"/>
  <c r="A134" i="10" l="1"/>
  <c r="E133" i="10"/>
  <c r="E134" i="10" l="1"/>
  <c r="A135" i="10"/>
  <c r="E135" i="10" l="1"/>
  <c r="A136" i="10"/>
  <c r="E136" i="10" l="1"/>
  <c r="A137" i="10"/>
  <c r="A138" i="10" l="1"/>
  <c r="E137" i="10"/>
  <c r="E138" i="10" l="1"/>
  <c r="A139" i="10"/>
  <c r="E139" i="10" l="1"/>
  <c r="A140" i="10"/>
  <c r="E140" i="10" l="1"/>
  <c r="A141" i="10"/>
  <c r="A142" i="10" l="1"/>
  <c r="E141" i="10"/>
  <c r="E142" i="10" l="1"/>
  <c r="A143" i="10"/>
  <c r="E143" i="10" l="1"/>
  <c r="A144" i="10"/>
  <c r="E144" i="10" l="1"/>
  <c r="A145" i="10"/>
  <c r="A146" i="10" l="1"/>
  <c r="E145" i="10"/>
  <c r="E146" i="10" l="1"/>
  <c r="A147" i="10"/>
  <c r="E147" i="10" l="1"/>
  <c r="A148" i="10"/>
  <c r="E148" i="10" l="1"/>
  <c r="A149" i="10"/>
  <c r="A150" i="10" l="1"/>
  <c r="E149" i="10"/>
  <c r="E150" i="10" l="1"/>
  <c r="A151" i="10"/>
  <c r="E151" i="10" l="1"/>
  <c r="A152" i="10"/>
  <c r="E152" i="10" l="1"/>
  <c r="A153" i="10"/>
  <c r="A154" i="10" l="1"/>
  <c r="E153" i="10"/>
  <c r="E154" i="10" l="1"/>
  <c r="A155" i="10"/>
  <c r="E155" i="10" l="1"/>
  <c r="A156" i="10"/>
  <c r="E156" i="10" l="1"/>
  <c r="A157" i="10"/>
  <c r="A158" i="10" l="1"/>
  <c r="E157" i="10"/>
  <c r="E158" i="10" l="1"/>
  <c r="A159" i="10"/>
  <c r="E159" i="10" l="1"/>
  <c r="A160" i="10"/>
  <c r="E160" i="10" l="1"/>
  <c r="A161" i="10"/>
  <c r="A162" i="10" l="1"/>
  <c r="E161" i="10"/>
  <c r="E162" i="10" l="1"/>
  <c r="A163" i="10"/>
  <c r="E163" i="10" l="1"/>
  <c r="A164" i="10"/>
  <c r="E164" i="10" l="1"/>
  <c r="A165" i="10"/>
  <c r="A166" i="10" l="1"/>
  <c r="E165" i="10"/>
  <c r="E166" i="10" l="1"/>
  <c r="A167" i="10"/>
  <c r="E167" i="10" l="1"/>
  <c r="A168" i="10"/>
  <c r="E168" i="10" l="1"/>
  <c r="A169" i="10"/>
  <c r="A170" i="10" l="1"/>
  <c r="E169" i="10"/>
  <c r="E170" i="10" l="1"/>
  <c r="A171" i="10"/>
  <c r="E171" i="10" l="1"/>
  <c r="A172" i="10"/>
  <c r="E172" i="10" l="1"/>
  <c r="A173" i="10"/>
  <c r="A174" i="10" l="1"/>
  <c r="E173" i="10"/>
  <c r="E174" i="10" l="1"/>
  <c r="A175" i="10"/>
  <c r="E175" i="10" l="1"/>
  <c r="A176" i="10"/>
  <c r="E176" i="10" l="1"/>
  <c r="A177" i="10"/>
  <c r="A178" i="10" l="1"/>
  <c r="E177" i="10"/>
  <c r="E178" i="10" l="1"/>
  <c r="A179" i="10"/>
  <c r="E179" i="10" l="1"/>
  <c r="A180" i="10"/>
  <c r="E180" i="10" l="1"/>
  <c r="A181" i="10"/>
  <c r="A182" i="10" l="1"/>
  <c r="E181" i="10"/>
  <c r="E182" i="10" l="1"/>
  <c r="A183" i="10"/>
  <c r="E183" i="10" l="1"/>
  <c r="A184" i="10"/>
  <c r="E184" i="10" l="1"/>
  <c r="A185" i="10"/>
  <c r="A186" i="10" l="1"/>
  <c r="E185" i="10"/>
  <c r="E186" i="10" l="1"/>
  <c r="A187" i="10"/>
  <c r="E187" i="10" l="1"/>
  <c r="A188" i="10"/>
  <c r="E188" i="10" l="1"/>
  <c r="A189" i="10"/>
  <c r="A190" i="10" l="1"/>
  <c r="E189" i="10"/>
  <c r="E190" i="10" l="1"/>
  <c r="A191" i="10"/>
  <c r="E191" i="10" l="1"/>
  <c r="A192" i="10"/>
  <c r="E192" i="10" l="1"/>
  <c r="A193" i="10"/>
  <c r="A194" i="10" l="1"/>
  <c r="E193" i="10"/>
  <c r="E194" i="10" l="1"/>
  <c r="A195" i="10"/>
  <c r="E195" i="10" l="1"/>
  <c r="A196" i="10"/>
  <c r="E196" i="10" l="1"/>
  <c r="A197" i="10"/>
  <c r="A198" i="10" l="1"/>
  <c r="E197" i="10"/>
  <c r="E198" i="10" l="1"/>
  <c r="A199" i="10"/>
  <c r="E199" i="10" l="1"/>
  <c r="A200" i="10"/>
  <c r="E200" i="10" l="1"/>
  <c r="A201" i="10"/>
  <c r="A202" i="10" l="1"/>
  <c r="E201" i="10"/>
  <c r="E202" i="10" l="1"/>
  <c r="A203" i="10"/>
  <c r="E203" i="10" l="1"/>
  <c r="A204" i="10"/>
  <c r="E204" i="10" l="1"/>
  <c r="A205" i="10"/>
  <c r="A206" i="10" l="1"/>
  <c r="E205" i="10"/>
  <c r="E206" i="10" l="1"/>
  <c r="A207" i="10"/>
  <c r="E207" i="10" l="1"/>
  <c r="A208" i="10"/>
  <c r="E208" i="10" l="1"/>
  <c r="A209" i="10"/>
  <c r="E209" i="10" l="1"/>
  <c r="A210" i="10"/>
  <c r="E210" i="10" l="1"/>
  <c r="A211" i="10"/>
  <c r="E211" i="10" l="1"/>
  <c r="A212" i="10"/>
  <c r="E212" i="10" l="1"/>
  <c r="A213" i="10"/>
  <c r="E213" i="10" l="1"/>
  <c r="A214" i="10"/>
  <c r="E214" i="10" l="1"/>
  <c r="A215" i="10"/>
  <c r="E215" i="10" l="1"/>
  <c r="A216" i="10"/>
  <c r="E216" i="10" l="1"/>
  <c r="A217" i="10"/>
  <c r="E217" i="10" l="1"/>
  <c r="A218" i="10"/>
  <c r="E218" i="10" l="1"/>
  <c r="A219" i="10"/>
  <c r="E219" i="10" l="1"/>
  <c r="A220" i="10"/>
  <c r="E220" i="10" l="1"/>
  <c r="A221" i="10"/>
  <c r="E221" i="10" l="1"/>
  <c r="A222" i="10"/>
  <c r="E222" i="10" l="1"/>
  <c r="A223" i="10"/>
  <c r="E223" i="10" l="1"/>
  <c r="A224" i="10"/>
  <c r="E224" i="10" l="1"/>
  <c r="A225" i="10"/>
  <c r="E225" i="10" l="1"/>
  <c r="A226" i="10"/>
  <c r="E226" i="10" l="1"/>
  <c r="A227" i="10"/>
  <c r="E227" i="10" l="1"/>
  <c r="A228" i="10"/>
  <c r="E228" i="10" l="1"/>
  <c r="A229" i="10"/>
  <c r="E229" i="10" l="1"/>
  <c r="A230" i="10"/>
  <c r="E230" i="10" l="1"/>
  <c r="A231" i="10"/>
  <c r="E231" i="10" l="1"/>
  <c r="A232" i="10"/>
  <c r="E232" i="10" l="1"/>
  <c r="A233" i="10"/>
  <c r="E233" i="10" l="1"/>
  <c r="A234" i="10"/>
  <c r="E234" i="10" l="1"/>
  <c r="A235" i="10"/>
  <c r="E235" i="10" l="1"/>
  <c r="A236" i="10"/>
  <c r="E236" i="10" l="1"/>
  <c r="A237" i="10"/>
  <c r="E237" i="10" l="1"/>
  <c r="A238" i="10"/>
  <c r="E238" i="10" l="1"/>
  <c r="A239" i="10"/>
  <c r="E239" i="10" l="1"/>
  <c r="A240" i="10"/>
  <c r="E240" i="10" l="1"/>
  <c r="A241" i="10"/>
  <c r="E241" i="10" l="1"/>
  <c r="A242" i="10"/>
  <c r="E242" i="10" l="1"/>
  <c r="A243" i="10"/>
  <c r="E243" i="10" l="1"/>
  <c r="A244" i="10"/>
  <c r="E244" i="10" l="1"/>
  <c r="A245" i="10"/>
  <c r="E245" i="10" l="1"/>
  <c r="A246" i="10"/>
  <c r="E246" i="10" l="1"/>
  <c r="A247" i="10"/>
  <c r="E247" i="10" l="1"/>
  <c r="A248" i="10"/>
  <c r="E248" i="10" l="1"/>
  <c r="A249" i="10"/>
  <c r="E249" i="10" l="1"/>
  <c r="A250" i="10"/>
  <c r="E250" i="10" l="1"/>
  <c r="A251" i="10"/>
  <c r="E251" i="10" l="1"/>
  <c r="A252" i="10"/>
  <c r="E252" i="10" l="1"/>
  <c r="A253" i="10"/>
  <c r="E253" i="10" l="1"/>
  <c r="A254" i="10"/>
  <c r="E254" i="10" l="1"/>
  <c r="A255" i="10"/>
  <c r="E255" i="10" l="1"/>
  <c r="A256" i="10"/>
  <c r="E256" i="10" l="1"/>
  <c r="A257" i="10"/>
  <c r="E257" i="10" l="1"/>
  <c r="A258" i="10"/>
  <c r="E258" i="10" l="1"/>
  <c r="A259" i="10"/>
  <c r="E259" i="10" l="1"/>
  <c r="A260" i="10"/>
  <c r="E260" i="10" l="1"/>
  <c r="A261" i="10"/>
  <c r="A262" i="10" l="1"/>
  <c r="E261" i="10"/>
  <c r="E262" i="10" l="1"/>
  <c r="A263" i="10"/>
  <c r="E263" i="10" l="1"/>
  <c r="A264" i="10"/>
  <c r="E264" i="10" l="1"/>
  <c r="A265" i="10"/>
  <c r="E265" i="10" l="1"/>
  <c r="A266" i="10"/>
  <c r="E266" i="10" l="1"/>
  <c r="A267" i="10"/>
  <c r="E267" i="10" l="1"/>
  <c r="A268" i="10"/>
  <c r="E268" i="10" l="1"/>
  <c r="A269" i="10"/>
  <c r="E269" i="10" l="1"/>
  <c r="A270" i="10"/>
  <c r="E270" i="10" l="1"/>
  <c r="A271" i="10"/>
  <c r="E271" i="10" l="1"/>
  <c r="A272" i="10"/>
  <c r="E272" i="10" l="1"/>
  <c r="A273" i="10"/>
  <c r="E273" i="10" l="1"/>
  <c r="A274" i="10"/>
  <c r="E274" i="10" l="1"/>
  <c r="A275" i="10"/>
  <c r="E275" i="10" l="1"/>
  <c r="A276" i="10"/>
  <c r="E276" i="10" l="1"/>
  <c r="A277" i="10"/>
  <c r="E277" i="10" l="1"/>
  <c r="A278" i="10"/>
  <c r="E278" i="10" l="1"/>
  <c r="A279" i="10"/>
  <c r="E279" i="10" l="1"/>
  <c r="A280" i="10"/>
  <c r="E280" i="10" l="1"/>
  <c r="A281" i="10"/>
  <c r="E281" i="10" l="1"/>
  <c r="A282" i="10"/>
  <c r="E282" i="10" l="1"/>
  <c r="A283" i="10"/>
  <c r="E283" i="10" l="1"/>
  <c r="A284" i="10"/>
  <c r="E284" i="10" l="1"/>
  <c r="A285" i="10"/>
  <c r="E285" i="10" l="1"/>
  <c r="A286" i="10"/>
  <c r="E286" i="10" l="1"/>
  <c r="A287" i="10"/>
  <c r="E287" i="10" l="1"/>
  <c r="A288" i="10"/>
  <c r="E288" i="10" l="1"/>
  <c r="A289" i="10"/>
  <c r="E289" i="10" l="1"/>
  <c r="A290" i="10"/>
  <c r="E290" i="10" l="1"/>
  <c r="A291" i="10"/>
  <c r="E291" i="10" l="1"/>
  <c r="A292" i="10"/>
  <c r="E292" i="10" l="1"/>
  <c r="A293" i="10"/>
  <c r="E293" i="10" l="1"/>
  <c r="A294" i="10"/>
  <c r="E294" i="10" l="1"/>
  <c r="A295" i="10"/>
  <c r="E295" i="10" l="1"/>
  <c r="A296" i="10"/>
  <c r="E296" i="10" l="1"/>
  <c r="A297" i="10"/>
  <c r="E297" i="10" l="1"/>
  <c r="A298" i="10"/>
  <c r="E298" i="10" l="1"/>
  <c r="A299" i="10"/>
  <c r="E299" i="10" l="1"/>
  <c r="A300" i="10"/>
  <c r="E300" i="10" l="1"/>
  <c r="A301" i="10"/>
  <c r="E301" i="10" l="1"/>
  <c r="A302" i="10"/>
  <c r="E302" i="10" l="1"/>
  <c r="A303" i="10"/>
  <c r="E303" i="10" l="1"/>
  <c r="A304" i="10"/>
  <c r="E304" i="10" l="1"/>
  <c r="A305" i="10"/>
  <c r="E305" i="10" l="1"/>
  <c r="A306" i="10"/>
  <c r="E306" i="10" l="1"/>
  <c r="A307" i="10"/>
  <c r="E307" i="10" l="1"/>
  <c r="A308" i="10"/>
  <c r="E308" i="10" l="1"/>
  <c r="A309" i="10"/>
  <c r="A310" i="10" l="1"/>
  <c r="E309" i="10"/>
  <c r="E310" i="10" l="1"/>
  <c r="A311" i="10"/>
  <c r="E311" i="10" l="1"/>
  <c r="A312" i="10"/>
  <c r="E312" i="10" l="1"/>
  <c r="A313" i="10"/>
  <c r="E313" i="10" l="1"/>
  <c r="A314" i="10"/>
  <c r="E314" i="10" l="1"/>
  <c r="A315" i="10"/>
  <c r="E315" i="10" l="1"/>
  <c r="A316" i="10"/>
  <c r="E316" i="10" l="1"/>
  <c r="A317" i="10"/>
  <c r="E317" i="10" l="1"/>
  <c r="A318" i="10"/>
  <c r="E318" i="10" l="1"/>
  <c r="A319" i="10"/>
  <c r="E319" i="10" l="1"/>
  <c r="A320" i="10"/>
  <c r="E320" i="10" l="1"/>
  <c r="A321" i="10"/>
  <c r="E321" i="10" l="1"/>
  <c r="A322" i="10"/>
  <c r="E322" i="10" l="1"/>
  <c r="A323" i="10"/>
  <c r="E323" i="10" l="1"/>
  <c r="A324" i="10"/>
  <c r="E324" i="10" l="1"/>
  <c r="A325" i="10"/>
  <c r="E325" i="10" l="1"/>
  <c r="A326" i="10"/>
  <c r="E326" i="10" l="1"/>
  <c r="A327" i="10"/>
  <c r="E327" i="10" l="1"/>
  <c r="A328" i="10"/>
  <c r="E328" i="10" l="1"/>
  <c r="A329" i="10"/>
  <c r="E329" i="10" l="1"/>
  <c r="A330" i="10"/>
  <c r="E330" i="10" l="1"/>
  <c r="A331" i="10"/>
  <c r="E331" i="10" l="1"/>
  <c r="A332" i="10"/>
  <c r="E332" i="10" l="1"/>
  <c r="A333" i="10"/>
  <c r="E333" i="10" l="1"/>
  <c r="A334" i="10"/>
  <c r="E334" i="10" l="1"/>
  <c r="A335" i="10"/>
  <c r="E335" i="10" l="1"/>
  <c r="A336" i="10"/>
  <c r="E336" i="10" l="1"/>
  <c r="A337" i="10"/>
  <c r="E337" i="10" l="1"/>
  <c r="A338" i="10"/>
  <c r="E338" i="10" s="1"/>
</calcChain>
</file>

<file path=xl/sharedStrings.xml><?xml version="1.0" encoding="utf-8"?>
<sst xmlns="http://schemas.openxmlformats.org/spreadsheetml/2006/main" count="5077" uniqueCount="1385">
  <si>
    <t>ID</t>
  </si>
  <si>
    <t>Name</t>
  </si>
  <si>
    <t>Type</t>
  </si>
  <si>
    <t>Cost</t>
  </si>
  <si>
    <t xml:space="preserve">These items are imported from the Tool: Items sheet. </t>
  </si>
  <si>
    <t>This is done so that other tools can use the same item list without needing to copy the item tables to every tool</t>
  </si>
  <si>
    <t>If the items are not showing up, ensure that you have the correct URL in A2</t>
  </si>
  <si>
    <t>LT</t>
  </si>
  <si>
    <t>EXP</t>
  </si>
  <si>
    <t>C/R</t>
  </si>
  <si>
    <t>ALIGNMENT</t>
  </si>
  <si>
    <t>HP</t>
  </si>
  <si>
    <t>Attack 1</t>
  </si>
  <si>
    <t xml:space="preserve">Attack 2 </t>
  </si>
  <si>
    <t>Page</t>
  </si>
  <si>
    <t>Bandit</t>
  </si>
  <si>
    <t>1/8</t>
  </si>
  <si>
    <t>NOT LAWFUL</t>
  </si>
  <si>
    <t>Humanoid</t>
  </si>
  <si>
    <t>1d6+1</t>
  </si>
  <si>
    <t>1d8+1</t>
  </si>
  <si>
    <t>Blood Hawk</t>
  </si>
  <si>
    <t>U</t>
  </si>
  <si>
    <t>Beast</t>
  </si>
  <si>
    <t>1d4+2</t>
  </si>
  <si>
    <t>N/A</t>
  </si>
  <si>
    <t>Camel</t>
  </si>
  <si>
    <t>1d4</t>
  </si>
  <si>
    <t>Cultist</t>
  </si>
  <si>
    <t>NOT GOOD</t>
  </si>
  <si>
    <t>Flumph</t>
  </si>
  <si>
    <t>LG</t>
  </si>
  <si>
    <t>Aberration</t>
  </si>
  <si>
    <t>2d4+2</t>
  </si>
  <si>
    <t>Flying Snake</t>
  </si>
  <si>
    <t>3d4+1</t>
  </si>
  <si>
    <t>Giant Crab</t>
  </si>
  <si>
    <t>Giant Rat</t>
  </si>
  <si>
    <t>Giant Weasel</t>
  </si>
  <si>
    <t>1d4+3</t>
  </si>
  <si>
    <t>Guard</t>
  </si>
  <si>
    <t>ANY</t>
  </si>
  <si>
    <t>Kobold</t>
  </si>
  <si>
    <t>LE</t>
  </si>
  <si>
    <t>Manes</t>
  </si>
  <si>
    <t>CE</t>
  </si>
  <si>
    <t>Fiend (Demon)</t>
  </si>
  <si>
    <t>2d4</t>
  </si>
  <si>
    <t>Mastiff</t>
  </si>
  <si>
    <t>Merfolk</t>
  </si>
  <si>
    <t>N</t>
  </si>
  <si>
    <t>1d8</t>
  </si>
  <si>
    <t>Monodrone</t>
  </si>
  <si>
    <t>LN</t>
  </si>
  <si>
    <t>Construct</t>
  </si>
  <si>
    <t>1d4+1</t>
  </si>
  <si>
    <t>Mule</t>
  </si>
  <si>
    <t>Noble</t>
  </si>
  <si>
    <t>Poisonous Snake</t>
  </si>
  <si>
    <t>Pony</t>
  </si>
  <si>
    <t>Slaad Tadpole</t>
  </si>
  <si>
    <t>CN</t>
  </si>
  <si>
    <t>Stirge</t>
  </si>
  <si>
    <t>Tribal Warrior</t>
  </si>
  <si>
    <t>Twig Blight</t>
  </si>
  <si>
    <t>NE</t>
  </si>
  <si>
    <t>Plant</t>
  </si>
  <si>
    <t>Aarakocra</t>
  </si>
  <si>
    <t>1/4</t>
  </si>
  <si>
    <t>NG</t>
  </si>
  <si>
    <t>1d6+2</t>
  </si>
  <si>
    <t>Acolyte</t>
  </si>
  <si>
    <t>Axe Beak</t>
  </si>
  <si>
    <t>1d8+2</t>
  </si>
  <si>
    <t>Blink Dog</t>
  </si>
  <si>
    <t>Fey</t>
  </si>
  <si>
    <t>Boar</t>
  </si>
  <si>
    <t>Bullywug</t>
  </si>
  <si>
    <t>Constrictor Snake</t>
  </si>
  <si>
    <t>Draft Horse</t>
  </si>
  <si>
    <t>2d4+4</t>
  </si>
  <si>
    <t>Dretch</t>
  </si>
  <si>
    <t>1d6</t>
  </si>
  <si>
    <t>Drow</t>
  </si>
  <si>
    <t>Duodrone</t>
  </si>
  <si>
    <t>Elk</t>
  </si>
  <si>
    <t>1d6+3</t>
  </si>
  <si>
    <t>2d4+3</t>
  </si>
  <si>
    <t>Flying Sword</t>
  </si>
  <si>
    <t>Giant Badger</t>
  </si>
  <si>
    <t>2d4+1</t>
  </si>
  <si>
    <t>Giant Bat</t>
  </si>
  <si>
    <t>Giant Centipede</t>
  </si>
  <si>
    <t>Giant Frog</t>
  </si>
  <si>
    <t>Giant Lizard</t>
  </si>
  <si>
    <t>Giant Owl</t>
  </si>
  <si>
    <t>2d6+1</t>
  </si>
  <si>
    <t>Giant Poisonous Snake</t>
  </si>
  <si>
    <t>1d4+4</t>
  </si>
  <si>
    <t>Giant Wolf Spider</t>
  </si>
  <si>
    <t>Goblin</t>
  </si>
  <si>
    <t>Grimlock</t>
  </si>
  <si>
    <t>Kenku</t>
  </si>
  <si>
    <t>Kuo-Toa</t>
  </si>
  <si>
    <t>Mud Mephit</t>
  </si>
  <si>
    <t>Elemental</t>
  </si>
  <si>
    <t>Needle Blight</t>
  </si>
  <si>
    <t>Panther</t>
  </si>
  <si>
    <t>Pixie</t>
  </si>
  <si>
    <t>Pseudodragon</t>
  </si>
  <si>
    <t>Dragon</t>
  </si>
  <si>
    <t>Pteranodon</t>
  </si>
  <si>
    <t>Riding Horse</t>
  </si>
  <si>
    <t>Skeleton</t>
  </si>
  <si>
    <t>Undead</t>
  </si>
  <si>
    <t>Smoke Mephit</t>
  </si>
  <si>
    <t>Sprite</t>
  </si>
  <si>
    <t>Steam Mephit</t>
  </si>
  <si>
    <t>Swarm of Bats</t>
  </si>
  <si>
    <t>VARIES</t>
  </si>
  <si>
    <t>Swarm of Rats</t>
  </si>
  <si>
    <t>Swarm of Ravens</t>
  </si>
  <si>
    <t>Troglodyte</t>
  </si>
  <si>
    <t>Violet Fungus</t>
  </si>
  <si>
    <t>Winged Kobold</t>
  </si>
  <si>
    <t>Wolf</t>
  </si>
  <si>
    <t>Zombie</t>
  </si>
  <si>
    <t>Ape</t>
  </si>
  <si>
    <t>1/2</t>
  </si>
  <si>
    <t>Black Bear</t>
  </si>
  <si>
    <t>Cockatrice</t>
  </si>
  <si>
    <t>Monstrosity</t>
  </si>
  <si>
    <t>Crocodile</t>
  </si>
  <si>
    <t>1d10+2</t>
  </si>
  <si>
    <t>Darkmantle</t>
  </si>
  <si>
    <t>Dust Mephit</t>
  </si>
  <si>
    <t>Gas Spore</t>
  </si>
  <si>
    <t>Giant Goat</t>
  </si>
  <si>
    <t>Giant Sea Horse</t>
  </si>
  <si>
    <t>Giant Wasp</t>
  </si>
  <si>
    <t>Gnoll</t>
  </si>
  <si>
    <t>Gnome, Deep (Svirfneblin)</t>
  </si>
  <si>
    <t>1d8+3</t>
  </si>
  <si>
    <t>Gray Ooze</t>
  </si>
  <si>
    <t>Ooze</t>
  </si>
  <si>
    <t>3d6+1</t>
  </si>
  <si>
    <t>Hobgoblin</t>
  </si>
  <si>
    <t>1d10+1</t>
  </si>
  <si>
    <t>Ice Mephit</t>
  </si>
  <si>
    <t>Jackalwere</t>
  </si>
  <si>
    <t>Lizardfolk</t>
  </si>
  <si>
    <t>Magma Mephit</t>
  </si>
  <si>
    <t>Magmin</t>
  </si>
  <si>
    <t>2d6</t>
  </si>
  <si>
    <t>Myconid Adult</t>
  </si>
  <si>
    <t>4d4</t>
  </si>
  <si>
    <t>Orc</t>
  </si>
  <si>
    <t>1d12+3</t>
  </si>
  <si>
    <t>Piercer</t>
  </si>
  <si>
    <t>Reef Shark</t>
  </si>
  <si>
    <t>Rust Monster</t>
  </si>
  <si>
    <t>Sahuagin</t>
  </si>
  <si>
    <t>Satyr</t>
  </si>
  <si>
    <t>Scout</t>
  </si>
  <si>
    <t>Shadow</t>
  </si>
  <si>
    <t>2d6+2</t>
  </si>
  <si>
    <t>Swarm of Insects</t>
  </si>
  <si>
    <t>Thug</t>
  </si>
  <si>
    <t>1d10</t>
  </si>
  <si>
    <t>Tridrone</t>
  </si>
  <si>
    <t>Vine Blight</t>
  </si>
  <si>
    <t>Warhorse</t>
  </si>
  <si>
    <t>2d6+4</t>
  </si>
  <si>
    <t>Warhorse Skeleton</t>
  </si>
  <si>
    <t>Worg</t>
  </si>
  <si>
    <t>2d6+3</t>
  </si>
  <si>
    <t>Animated Armor</t>
  </si>
  <si>
    <t>1</t>
  </si>
  <si>
    <t>Brass Dragon, Wyrmling</t>
  </si>
  <si>
    <t>CG</t>
  </si>
  <si>
    <t>4d6</t>
  </si>
  <si>
    <t>Brown Bear</t>
  </si>
  <si>
    <t>1d8+4</t>
  </si>
  <si>
    <t>Bugbear</t>
  </si>
  <si>
    <t>2d8+2</t>
  </si>
  <si>
    <t>Copper Dragon, Wyrmling</t>
  </si>
  <si>
    <t>4d8</t>
  </si>
  <si>
    <t>Death Dog</t>
  </si>
  <si>
    <t>Dire Wolf</t>
  </si>
  <si>
    <t>Dryad</t>
  </si>
  <si>
    <t>Duergar</t>
  </si>
  <si>
    <t>Faerie Dragon</t>
  </si>
  <si>
    <t>Fire Snake</t>
  </si>
  <si>
    <t>1d6+1d4+1</t>
  </si>
  <si>
    <t>Ghoul</t>
  </si>
  <si>
    <t>Giant Eagle</t>
  </si>
  <si>
    <t>Giant Hyena</t>
  </si>
  <si>
    <t>Giant Octopus</t>
  </si>
  <si>
    <t>Giant Spider</t>
  </si>
  <si>
    <t>Giant Toad</t>
  </si>
  <si>
    <t>2d10+2</t>
  </si>
  <si>
    <t>Giant Vulture</t>
  </si>
  <si>
    <t>Goblin Boss</t>
  </si>
  <si>
    <t>Half Ogre</t>
  </si>
  <si>
    <t>C</t>
  </si>
  <si>
    <t>Giant</t>
  </si>
  <si>
    <t>2d10+3</t>
  </si>
  <si>
    <t>Harpy</t>
  </si>
  <si>
    <t>Hippogriff</t>
  </si>
  <si>
    <t>1d10+3</t>
  </si>
  <si>
    <t>Imp</t>
  </si>
  <si>
    <t>Fiend (Devil)</t>
  </si>
  <si>
    <t>Kuo-Toa Whip</t>
  </si>
  <si>
    <t>Lion</t>
  </si>
  <si>
    <t>Quadrone</t>
  </si>
  <si>
    <t>Quaggoth Spore Servant</t>
  </si>
  <si>
    <t>Quasit</t>
  </si>
  <si>
    <t>Scarecrow</t>
  </si>
  <si>
    <t>Specter</t>
  </si>
  <si>
    <t>Spy</t>
  </si>
  <si>
    <t>Swarm of Quippers</t>
  </si>
  <si>
    <t>Thri-Kreen</t>
  </si>
  <si>
    <t>Tiger</t>
  </si>
  <si>
    <t>Yuan-Ti Pureblood</t>
  </si>
  <si>
    <t>Allosaurus</t>
  </si>
  <si>
    <t>2</t>
  </si>
  <si>
    <t>2d10+4</t>
  </si>
  <si>
    <t>Ankheg</t>
  </si>
  <si>
    <t>3d6+3</t>
  </si>
  <si>
    <t>3d6</t>
  </si>
  <si>
    <t>Awakened Tree</t>
  </si>
  <si>
    <t>3d6+4</t>
  </si>
  <si>
    <t>Azer</t>
  </si>
  <si>
    <t>Bandit Captain</t>
  </si>
  <si>
    <t>Berserker</t>
  </si>
  <si>
    <t>Black Dragon, Wyrmling</t>
  </si>
  <si>
    <t>1d10+1d4+2</t>
  </si>
  <si>
    <t>5d8</t>
  </si>
  <si>
    <t>Bronze Dragon, Wyrmling</t>
  </si>
  <si>
    <t>3d10</t>
  </si>
  <si>
    <t>Carrion Crawler</t>
  </si>
  <si>
    <t>Centaur</t>
  </si>
  <si>
    <t>1d10+4</t>
  </si>
  <si>
    <t>Cult Fanatic</t>
  </si>
  <si>
    <t>Druid</t>
  </si>
  <si>
    <t>Ettercap</t>
  </si>
  <si>
    <t>Gargoyle</t>
  </si>
  <si>
    <t>Gelatinous Cube</t>
  </si>
  <si>
    <t>Ghast</t>
  </si>
  <si>
    <t>2d8+3</t>
  </si>
  <si>
    <t>Giant Boar</t>
  </si>
  <si>
    <t>10d6+3</t>
  </si>
  <si>
    <t>Giant Constrictor Snake</t>
  </si>
  <si>
    <t>2d8+4</t>
  </si>
  <si>
    <t>Giant Elk</t>
  </si>
  <si>
    <t>4d8+4</t>
  </si>
  <si>
    <t>Gibbering Mouther</t>
  </si>
  <si>
    <t>5d6</t>
  </si>
  <si>
    <t>Githzerai Monk</t>
  </si>
  <si>
    <t>3d8+2</t>
  </si>
  <si>
    <t>Gnoll Pack Lord</t>
  </si>
  <si>
    <t>Green Dragon, Wyrmling</t>
  </si>
  <si>
    <t>1d10+1d6+2</t>
  </si>
  <si>
    <t>6d6</t>
  </si>
  <si>
    <t>Grick</t>
  </si>
  <si>
    <t>Griffon</t>
  </si>
  <si>
    <t>Hunter Shark</t>
  </si>
  <si>
    <t>Intellect Devourer</t>
  </si>
  <si>
    <t>Lizardfolk Shaman</t>
  </si>
  <si>
    <t>Merrow</t>
  </si>
  <si>
    <t>Mimic</t>
  </si>
  <si>
    <t>Minotaur Skeleton</t>
  </si>
  <si>
    <t>2d12+4</t>
  </si>
  <si>
    <t>Myconid Sovereign</t>
  </si>
  <si>
    <t>6d4+1</t>
  </si>
  <si>
    <t>Nothic</t>
  </si>
  <si>
    <t>Ochre Jelly</t>
  </si>
  <si>
    <t>3d6+2</t>
  </si>
  <si>
    <t>Ogre</t>
  </si>
  <si>
    <t>Ogre Zombie</t>
  </si>
  <si>
    <t>2d8+6</t>
  </si>
  <si>
    <t>Orc Eye of Gruumsh</t>
  </si>
  <si>
    <t>Orog</t>
  </si>
  <si>
    <t>1d12+4</t>
  </si>
  <si>
    <t>1d6+4</t>
  </si>
  <si>
    <t>Pegasus</t>
  </si>
  <si>
    <t>Celestial</t>
  </si>
  <si>
    <t>Pentadrone</t>
  </si>
  <si>
    <t>Peryton</t>
  </si>
  <si>
    <t>Plesiosaurus</t>
  </si>
  <si>
    <t>Polar Bear</t>
  </si>
  <si>
    <t>1d8+5</t>
  </si>
  <si>
    <t>2d6+5</t>
  </si>
  <si>
    <t>Priest</t>
  </si>
  <si>
    <t>Quaggoth</t>
  </si>
  <si>
    <t>Rhinoceros</t>
  </si>
  <si>
    <t>2d8+5</t>
  </si>
  <si>
    <t>Rug of Smothering</t>
  </si>
  <si>
    <t>Saber-Toothed Tiger</t>
  </si>
  <si>
    <t>1d10+5</t>
  </si>
  <si>
    <t>Sahuagin Priestess</t>
  </si>
  <si>
    <t>Sea Hag</t>
  </si>
  <si>
    <t>Silver Dragon, Wyrmling</t>
  </si>
  <si>
    <t>Spined Devil</t>
  </si>
  <si>
    <t>Swarm of Poisonous Snakes</t>
  </si>
  <si>
    <t>Wererat</t>
  </si>
  <si>
    <t>White Dragon, Wyrmling</t>
  </si>
  <si>
    <t>Will-O'-Wisp</t>
  </si>
  <si>
    <t>2d8</t>
  </si>
  <si>
    <t>Ankylosaurus</t>
  </si>
  <si>
    <t>3</t>
  </si>
  <si>
    <t>4d6+4</t>
  </si>
  <si>
    <t>Basilisk</t>
  </si>
  <si>
    <t>4d6+3</t>
  </si>
  <si>
    <t>Bearded Devil</t>
  </si>
  <si>
    <t>Blue Dragon, Wyrmling</t>
  </si>
  <si>
    <t>1d10+1d6+3</t>
  </si>
  <si>
    <t>4d10</t>
  </si>
  <si>
    <t>Bugbear Chief</t>
  </si>
  <si>
    <t>Displacer Beast</t>
  </si>
  <si>
    <t>Doppelganger</t>
  </si>
  <si>
    <t>Giant Scorpion</t>
  </si>
  <si>
    <t>Githyanki Warrior</t>
  </si>
  <si>
    <t>4d6+2</t>
  </si>
  <si>
    <t>Gold Dragon, Wyrmling</t>
  </si>
  <si>
    <t>Green Hag</t>
  </si>
  <si>
    <t>Grell</t>
  </si>
  <si>
    <t>Hell Hound</t>
  </si>
  <si>
    <t>Fiend</t>
  </si>
  <si>
    <t>1d8+2d6+3</t>
  </si>
  <si>
    <t>Hobgoblin Captain</t>
  </si>
  <si>
    <t>Hook Horror</t>
  </si>
  <si>
    <t>Killer Whale</t>
  </si>
  <si>
    <t>5d6+4</t>
  </si>
  <si>
    <t>Knight</t>
  </si>
  <si>
    <t>Manticore</t>
  </si>
  <si>
    <t>Minotaur</t>
  </si>
  <si>
    <t>Mummy</t>
  </si>
  <si>
    <t>5d6+3</t>
  </si>
  <si>
    <t>Nightmare</t>
  </si>
  <si>
    <t>2d8+2d6+4</t>
  </si>
  <si>
    <t>Owlbear</t>
  </si>
  <si>
    <t>Phase Spider</t>
  </si>
  <si>
    <t>Spectator</t>
  </si>
  <si>
    <t>1d6-1</t>
  </si>
  <si>
    <t>Veteran</t>
  </si>
  <si>
    <t>Water Weird</t>
  </si>
  <si>
    <t>Werewolf</t>
  </si>
  <si>
    <t>Wight</t>
  </si>
  <si>
    <t>Winter Wolf</t>
  </si>
  <si>
    <t>Yeti</t>
  </si>
  <si>
    <t>Yuan-Ti Malison</t>
  </si>
  <si>
    <t>Banshee</t>
  </si>
  <si>
    <t>4</t>
  </si>
  <si>
    <t>Black Pudding</t>
  </si>
  <si>
    <t>4d8+1d6+3</t>
  </si>
  <si>
    <t>Bone Naga</t>
  </si>
  <si>
    <t>Chuul</t>
  </si>
  <si>
    <t>Couatl</t>
  </si>
  <si>
    <t>1d6+5</t>
  </si>
  <si>
    <t>Elephant</t>
  </si>
  <si>
    <t>3d8+5</t>
  </si>
  <si>
    <t>3d10+5</t>
  </si>
  <si>
    <t>Ettin</t>
  </si>
  <si>
    <t>Flameskull</t>
  </si>
  <si>
    <t>Ghost</t>
  </si>
  <si>
    <t>Gnoll Fang of Yeenoghu</t>
  </si>
  <si>
    <t>Helmed Horror</t>
  </si>
  <si>
    <t>Lamia</t>
  </si>
  <si>
    <t>Lizard King/Queen</t>
  </si>
  <si>
    <t>Orc War Chief</t>
  </si>
  <si>
    <t>1d12+1d8+4</t>
  </si>
  <si>
    <t>Red Dragon, Wyrmling</t>
  </si>
  <si>
    <t>1d10+1d6+4</t>
  </si>
  <si>
    <t>7d6</t>
  </si>
  <si>
    <t>Shadow Demon</t>
  </si>
  <si>
    <t>Succubus/Incubus</t>
  </si>
  <si>
    <t>Wereboar</t>
  </si>
  <si>
    <t>Weretiger</t>
  </si>
  <si>
    <t>Air Elemental</t>
  </si>
  <si>
    <t>5</t>
  </si>
  <si>
    <t>Barbed Devil</t>
  </si>
  <si>
    <t>Barlgura</t>
  </si>
  <si>
    <t>Beholder Zombie</t>
  </si>
  <si>
    <t>Bulette</t>
  </si>
  <si>
    <t>4d12+4</t>
  </si>
  <si>
    <t>Cambion</t>
  </si>
  <si>
    <t>E</t>
  </si>
  <si>
    <t>1d8+1d6+4</t>
  </si>
  <si>
    <t>Drow Elite Warrior</t>
  </si>
  <si>
    <t>Earth Elemental</t>
  </si>
  <si>
    <t>Fire Elemental</t>
  </si>
  <si>
    <t>Flesh Golem</t>
  </si>
  <si>
    <t>Giant Crocodile</t>
  </si>
  <si>
    <t>Giant Shark</t>
  </si>
  <si>
    <t>3d10+6</t>
  </si>
  <si>
    <t>Gladiator</t>
  </si>
  <si>
    <t>Gorgon</t>
  </si>
  <si>
    <t>2d12+5</t>
  </si>
  <si>
    <t>2d10+5</t>
  </si>
  <si>
    <t>Half-Red Dragon Veteran</t>
  </si>
  <si>
    <t>Hill Giant</t>
  </si>
  <si>
    <t>Mezzoloth</t>
  </si>
  <si>
    <t>Night Hag</t>
  </si>
  <si>
    <t>Otyugh</t>
  </si>
  <si>
    <t>Red Slaad</t>
  </si>
  <si>
    <t>Revenant</t>
  </si>
  <si>
    <t>Roper</t>
  </si>
  <si>
    <t>Sahuagin Baron</t>
  </si>
  <si>
    <t>Salamander</t>
  </si>
  <si>
    <t>2d8+1d6+4</t>
  </si>
  <si>
    <t>Shambling Mound</t>
  </si>
  <si>
    <t>Triceratops</t>
  </si>
  <si>
    <t>4d8+6</t>
  </si>
  <si>
    <t>Troll</t>
  </si>
  <si>
    <t>Umber Hulk</t>
  </si>
  <si>
    <t>Unicorn</t>
  </si>
  <si>
    <t>Vampire Spawn</t>
  </si>
  <si>
    <t>Water Elemental</t>
  </si>
  <si>
    <t>Werebear</t>
  </si>
  <si>
    <t>Wraith</t>
  </si>
  <si>
    <t>4d8+3</t>
  </si>
  <si>
    <t>Xorn</t>
  </si>
  <si>
    <t>Young Remorhaz</t>
  </si>
  <si>
    <t>3d10+2d6+4</t>
  </si>
  <si>
    <t>Brass Dragon, Young</t>
  </si>
  <si>
    <t>6</t>
  </si>
  <si>
    <t>Chasme</t>
  </si>
  <si>
    <t>11d6+2</t>
  </si>
  <si>
    <t>Chimera</t>
  </si>
  <si>
    <t>Cyclops</t>
  </si>
  <si>
    <t>3d8+6</t>
  </si>
  <si>
    <t>4d10+6</t>
  </si>
  <si>
    <t>Drider</t>
  </si>
  <si>
    <t>2d8+1d4</t>
  </si>
  <si>
    <t>Galeb Duhr</t>
  </si>
  <si>
    <t>Githzerai Zerth</t>
  </si>
  <si>
    <t>2d6+3d8+4</t>
  </si>
  <si>
    <t>Hobgoblin Warlord</t>
  </si>
  <si>
    <t>Invisible Stalker</t>
  </si>
  <si>
    <t>Kuo-Toa Archpriest</t>
  </si>
  <si>
    <t>Mage</t>
  </si>
  <si>
    <t>Mammoth</t>
  </si>
  <si>
    <t>4d8+7</t>
  </si>
  <si>
    <t>4d10+7</t>
  </si>
  <si>
    <t>Medusa</t>
  </si>
  <si>
    <t>1d4+4d6+2</t>
  </si>
  <si>
    <t>Vrock</t>
  </si>
  <si>
    <t>White Dragon, Young</t>
  </si>
  <si>
    <t>2d10+1d8+4</t>
  </si>
  <si>
    <t>Wyvern</t>
  </si>
  <si>
    <t>Black Dragon, Young</t>
  </si>
  <si>
    <t>7</t>
  </si>
  <si>
    <t>Blue Slaad</t>
  </si>
  <si>
    <t>Copper Dragon, Young</t>
  </si>
  <si>
    <t>Drow Mage</t>
  </si>
  <si>
    <t>1d8+1d6-1</t>
  </si>
  <si>
    <t>Giant Ape</t>
  </si>
  <si>
    <t>7d6+6</t>
  </si>
  <si>
    <t>Grick Alpha</t>
  </si>
  <si>
    <t>Mind Flayer</t>
  </si>
  <si>
    <t>10d10</t>
  </si>
  <si>
    <t>Oni</t>
  </si>
  <si>
    <t>Shield Guardian</t>
  </si>
  <si>
    <t>Stone Giant</t>
  </si>
  <si>
    <t>Yuan-Ti Abomination</t>
  </si>
  <si>
    <t>Assassin</t>
  </si>
  <si>
    <t>8</t>
  </si>
  <si>
    <t>Bronze Dragon, Young</t>
  </si>
  <si>
    <t>Chain Devil</t>
  </si>
  <si>
    <t>Cloaker</t>
  </si>
  <si>
    <t>Drow Priestess of Lolth</t>
  </si>
  <si>
    <t>6d6+2</t>
  </si>
  <si>
    <t>Fomorian</t>
  </si>
  <si>
    <t>6d8</t>
  </si>
  <si>
    <t>Frost Giant</t>
  </si>
  <si>
    <t>3d12+6</t>
  </si>
  <si>
    <t>Githyanki Knight</t>
  </si>
  <si>
    <t>5d6+6</t>
  </si>
  <si>
    <t>Green Dragon, Young</t>
  </si>
  <si>
    <t>2d10+2d6+4</t>
  </si>
  <si>
    <t>Green Slaad</t>
  </si>
  <si>
    <t>Hezrou</t>
  </si>
  <si>
    <t>Hydra</t>
  </si>
  <si>
    <t>Spirit Naga</t>
  </si>
  <si>
    <t>Tyrannosaurus Rex</t>
  </si>
  <si>
    <t>4d12+7</t>
  </si>
  <si>
    <t>3d8+7</t>
  </si>
  <si>
    <t>Abominable Yeti</t>
  </si>
  <si>
    <t>9</t>
  </si>
  <si>
    <t>4d6+7</t>
  </si>
  <si>
    <t>Blue Dragon, Young</t>
  </si>
  <si>
    <t>Bone Devil</t>
  </si>
  <si>
    <t>Clay Golem</t>
  </si>
  <si>
    <t>Cloud Giant</t>
  </si>
  <si>
    <t>3d8+8</t>
  </si>
  <si>
    <t>4d10+8</t>
  </si>
  <si>
    <t>Fire Giant</t>
  </si>
  <si>
    <t>6d6+7</t>
  </si>
  <si>
    <t>Glabrezu</t>
  </si>
  <si>
    <t>Gray Slaad</t>
  </si>
  <si>
    <t>Nycaloth</t>
  </si>
  <si>
    <t>Silver Dragon, Young</t>
  </si>
  <si>
    <t>2d10+6</t>
  </si>
  <si>
    <t>2d6+6</t>
  </si>
  <si>
    <t>Treant</t>
  </si>
  <si>
    <t>3d6+6</t>
  </si>
  <si>
    <t>Aboleth</t>
  </si>
  <si>
    <t>10</t>
  </si>
  <si>
    <t>3d6+5</t>
  </si>
  <si>
    <t>Death Slaad</t>
  </si>
  <si>
    <t>1d8+2d6+5</t>
  </si>
  <si>
    <t>1d10+2d6+5</t>
  </si>
  <si>
    <t>Deva</t>
  </si>
  <si>
    <t>4d8+1d6+4</t>
  </si>
  <si>
    <t>Gold Dragon, Young</t>
  </si>
  <si>
    <t>Guardian Naga</t>
  </si>
  <si>
    <t>Red Dragon, Young</t>
  </si>
  <si>
    <t>2d10+1d6+6</t>
  </si>
  <si>
    <t>Stone Golem</t>
  </si>
  <si>
    <t>Yochlol</t>
  </si>
  <si>
    <t>7d6+2</t>
  </si>
  <si>
    <t>Behir</t>
  </si>
  <si>
    <t>11</t>
  </si>
  <si>
    <t>4d10+12</t>
  </si>
  <si>
    <t>Dao</t>
  </si>
  <si>
    <t>4d6+6</t>
  </si>
  <si>
    <t>Djinni</t>
  </si>
  <si>
    <t>Efreeti</t>
  </si>
  <si>
    <t>Gynosphinx</t>
  </si>
  <si>
    <t>Horned Devil</t>
  </si>
  <si>
    <t>1d8+6</t>
  </si>
  <si>
    <t>Marid</t>
  </si>
  <si>
    <t>Remorhaz</t>
  </si>
  <si>
    <t>6d10+3d6+7</t>
  </si>
  <si>
    <t>Roc</t>
  </si>
  <si>
    <t>4d8+9</t>
  </si>
  <si>
    <t>4d6+9</t>
  </si>
  <si>
    <t>Arcanaloth</t>
  </si>
  <si>
    <t>12</t>
  </si>
  <si>
    <t>Archmage</t>
  </si>
  <si>
    <t>Erinyes</t>
  </si>
  <si>
    <t>3d8+1d10+4</t>
  </si>
  <si>
    <t>Beholder</t>
  </si>
  <si>
    <t>13</t>
  </si>
  <si>
    <t>Brass Dragon, Adult</t>
  </si>
  <si>
    <t>Nalfeshnee</t>
  </si>
  <si>
    <t>5d10+5</t>
  </si>
  <si>
    <t>Rakshasa</t>
  </si>
  <si>
    <t>Shadow Dragon</t>
  </si>
  <si>
    <t>Storm Giant</t>
  </si>
  <si>
    <t>6d6+9</t>
  </si>
  <si>
    <t>4d12+9</t>
  </si>
  <si>
    <t>Ultroloth</t>
  </si>
  <si>
    <t>Vampire</t>
  </si>
  <si>
    <t>White Dragon, Adult</t>
  </si>
  <si>
    <t>2d10+1d8+6</t>
  </si>
  <si>
    <t>Black Dragon, Adult</t>
  </si>
  <si>
    <t>14</t>
  </si>
  <si>
    <t>Copper Dragon, Adult</t>
  </si>
  <si>
    <t>Death Tyrant</t>
  </si>
  <si>
    <t>Ice Devil</t>
  </si>
  <si>
    <t>5d6+5</t>
  </si>
  <si>
    <t>2d4+3d6+5</t>
  </si>
  <si>
    <t>Bronze Dragon, Adult</t>
  </si>
  <si>
    <t>15</t>
  </si>
  <si>
    <t>2d10+7</t>
  </si>
  <si>
    <t>2d6+7</t>
  </si>
  <si>
    <t>Green Dragon, Adult</t>
  </si>
  <si>
    <t>2d10+2d6+6</t>
  </si>
  <si>
    <t>Mummy Lord</t>
  </si>
  <si>
    <t>9d6+4</t>
  </si>
  <si>
    <t>Purple Worm</t>
  </si>
  <si>
    <t>3d8+9</t>
  </si>
  <si>
    <t>15d6+9</t>
  </si>
  <si>
    <t>Blue Dragon, Adult</t>
  </si>
  <si>
    <t>16</t>
  </si>
  <si>
    <t>3d10+7</t>
  </si>
  <si>
    <t>Iron Golem</t>
  </si>
  <si>
    <t>Marilith</t>
  </si>
  <si>
    <t>Planetar</t>
  </si>
  <si>
    <t>4d6+5d8+7</t>
  </si>
  <si>
    <t>Silver Dragon, Adult</t>
  </si>
  <si>
    <t>2d10+8</t>
  </si>
  <si>
    <t>2d6+8</t>
  </si>
  <si>
    <t>Androsphinx</t>
  </si>
  <si>
    <t>17</t>
  </si>
  <si>
    <t>Death Knight</t>
  </si>
  <si>
    <t>1d10+4d8+5</t>
  </si>
  <si>
    <t>Dracolich</t>
  </si>
  <si>
    <t>Dragon Turtle</t>
  </si>
  <si>
    <t>3d12+7</t>
  </si>
  <si>
    <t>2d8+7</t>
  </si>
  <si>
    <t>Gold Dragon, Adult</t>
  </si>
  <si>
    <t>Goristro</t>
  </si>
  <si>
    <t>Red Dragon, Adult</t>
  </si>
  <si>
    <t>2d10+2d6+8</t>
  </si>
  <si>
    <t>Demilich</t>
  </si>
  <si>
    <t>18</t>
  </si>
  <si>
    <t>Balor</t>
  </si>
  <si>
    <t>19</t>
  </si>
  <si>
    <t>Brass Dragon, Ancient</t>
  </si>
  <si>
    <t>20</t>
  </si>
  <si>
    <t>Pit Fiend</t>
  </si>
  <si>
    <t>4d6+8</t>
  </si>
  <si>
    <t>2d8+8</t>
  </si>
  <si>
    <t>White Dragon, Ancient</t>
  </si>
  <si>
    <t>2d10+2d8+8</t>
  </si>
  <si>
    <t>Black Dragon, Ancient</t>
  </si>
  <si>
    <t>21</t>
  </si>
  <si>
    <t>Copper Dragon, Ancient</t>
  </si>
  <si>
    <t>Lich</t>
  </si>
  <si>
    <t>Solar</t>
  </si>
  <si>
    <t>4d6+6d8+8</t>
  </si>
  <si>
    <t>8d8+6</t>
  </si>
  <si>
    <t>Bronze Dragon, Ancient</t>
  </si>
  <si>
    <t>22</t>
  </si>
  <si>
    <t>2d10+9</t>
  </si>
  <si>
    <t>2d6+9</t>
  </si>
  <si>
    <t>Green Dragon, Ancient</t>
  </si>
  <si>
    <t>2d10+3d6+8</t>
  </si>
  <si>
    <t>Blue Dragon, Ancient</t>
  </si>
  <si>
    <t>23</t>
  </si>
  <si>
    <t>4d10+9</t>
  </si>
  <si>
    <t>Empyrean</t>
  </si>
  <si>
    <t>CG OR NE</t>
  </si>
  <si>
    <t>6d6+10</t>
  </si>
  <si>
    <t>Kraken</t>
  </si>
  <si>
    <t>3d8+10</t>
  </si>
  <si>
    <t>3d6+10</t>
  </si>
  <si>
    <t>Silver Dragon, Ancient</t>
  </si>
  <si>
    <t>2d10+10</t>
  </si>
  <si>
    <t>2d6+10</t>
  </si>
  <si>
    <t>Gold Dragon, Ancient</t>
  </si>
  <si>
    <t>24</t>
  </si>
  <si>
    <t>Red Dragon, Ancient</t>
  </si>
  <si>
    <t>2d10+4d6+10</t>
  </si>
  <si>
    <t>Tarrasque</t>
  </si>
  <si>
    <t>30</t>
  </si>
  <si>
    <t>4d8+10</t>
  </si>
  <si>
    <t>4d10+10</t>
  </si>
  <si>
    <t>Awakened Shrub</t>
  </si>
  <si>
    <t>0</t>
  </si>
  <si>
    <t>1d4-1</t>
  </si>
  <si>
    <t>Baboon</t>
  </si>
  <si>
    <t>Badger</t>
  </si>
  <si>
    <t>Bat</t>
  </si>
  <si>
    <t>Cat</t>
  </si>
  <si>
    <t>Commoner</t>
  </si>
  <si>
    <t>Crab</t>
  </si>
  <si>
    <t>Crawling Claw</t>
  </si>
  <si>
    <t>Deer</t>
  </si>
  <si>
    <t>Eagle</t>
  </si>
  <si>
    <t>Frog</t>
  </si>
  <si>
    <t>Giant Fire Beetle</t>
  </si>
  <si>
    <t>Goat</t>
  </si>
  <si>
    <t>Hawk</t>
  </si>
  <si>
    <t>Homunculus</t>
  </si>
  <si>
    <t>Hyena</t>
  </si>
  <si>
    <t>Jackal</t>
  </si>
  <si>
    <t>Lemure</t>
  </si>
  <si>
    <t>Lizard</t>
  </si>
  <si>
    <t>Myconid Sprout</t>
  </si>
  <si>
    <t>2d4-1</t>
  </si>
  <si>
    <t>Octopus</t>
  </si>
  <si>
    <t>Owl</t>
  </si>
  <si>
    <t>Quipper</t>
  </si>
  <si>
    <t>Rat</t>
  </si>
  <si>
    <t>Raven</t>
  </si>
  <si>
    <t>Scorpion</t>
  </si>
  <si>
    <t>Sea Horse</t>
  </si>
  <si>
    <t>Shrieker</t>
  </si>
  <si>
    <t>Spider</t>
  </si>
  <si>
    <t>Vulture</t>
  </si>
  <si>
    <t>Weasel</t>
  </si>
  <si>
    <t>Loot Table</t>
  </si>
  <si>
    <t>%</t>
  </si>
  <si>
    <t>% Range</t>
  </si>
  <si>
    <t>ID/Cost</t>
  </si>
  <si>
    <t>Value</t>
  </si>
  <si>
    <t>Item Name</t>
  </si>
  <si>
    <t>Adventure</t>
  </si>
  <si>
    <t>Weapon</t>
  </si>
  <si>
    <t>Armor</t>
  </si>
  <si>
    <t>Encounter ID</t>
  </si>
  <si>
    <t>Monster ID</t>
  </si>
  <si>
    <t>N. Items</t>
  </si>
  <si>
    <t>Loot 1</t>
  </si>
  <si>
    <t>P</t>
  </si>
  <si>
    <t>Loot 2</t>
  </si>
  <si>
    <t>Loot 3</t>
  </si>
  <si>
    <t>Loot 4</t>
  </si>
  <si>
    <t>Loot 5</t>
  </si>
  <si>
    <t>Rand 1</t>
  </si>
  <si>
    <t>Rand 2</t>
  </si>
  <si>
    <t>Rand 3</t>
  </si>
  <si>
    <t>Rand 4</t>
  </si>
  <si>
    <t>Rand 5</t>
  </si>
  <si>
    <t>Polished Stone Necklace</t>
  </si>
  <si>
    <t>Ruby</t>
  </si>
  <si>
    <t>Secret Book</t>
  </si>
  <si>
    <t xml:space="preserve">This allows a player to see what loot they have been assigned. The number next to "Player" represents what player loot you want to see. </t>
  </si>
  <si>
    <t xml:space="preserve">You can set this up in a way that from another spreadsheet (Such as a players version) to query these for their current loot, as well as get the properties of the items from the item tables </t>
  </si>
  <si>
    <t>Player</t>
  </si>
  <si>
    <t>Dart</t>
  </si>
  <si>
    <t>Pick, light</t>
  </si>
  <si>
    <t>Greatclub</t>
  </si>
  <si>
    <t>Shield, light wooden</t>
  </si>
  <si>
    <t>Jug, clay</t>
  </si>
  <si>
    <t>Sling</t>
  </si>
  <si>
    <t>Gauntlet, spiked</t>
  </si>
  <si>
    <t>Shield, light steel</t>
  </si>
  <si>
    <t>Signal whistle</t>
  </si>
  <si>
    <t>Lantern, hooded</t>
  </si>
  <si>
    <t>Poop</t>
  </si>
  <si>
    <t>Piercing</t>
  </si>
  <si>
    <t>1/2 lb.</t>
  </si>
  <si>
    <t>10 ft.</t>
  </si>
  <si>
    <t>×2</t>
  </si>
  <si>
    <t>1d2</t>
  </si>
  <si>
    <t>Shuriken (5)</t>
  </si>
  <si>
    <t>—</t>
  </si>
  <si>
    <t>6 lb.</t>
  </si>
  <si>
    <t>Net</t>
  </si>
  <si>
    <t>80 ft.</t>
  </si>
  <si>
    <t>19–20/×2</t>
  </si>
  <si>
    <t>Crossbow, repeating light</t>
  </si>
  <si>
    <t>1 lb.</t>
  </si>
  <si>
    <t>Bolts (5)</t>
  </si>
  <si>
    <t>12 lb.</t>
  </si>
  <si>
    <t>120 ft.</t>
  </si>
  <si>
    <t>Crossbow, repeating heavy</t>
  </si>
  <si>
    <t>Bolts (10)</t>
  </si>
  <si>
    <t>2 lb.</t>
  </si>
  <si>
    <t>30 ft.</t>
  </si>
  <si>
    <t>1d3</t>
  </si>
  <si>
    <t>Crossbow, hand</t>
  </si>
  <si>
    <t>Bludgeoning</t>
  </si>
  <si>
    <t>1d43</t>
  </si>
  <si>
    <t>1d33</t>
  </si>
  <si>
    <t>Bolas</t>
  </si>
  <si>
    <t>Slashing/piercing</t>
  </si>
  <si>
    <t>×3</t>
  </si>
  <si>
    <t>1d8/1d6</t>
  </si>
  <si>
    <t>1d6/1d4</t>
  </si>
  <si>
    <t>Urgrosh, dwarven5</t>
  </si>
  <si>
    <t>Slashing</t>
  </si>
  <si>
    <t>10 lb.</t>
  </si>
  <si>
    <t>1d8/1d8</t>
  </si>
  <si>
    <t>1d6/1d6</t>
  </si>
  <si>
    <t>Sword, two-bladed5</t>
  </si>
  <si>
    <t>Bludgeoning/piercing</t>
  </si>
  <si>
    <t>×3/×4</t>
  </si>
  <si>
    <t>Hammer, gnome hooked5</t>
  </si>
  <si>
    <t>Flail, dire5</t>
  </si>
  <si>
    <t>Chain, spiked4</t>
  </si>
  <si>
    <t>15 lb.</t>
  </si>
  <si>
    <t>Axe, orc double5</t>
  </si>
  <si>
    <t>1d23</t>
  </si>
  <si>
    <t>Whip4</t>
  </si>
  <si>
    <t>8 lb.</t>
  </si>
  <si>
    <t>Waraxe, dwarven</t>
  </si>
  <si>
    <t>Sword, bastard</t>
  </si>
  <si>
    <t>Siangham</t>
  </si>
  <si>
    <t>Sai</t>
  </si>
  <si>
    <t>Nunchaku</t>
  </si>
  <si>
    <t>Kama</t>
  </si>
  <si>
    <t>3 lb.</t>
  </si>
  <si>
    <t>Arrows (20)</t>
  </si>
  <si>
    <t>70 ft.</t>
  </si>
  <si>
    <t>Shortbow, composite</t>
  </si>
  <si>
    <t>60 ft.</t>
  </si>
  <si>
    <t>Shortbow</t>
  </si>
  <si>
    <t>110 ft.</t>
  </si>
  <si>
    <t>Longbow, composite</t>
  </si>
  <si>
    <t>100 ft.</t>
  </si>
  <si>
    <t>Longbow</t>
  </si>
  <si>
    <t>Piercing or slashing</t>
  </si>
  <si>
    <t>×4</t>
  </si>
  <si>
    <t>Scythe</t>
  </si>
  <si>
    <t>Ranseur</t>
  </si>
  <si>
    <t>Lance</t>
  </si>
  <si>
    <t>Halberd</t>
  </si>
  <si>
    <t>Guisarme4</t>
  </si>
  <si>
    <t>Greatsword</t>
  </si>
  <si>
    <t>Flail, heavy</t>
  </si>
  <si>
    <t>1d12</t>
  </si>
  <si>
    <t>Greataxe</t>
  </si>
  <si>
    <t>Glaive</t>
  </si>
  <si>
    <t>18–20/×2</t>
  </si>
  <si>
    <t>Falchion</t>
  </si>
  <si>
    <t>5 lb.</t>
  </si>
  <si>
    <t>Warhammer</t>
  </si>
  <si>
    <t>4 lb.</t>
  </si>
  <si>
    <t>Trident</t>
  </si>
  <si>
    <t>special</t>
  </si>
  <si>
    <t>Spiked shield, heavy</t>
  </si>
  <si>
    <t>Shield, heavy</t>
  </si>
  <si>
    <t>Scimitar</t>
  </si>
  <si>
    <t>Rapier</t>
  </si>
  <si>
    <t>Pick, heavy</t>
  </si>
  <si>
    <t>Longsword</t>
  </si>
  <si>
    <t>Flail</t>
  </si>
  <si>
    <t>Battleaxe</t>
  </si>
  <si>
    <t>Sword, short</t>
  </si>
  <si>
    <t>Spiked shield, light</t>
  </si>
  <si>
    <t>Spiked armor</t>
  </si>
  <si>
    <t>Shield, light</t>
  </si>
  <si>
    <t>1d63</t>
  </si>
  <si>
    <t>Sap</t>
  </si>
  <si>
    <t>Kukri</t>
  </si>
  <si>
    <t>Handaxe</t>
  </si>
  <si>
    <t>20 ft.</t>
  </si>
  <si>
    <t>Hammer, light</t>
  </si>
  <si>
    <t>Axe, throwing</t>
  </si>
  <si>
    <t>Bullets, sling (10)</t>
  </si>
  <si>
    <t>0 lb.</t>
  </si>
  <si>
    <t>50 ft.</t>
  </si>
  <si>
    <t>Javelin</t>
  </si>
  <si>
    <t>Crossbow, light</t>
  </si>
  <si>
    <t>Bolts, crossbow (10)</t>
  </si>
  <si>
    <t>Crossbow, heavy</t>
  </si>
  <si>
    <t>Spear</t>
  </si>
  <si>
    <t>1d4/1d4</t>
  </si>
  <si>
    <t>Quarterstaff5</t>
  </si>
  <si>
    <t>9 lb.</t>
  </si>
  <si>
    <t>Longspear4</t>
  </si>
  <si>
    <t>Shortspear</t>
  </si>
  <si>
    <t>Bludgeoning and piercing</t>
  </si>
  <si>
    <t>Morningstar</t>
  </si>
  <si>
    <t>Mace, heavy</t>
  </si>
  <si>
    <t>Club</t>
  </si>
  <si>
    <t>Sickle</t>
  </si>
  <si>
    <t>Mace, light</t>
  </si>
  <si>
    <t>Dagger, punching</t>
  </si>
  <si>
    <t>Dagger</t>
  </si>
  <si>
    <t>Unarmed strike</t>
  </si>
  <si>
    <t>Gauntlet</t>
  </si>
  <si>
    <t>Type2</t>
  </si>
  <si>
    <t>Weight1</t>
  </si>
  <si>
    <t>Range Increment</t>
  </si>
  <si>
    <t>Critical</t>
  </si>
  <si>
    <t>Dmg (M)</t>
  </si>
  <si>
    <t>Dmg (S)</t>
  </si>
  <si>
    <t>Shield Spikes, Light or Heavy</t>
  </si>
  <si>
    <t>Special</t>
  </si>
  <si>
    <t>Gauntlet, locked</t>
  </si>
  <si>
    <t>Armor spikes</t>
  </si>
  <si>
    <t>45 lb.</t>
  </si>
  <si>
    <t>–10</t>
  </si>
  <si>
    <t>Shield, tower</t>
  </si>
  <si>
    <t>–2</t>
  </si>
  <si>
    <t>Shield, heavy steel</t>
  </si>
  <si>
    <t>Shield, heavy wooden</t>
  </si>
  <si>
    <t>–1</t>
  </si>
  <si>
    <t>Buckler</t>
  </si>
  <si>
    <t>50 lb.</t>
  </si>
  <si>
    <t>15 ft.2</t>
  </si>
  <si>
    <t>20 ft.2</t>
  </si>
  <si>
    <t>–6</t>
  </si>
  <si>
    <t>Full plate</t>
  </si>
  <si>
    <t>–7</t>
  </si>
  <si>
    <t>Half-plate</t>
  </si>
  <si>
    <t>35 lb.</t>
  </si>
  <si>
    <t>Banded mail</t>
  </si>
  <si>
    <t>Splint mail</t>
  </si>
  <si>
    <t>30 lb.</t>
  </si>
  <si>
    <t>15 ft.</t>
  </si>
  <si>
    <t>–4</t>
  </si>
  <si>
    <t>Breastplate</t>
  </si>
  <si>
    <t>40 lb.</t>
  </si>
  <si>
    <t>–5</t>
  </si>
  <si>
    <t>Chainmail</t>
  </si>
  <si>
    <t>Scale mail</t>
  </si>
  <si>
    <t>25 lb.</t>
  </si>
  <si>
    <t>–3</t>
  </si>
  <si>
    <t>Hide</t>
  </si>
  <si>
    <t>Chain shirt</t>
  </si>
  <si>
    <t>20 lb.</t>
  </si>
  <si>
    <t>Studded leather</t>
  </si>
  <si>
    <t>Leather</t>
  </si>
  <si>
    <t>Padded</t>
  </si>
  <si>
    <t>(20 ft.)</t>
  </si>
  <si>
    <t>(30 ft.)</t>
  </si>
  <si>
    <t>Speed</t>
  </si>
  <si>
    <t>Arcane Spell
Failure Chance</t>
  </si>
  <si>
    <t>Armor Check
Penalty</t>
  </si>
  <si>
    <t>Maximum
Dex Bonus</t>
  </si>
  <si>
    <t>Armor/
Shield Bonus</t>
  </si>
  <si>
    <t>Whetstone</t>
  </si>
  <si>
    <t>4 lb.1</t>
  </si>
  <si>
    <t>Waterskin</t>
  </si>
  <si>
    <t>1/10 lb.</t>
  </si>
  <si>
    <t>Vial, ink or potion</t>
  </si>
  <si>
    <t>Torch</t>
  </si>
  <si>
    <t>20 lb.1</t>
  </si>
  <si>
    <t>Tent</t>
  </si>
  <si>
    <t>Spyglass</t>
  </si>
  <si>
    <t>Spade or shovel</t>
  </si>
  <si>
    <t>Soap (per lb.)</t>
  </si>
  <si>
    <t>Sledge</t>
  </si>
  <si>
    <t>Signet ring</t>
  </si>
  <si>
    <t>Sewing needle</t>
  </si>
  <si>
    <t>Sealing wax</t>
  </si>
  <si>
    <t>1/2 lb.1</t>
  </si>
  <si>
    <t>Sack (empty)</t>
  </si>
  <si>
    <t>Rope, silk (50 ft.)</t>
  </si>
  <si>
    <t>Rope, hempen (50 ft.)</t>
  </si>
  <si>
    <t>1 lb.1</t>
  </si>
  <si>
    <t>Rations, trail (per day)</t>
  </si>
  <si>
    <t>Ram, portable</t>
  </si>
  <si>
    <t>Pouch, belt (empty)</t>
  </si>
  <si>
    <t>Pot, iron</t>
  </si>
  <si>
    <t>Pole, 10-foot</t>
  </si>
  <si>
    <t>Piton</t>
  </si>
  <si>
    <t>Pitcher, clay</t>
  </si>
  <si>
    <t>Pick, miner’s</t>
  </si>
  <si>
    <t>Parchment (sheet)</t>
  </si>
  <si>
    <t>Paper (sheet)</t>
  </si>
  <si>
    <t>Oil (1-pint flask)</t>
  </si>
  <si>
    <t>Mug/Tankard, clay</t>
  </si>
  <si>
    <t>Mirror, small steel</t>
  </si>
  <si>
    <t>Manacles, masterwork</t>
  </si>
  <si>
    <t>Manacles</t>
  </si>
  <si>
    <t>Lock - Amazing</t>
  </si>
  <si>
    <t>Lock - Good</t>
  </si>
  <si>
    <t>Lock - Average</t>
  </si>
  <si>
    <t>Lock - Very simple</t>
  </si>
  <si>
    <t>Lantern, bullseye</t>
  </si>
  <si>
    <t>Lamp, common</t>
  </si>
  <si>
    <t>Ladder, 10-foot</t>
  </si>
  <si>
    <t>Inkpen</t>
  </si>
  <si>
    <t>Ink (1 oz. vial)</t>
  </si>
  <si>
    <t>Hammer</t>
  </si>
  <si>
    <t>Grappling hook</t>
  </si>
  <si>
    <t>Flint and steel</t>
  </si>
  <si>
    <t>1-1/2 lb.</t>
  </si>
  <si>
    <t>Flask (empty)</t>
  </si>
  <si>
    <t>Fishing net, 25 sq. ft.</t>
  </si>
  <si>
    <t>Fishhook</t>
  </si>
  <si>
    <t>Firewood (per day)</t>
  </si>
  <si>
    <t>Crowbar</t>
  </si>
  <si>
    <t>Chest (empty)</t>
  </si>
  <si>
    <t>Chalk, 1 piece</t>
  </si>
  <si>
    <t>Chain (10 ft.)</t>
  </si>
  <si>
    <t>Case, map or scroll</t>
  </si>
  <si>
    <t>Canvas (sq. yd.)</t>
  </si>
  <si>
    <t>Candle</t>
  </si>
  <si>
    <t>Caltrops</t>
  </si>
  <si>
    <t>Bucket (empty)</t>
  </si>
  <si>
    <t>Bottle, wine, glass</t>
  </si>
  <si>
    <t>Block and tackle</t>
  </si>
  <si>
    <t>3 lb.1</t>
  </si>
  <si>
    <t>Blanket, winter</t>
  </si>
  <si>
    <t>Bell</t>
  </si>
  <si>
    <t>5 lb.1</t>
  </si>
  <si>
    <t>Bedroll</t>
  </si>
  <si>
    <t>Basket (empty)</t>
  </si>
  <si>
    <t>Barrel (empty)</t>
  </si>
  <si>
    <t>2 lb.1</t>
  </si>
  <si>
    <t>Backpack (empty)</t>
  </si>
  <si>
    <t>Weight</t>
  </si>
  <si>
    <t>Item</t>
  </si>
  <si>
    <t>required</t>
  </si>
  <si>
    <t>wand</t>
  </si>
  <si>
    <t>artifact</t>
  </si>
  <si>
    <t>Wand of Orcus</t>
  </si>
  <si>
    <t>longsword</t>
  </si>
  <si>
    <t>weapon</t>
  </si>
  <si>
    <t>Sword of Kas</t>
  </si>
  <si>
    <t>wondrous item</t>
  </si>
  <si>
    <t>Orb of Dragonkind</t>
  </si>
  <si>
    <t>Eye and Hand of Vecna</t>
  </si>
  <si>
    <t>Book of Vile Darkness</t>
  </si>
  <si>
    <t>good alignment</t>
  </si>
  <si>
    <t>Book of Exalted Deeds</t>
  </si>
  <si>
    <t>battleaxe</t>
  </si>
  <si>
    <t>Axe of the Dwarvish Lords</t>
  </si>
  <si>
    <t>dwarf</t>
  </si>
  <si>
    <t>warhammer</t>
  </si>
  <si>
    <t>sentient</t>
  </si>
  <si>
    <t>Whelm</t>
  </si>
  <si>
    <t>worship a god of the sea</t>
  </si>
  <si>
    <t>trident</t>
  </si>
  <si>
    <t>Wave</t>
  </si>
  <si>
    <t>elf or half-elf, neutral good alignment</t>
  </si>
  <si>
    <t>Moonblade</t>
  </si>
  <si>
    <t>non-lawful alignment</t>
  </si>
  <si>
    <t>greatsword</t>
  </si>
  <si>
    <t>Blackrazor</t>
  </si>
  <si>
    <t>cloak</t>
  </si>
  <si>
    <t>rare</t>
  </si>
  <si>
    <t>Wings of flying</t>
  </si>
  <si>
    <t>feet slot</t>
  </si>
  <si>
    <t>uncommon</t>
  </si>
  <si>
    <t>Winged boots</t>
  </si>
  <si>
    <t>Wind fan</t>
  </si>
  <si>
    <t>legendary</t>
  </si>
  <si>
    <t>Well of many worlds</t>
  </si>
  <si>
    <t>any</t>
  </si>
  <si>
    <t>Weapon of warning</t>
  </si>
  <si>
    <t>very rare</t>
  </si>
  <si>
    <t>Weapon +3</t>
  </si>
  <si>
    <t>Weapon +2</t>
  </si>
  <si>
    <t>Weapon +1</t>
  </si>
  <si>
    <t>spellcaster</t>
  </si>
  <si>
    <t>Wand of wonder</t>
  </si>
  <si>
    <t>Wand of web</t>
  </si>
  <si>
    <t>Wand of the war mage +3</t>
  </si>
  <si>
    <t>Wand of the war mage +2</t>
  </si>
  <si>
    <t>Wand of the war mage +1</t>
  </si>
  <si>
    <t>Wand of secrets</t>
  </si>
  <si>
    <t>Wand of polymorph</t>
  </si>
  <si>
    <t>Wand of paralysis</t>
  </si>
  <si>
    <t>Wand of magic missiles</t>
  </si>
  <si>
    <t>Wand of magic detection</t>
  </si>
  <si>
    <t>Wand of lightning bolts</t>
  </si>
  <si>
    <t>Wand of fireballs</t>
  </si>
  <si>
    <t>Wand of fear</t>
  </si>
  <si>
    <t>Wand of enemy detection</t>
  </si>
  <si>
    <t>Wand of binding</t>
  </si>
  <si>
    <t>any slashing</t>
  </si>
  <si>
    <t>Vorpal sword</t>
  </si>
  <si>
    <t>Vicious weapon</t>
  </si>
  <si>
    <t>consumable</t>
  </si>
  <si>
    <t>Universal solvent</t>
  </si>
  <si>
    <t>Trident of fish command</t>
  </si>
  <si>
    <t>tome</t>
  </si>
  <si>
    <t>Tome of understanding</t>
  </si>
  <si>
    <t>wizard</t>
  </si>
  <si>
    <t>Tome of the stilled tongue</t>
  </si>
  <si>
    <t>Tome of leadership and influence</t>
  </si>
  <si>
    <t>Tome of clear thought</t>
  </si>
  <si>
    <t>rod</t>
  </si>
  <si>
    <t>Tentacle rod</t>
  </si>
  <si>
    <t>evil alignment</t>
  </si>
  <si>
    <t>Talisman of ultimate evil</t>
  </si>
  <si>
    <t>Talisman of the sphere</t>
  </si>
  <si>
    <t>Talisman of pure good</t>
  </si>
  <si>
    <t>any sword</t>
  </si>
  <si>
    <t>Sword of wounding</t>
  </si>
  <si>
    <t>Sword of vengeance</t>
  </si>
  <si>
    <t>any sword (slashing)</t>
  </si>
  <si>
    <t>Sword of sharpness</t>
  </si>
  <si>
    <t>Sword of life stealing</t>
  </si>
  <si>
    <t>same alignment as sword</t>
  </si>
  <si>
    <t>Sword of answering</t>
  </si>
  <si>
    <t>Sun blade</t>
  </si>
  <si>
    <t>Stone of good luck (luckstone)</t>
  </si>
  <si>
    <t>Stone of controlling earth elementals</t>
  </si>
  <si>
    <t>cleric, druid, or warlock</t>
  </si>
  <si>
    <t>staff</t>
  </si>
  <si>
    <t>Staff of withering</t>
  </si>
  <si>
    <t>Staff of thunder and lightning</t>
  </si>
  <si>
    <t>druid</t>
  </si>
  <si>
    <t>Staff of the woodlands</t>
  </si>
  <si>
    <t>Staff of the python</t>
  </si>
  <si>
    <t>sorcerer, warlock, wizard</t>
  </si>
  <si>
    <t>Staff of the magi</t>
  </si>
  <si>
    <t>Staff of the adder</t>
  </si>
  <si>
    <t>bard, cleric, druid, sorcerer, warlock, or wizard</t>
  </si>
  <si>
    <t>Staff of swarming insects</t>
  </si>
  <si>
    <t>Staff of striking</t>
  </si>
  <si>
    <t>Staff of power</t>
  </si>
  <si>
    <t>bard, cleric, or druid</t>
  </si>
  <si>
    <t>Staff of healing</t>
  </si>
  <si>
    <t>druid, sorcerer, warlock, or wizard</t>
  </si>
  <si>
    <t>Staff of frost</t>
  </si>
  <si>
    <t>Staff of fire</t>
  </si>
  <si>
    <t>Staff of charming</t>
  </si>
  <si>
    <t>Sphere of annihilation</t>
  </si>
  <si>
    <t>shield</t>
  </si>
  <si>
    <t>armor</t>
  </si>
  <si>
    <t>Spellguard shield</t>
  </si>
  <si>
    <t>scroll</t>
  </si>
  <si>
    <t>common</t>
  </si>
  <si>
    <t>Spell scroll (cantrip)</t>
  </si>
  <si>
    <t>Spell scroll (9th level)</t>
  </si>
  <si>
    <t>Spell scroll (8th level)</t>
  </si>
  <si>
    <t>Spell scroll (7th level)</t>
  </si>
  <si>
    <t>Spell scroll (6th level)</t>
  </si>
  <si>
    <t>Spell scroll (5th level)</t>
  </si>
  <si>
    <t>Spell scroll (4th level)</t>
  </si>
  <si>
    <t>Spell scroll (3rd level)</t>
  </si>
  <si>
    <t>Spell scroll (2nd level)</t>
  </si>
  <si>
    <t>Spell scroll (1st level)</t>
  </si>
  <si>
    <t>Sovereign glue</t>
  </si>
  <si>
    <t>Slippers of spider climbing</t>
  </si>
  <si>
    <t>cursed</t>
  </si>
  <si>
    <t>Shield of missile attraction</t>
  </si>
  <si>
    <t>Shield +3</t>
  </si>
  <si>
    <t>Shield +2</t>
  </si>
  <si>
    <t>Shield +1</t>
  </si>
  <si>
    <t>Sentinel shield</t>
  </si>
  <si>
    <t>Sending stones</t>
  </si>
  <si>
    <t>Scroll of protection</t>
  </si>
  <si>
    <t>scimitar</t>
  </si>
  <si>
    <t>Scimitar of speed</t>
  </si>
  <si>
    <t>Scarab of protection</t>
  </si>
  <si>
    <t>mount item</t>
  </si>
  <si>
    <t>Saddle of the cavalier</t>
  </si>
  <si>
    <t>Rope of entanglement</t>
  </si>
  <si>
    <t>Rope of climbing</t>
  </si>
  <si>
    <t>Rod of the pact keeper +3</t>
  </si>
  <si>
    <t>Rod of the pact keeper +2</t>
  </si>
  <si>
    <t>Rod of the pact keeper +1</t>
  </si>
  <si>
    <t>Rod of security</t>
  </si>
  <si>
    <t>Rod of rulership</t>
  </si>
  <si>
    <t>cleric, driuid, or paladin</t>
  </si>
  <si>
    <t>Rod of resurrection</t>
  </si>
  <si>
    <t>Rod of lordly might</t>
  </si>
  <si>
    <t>Rod of alertness</t>
  </si>
  <si>
    <t>Rod of absorption</t>
  </si>
  <si>
    <t>robe</t>
  </si>
  <si>
    <t>Robe of useful items</t>
  </si>
  <si>
    <t>Robe of the archmagi</t>
  </si>
  <si>
    <t>Robe of stars</t>
  </si>
  <si>
    <t>Robe of scintillating colors</t>
  </si>
  <si>
    <t>Robe of eyes</t>
  </si>
  <si>
    <t>ring</t>
  </si>
  <si>
    <t>Ring of x-ray vision</t>
  </si>
  <si>
    <t>Ring of water walking</t>
  </si>
  <si>
    <t>Ring of warmth</t>
  </si>
  <si>
    <t>Ring of three wishes</t>
  </si>
  <si>
    <t>Ring of the ram</t>
  </si>
  <si>
    <t>Ring of telekinesis</t>
  </si>
  <si>
    <t>Ring of swimming</t>
  </si>
  <si>
    <t>Ring of spell turning</t>
  </si>
  <si>
    <t>Ring of spell storing</t>
  </si>
  <si>
    <t>outdoors at night</t>
  </si>
  <si>
    <t>Ring of shooting stars</t>
  </si>
  <si>
    <t>Ring of resistance</t>
  </si>
  <si>
    <t>Ring of regeneration</t>
  </si>
  <si>
    <t>Ring of protection</t>
  </si>
  <si>
    <t>Ring of mind shielding</t>
  </si>
  <si>
    <t>Ring of jumping</t>
  </si>
  <si>
    <t>Ring of invisibility</t>
  </si>
  <si>
    <t>Ring of free action</t>
  </si>
  <si>
    <t>Ring of feather falling</t>
  </si>
  <si>
    <t>Ring of evasion</t>
  </si>
  <si>
    <t>Ring of elemental command</t>
  </si>
  <si>
    <t>Ring of djinni summoning</t>
  </si>
  <si>
    <t>Ring of animal influence</t>
  </si>
  <si>
    <t>Quiver of Ehlonna</t>
  </si>
  <si>
    <t>Quaal’s feather token</t>
  </si>
  <si>
    <t>potion</t>
  </si>
  <si>
    <t>Potion of water breathing</t>
  </si>
  <si>
    <t>Potion of vitality</t>
  </si>
  <si>
    <t>Potion of speed</t>
  </si>
  <si>
    <t>Potion of resistance</t>
  </si>
  <si>
    <t>Potion of poison</t>
  </si>
  <si>
    <t>Potion of mind reading</t>
  </si>
  <si>
    <t>Potion of longevity</t>
  </si>
  <si>
    <t>Potion of invulnerability</t>
  </si>
  <si>
    <t>Potion of invisibility</t>
  </si>
  <si>
    <t>Potion of heroism</t>
  </si>
  <si>
    <t>Potion of supreme healing</t>
  </si>
  <si>
    <t>Potion of superior healing</t>
  </si>
  <si>
    <t>Potion of healing</t>
  </si>
  <si>
    <t>Potion of growth</t>
  </si>
  <si>
    <t>Potion of greater healing</t>
  </si>
  <si>
    <t>Potion of giant strength (storm giant)</t>
  </si>
  <si>
    <t>Potion of giant strength (hill giant)</t>
  </si>
  <si>
    <t>Potion of giant strength (frost or stone giant)</t>
  </si>
  <si>
    <t>Potion of giant strength (fire giant)</t>
  </si>
  <si>
    <t>Potion of giant strength (cloud giant)</t>
  </si>
  <si>
    <t>Potion of gaseous form</t>
  </si>
  <si>
    <t>Potion of flying</t>
  </si>
  <si>
    <t>Potion of fire breath</t>
  </si>
  <si>
    <t>Potion of diminution</t>
  </si>
  <si>
    <t>Potion of climbing</t>
  </si>
  <si>
    <t>Potion of clairvoyance</t>
  </si>
  <si>
    <t>Potion of animal friendship</t>
  </si>
  <si>
    <t>Portable hole</t>
  </si>
  <si>
    <t>plate</t>
  </si>
  <si>
    <t>Plate armor of etherealness</t>
  </si>
  <si>
    <t>Pipes of the sewers</t>
  </si>
  <si>
    <t>Pipes of haunting</t>
  </si>
  <si>
    <t>Philter of love</t>
  </si>
  <si>
    <t>neck slot</t>
  </si>
  <si>
    <t>Periapt of wound closure</t>
  </si>
  <si>
    <t>Periapt of proof against poison</t>
  </si>
  <si>
    <t>Periapt of health</t>
  </si>
  <si>
    <t>Pearl of power</t>
  </si>
  <si>
    <t>Oil of slipperiness</t>
  </si>
  <si>
    <t>Oil of sharpness</t>
  </si>
  <si>
    <t>Oil of etherealness</t>
  </si>
  <si>
    <t>longbow</t>
  </si>
  <si>
    <t>Oathbow</t>
  </si>
  <si>
    <t>Nolzur’s marvelous pigments</t>
  </si>
  <si>
    <t>Nine lives stealer</t>
  </si>
  <si>
    <t>cleric, druid, or paladin</t>
  </si>
  <si>
    <t>Necklace of prayer beads</t>
  </si>
  <si>
    <t>Necklace of fireballs</t>
  </si>
  <si>
    <t>Necklace of adaptation</t>
  </si>
  <si>
    <t>medium, heavy (not hide)</t>
  </si>
  <si>
    <t>Mithral armor</t>
  </si>
  <si>
    <t>Mirror of life trapping</t>
  </si>
  <si>
    <t>Medallion of thoughts</t>
  </si>
  <si>
    <t>light, medium, heavy</t>
  </si>
  <si>
    <t>Mariner’s armor</t>
  </si>
  <si>
    <t>Manual of quickness of action</t>
  </si>
  <si>
    <t>Manual of golems</t>
  </si>
  <si>
    <t>Manual of gainful exercise</t>
  </si>
  <si>
    <t>Manual of bodily health</t>
  </si>
  <si>
    <t>Mantle of spell resistance</t>
  </si>
  <si>
    <t>mace</t>
  </si>
  <si>
    <t>Mace of terror</t>
  </si>
  <si>
    <t>Mace of smiting</t>
  </si>
  <si>
    <t>Mace of disruption</t>
  </si>
  <si>
    <t>Luck blade</t>
  </si>
  <si>
    <t>Lantern of revealing</t>
  </si>
  <si>
    <t>Keoghtom’s ointment</t>
  </si>
  <si>
    <t>javelin</t>
  </si>
  <si>
    <t>Javelin of lightning</t>
  </si>
  <si>
    <t>Iron flask</t>
  </si>
  <si>
    <t>Iron bands of bilarro</t>
  </si>
  <si>
    <t>head slot</t>
  </si>
  <si>
    <t>Ioun stone (sustenance)</t>
  </si>
  <si>
    <t>Ioun stone (strength)</t>
  </si>
  <si>
    <t>Ioun stone (reserve)</t>
  </si>
  <si>
    <t>Ioun stone (regeneration)</t>
  </si>
  <si>
    <t>Ioun stone (protection)</t>
  </si>
  <si>
    <t>Ioun stone (mastery)</t>
  </si>
  <si>
    <t>Ioun stone (leadership)</t>
  </si>
  <si>
    <t>Ioun stone (intellect)</t>
  </si>
  <si>
    <t>Ioun stone (insight)</t>
  </si>
  <si>
    <t>Ioun stone (greater absorption)</t>
  </si>
  <si>
    <t>Ioun stone (fortitude)</t>
  </si>
  <si>
    <t>Ioun stone (awareness)</t>
  </si>
  <si>
    <t>Ioun stone (agility)</t>
  </si>
  <si>
    <t>Ioun stone (absorption)</t>
  </si>
  <si>
    <t>bard</t>
  </si>
  <si>
    <t>instrument</t>
  </si>
  <si>
    <t>Instrument of the bard (Ollamh harp)</t>
  </si>
  <si>
    <t>Instrument of the bard (Mac-Fuirmidh cittern)</t>
  </si>
  <si>
    <t>Instrument of the bard (Fochlucan bandore)</t>
  </si>
  <si>
    <t>Instrument of the bard (Doss lute)</t>
  </si>
  <si>
    <t>Instrument of the bard (Cli lyre)</t>
  </si>
  <si>
    <t>Instrument of the bard (Canaith mandolin)</t>
  </si>
  <si>
    <t>Instrument of the bard (Anstruth harp)</t>
  </si>
  <si>
    <t>Immovable rod</t>
  </si>
  <si>
    <t>Horseshoes of speed</t>
  </si>
  <si>
    <t>Horseshoes of a zephyr</t>
  </si>
  <si>
    <t>Horn of valhalla (silver or brass)</t>
  </si>
  <si>
    <t>Horn of valhalla (iron)</t>
  </si>
  <si>
    <t>Horn of valhalla (bronze)</t>
  </si>
  <si>
    <t>Horn of blasting</t>
  </si>
  <si>
    <t>paladin</t>
  </si>
  <si>
    <t>Holy avenger</t>
  </si>
  <si>
    <t>Heward’s handy haversack</t>
  </si>
  <si>
    <t>Helm of teleportation</t>
  </si>
  <si>
    <t>Helm of telepathy</t>
  </si>
  <si>
    <t>Helm of comprehending languages</t>
  </si>
  <si>
    <t>Helm of brilliance</t>
  </si>
  <si>
    <t>Headband of intellect</t>
  </si>
  <si>
    <t>Hat of disguise</t>
  </si>
  <si>
    <t>optional</t>
  </si>
  <si>
    <t>maul</t>
  </si>
  <si>
    <t>Hammer of thunderbolts</t>
  </si>
  <si>
    <t>Goggles of night</t>
  </si>
  <si>
    <t>hands slot</t>
  </si>
  <si>
    <t>Gloves of thievery</t>
  </si>
  <si>
    <t>Gloves of swimming and climbing</t>
  </si>
  <si>
    <t>Gloves of missile snaring</t>
  </si>
  <si>
    <t>studded leather</t>
  </si>
  <si>
    <t>Glamoured studded leather</t>
  </si>
  <si>
    <t>any axe or sword</t>
  </si>
  <si>
    <t>Giant slayer</t>
  </si>
  <si>
    <t>Gem of seeing</t>
  </si>
  <si>
    <t>Gem of brightness</t>
  </si>
  <si>
    <t>Gauntlets of ogre power</t>
  </si>
  <si>
    <t>Frost brand</t>
  </si>
  <si>
    <t>Folding boat</t>
  </si>
  <si>
    <t>Flame tongue</t>
  </si>
  <si>
    <t>Figurine of wondrous power (silver raven)</t>
  </si>
  <si>
    <t>Figurine of wondrous power (serpentine owl)</t>
  </si>
  <si>
    <t>Figurine of wondrous power (onyx dog)</t>
  </si>
  <si>
    <t>Figurine of wondrous power (obsidian steed)</t>
  </si>
  <si>
    <t>Figurine of wondrous power (marble elephant)</t>
  </si>
  <si>
    <t>Figurine of wondrous power (ivory goats)</t>
  </si>
  <si>
    <t>Figurine of wondrous power (golden lions)</t>
  </si>
  <si>
    <t>Figurine of wondrous power (ebony fly)</t>
  </si>
  <si>
    <t>Figurine of wondrous power (bronze griffon)</t>
  </si>
  <si>
    <t>Eyes of the eagle</t>
  </si>
  <si>
    <t>Eyes of minute seeing</t>
  </si>
  <si>
    <t>Eyes of charming</t>
  </si>
  <si>
    <t>Eversmoking bottle</t>
  </si>
  <si>
    <t>chain shirt</t>
  </si>
  <si>
    <t>Elven chain</t>
  </si>
  <si>
    <t>Elixir of health</t>
  </si>
  <si>
    <t>Elemental gem</t>
  </si>
  <si>
    <t>chain mail</t>
  </si>
  <si>
    <t>Efreeti chain</t>
  </si>
  <si>
    <t>Efreeti bottle</t>
  </si>
  <si>
    <t>Dwarven thrower</t>
  </si>
  <si>
    <t>Dwarven plate</t>
  </si>
  <si>
    <t>Dust of sneezing and choking</t>
  </si>
  <si>
    <t>Dust of dryness</t>
  </si>
  <si>
    <t>Dust of disappearance</t>
  </si>
  <si>
    <t>Driftglobe</t>
  </si>
  <si>
    <t>Dragon slayer</t>
  </si>
  <si>
    <t>scale mail</t>
  </si>
  <si>
    <t>Dragon scale mail</t>
  </si>
  <si>
    <t>Dimensional shackles</t>
  </si>
  <si>
    <t>Demon armor</t>
  </si>
  <si>
    <t>Defender</t>
  </si>
  <si>
    <t>Deck of many things</t>
  </si>
  <si>
    <t>Deck of illusions</t>
  </si>
  <si>
    <t>Decanter of endless water</t>
  </si>
  <si>
    <t>Dancing sword</t>
  </si>
  <si>
    <t>dagger</t>
  </si>
  <si>
    <t>Dagger of venom</t>
  </si>
  <si>
    <t>Daern’s instant fortress</t>
  </si>
  <si>
    <t>Cubic gate</t>
  </si>
  <si>
    <t>Cube of force</t>
  </si>
  <si>
    <t>Crystal ball</t>
  </si>
  <si>
    <t>Cloak of the manta ray</t>
  </si>
  <si>
    <t>Cloak of the bat</t>
  </si>
  <si>
    <t>Cloak of protection</t>
  </si>
  <si>
    <t>Cloak of invisibility</t>
  </si>
  <si>
    <t>Cloak of elvenkind</t>
  </si>
  <si>
    <t>Cloak of displacement</t>
  </si>
  <si>
    <t>Cloak of arachnida</t>
  </si>
  <si>
    <t>Circlet of blasting</t>
  </si>
  <si>
    <t>Chime of opening</t>
  </si>
  <si>
    <t>Censer of controlling air elementals</t>
  </si>
  <si>
    <t>Carpet of flying</t>
  </si>
  <si>
    <t>Cape of the mountebank</t>
  </si>
  <si>
    <t>Cap of water breathing</t>
  </si>
  <si>
    <t>Candle of invocation</t>
  </si>
  <si>
    <t>Broom of flying</t>
  </si>
  <si>
    <t>Brooch of shielding</t>
  </si>
  <si>
    <t>Brazier of commanding fire elementals</t>
  </si>
  <si>
    <t>arms slot</t>
  </si>
  <si>
    <t>Bracers of defense</t>
  </si>
  <si>
    <t>Bracers of archery</t>
  </si>
  <si>
    <t>Bowl of commanding water elementals</t>
  </si>
  <si>
    <t>Boots of the winterlands</t>
  </si>
  <si>
    <t>Boots of striding and springing</t>
  </si>
  <si>
    <t>Boots of speed</t>
  </si>
  <si>
    <t>Boots of levitation</t>
  </si>
  <si>
    <t>Boots of elvenkind</t>
  </si>
  <si>
    <t>any axe</t>
  </si>
  <si>
    <t>Berserker axe</t>
  </si>
  <si>
    <t>waist slot</t>
  </si>
  <si>
    <t>Belt of giant strength (storm giant)</t>
  </si>
  <si>
    <t>Belt of giant strength (hill giant)</t>
  </si>
  <si>
    <t>Belt of giant strength (frost or stone giant)</t>
  </si>
  <si>
    <t>Belt of giant strength (fire giant)</t>
  </si>
  <si>
    <t>Belt of giant strength (cloud giant)</t>
  </si>
  <si>
    <t>Belt of dwarvenkind</t>
  </si>
  <si>
    <t>Bead of force</t>
  </si>
  <si>
    <t>Bag of tricks</t>
  </si>
  <si>
    <t>Bag of holding</t>
  </si>
  <si>
    <t>Bag of devouring</t>
  </si>
  <si>
    <t>Bag of beans</t>
  </si>
  <si>
    <t>Arrow-catching shield</t>
  </si>
  <si>
    <t>arrow</t>
  </si>
  <si>
    <t>ammunition</t>
  </si>
  <si>
    <t>Arrow of slaying</t>
  </si>
  <si>
    <t>Armor of vulnerability</t>
  </si>
  <si>
    <t>Armor of resistance</t>
  </si>
  <si>
    <t>Armor of invulnerability</t>
  </si>
  <si>
    <t>Armor +3</t>
  </si>
  <si>
    <t>Armor +2</t>
  </si>
  <si>
    <t>Armor +1</t>
  </si>
  <si>
    <t>Apparatus of Kwalish</t>
  </si>
  <si>
    <t>Animated shield</t>
  </si>
  <si>
    <t>Amulet of the planes</t>
  </si>
  <si>
    <t>Amulet of proof against detection and location</t>
  </si>
  <si>
    <t>Amulet of health</t>
  </si>
  <si>
    <t>Ammunition +3</t>
  </si>
  <si>
    <t>Ammunition +2</t>
  </si>
  <si>
    <t>Ammunition +1</t>
  </si>
  <si>
    <t>Alchemy jug</t>
  </si>
  <si>
    <t>Adamantine armor</t>
  </si>
  <si>
    <t>page</t>
  </si>
  <si>
    <t>attunement requirement</t>
  </si>
  <si>
    <t>cursed?</t>
  </si>
  <si>
    <t>attunement?</t>
  </si>
  <si>
    <t>Subtype</t>
  </si>
  <si>
    <t>R</t>
  </si>
  <si>
    <t>Worth</t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</si>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</sst>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#,##0&quot;gp &quot;.#&quot; ep&quot;.#&quot; sp&quot;.#&quot; cp&quot;"/>
    <numFmt numFmtId="165" formatCode="#,##0.000"/>
  </numFmts>
  <fonts count="20">
    <font>
      <sz val="10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0066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u/>
      <sz val="10"/>
      <color rgb="FF5A3696"/>
      <name val="Sans-serif"/>
    </font>
    <font>
      <sz val="16"/>
      <color rgb="FF000000"/>
      <name val="Medium-content-serif-font"/>
    </font>
    <font>
      <sz val="11"/>
      <color rgb="FF000000"/>
      <name val="Inconsolata"/>
    </font>
    <font>
      <sz val="11"/>
      <color rgb="FF000000"/>
      <name val="Asul"/>
    </font>
    <font>
      <sz val="10"/>
      <color rgb="FF000000"/>
      <name val="Arial"/>
    </font>
    <font>
      <sz val="10"/>
      <color rgb="FFFFFFFF"/>
      <name val="Sans-serif"/>
    </font>
    <font>
      <sz val="10"/>
      <color rgb="FF2A1804"/>
      <name val="Sans-serif"/>
    </font>
    <font>
      <u/>
      <sz val="10"/>
      <color rgb="FF2A1804"/>
      <name val="Sans-serif"/>
    </font>
    <font>
      <sz val="10"/>
      <color rgb="FF5A3696"/>
      <name val="Sans-serif"/>
    </font>
    <font>
      <b/>
      <u/>
      <sz val="10"/>
      <color rgb="FFFFFFFF"/>
      <name val="Sans-serif"/>
    </font>
    <font>
      <b/>
      <sz val="10"/>
      <color rgb="FFFFFFFF"/>
      <name val="Sans-serif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0" borderId="0" xfId="0" applyFont="1"/>
    <xf numFmtId="4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/>
    <xf numFmtId="4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4" fontId="5" fillId="2" borderId="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 vertical="top"/>
    </xf>
    <xf numFmtId="4" fontId="4" fillId="0" borderId="2" xfId="0" applyNumberFormat="1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4" fillId="0" borderId="10" xfId="0" applyFont="1" applyBorder="1"/>
    <xf numFmtId="4" fontId="4" fillId="0" borderId="5" xfId="0" applyNumberFormat="1" applyFont="1" applyBorder="1" applyAlignment="1">
      <alignment horizontal="center"/>
    </xf>
    <xf numFmtId="49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164" fontId="4" fillId="0" borderId="5" xfId="0" applyNumberFormat="1" applyFont="1" applyBorder="1"/>
    <xf numFmtId="4" fontId="4" fillId="0" borderId="5" xfId="0" applyNumberFormat="1" applyFont="1" applyBorder="1"/>
    <xf numFmtId="0" fontId="4" fillId="0" borderId="5" xfId="0" applyFont="1" applyBorder="1"/>
    <xf numFmtId="4" fontId="9" fillId="3" borderId="5" xfId="0" applyNumberFormat="1" applyFont="1" applyFill="1" applyBorder="1"/>
    <xf numFmtId="4" fontId="4" fillId="0" borderId="9" xfId="0" applyNumberFormat="1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4" fontId="4" fillId="0" borderId="4" xfId="0" applyNumberFormat="1" applyFont="1" applyBorder="1"/>
    <xf numFmtId="4" fontId="4" fillId="0" borderId="0" xfId="0" applyNumberFormat="1" applyFont="1"/>
    <xf numFmtId="49" fontId="4" fillId="2" borderId="0" xfId="0" applyNumberFormat="1" applyFont="1" applyFill="1"/>
    <xf numFmtId="4" fontId="4" fillId="2" borderId="4" xfId="0" applyNumberFormat="1" applyFont="1" applyFill="1" applyBorder="1"/>
    <xf numFmtId="4" fontId="4" fillId="2" borderId="0" xfId="0" applyNumberFormat="1" applyFont="1" applyFill="1"/>
    <xf numFmtId="0" fontId="4" fillId="4" borderId="11" xfId="0" applyFont="1" applyFill="1" applyBorder="1" applyAlignment="1">
      <alignment horizontal="center"/>
    </xf>
    <xf numFmtId="0" fontId="5" fillId="2" borderId="0" xfId="0" applyFont="1" applyFill="1"/>
    <xf numFmtId="4" fontId="5" fillId="2" borderId="0" xfId="0" applyNumberFormat="1" applyFont="1" applyFill="1"/>
    <xf numFmtId="0" fontId="12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0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0" fillId="0" borderId="0" xfId="0"/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2" fillId="3" borderId="0" xfId="0" applyFont="1" applyFill="1" applyAlignment="1">
      <alignment horizontal="center"/>
    </xf>
    <xf numFmtId="0" fontId="5" fillId="2" borderId="0" xfId="0" applyFont="1" applyFill="1"/>
    <xf numFmtId="164" fontId="7" fillId="0" borderId="0" xfId="0" applyNumberFormat="1" applyFont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4" fillId="0" borderId="0" xfId="0" applyNumberFormat="1" applyFont="1"/>
    <xf numFmtId="0" fontId="13" fillId="2" borderId="0" xfId="0" applyFont="1" applyFill="1" applyAlignment="1">
      <alignment horizontal="center" vertical="top"/>
    </xf>
    <xf numFmtId="0" fontId="14" fillId="0" borderId="0" xfId="0" applyFont="1" applyAlignment="1">
      <alignment horizontal="center" vertical="top"/>
    </xf>
    <xf numFmtId="4" fontId="14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9" fontId="14" fillId="0" borderId="0" xfId="0" applyNumberFormat="1" applyFont="1" applyAlignment="1">
      <alignment horizontal="center" vertical="top"/>
    </xf>
    <xf numFmtId="0" fontId="18" fillId="2" borderId="0" xfId="0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19" fillId="0" borderId="0" xfId="0" applyFont="1"/>
    <xf numFmtId="165" fontId="10" fillId="3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Звичайний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andwiki.com/wiki/SRD:Handaxe" TargetMode="External"/><Relationship Id="rId21" Type="http://schemas.openxmlformats.org/officeDocument/2006/relationships/hyperlink" Target="http://www.dandwiki.com/wiki/SRD:Javelin" TargetMode="External"/><Relationship Id="rId42" Type="http://schemas.openxmlformats.org/officeDocument/2006/relationships/hyperlink" Target="http://www.dandwiki.com/wiki/SRD:Heavy_Shield" TargetMode="External"/><Relationship Id="rId47" Type="http://schemas.openxmlformats.org/officeDocument/2006/relationships/hyperlink" Target="http://www.dandwiki.com/wiki/SRD:Greataxe" TargetMode="External"/><Relationship Id="rId63" Type="http://schemas.openxmlformats.org/officeDocument/2006/relationships/hyperlink" Target="http://www.dandwiki.com/wiki/SRD:Dwarven_Waraxe" TargetMode="External"/><Relationship Id="rId68" Type="http://schemas.openxmlformats.org/officeDocument/2006/relationships/hyperlink" Target="http://www.dandwiki.com/wiki/SRD:Weapons" TargetMode="External"/><Relationship Id="rId2" Type="http://schemas.openxmlformats.org/officeDocument/2006/relationships/hyperlink" Target="http://www.dandwiki.com/wiki/SRD:Weapons" TargetMode="External"/><Relationship Id="rId16" Type="http://schemas.openxmlformats.org/officeDocument/2006/relationships/hyperlink" Target="http://www.dandwiki.com/wiki/SRD:Spear" TargetMode="External"/><Relationship Id="rId29" Type="http://schemas.openxmlformats.org/officeDocument/2006/relationships/hyperlink" Target="http://www.dandwiki.com/wiki/SRD:Sap" TargetMode="External"/><Relationship Id="rId11" Type="http://schemas.openxmlformats.org/officeDocument/2006/relationships/hyperlink" Target="http://www.dandwiki.com/wiki/SRD:Sickle" TargetMode="External"/><Relationship Id="rId24" Type="http://schemas.openxmlformats.org/officeDocument/2006/relationships/hyperlink" Target="http://www.dandwiki.com/wiki/SRD:Throwing_Axe" TargetMode="External"/><Relationship Id="rId32" Type="http://schemas.openxmlformats.org/officeDocument/2006/relationships/hyperlink" Target="http://www.dandwiki.com/wiki/SRD:Light_Shield" TargetMode="External"/><Relationship Id="rId37" Type="http://schemas.openxmlformats.org/officeDocument/2006/relationships/hyperlink" Target="http://www.dandwiki.com/wiki/SRD:Flail" TargetMode="External"/><Relationship Id="rId40" Type="http://schemas.openxmlformats.org/officeDocument/2006/relationships/hyperlink" Target="http://www.dandwiki.com/wiki/SRD:Rapier" TargetMode="External"/><Relationship Id="rId45" Type="http://schemas.openxmlformats.org/officeDocument/2006/relationships/hyperlink" Target="http://www.dandwiki.com/wiki/SRD:Warhammer" TargetMode="External"/><Relationship Id="rId53" Type="http://schemas.openxmlformats.org/officeDocument/2006/relationships/hyperlink" Target="http://www.dandwiki.com/wiki/SRD:Longbow" TargetMode="External"/><Relationship Id="rId58" Type="http://schemas.openxmlformats.org/officeDocument/2006/relationships/hyperlink" Target="http://www.dandwiki.com/wiki/SRD:Kama" TargetMode="External"/><Relationship Id="rId66" Type="http://schemas.openxmlformats.org/officeDocument/2006/relationships/hyperlink" Target="http://www.dandwiki.com/wiki/SRD:Bolas" TargetMode="External"/><Relationship Id="rId74" Type="http://schemas.openxmlformats.org/officeDocument/2006/relationships/hyperlink" Target="http://www.dandwiki.com/wiki/SRD:Net" TargetMode="External"/><Relationship Id="rId5" Type="http://schemas.openxmlformats.org/officeDocument/2006/relationships/hyperlink" Target="http://www.dandwiki.com/wiki/SRD:Weapons" TargetMode="External"/><Relationship Id="rId61" Type="http://schemas.openxmlformats.org/officeDocument/2006/relationships/hyperlink" Target="http://www.dandwiki.com/wiki/SRD:Siangham" TargetMode="External"/><Relationship Id="rId19" Type="http://schemas.openxmlformats.org/officeDocument/2006/relationships/hyperlink" Target="http://www.dandwiki.com/wiki/SRD:Light_Crossbow" TargetMode="External"/><Relationship Id="rId14" Type="http://schemas.openxmlformats.org/officeDocument/2006/relationships/hyperlink" Target="http://www.dandwiki.com/wiki/SRD:Morningstar" TargetMode="External"/><Relationship Id="rId22" Type="http://schemas.openxmlformats.org/officeDocument/2006/relationships/hyperlink" Target="http://www.dandwiki.com/wiki/SRD:Sling" TargetMode="External"/><Relationship Id="rId27" Type="http://schemas.openxmlformats.org/officeDocument/2006/relationships/hyperlink" Target="http://www.dandwiki.com/wiki/SRD:Kukri" TargetMode="External"/><Relationship Id="rId30" Type="http://schemas.openxmlformats.org/officeDocument/2006/relationships/hyperlink" Target="http://www.dandwiki.com/wiki/SRD:Weapons" TargetMode="External"/><Relationship Id="rId35" Type="http://schemas.openxmlformats.org/officeDocument/2006/relationships/hyperlink" Target="http://www.dandwiki.com/wiki/SRD:Short_Sword" TargetMode="External"/><Relationship Id="rId43" Type="http://schemas.openxmlformats.org/officeDocument/2006/relationships/hyperlink" Target="http://www.dandwiki.com/wiki/SRD:Heavy_Shield" TargetMode="External"/><Relationship Id="rId48" Type="http://schemas.openxmlformats.org/officeDocument/2006/relationships/hyperlink" Target="http://www.dandwiki.com/wiki/SRD:Greatclub" TargetMode="External"/><Relationship Id="rId56" Type="http://schemas.openxmlformats.org/officeDocument/2006/relationships/hyperlink" Target="http://www.dandwiki.com/wiki/SRD:Composite_Shortbow" TargetMode="External"/><Relationship Id="rId64" Type="http://schemas.openxmlformats.org/officeDocument/2006/relationships/hyperlink" Target="http://www.dandwiki.com/wiki/SRD:Weapons" TargetMode="External"/><Relationship Id="rId69" Type="http://schemas.openxmlformats.org/officeDocument/2006/relationships/hyperlink" Target="http://www.dandwiki.com/wiki/SRD:Hand_Crossbow" TargetMode="External"/><Relationship Id="rId8" Type="http://schemas.openxmlformats.org/officeDocument/2006/relationships/hyperlink" Target="http://www.dandwiki.com/wiki/SRD:Punching_Dagger" TargetMode="External"/><Relationship Id="rId51" Type="http://schemas.openxmlformats.org/officeDocument/2006/relationships/hyperlink" Target="http://www.dandwiki.com/wiki/SRD:Halberd" TargetMode="External"/><Relationship Id="rId72" Type="http://schemas.openxmlformats.org/officeDocument/2006/relationships/hyperlink" Target="http://www.dandwiki.com/wiki/SRD:Repeating_Crossbow_Bolts" TargetMode="External"/><Relationship Id="rId3" Type="http://schemas.openxmlformats.org/officeDocument/2006/relationships/hyperlink" Target="http://www.dandwiki.com/wiki/SRD:Gauntlet" TargetMode="External"/><Relationship Id="rId12" Type="http://schemas.openxmlformats.org/officeDocument/2006/relationships/hyperlink" Target="http://www.dandwiki.com/wiki/SRD:Club" TargetMode="External"/><Relationship Id="rId17" Type="http://schemas.openxmlformats.org/officeDocument/2006/relationships/hyperlink" Target="http://www.dandwiki.com/wiki/SRD:Heavy_Crossbow" TargetMode="External"/><Relationship Id="rId25" Type="http://schemas.openxmlformats.org/officeDocument/2006/relationships/hyperlink" Target="http://www.dandwiki.com/wiki/SRD:Light_Hammer" TargetMode="External"/><Relationship Id="rId33" Type="http://schemas.openxmlformats.org/officeDocument/2006/relationships/hyperlink" Target="http://www.dandwiki.com/wiki/SRD:Armor_Spikes" TargetMode="External"/><Relationship Id="rId38" Type="http://schemas.openxmlformats.org/officeDocument/2006/relationships/hyperlink" Target="http://www.dandwiki.com/wiki/SRD:Longsword" TargetMode="External"/><Relationship Id="rId46" Type="http://schemas.openxmlformats.org/officeDocument/2006/relationships/hyperlink" Target="http://www.dandwiki.com/wiki/SRD:Falchion" TargetMode="External"/><Relationship Id="rId59" Type="http://schemas.openxmlformats.org/officeDocument/2006/relationships/hyperlink" Target="http://www.dandwiki.com/wiki/SRD:Nunchaku" TargetMode="External"/><Relationship Id="rId67" Type="http://schemas.openxmlformats.org/officeDocument/2006/relationships/hyperlink" Target="http://www.dandwiki.com/wiki/SRD:Weapons" TargetMode="External"/><Relationship Id="rId20" Type="http://schemas.openxmlformats.org/officeDocument/2006/relationships/hyperlink" Target="http://www.dandwiki.com/wiki/SRD:Dart" TargetMode="External"/><Relationship Id="rId41" Type="http://schemas.openxmlformats.org/officeDocument/2006/relationships/hyperlink" Target="http://www.dandwiki.com/wiki/SRD:Scimitar" TargetMode="External"/><Relationship Id="rId54" Type="http://schemas.openxmlformats.org/officeDocument/2006/relationships/hyperlink" Target="http://www.dandwiki.com/wiki/SRD:Composite_Longbow" TargetMode="External"/><Relationship Id="rId62" Type="http://schemas.openxmlformats.org/officeDocument/2006/relationships/hyperlink" Target="http://www.dandwiki.com/wiki/SRD:Bastard_Sword" TargetMode="External"/><Relationship Id="rId70" Type="http://schemas.openxmlformats.org/officeDocument/2006/relationships/hyperlink" Target="http://www.dandwiki.com/wiki/SRD:Crossbow_Bolts" TargetMode="External"/><Relationship Id="rId75" Type="http://schemas.openxmlformats.org/officeDocument/2006/relationships/hyperlink" Target="http://www.dandwiki.com/wiki/SRD:Shuriken" TargetMode="External"/><Relationship Id="rId1" Type="http://schemas.openxmlformats.org/officeDocument/2006/relationships/hyperlink" Target="http://www.dandwiki.com/wiki/SRD:Weapons" TargetMode="External"/><Relationship Id="rId6" Type="http://schemas.openxmlformats.org/officeDocument/2006/relationships/hyperlink" Target="http://www.dandwiki.com/wiki/SRD:Weapons" TargetMode="External"/><Relationship Id="rId15" Type="http://schemas.openxmlformats.org/officeDocument/2006/relationships/hyperlink" Target="http://www.dandwiki.com/wiki/SRD:Shortspear" TargetMode="External"/><Relationship Id="rId23" Type="http://schemas.openxmlformats.org/officeDocument/2006/relationships/hyperlink" Target="http://www.dandwiki.com/wiki/SRD:Sling_Bullets" TargetMode="External"/><Relationship Id="rId28" Type="http://schemas.openxmlformats.org/officeDocument/2006/relationships/hyperlink" Target="http://www.dandwiki.com/wiki/SRD:Light_Pick" TargetMode="External"/><Relationship Id="rId36" Type="http://schemas.openxmlformats.org/officeDocument/2006/relationships/hyperlink" Target="http://www.dandwiki.com/wiki/SRD:Battleaxe" TargetMode="External"/><Relationship Id="rId49" Type="http://schemas.openxmlformats.org/officeDocument/2006/relationships/hyperlink" Target="http://www.dandwiki.com/wiki/SRD:Heavy_Flail" TargetMode="External"/><Relationship Id="rId57" Type="http://schemas.openxmlformats.org/officeDocument/2006/relationships/hyperlink" Target="http://www.dandwiki.com/wiki/SRD:Arrows" TargetMode="External"/><Relationship Id="rId10" Type="http://schemas.openxmlformats.org/officeDocument/2006/relationships/hyperlink" Target="http://www.dandwiki.com/wiki/SRD:Light_Mace" TargetMode="External"/><Relationship Id="rId31" Type="http://schemas.openxmlformats.org/officeDocument/2006/relationships/hyperlink" Target="http://www.dandwiki.com/wiki/SRD:Weapons" TargetMode="External"/><Relationship Id="rId44" Type="http://schemas.openxmlformats.org/officeDocument/2006/relationships/hyperlink" Target="http://www.dandwiki.com/wiki/SRD:Trident" TargetMode="External"/><Relationship Id="rId52" Type="http://schemas.openxmlformats.org/officeDocument/2006/relationships/hyperlink" Target="http://www.dandwiki.com/wiki/SRD:Scythe" TargetMode="External"/><Relationship Id="rId60" Type="http://schemas.openxmlformats.org/officeDocument/2006/relationships/hyperlink" Target="http://www.dandwiki.com/wiki/SRD:Sai" TargetMode="External"/><Relationship Id="rId65" Type="http://schemas.openxmlformats.org/officeDocument/2006/relationships/hyperlink" Target="http://www.dandwiki.com/wiki/SRD:Weapons" TargetMode="External"/><Relationship Id="rId73" Type="http://schemas.openxmlformats.org/officeDocument/2006/relationships/hyperlink" Target="http://www.dandwiki.com/wiki/SRD:Repeating_Light_Crossbow" TargetMode="External"/><Relationship Id="rId4" Type="http://schemas.openxmlformats.org/officeDocument/2006/relationships/hyperlink" Target="http://www.dandwiki.com/wiki/SRD:Unarmed_Strike" TargetMode="External"/><Relationship Id="rId9" Type="http://schemas.openxmlformats.org/officeDocument/2006/relationships/hyperlink" Target="http://www.dandwiki.com/wiki/SRD:Spiked_Gauntlet" TargetMode="External"/><Relationship Id="rId13" Type="http://schemas.openxmlformats.org/officeDocument/2006/relationships/hyperlink" Target="http://www.dandwiki.com/wiki/SRD:Heavy_Mace" TargetMode="External"/><Relationship Id="rId18" Type="http://schemas.openxmlformats.org/officeDocument/2006/relationships/hyperlink" Target="http://www.dandwiki.com/wiki/SRD:Crossbow_Bolts" TargetMode="External"/><Relationship Id="rId39" Type="http://schemas.openxmlformats.org/officeDocument/2006/relationships/hyperlink" Target="http://www.dandwiki.com/wiki/SRD:Heavy_Pick" TargetMode="External"/><Relationship Id="rId34" Type="http://schemas.openxmlformats.org/officeDocument/2006/relationships/hyperlink" Target="http://www.dandwiki.com/wiki/SRD:Light_Shield" TargetMode="External"/><Relationship Id="rId50" Type="http://schemas.openxmlformats.org/officeDocument/2006/relationships/hyperlink" Target="http://www.dandwiki.com/wiki/SRD:Greatsword" TargetMode="External"/><Relationship Id="rId55" Type="http://schemas.openxmlformats.org/officeDocument/2006/relationships/hyperlink" Target="http://www.dandwiki.com/wiki/SRD:Shortbow" TargetMode="External"/><Relationship Id="rId7" Type="http://schemas.openxmlformats.org/officeDocument/2006/relationships/hyperlink" Target="http://www.dandwiki.com/wiki/SRD:Dagger" TargetMode="External"/><Relationship Id="rId71" Type="http://schemas.openxmlformats.org/officeDocument/2006/relationships/hyperlink" Target="http://www.dandwiki.com/wiki/SRD:Repeating_Heavy_Crossbo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ndwiki.com/wiki/SRD:Scale_Mail" TargetMode="External"/><Relationship Id="rId13" Type="http://schemas.openxmlformats.org/officeDocument/2006/relationships/hyperlink" Target="http://www.dandwiki.com/wiki/SRD:Half-Plate_Armor" TargetMode="External"/><Relationship Id="rId18" Type="http://schemas.openxmlformats.org/officeDocument/2006/relationships/hyperlink" Target="http://www.dandwiki.com/wiki/SRD:Heavy_Shield" TargetMode="External"/><Relationship Id="rId3" Type="http://schemas.openxmlformats.org/officeDocument/2006/relationships/hyperlink" Target="http://www.dandwiki.com/wiki/SRD:Padded_Armor" TargetMode="External"/><Relationship Id="rId21" Type="http://schemas.openxmlformats.org/officeDocument/2006/relationships/hyperlink" Target="http://www.dandwiki.com/wiki/SRD:Armor_Spikes" TargetMode="External"/><Relationship Id="rId7" Type="http://schemas.openxmlformats.org/officeDocument/2006/relationships/hyperlink" Target="http://www.dandwiki.com/wiki/SRD:Hide_Armor" TargetMode="External"/><Relationship Id="rId12" Type="http://schemas.openxmlformats.org/officeDocument/2006/relationships/hyperlink" Target="http://www.dandwiki.com/wiki/SRD:Banded_Mail" TargetMode="External"/><Relationship Id="rId17" Type="http://schemas.openxmlformats.org/officeDocument/2006/relationships/hyperlink" Target="http://www.dandwiki.com/wiki/SRD:Light_Shield" TargetMode="External"/><Relationship Id="rId2" Type="http://schemas.openxmlformats.org/officeDocument/2006/relationships/hyperlink" Target="http://www.dandwiki.com/wiki/SRD:Dexterity" TargetMode="External"/><Relationship Id="rId16" Type="http://schemas.openxmlformats.org/officeDocument/2006/relationships/hyperlink" Target="http://www.dandwiki.com/wiki/SRD:Light_Shield" TargetMode="External"/><Relationship Id="rId20" Type="http://schemas.openxmlformats.org/officeDocument/2006/relationships/hyperlink" Target="http://www.dandwiki.com/wiki/SRD:Tower_Shield" TargetMode="External"/><Relationship Id="rId1" Type="http://schemas.openxmlformats.org/officeDocument/2006/relationships/hyperlink" Target="http://www.dandwiki.com/wiki/SRD:Shield_Bonus" TargetMode="External"/><Relationship Id="rId6" Type="http://schemas.openxmlformats.org/officeDocument/2006/relationships/hyperlink" Target="http://www.dandwiki.com/wiki/SRD:Chain_Shirt" TargetMode="External"/><Relationship Id="rId11" Type="http://schemas.openxmlformats.org/officeDocument/2006/relationships/hyperlink" Target="http://www.dandwiki.com/wiki/SRD:Splint_Mail" TargetMode="External"/><Relationship Id="rId5" Type="http://schemas.openxmlformats.org/officeDocument/2006/relationships/hyperlink" Target="http://www.dandwiki.com/wiki/SRD:Studded_Leather_Armor" TargetMode="External"/><Relationship Id="rId15" Type="http://schemas.openxmlformats.org/officeDocument/2006/relationships/hyperlink" Target="http://www.dandwiki.com/wiki/SRD:Buckler" TargetMode="External"/><Relationship Id="rId10" Type="http://schemas.openxmlformats.org/officeDocument/2006/relationships/hyperlink" Target="http://www.dandwiki.com/wiki/SRD:Breastplate" TargetMode="External"/><Relationship Id="rId19" Type="http://schemas.openxmlformats.org/officeDocument/2006/relationships/hyperlink" Target="http://www.dandwiki.com/wiki/SRD:Heavy_Shield" TargetMode="External"/><Relationship Id="rId4" Type="http://schemas.openxmlformats.org/officeDocument/2006/relationships/hyperlink" Target="http://www.dandwiki.com/wiki/SRD:Leather_Armor" TargetMode="External"/><Relationship Id="rId9" Type="http://schemas.openxmlformats.org/officeDocument/2006/relationships/hyperlink" Target="http://www.dandwiki.com/wiki/SRD:Chainmail" TargetMode="External"/><Relationship Id="rId14" Type="http://schemas.openxmlformats.org/officeDocument/2006/relationships/hyperlink" Target="http://www.dandwiki.com/wiki/SRD:Full_Plate_Armor" TargetMode="External"/><Relationship Id="rId22" Type="http://schemas.openxmlformats.org/officeDocument/2006/relationships/hyperlink" Target="http://www.dandwiki.com/wiki/SRD:Locked_Gauntle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ndwiki.com/wiki/SRD:Ink" TargetMode="External"/><Relationship Id="rId13" Type="http://schemas.openxmlformats.org/officeDocument/2006/relationships/hyperlink" Target="http://www.dandwiki.com/wiki/SRD:Manacles" TargetMode="External"/><Relationship Id="rId18" Type="http://schemas.openxmlformats.org/officeDocument/2006/relationships/hyperlink" Target="http://www.dandwiki.com/wiki/SRD:Silk_Rope" TargetMode="External"/><Relationship Id="rId3" Type="http://schemas.openxmlformats.org/officeDocument/2006/relationships/hyperlink" Target="http://www.dandwiki.com/wiki/SRD:Chain" TargetMode="External"/><Relationship Id="rId7" Type="http://schemas.openxmlformats.org/officeDocument/2006/relationships/hyperlink" Target="http://www.dandwiki.com/wiki/SRD:Hammer" TargetMode="External"/><Relationship Id="rId12" Type="http://schemas.openxmlformats.org/officeDocument/2006/relationships/hyperlink" Target="http://www.dandwiki.com/wiki/SRD:Hooded_Lantern" TargetMode="External"/><Relationship Id="rId17" Type="http://schemas.openxmlformats.org/officeDocument/2006/relationships/hyperlink" Target="http://www.dandwiki.com/wiki/SRD:Hempen_Rope" TargetMode="External"/><Relationship Id="rId2" Type="http://schemas.openxmlformats.org/officeDocument/2006/relationships/hyperlink" Target="http://www.dandwiki.com/wiki/SRD:Candle" TargetMode="External"/><Relationship Id="rId16" Type="http://schemas.openxmlformats.org/officeDocument/2006/relationships/hyperlink" Target="http://www.dandwiki.com/wiki/SRD:Portable_Ram" TargetMode="External"/><Relationship Id="rId20" Type="http://schemas.openxmlformats.org/officeDocument/2006/relationships/hyperlink" Target="http://www.dandwiki.com/wiki/SRD:Vial" TargetMode="External"/><Relationship Id="rId1" Type="http://schemas.openxmlformats.org/officeDocument/2006/relationships/hyperlink" Target="http://www.dandwiki.com/wiki/SRD:Caltrops" TargetMode="External"/><Relationship Id="rId6" Type="http://schemas.openxmlformats.org/officeDocument/2006/relationships/hyperlink" Target="http://www.dandwiki.com/wiki/SRD:Grappling_Hook" TargetMode="External"/><Relationship Id="rId11" Type="http://schemas.openxmlformats.org/officeDocument/2006/relationships/hyperlink" Target="http://www.dandwiki.com/wiki/SRD:Bullseye_Lantern" TargetMode="External"/><Relationship Id="rId5" Type="http://schemas.openxmlformats.org/officeDocument/2006/relationships/hyperlink" Target="http://www.dandwiki.com/wiki/SRD:Flint_and_Steel" TargetMode="External"/><Relationship Id="rId15" Type="http://schemas.openxmlformats.org/officeDocument/2006/relationships/hyperlink" Target="http://www.dandwiki.com/wiki/SRD:Oil" TargetMode="External"/><Relationship Id="rId10" Type="http://schemas.openxmlformats.org/officeDocument/2006/relationships/hyperlink" Target="http://www.dandwiki.com/wiki/SRD:Lamp" TargetMode="External"/><Relationship Id="rId19" Type="http://schemas.openxmlformats.org/officeDocument/2006/relationships/hyperlink" Target="http://www.dandwiki.com/wiki/SRD:Torch" TargetMode="External"/><Relationship Id="rId4" Type="http://schemas.openxmlformats.org/officeDocument/2006/relationships/hyperlink" Target="http://www.dandwiki.com/wiki/SRD:Crowbar" TargetMode="External"/><Relationship Id="rId9" Type="http://schemas.openxmlformats.org/officeDocument/2006/relationships/hyperlink" Target="http://www.dandwiki.com/wiki/SRD:Clay_Jug" TargetMode="External"/><Relationship Id="rId14" Type="http://schemas.openxmlformats.org/officeDocument/2006/relationships/hyperlink" Target="http://www.dandwiki.com/wiki/SRD:Manac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D4FE-4081-4ADF-858C-554973894B9D}">
  <sheetPr>
    <outlinePr summaryBelow="0" summaryRight="0"/>
  </sheetPr>
  <dimension ref="A1:Z1666"/>
  <sheetViews>
    <sheetView tabSelected="1" workbookViewId="0"/>
  </sheetViews>
  <sheetFormatPr defaultColWidth="12.6640625" defaultRowHeight="15.75" customHeight="1"/>
  <cols>
    <col min="2" max="2" width="21.109375" customWidth="1"/>
    <col min="4" max="4" width="24.44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8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>
        <f ca="1">IFERROR(__xludf.DUMMYFUNCTION("transpose(split(join("";"",Weapon!A2:A1666)&amp;"";""&amp;join("";"",Armor!A2:A1666)&amp;"";""&amp;join("";"",Adventure!A2:A1666)&amp;"";""&amp;join("";"",'Magic Items'!A2:A1666),"";""))"),1)</f>
        <v>1</v>
      </c>
      <c r="B2" t="str">
        <f ca="1">IFERROR(__xludf.DUMMYFUNCTION("transpose(split(join("";"",Weapon!B2:B1666)&amp;"";""&amp;join("";"",Armor!B2:B1666)&amp;"";""&amp;join("";"",Adventure!B2:B1666)&amp;"";""&amp;join("";"",'Magic Items'!B2:B1666),"";""))"),"Gauntlet")</f>
        <v>Gauntlet</v>
      </c>
      <c r="C2" s="5" t="str">
        <f ca="1">IFERROR(__xludf.DUMMYFUNCTION("TRANSPOSE(SPLIT(JOIN("","", ARRAYFORMULA(REPT(SPLIT(""Weapon"","","")&amp;"","", counta(Weapon!B2:B1666))), ARRAYFORMULA(REPT(SPLIT(""Armor"","","")&amp;"","", counta(Armor!B3:B1666))), ARRAYFORMULA(REPT(SPLIT(""Adventure"","","")&amp;"","", counta(Adventure!B2:B1666"&amp;"))),ARRAYFORMULA(REPT(SPLIT(""Magic"","","")&amp;"","", counta('Magic Items'!B2:B1666)))), "",""))"),"Weapon")</f>
        <v>Weapon</v>
      </c>
      <c r="D2" s="81">
        <f ca="1">IFERROR(__xludf.DUMMYFUNCTION("transpose(split(join("";"",Weapon!C2:C1666)&amp;"";""&amp;join("";"",Armor!C2:C1666)&amp;"";""&amp;join("";"",Adventure!C2:C1666)&amp;"";""&amp;join("";"",'Magic Items'!E2:E1666),"";""))"),2)</f>
        <v>2</v>
      </c>
    </row>
    <row r="3" spans="1:26" ht="15.75" customHeight="1">
      <c r="A3" s="5">
        <f ca="1">IFERROR(__xludf.DUMMYFUNCTION("""COMPUTED_VALUE"""),2)</f>
        <v>2</v>
      </c>
      <c r="B3" t="str">
        <f ca="1">IFERROR(__xludf.DUMMYFUNCTION("""COMPUTED_VALUE"""),"Unarmed strike")</f>
        <v>Unarmed strike</v>
      </c>
      <c r="C3" s="5" t="str">
        <f ca="1">IFERROR(__xludf.DUMMYFUNCTION("""COMPUTED_VALUE"""),"Weapon")</f>
        <v>Weapon</v>
      </c>
      <c r="D3" s="80">
        <f ca="1">IFERROR(__xludf.DUMMYFUNCTION("""COMPUTED_VALUE"""),0)</f>
        <v>0</v>
      </c>
    </row>
    <row r="4" spans="1:26" ht="15.75" customHeight="1">
      <c r="A4" s="5">
        <f ca="1">IFERROR(__xludf.DUMMYFUNCTION("""COMPUTED_VALUE"""),3)</f>
        <v>3</v>
      </c>
      <c r="B4" t="str">
        <f ca="1">IFERROR(__xludf.DUMMYFUNCTION("""COMPUTED_VALUE"""),"Dagger")</f>
        <v>Dagger</v>
      </c>
      <c r="C4" s="5" t="str">
        <f ca="1">IFERROR(__xludf.DUMMYFUNCTION("""COMPUTED_VALUE"""),"Weapon")</f>
        <v>Weapon</v>
      </c>
      <c r="D4" s="80">
        <f ca="1">IFERROR(__xludf.DUMMYFUNCTION("""COMPUTED_VALUE"""),2)</f>
        <v>2</v>
      </c>
    </row>
    <row r="5" spans="1:26" ht="15.75" customHeight="1">
      <c r="A5" s="5">
        <f ca="1">IFERROR(__xludf.DUMMYFUNCTION("""COMPUTED_VALUE"""),4)</f>
        <v>4</v>
      </c>
      <c r="B5" t="str">
        <f ca="1">IFERROR(__xludf.DUMMYFUNCTION("""COMPUTED_VALUE"""),"Dagger, punching")</f>
        <v>Dagger, punching</v>
      </c>
      <c r="C5" s="5" t="str">
        <f ca="1">IFERROR(__xludf.DUMMYFUNCTION("""COMPUTED_VALUE"""),"Weapon")</f>
        <v>Weapon</v>
      </c>
      <c r="D5" s="80">
        <f ca="1">IFERROR(__xludf.DUMMYFUNCTION("""COMPUTED_VALUE"""),2)</f>
        <v>2</v>
      </c>
    </row>
    <row r="6" spans="1:26" ht="15.75" customHeight="1">
      <c r="A6" s="5">
        <f ca="1">IFERROR(__xludf.DUMMYFUNCTION("""COMPUTED_VALUE"""),5)</f>
        <v>5</v>
      </c>
      <c r="B6" t="str">
        <f ca="1">IFERROR(__xludf.DUMMYFUNCTION("""COMPUTED_VALUE"""),"Gauntlet, spiked")</f>
        <v>Gauntlet, spiked</v>
      </c>
      <c r="C6" s="5" t="str">
        <f ca="1">IFERROR(__xludf.DUMMYFUNCTION("""COMPUTED_VALUE"""),"Weapon")</f>
        <v>Weapon</v>
      </c>
      <c r="D6" s="80">
        <f ca="1">IFERROR(__xludf.DUMMYFUNCTION("""COMPUTED_VALUE"""),5)</f>
        <v>5</v>
      </c>
    </row>
    <row r="7" spans="1:26" ht="15.75" customHeight="1">
      <c r="A7" s="5">
        <f ca="1">IFERROR(__xludf.DUMMYFUNCTION("""COMPUTED_VALUE"""),6)</f>
        <v>6</v>
      </c>
      <c r="B7" t="str">
        <f ca="1">IFERROR(__xludf.DUMMYFUNCTION("""COMPUTED_VALUE"""),"Mace, light")</f>
        <v>Mace, light</v>
      </c>
      <c r="C7" s="5" t="str">
        <f ca="1">IFERROR(__xludf.DUMMYFUNCTION("""COMPUTED_VALUE"""),"Weapon")</f>
        <v>Weapon</v>
      </c>
      <c r="D7" s="80">
        <f ca="1">IFERROR(__xludf.DUMMYFUNCTION("""COMPUTED_VALUE"""),5)</f>
        <v>5</v>
      </c>
    </row>
    <row r="8" spans="1:26" ht="15.75" customHeight="1">
      <c r="A8" s="5">
        <f ca="1">IFERROR(__xludf.DUMMYFUNCTION("""COMPUTED_VALUE"""),7)</f>
        <v>7</v>
      </c>
      <c r="B8" t="str">
        <f ca="1">IFERROR(__xludf.DUMMYFUNCTION("""COMPUTED_VALUE"""),"Sickle")</f>
        <v>Sickle</v>
      </c>
      <c r="C8" s="5" t="str">
        <f ca="1">IFERROR(__xludf.DUMMYFUNCTION("""COMPUTED_VALUE"""),"Weapon")</f>
        <v>Weapon</v>
      </c>
      <c r="D8" s="80">
        <f ca="1">IFERROR(__xludf.DUMMYFUNCTION("""COMPUTED_VALUE"""),6)</f>
        <v>6</v>
      </c>
    </row>
    <row r="9" spans="1:26" ht="15.75" customHeight="1">
      <c r="A9" s="5">
        <f ca="1">IFERROR(__xludf.DUMMYFUNCTION("""COMPUTED_VALUE"""),8)</f>
        <v>8</v>
      </c>
      <c r="B9" t="str">
        <f ca="1">IFERROR(__xludf.DUMMYFUNCTION("""COMPUTED_VALUE"""),"Club")</f>
        <v>Club</v>
      </c>
      <c r="C9" s="5" t="str">
        <f ca="1">IFERROR(__xludf.DUMMYFUNCTION("""COMPUTED_VALUE"""),"Weapon")</f>
        <v>Weapon</v>
      </c>
      <c r="D9" s="80">
        <f ca="1">IFERROR(__xludf.DUMMYFUNCTION("""COMPUTED_VALUE"""),0)</f>
        <v>0</v>
      </c>
    </row>
    <row r="10" spans="1:26" ht="15.75" customHeight="1">
      <c r="A10" s="5">
        <f ca="1">IFERROR(__xludf.DUMMYFUNCTION("""COMPUTED_VALUE"""),9)</f>
        <v>9</v>
      </c>
      <c r="B10" t="str">
        <f ca="1">IFERROR(__xludf.DUMMYFUNCTION("""COMPUTED_VALUE"""),"Mace, heavy")</f>
        <v>Mace, heavy</v>
      </c>
      <c r="C10" s="5" t="str">
        <f ca="1">IFERROR(__xludf.DUMMYFUNCTION("""COMPUTED_VALUE"""),"Weapon")</f>
        <v>Weapon</v>
      </c>
      <c r="D10" s="80">
        <f ca="1">IFERROR(__xludf.DUMMYFUNCTION("""COMPUTED_VALUE"""),12)</f>
        <v>12</v>
      </c>
    </row>
    <row r="11" spans="1:26" ht="15.75" customHeight="1">
      <c r="A11" s="5">
        <f ca="1">IFERROR(__xludf.DUMMYFUNCTION("""COMPUTED_VALUE"""),10)</f>
        <v>10</v>
      </c>
      <c r="B11" t="str">
        <f ca="1">IFERROR(__xludf.DUMMYFUNCTION("""COMPUTED_VALUE"""),"Morningstar")</f>
        <v>Morningstar</v>
      </c>
      <c r="C11" s="5" t="str">
        <f ca="1">IFERROR(__xludf.DUMMYFUNCTION("""COMPUTED_VALUE"""),"Weapon")</f>
        <v>Weapon</v>
      </c>
      <c r="D11" s="80">
        <f ca="1">IFERROR(__xludf.DUMMYFUNCTION("""COMPUTED_VALUE"""),8)</f>
        <v>8</v>
      </c>
    </row>
    <row r="12" spans="1:26" ht="15.75" customHeight="1">
      <c r="A12" s="5">
        <f ca="1">IFERROR(__xludf.DUMMYFUNCTION("""COMPUTED_VALUE"""),11)</f>
        <v>11</v>
      </c>
      <c r="B12" t="str">
        <f ca="1">IFERROR(__xludf.DUMMYFUNCTION("""COMPUTED_VALUE"""),"Shortspear")</f>
        <v>Shortspear</v>
      </c>
      <c r="C12" s="5" t="str">
        <f ca="1">IFERROR(__xludf.DUMMYFUNCTION("""COMPUTED_VALUE"""),"Weapon")</f>
        <v>Weapon</v>
      </c>
      <c r="D12" s="80">
        <f ca="1">IFERROR(__xludf.DUMMYFUNCTION("""COMPUTED_VALUE"""),1)</f>
        <v>1</v>
      </c>
    </row>
    <row r="13" spans="1:26" ht="15.75" customHeight="1">
      <c r="A13" s="5">
        <f ca="1">IFERROR(__xludf.DUMMYFUNCTION("""COMPUTED_VALUE"""),12)</f>
        <v>12</v>
      </c>
      <c r="B13" t="str">
        <f ca="1">IFERROR(__xludf.DUMMYFUNCTION("""COMPUTED_VALUE"""),"Longspear4")</f>
        <v>Longspear4</v>
      </c>
      <c r="C13" s="5" t="str">
        <f ca="1">IFERROR(__xludf.DUMMYFUNCTION("""COMPUTED_VALUE"""),"Weapon")</f>
        <v>Weapon</v>
      </c>
      <c r="D13" s="80">
        <f ca="1">IFERROR(__xludf.DUMMYFUNCTION("""COMPUTED_VALUE"""),5)</f>
        <v>5</v>
      </c>
    </row>
    <row r="14" spans="1:26" ht="15.75" customHeight="1">
      <c r="A14" s="5">
        <f ca="1">IFERROR(__xludf.DUMMYFUNCTION("""COMPUTED_VALUE"""),13)</f>
        <v>13</v>
      </c>
      <c r="B14" t="str">
        <f ca="1">IFERROR(__xludf.DUMMYFUNCTION("""COMPUTED_VALUE"""),"Quarterstaff5")</f>
        <v>Quarterstaff5</v>
      </c>
      <c r="C14" s="5" t="str">
        <f ca="1">IFERROR(__xludf.DUMMYFUNCTION("""COMPUTED_VALUE"""),"Weapon")</f>
        <v>Weapon</v>
      </c>
      <c r="D14" s="80">
        <f ca="1">IFERROR(__xludf.DUMMYFUNCTION("""COMPUTED_VALUE"""),0.1)</f>
        <v>0.1</v>
      </c>
    </row>
    <row r="15" spans="1:26" ht="15.75" customHeight="1">
      <c r="A15" s="5">
        <f ca="1">IFERROR(__xludf.DUMMYFUNCTION("""COMPUTED_VALUE"""),14)</f>
        <v>14</v>
      </c>
      <c r="B15" t="str">
        <f ca="1">IFERROR(__xludf.DUMMYFUNCTION("""COMPUTED_VALUE"""),"Spear")</f>
        <v>Spear</v>
      </c>
      <c r="C15" s="5" t="str">
        <f ca="1">IFERROR(__xludf.DUMMYFUNCTION("""COMPUTED_VALUE"""),"Weapon")</f>
        <v>Weapon</v>
      </c>
      <c r="D15" s="80">
        <f ca="1">IFERROR(__xludf.DUMMYFUNCTION("""COMPUTED_VALUE"""),2)</f>
        <v>2</v>
      </c>
    </row>
    <row r="16" spans="1:26" ht="15.75" customHeight="1">
      <c r="A16" s="5">
        <f ca="1">IFERROR(__xludf.DUMMYFUNCTION("""COMPUTED_VALUE"""),15)</f>
        <v>15</v>
      </c>
      <c r="B16" t="str">
        <f ca="1">IFERROR(__xludf.DUMMYFUNCTION("""COMPUTED_VALUE"""),"Crossbow, heavy")</f>
        <v>Crossbow, heavy</v>
      </c>
      <c r="C16" s="5" t="str">
        <f ca="1">IFERROR(__xludf.DUMMYFUNCTION("""COMPUTED_VALUE"""),"Weapon")</f>
        <v>Weapon</v>
      </c>
      <c r="D16" s="80">
        <f ca="1">IFERROR(__xludf.DUMMYFUNCTION("""COMPUTED_VALUE"""),50)</f>
        <v>50</v>
      </c>
    </row>
    <row r="17" spans="1:4" ht="15.75" customHeight="1">
      <c r="A17" s="5">
        <f ca="1">IFERROR(__xludf.DUMMYFUNCTION("""COMPUTED_VALUE"""),16)</f>
        <v>16</v>
      </c>
      <c r="B17" t="str">
        <f ca="1">IFERROR(__xludf.DUMMYFUNCTION("""COMPUTED_VALUE"""),"Bolts, crossbow (10)")</f>
        <v>Bolts, crossbow (10)</v>
      </c>
      <c r="C17" s="5" t="str">
        <f ca="1">IFERROR(__xludf.DUMMYFUNCTION("""COMPUTED_VALUE"""),"Weapon")</f>
        <v>Weapon</v>
      </c>
      <c r="D17" s="80">
        <f ca="1">IFERROR(__xludf.DUMMYFUNCTION("""COMPUTED_VALUE"""),1)</f>
        <v>1</v>
      </c>
    </row>
    <row r="18" spans="1:4" ht="15.75" customHeight="1">
      <c r="A18" s="5">
        <f ca="1">IFERROR(__xludf.DUMMYFUNCTION("""COMPUTED_VALUE"""),17)</f>
        <v>17</v>
      </c>
      <c r="B18" t="str">
        <f ca="1">IFERROR(__xludf.DUMMYFUNCTION("""COMPUTED_VALUE"""),"Crossbow, light")</f>
        <v>Crossbow, light</v>
      </c>
      <c r="C18" s="5" t="str">
        <f ca="1">IFERROR(__xludf.DUMMYFUNCTION("""COMPUTED_VALUE"""),"Weapon")</f>
        <v>Weapon</v>
      </c>
      <c r="D18" s="80">
        <f ca="1">IFERROR(__xludf.DUMMYFUNCTION("""COMPUTED_VALUE"""),35)</f>
        <v>35</v>
      </c>
    </row>
    <row r="19" spans="1:4" ht="15.75" customHeight="1">
      <c r="A19" s="5">
        <f ca="1">IFERROR(__xludf.DUMMYFUNCTION("""COMPUTED_VALUE"""),18)</f>
        <v>18</v>
      </c>
      <c r="B19" t="str">
        <f ca="1">IFERROR(__xludf.DUMMYFUNCTION("""COMPUTED_VALUE"""),"Dart")</f>
        <v>Dart</v>
      </c>
      <c r="C19" s="5" t="str">
        <f ca="1">IFERROR(__xludf.DUMMYFUNCTION("""COMPUTED_VALUE"""),"Weapon")</f>
        <v>Weapon</v>
      </c>
      <c r="D19" s="80">
        <f ca="1">IFERROR(__xludf.DUMMYFUNCTION("""COMPUTED_VALUE"""),0.05)</f>
        <v>0.05</v>
      </c>
    </row>
    <row r="20" spans="1:4" ht="15.75" customHeight="1">
      <c r="A20" s="5">
        <f ca="1">IFERROR(__xludf.DUMMYFUNCTION("""COMPUTED_VALUE"""),19)</f>
        <v>19</v>
      </c>
      <c r="B20" t="str">
        <f ca="1">IFERROR(__xludf.DUMMYFUNCTION("""COMPUTED_VALUE"""),"Javelin")</f>
        <v>Javelin</v>
      </c>
      <c r="C20" s="5" t="str">
        <f ca="1">IFERROR(__xludf.DUMMYFUNCTION("""COMPUTED_VALUE"""),"Weapon")</f>
        <v>Weapon</v>
      </c>
      <c r="D20" s="80">
        <f ca="1">IFERROR(__xludf.DUMMYFUNCTION("""COMPUTED_VALUE"""),1)</f>
        <v>1</v>
      </c>
    </row>
    <row r="21" spans="1:4" ht="15.75" customHeight="1">
      <c r="A21" s="5">
        <f ca="1">IFERROR(__xludf.DUMMYFUNCTION("""COMPUTED_VALUE"""),20)</f>
        <v>20</v>
      </c>
      <c r="B21" t="str">
        <f ca="1">IFERROR(__xludf.DUMMYFUNCTION("""COMPUTED_VALUE"""),"Sling")</f>
        <v>Sling</v>
      </c>
      <c r="C21" s="5" t="str">
        <f ca="1">IFERROR(__xludf.DUMMYFUNCTION("""COMPUTED_VALUE"""),"Weapon")</f>
        <v>Weapon</v>
      </c>
      <c r="D21" s="80">
        <f ca="1">IFERROR(__xludf.DUMMYFUNCTION("""COMPUTED_VALUE"""),0.01)</f>
        <v>0.01</v>
      </c>
    </row>
    <row r="22" spans="1:4" ht="15.75" customHeight="1">
      <c r="A22" s="5">
        <f ca="1">IFERROR(__xludf.DUMMYFUNCTION("""COMPUTED_VALUE"""),21)</f>
        <v>21</v>
      </c>
      <c r="B22" t="str">
        <f ca="1">IFERROR(__xludf.DUMMYFUNCTION("""COMPUTED_VALUE"""),"Bullets, sling (10)")</f>
        <v>Bullets, sling (10)</v>
      </c>
      <c r="C22" s="5" t="str">
        <f ca="1">IFERROR(__xludf.DUMMYFUNCTION("""COMPUTED_VALUE"""),"Weapon")</f>
        <v>Weapon</v>
      </c>
      <c r="D22" s="80">
        <f ca="1">IFERROR(__xludf.DUMMYFUNCTION("""COMPUTED_VALUE"""),0.01)</f>
        <v>0.01</v>
      </c>
    </row>
    <row r="23" spans="1:4" ht="15.75" customHeight="1">
      <c r="A23" s="5">
        <f ca="1">IFERROR(__xludf.DUMMYFUNCTION("""COMPUTED_VALUE"""),22)</f>
        <v>22</v>
      </c>
      <c r="B23" t="str">
        <f ca="1">IFERROR(__xludf.DUMMYFUNCTION("""COMPUTED_VALUE"""),"Axe, throwing")</f>
        <v>Axe, throwing</v>
      </c>
      <c r="C23" s="5" t="str">
        <f ca="1">IFERROR(__xludf.DUMMYFUNCTION("""COMPUTED_VALUE"""),"Weapon")</f>
        <v>Weapon</v>
      </c>
      <c r="D23" s="80">
        <f ca="1">IFERROR(__xludf.DUMMYFUNCTION("""COMPUTED_VALUE"""),8)</f>
        <v>8</v>
      </c>
    </row>
    <row r="24" spans="1:4" ht="15.75" customHeight="1">
      <c r="A24" s="5">
        <f ca="1">IFERROR(__xludf.DUMMYFUNCTION("""COMPUTED_VALUE"""),23)</f>
        <v>23</v>
      </c>
      <c r="B24" t="str">
        <f ca="1">IFERROR(__xludf.DUMMYFUNCTION("""COMPUTED_VALUE"""),"Hammer, light")</f>
        <v>Hammer, light</v>
      </c>
      <c r="C24" s="5" t="str">
        <f ca="1">IFERROR(__xludf.DUMMYFUNCTION("""COMPUTED_VALUE"""),"Weapon")</f>
        <v>Weapon</v>
      </c>
      <c r="D24" s="80">
        <f ca="1">IFERROR(__xludf.DUMMYFUNCTION("""COMPUTED_VALUE"""),1)</f>
        <v>1</v>
      </c>
    </row>
    <row r="25" spans="1:4" ht="15.75" customHeight="1">
      <c r="A25" s="5">
        <f ca="1">IFERROR(__xludf.DUMMYFUNCTION("""COMPUTED_VALUE"""),24)</f>
        <v>24</v>
      </c>
      <c r="B25" t="str">
        <f ca="1">IFERROR(__xludf.DUMMYFUNCTION("""COMPUTED_VALUE"""),"Handaxe")</f>
        <v>Handaxe</v>
      </c>
      <c r="C25" s="5" t="str">
        <f ca="1">IFERROR(__xludf.DUMMYFUNCTION("""COMPUTED_VALUE"""),"Weapon")</f>
        <v>Weapon</v>
      </c>
      <c r="D25" s="80">
        <f ca="1">IFERROR(__xludf.DUMMYFUNCTION("""COMPUTED_VALUE"""),6)</f>
        <v>6</v>
      </c>
    </row>
    <row r="26" spans="1:4" ht="15.75" customHeight="1">
      <c r="A26" s="5">
        <f ca="1">IFERROR(__xludf.DUMMYFUNCTION("""COMPUTED_VALUE"""),25)</f>
        <v>25</v>
      </c>
      <c r="B26" t="str">
        <f ca="1">IFERROR(__xludf.DUMMYFUNCTION("""COMPUTED_VALUE"""),"Kukri")</f>
        <v>Kukri</v>
      </c>
      <c r="C26" s="5" t="str">
        <f ca="1">IFERROR(__xludf.DUMMYFUNCTION("""COMPUTED_VALUE"""),"Weapon")</f>
        <v>Weapon</v>
      </c>
      <c r="D26" s="80">
        <f ca="1">IFERROR(__xludf.DUMMYFUNCTION("""COMPUTED_VALUE"""),8)</f>
        <v>8</v>
      </c>
    </row>
    <row r="27" spans="1:4" ht="13.2">
      <c r="A27" s="5">
        <f ca="1">IFERROR(__xludf.DUMMYFUNCTION("""COMPUTED_VALUE"""),26)</f>
        <v>26</v>
      </c>
      <c r="B27" t="str">
        <f ca="1">IFERROR(__xludf.DUMMYFUNCTION("""COMPUTED_VALUE"""),"Pick, light")</f>
        <v>Pick, light</v>
      </c>
      <c r="C27" s="5" t="str">
        <f ca="1">IFERROR(__xludf.DUMMYFUNCTION("""COMPUTED_VALUE"""),"Weapon")</f>
        <v>Weapon</v>
      </c>
      <c r="D27" s="80">
        <f ca="1">IFERROR(__xludf.DUMMYFUNCTION("""COMPUTED_VALUE"""),4)</f>
        <v>4</v>
      </c>
    </row>
    <row r="28" spans="1:4" ht="13.2">
      <c r="A28" s="5">
        <f ca="1">IFERROR(__xludf.DUMMYFUNCTION("""COMPUTED_VALUE"""),27)</f>
        <v>27</v>
      </c>
      <c r="B28" t="str">
        <f ca="1">IFERROR(__xludf.DUMMYFUNCTION("""COMPUTED_VALUE"""),"Sap")</f>
        <v>Sap</v>
      </c>
      <c r="C28" s="5" t="str">
        <f ca="1">IFERROR(__xludf.DUMMYFUNCTION("""COMPUTED_VALUE"""),"Weapon")</f>
        <v>Weapon</v>
      </c>
      <c r="D28" s="80">
        <f ca="1">IFERROR(__xludf.DUMMYFUNCTION("""COMPUTED_VALUE"""),1)</f>
        <v>1</v>
      </c>
    </row>
    <row r="29" spans="1:4" ht="13.2">
      <c r="A29" s="5">
        <f ca="1">IFERROR(__xludf.DUMMYFUNCTION("""COMPUTED_VALUE"""),28)</f>
        <v>28</v>
      </c>
      <c r="B29" t="str">
        <f ca="1">IFERROR(__xludf.DUMMYFUNCTION("""COMPUTED_VALUE"""),"Shield, light")</f>
        <v>Shield, light</v>
      </c>
      <c r="C29" s="5" t="str">
        <f ca="1">IFERROR(__xludf.DUMMYFUNCTION("""COMPUTED_VALUE"""),"Weapon")</f>
        <v>Weapon</v>
      </c>
      <c r="D29" s="80">
        <f ca="1">IFERROR(__xludf.DUMMYFUNCTION("""COMPUTED_VALUE"""),10)</f>
        <v>10</v>
      </c>
    </row>
    <row r="30" spans="1:4" ht="13.2">
      <c r="A30" s="5">
        <f ca="1">IFERROR(__xludf.DUMMYFUNCTION("""COMPUTED_VALUE"""),29)</f>
        <v>29</v>
      </c>
      <c r="B30" t="str">
        <f ca="1">IFERROR(__xludf.DUMMYFUNCTION("""COMPUTED_VALUE"""),"Spiked armor")</f>
        <v>Spiked armor</v>
      </c>
      <c r="C30" s="5" t="str">
        <f ca="1">IFERROR(__xludf.DUMMYFUNCTION("""COMPUTED_VALUE"""),"Weapon")</f>
        <v>Weapon</v>
      </c>
      <c r="D30" s="80">
        <f ca="1">IFERROR(__xludf.DUMMYFUNCTION("""COMPUTED_VALUE"""),20)</f>
        <v>20</v>
      </c>
    </row>
    <row r="31" spans="1:4" ht="13.2">
      <c r="A31" s="5">
        <f ca="1">IFERROR(__xludf.DUMMYFUNCTION("""COMPUTED_VALUE"""),30)</f>
        <v>30</v>
      </c>
      <c r="B31" t="str">
        <f ca="1">IFERROR(__xludf.DUMMYFUNCTION("""COMPUTED_VALUE"""),"Spiked shield, light")</f>
        <v>Spiked shield, light</v>
      </c>
      <c r="C31" s="5" t="str">
        <f ca="1">IFERROR(__xludf.DUMMYFUNCTION("""COMPUTED_VALUE"""),"Weapon")</f>
        <v>Weapon</v>
      </c>
      <c r="D31" s="80">
        <f ca="1">IFERROR(__xludf.DUMMYFUNCTION("""COMPUTED_VALUE"""),30)</f>
        <v>30</v>
      </c>
    </row>
    <row r="32" spans="1:4" ht="13.2">
      <c r="A32" s="5">
        <f ca="1">IFERROR(__xludf.DUMMYFUNCTION("""COMPUTED_VALUE"""),31)</f>
        <v>31</v>
      </c>
      <c r="B32" t="str">
        <f ca="1">IFERROR(__xludf.DUMMYFUNCTION("""COMPUTED_VALUE"""),"Sword, short")</f>
        <v>Sword, short</v>
      </c>
      <c r="C32" s="5" t="str">
        <f ca="1">IFERROR(__xludf.DUMMYFUNCTION("""COMPUTED_VALUE"""),"Weapon")</f>
        <v>Weapon</v>
      </c>
      <c r="D32" s="80">
        <f ca="1">IFERROR(__xludf.DUMMYFUNCTION("""COMPUTED_VALUE"""),10)</f>
        <v>10</v>
      </c>
    </row>
    <row r="33" spans="1:4" ht="13.2">
      <c r="A33" s="5">
        <f ca="1">IFERROR(__xludf.DUMMYFUNCTION("""COMPUTED_VALUE"""),32)</f>
        <v>32</v>
      </c>
      <c r="B33" t="str">
        <f ca="1">IFERROR(__xludf.DUMMYFUNCTION("""COMPUTED_VALUE"""),"Battleaxe")</f>
        <v>Battleaxe</v>
      </c>
      <c r="C33" s="5" t="str">
        <f ca="1">IFERROR(__xludf.DUMMYFUNCTION("""COMPUTED_VALUE"""),"Weapon")</f>
        <v>Weapon</v>
      </c>
      <c r="D33" s="80">
        <f ca="1">IFERROR(__xludf.DUMMYFUNCTION("""COMPUTED_VALUE"""),10)</f>
        <v>10</v>
      </c>
    </row>
    <row r="34" spans="1:4" ht="13.2">
      <c r="A34" s="5">
        <f ca="1">IFERROR(__xludf.DUMMYFUNCTION("""COMPUTED_VALUE"""),33)</f>
        <v>33</v>
      </c>
      <c r="B34" t="str">
        <f ca="1">IFERROR(__xludf.DUMMYFUNCTION("""COMPUTED_VALUE"""),"Flail")</f>
        <v>Flail</v>
      </c>
      <c r="C34" s="5" t="str">
        <f ca="1">IFERROR(__xludf.DUMMYFUNCTION("""COMPUTED_VALUE"""),"Weapon")</f>
        <v>Weapon</v>
      </c>
      <c r="D34" s="80">
        <f ca="1">IFERROR(__xludf.DUMMYFUNCTION("""COMPUTED_VALUE"""),8)</f>
        <v>8</v>
      </c>
    </row>
    <row r="35" spans="1:4" ht="13.2">
      <c r="A35" s="5">
        <f ca="1">IFERROR(__xludf.DUMMYFUNCTION("""COMPUTED_VALUE"""),34)</f>
        <v>34</v>
      </c>
      <c r="B35" t="str">
        <f ca="1">IFERROR(__xludf.DUMMYFUNCTION("""COMPUTED_VALUE"""),"Longsword")</f>
        <v>Longsword</v>
      </c>
      <c r="C35" s="5" t="str">
        <f ca="1">IFERROR(__xludf.DUMMYFUNCTION("""COMPUTED_VALUE"""),"Weapon")</f>
        <v>Weapon</v>
      </c>
      <c r="D35" s="80">
        <f ca="1">IFERROR(__xludf.DUMMYFUNCTION("""COMPUTED_VALUE"""),15)</f>
        <v>15</v>
      </c>
    </row>
    <row r="36" spans="1:4" ht="13.2">
      <c r="A36" s="5">
        <f ca="1">IFERROR(__xludf.DUMMYFUNCTION("""COMPUTED_VALUE"""),35)</f>
        <v>35</v>
      </c>
      <c r="B36" t="str">
        <f ca="1">IFERROR(__xludf.DUMMYFUNCTION("""COMPUTED_VALUE"""),"Pick, heavy")</f>
        <v>Pick, heavy</v>
      </c>
      <c r="C36" s="5" t="str">
        <f ca="1">IFERROR(__xludf.DUMMYFUNCTION("""COMPUTED_VALUE"""),"Weapon")</f>
        <v>Weapon</v>
      </c>
      <c r="D36" s="80">
        <f ca="1">IFERROR(__xludf.DUMMYFUNCTION("""COMPUTED_VALUE"""),8)</f>
        <v>8</v>
      </c>
    </row>
    <row r="37" spans="1:4" ht="13.2">
      <c r="A37" s="5">
        <f ca="1">IFERROR(__xludf.DUMMYFUNCTION("""COMPUTED_VALUE"""),36)</f>
        <v>36</v>
      </c>
      <c r="B37" t="str">
        <f ca="1">IFERROR(__xludf.DUMMYFUNCTION("""COMPUTED_VALUE"""),"Rapier")</f>
        <v>Rapier</v>
      </c>
      <c r="C37" s="5" t="str">
        <f ca="1">IFERROR(__xludf.DUMMYFUNCTION("""COMPUTED_VALUE"""),"Weapon")</f>
        <v>Weapon</v>
      </c>
      <c r="D37" s="80">
        <f ca="1">IFERROR(__xludf.DUMMYFUNCTION("""COMPUTED_VALUE"""),20)</f>
        <v>20</v>
      </c>
    </row>
    <row r="38" spans="1:4" ht="13.2">
      <c r="A38" s="5">
        <f ca="1">IFERROR(__xludf.DUMMYFUNCTION("""COMPUTED_VALUE"""),37)</f>
        <v>37</v>
      </c>
      <c r="B38" t="str">
        <f ca="1">IFERROR(__xludf.DUMMYFUNCTION("""COMPUTED_VALUE"""),"Scimitar")</f>
        <v>Scimitar</v>
      </c>
      <c r="C38" s="5" t="str">
        <f ca="1">IFERROR(__xludf.DUMMYFUNCTION("""COMPUTED_VALUE"""),"Weapon")</f>
        <v>Weapon</v>
      </c>
      <c r="D38" s="80">
        <f ca="1">IFERROR(__xludf.DUMMYFUNCTION("""COMPUTED_VALUE"""),15)</f>
        <v>15</v>
      </c>
    </row>
    <row r="39" spans="1:4" ht="13.2">
      <c r="A39" s="5">
        <f ca="1">IFERROR(__xludf.DUMMYFUNCTION("""COMPUTED_VALUE"""),38)</f>
        <v>38</v>
      </c>
      <c r="B39" t="str">
        <f ca="1">IFERROR(__xludf.DUMMYFUNCTION("""COMPUTED_VALUE"""),"Shield, heavy")</f>
        <v>Shield, heavy</v>
      </c>
      <c r="C39" s="5" t="str">
        <f ca="1">IFERROR(__xludf.DUMMYFUNCTION("""COMPUTED_VALUE"""),"Weapon")</f>
        <v>Weapon</v>
      </c>
      <c r="D39" s="80">
        <f ca="1">IFERROR(__xludf.DUMMYFUNCTION("""COMPUTED_VALUE"""),50)</f>
        <v>50</v>
      </c>
    </row>
    <row r="40" spans="1:4" ht="13.2">
      <c r="A40" s="5">
        <f ca="1">IFERROR(__xludf.DUMMYFUNCTION("""COMPUTED_VALUE"""),39)</f>
        <v>39</v>
      </c>
      <c r="B40" t="str">
        <f ca="1">IFERROR(__xludf.DUMMYFUNCTION("""COMPUTED_VALUE"""),"Spiked shield, heavy")</f>
        <v>Spiked shield, heavy</v>
      </c>
      <c r="C40" s="5" t="str">
        <f ca="1">IFERROR(__xludf.DUMMYFUNCTION("""COMPUTED_VALUE"""),"Weapon")</f>
        <v>Weapon</v>
      </c>
      <c r="D40" s="80">
        <f ca="1">IFERROR(__xludf.DUMMYFUNCTION("""COMPUTED_VALUE"""),60)</f>
        <v>60</v>
      </c>
    </row>
    <row r="41" spans="1:4" ht="13.2">
      <c r="A41" s="5">
        <f ca="1">IFERROR(__xludf.DUMMYFUNCTION("""COMPUTED_VALUE"""),40)</f>
        <v>40</v>
      </c>
      <c r="B41" t="str">
        <f ca="1">IFERROR(__xludf.DUMMYFUNCTION("""COMPUTED_VALUE"""),"Trident")</f>
        <v>Trident</v>
      </c>
      <c r="C41" s="5" t="str">
        <f ca="1">IFERROR(__xludf.DUMMYFUNCTION("""COMPUTED_VALUE"""),"Weapon")</f>
        <v>Weapon</v>
      </c>
      <c r="D41" s="80">
        <f ca="1">IFERROR(__xludf.DUMMYFUNCTION("""COMPUTED_VALUE"""),15)</f>
        <v>15</v>
      </c>
    </row>
    <row r="42" spans="1:4" ht="13.2">
      <c r="A42" s="5">
        <f ca="1">IFERROR(__xludf.DUMMYFUNCTION("""COMPUTED_VALUE"""),41)</f>
        <v>41</v>
      </c>
      <c r="B42" t="str">
        <f ca="1">IFERROR(__xludf.DUMMYFUNCTION("""COMPUTED_VALUE"""),"Warhammer")</f>
        <v>Warhammer</v>
      </c>
      <c r="C42" s="5" t="str">
        <f ca="1">IFERROR(__xludf.DUMMYFUNCTION("""COMPUTED_VALUE"""),"Weapon")</f>
        <v>Weapon</v>
      </c>
      <c r="D42" s="80">
        <f ca="1">IFERROR(__xludf.DUMMYFUNCTION("""COMPUTED_VALUE"""),12)</f>
        <v>12</v>
      </c>
    </row>
    <row r="43" spans="1:4" ht="13.2">
      <c r="A43" s="5">
        <f ca="1">IFERROR(__xludf.DUMMYFUNCTION("""COMPUTED_VALUE"""),42)</f>
        <v>42</v>
      </c>
      <c r="B43" t="str">
        <f ca="1">IFERROR(__xludf.DUMMYFUNCTION("""COMPUTED_VALUE"""),"Falchion")</f>
        <v>Falchion</v>
      </c>
      <c r="C43" s="5" t="str">
        <f ca="1">IFERROR(__xludf.DUMMYFUNCTION("""COMPUTED_VALUE"""),"Weapon")</f>
        <v>Weapon</v>
      </c>
      <c r="D43" s="80">
        <f ca="1">IFERROR(__xludf.DUMMYFUNCTION("""COMPUTED_VALUE"""),75)</f>
        <v>75</v>
      </c>
    </row>
    <row r="44" spans="1:4" ht="13.2">
      <c r="A44" s="5">
        <f ca="1">IFERROR(__xludf.DUMMYFUNCTION("""COMPUTED_VALUE"""),43)</f>
        <v>43</v>
      </c>
      <c r="B44" t="str">
        <f ca="1">IFERROR(__xludf.DUMMYFUNCTION("""COMPUTED_VALUE"""),"Glaive")</f>
        <v>Glaive</v>
      </c>
      <c r="C44" s="5" t="str">
        <f ca="1">IFERROR(__xludf.DUMMYFUNCTION("""COMPUTED_VALUE"""),"Weapon")</f>
        <v>Weapon</v>
      </c>
      <c r="D44" s="80">
        <f ca="1">IFERROR(__xludf.DUMMYFUNCTION("""COMPUTED_VALUE"""),8)</f>
        <v>8</v>
      </c>
    </row>
    <row r="45" spans="1:4" ht="13.2">
      <c r="A45" s="5">
        <f ca="1">IFERROR(__xludf.DUMMYFUNCTION("""COMPUTED_VALUE"""),44)</f>
        <v>44</v>
      </c>
      <c r="B45" t="str">
        <f ca="1">IFERROR(__xludf.DUMMYFUNCTION("""COMPUTED_VALUE"""),"Greataxe")</f>
        <v>Greataxe</v>
      </c>
      <c r="C45" s="5" t="str">
        <f ca="1">IFERROR(__xludf.DUMMYFUNCTION("""COMPUTED_VALUE"""),"Weapon")</f>
        <v>Weapon</v>
      </c>
      <c r="D45" s="80">
        <f ca="1">IFERROR(__xludf.DUMMYFUNCTION("""COMPUTED_VALUE"""),20)</f>
        <v>20</v>
      </c>
    </row>
    <row r="46" spans="1:4" ht="13.2">
      <c r="A46" s="5">
        <f ca="1">IFERROR(__xludf.DUMMYFUNCTION("""COMPUTED_VALUE"""),45)</f>
        <v>45</v>
      </c>
      <c r="B46" t="str">
        <f ca="1">IFERROR(__xludf.DUMMYFUNCTION("""COMPUTED_VALUE"""),"Greatclub")</f>
        <v>Greatclub</v>
      </c>
      <c r="C46" s="5" t="str">
        <f ca="1">IFERROR(__xludf.DUMMYFUNCTION("""COMPUTED_VALUE"""),"Weapon")</f>
        <v>Weapon</v>
      </c>
      <c r="D46" s="80">
        <f ca="1">IFERROR(__xludf.DUMMYFUNCTION("""COMPUTED_VALUE"""),5)</f>
        <v>5</v>
      </c>
    </row>
    <row r="47" spans="1:4" ht="13.2">
      <c r="A47" s="5">
        <f ca="1">IFERROR(__xludf.DUMMYFUNCTION("""COMPUTED_VALUE"""),46)</f>
        <v>46</v>
      </c>
      <c r="B47" t="str">
        <f ca="1">IFERROR(__xludf.DUMMYFUNCTION("""COMPUTED_VALUE"""),"Flail, heavy")</f>
        <v>Flail, heavy</v>
      </c>
      <c r="C47" s="5" t="str">
        <f ca="1">IFERROR(__xludf.DUMMYFUNCTION("""COMPUTED_VALUE"""),"Weapon")</f>
        <v>Weapon</v>
      </c>
      <c r="D47" s="80">
        <f ca="1">IFERROR(__xludf.DUMMYFUNCTION("""COMPUTED_VALUE"""),15)</f>
        <v>15</v>
      </c>
    </row>
    <row r="48" spans="1:4" ht="13.2">
      <c r="A48" s="5">
        <f ca="1">IFERROR(__xludf.DUMMYFUNCTION("""COMPUTED_VALUE"""),47)</f>
        <v>47</v>
      </c>
      <c r="B48" t="str">
        <f ca="1">IFERROR(__xludf.DUMMYFUNCTION("""COMPUTED_VALUE"""),"Greatsword")</f>
        <v>Greatsword</v>
      </c>
      <c r="C48" s="5" t="str">
        <f ca="1">IFERROR(__xludf.DUMMYFUNCTION("""COMPUTED_VALUE"""),"Weapon")</f>
        <v>Weapon</v>
      </c>
      <c r="D48" s="80">
        <f ca="1">IFERROR(__xludf.DUMMYFUNCTION("""COMPUTED_VALUE"""),50)</f>
        <v>50</v>
      </c>
    </row>
    <row r="49" spans="1:4" ht="13.2">
      <c r="A49" s="5">
        <f ca="1">IFERROR(__xludf.DUMMYFUNCTION("""COMPUTED_VALUE"""),48)</f>
        <v>48</v>
      </c>
      <c r="B49" t="str">
        <f ca="1">IFERROR(__xludf.DUMMYFUNCTION("""COMPUTED_VALUE"""),"Guisarme4")</f>
        <v>Guisarme4</v>
      </c>
      <c r="C49" s="5" t="str">
        <f ca="1">IFERROR(__xludf.DUMMYFUNCTION("""COMPUTED_VALUE"""),"Weapon")</f>
        <v>Weapon</v>
      </c>
      <c r="D49" s="80">
        <f ca="1">IFERROR(__xludf.DUMMYFUNCTION("""COMPUTED_VALUE"""),9)</f>
        <v>9</v>
      </c>
    </row>
    <row r="50" spans="1:4" ht="13.2">
      <c r="A50" s="5">
        <f ca="1">IFERROR(__xludf.DUMMYFUNCTION("""COMPUTED_VALUE"""),49)</f>
        <v>49</v>
      </c>
      <c r="B50" t="str">
        <f ca="1">IFERROR(__xludf.DUMMYFUNCTION("""COMPUTED_VALUE"""),"Halberd")</f>
        <v>Halberd</v>
      </c>
      <c r="C50" s="5" t="str">
        <f ca="1">IFERROR(__xludf.DUMMYFUNCTION("""COMPUTED_VALUE"""),"Weapon")</f>
        <v>Weapon</v>
      </c>
      <c r="D50" s="80">
        <f ca="1">IFERROR(__xludf.DUMMYFUNCTION("""COMPUTED_VALUE"""),10)</f>
        <v>10</v>
      </c>
    </row>
    <row r="51" spans="1:4" ht="13.2">
      <c r="A51" s="5">
        <f ca="1">IFERROR(__xludf.DUMMYFUNCTION("""COMPUTED_VALUE"""),50)</f>
        <v>50</v>
      </c>
      <c r="B51" t="str">
        <f ca="1">IFERROR(__xludf.DUMMYFUNCTION("""COMPUTED_VALUE"""),"Lance")</f>
        <v>Lance</v>
      </c>
      <c r="C51" s="5" t="str">
        <f ca="1">IFERROR(__xludf.DUMMYFUNCTION("""COMPUTED_VALUE"""),"Weapon")</f>
        <v>Weapon</v>
      </c>
      <c r="D51" s="80">
        <f ca="1">IFERROR(__xludf.DUMMYFUNCTION("""COMPUTED_VALUE"""),10)</f>
        <v>10</v>
      </c>
    </row>
    <row r="52" spans="1:4" ht="13.2">
      <c r="A52" s="5">
        <f ca="1">IFERROR(__xludf.DUMMYFUNCTION("""COMPUTED_VALUE"""),51)</f>
        <v>51</v>
      </c>
      <c r="B52" t="str">
        <f ca="1">IFERROR(__xludf.DUMMYFUNCTION("""COMPUTED_VALUE"""),"Ranseur")</f>
        <v>Ranseur</v>
      </c>
      <c r="C52" s="5" t="str">
        <f ca="1">IFERROR(__xludf.DUMMYFUNCTION("""COMPUTED_VALUE"""),"Weapon")</f>
        <v>Weapon</v>
      </c>
      <c r="D52" s="80">
        <f ca="1">IFERROR(__xludf.DUMMYFUNCTION("""COMPUTED_VALUE"""),10)</f>
        <v>10</v>
      </c>
    </row>
    <row r="53" spans="1:4" ht="13.2">
      <c r="A53" s="5">
        <f ca="1">IFERROR(__xludf.DUMMYFUNCTION("""COMPUTED_VALUE"""),52)</f>
        <v>52</v>
      </c>
      <c r="B53" t="str">
        <f ca="1">IFERROR(__xludf.DUMMYFUNCTION("""COMPUTED_VALUE"""),"Scythe")</f>
        <v>Scythe</v>
      </c>
      <c r="C53" s="5" t="str">
        <f ca="1">IFERROR(__xludf.DUMMYFUNCTION("""COMPUTED_VALUE"""),"Weapon")</f>
        <v>Weapon</v>
      </c>
      <c r="D53" s="80">
        <f ca="1">IFERROR(__xludf.DUMMYFUNCTION("""COMPUTED_VALUE"""),18)</f>
        <v>18</v>
      </c>
    </row>
    <row r="54" spans="1:4" ht="13.2">
      <c r="A54" s="5">
        <f ca="1">IFERROR(__xludf.DUMMYFUNCTION("""COMPUTED_VALUE"""),53)</f>
        <v>53</v>
      </c>
      <c r="B54" t="str">
        <f ca="1">IFERROR(__xludf.DUMMYFUNCTION("""COMPUTED_VALUE"""),"Longbow")</f>
        <v>Longbow</v>
      </c>
      <c r="C54" s="5" t="str">
        <f ca="1">IFERROR(__xludf.DUMMYFUNCTION("""COMPUTED_VALUE"""),"Weapon")</f>
        <v>Weapon</v>
      </c>
      <c r="D54" s="80">
        <f ca="1">IFERROR(__xludf.DUMMYFUNCTION("""COMPUTED_VALUE"""),75)</f>
        <v>75</v>
      </c>
    </row>
    <row r="55" spans="1:4" ht="13.2">
      <c r="A55" s="5">
        <f ca="1">IFERROR(__xludf.DUMMYFUNCTION("""COMPUTED_VALUE"""),54)</f>
        <v>54</v>
      </c>
      <c r="B55" t="str">
        <f ca="1">IFERROR(__xludf.DUMMYFUNCTION("""COMPUTED_VALUE"""),"Longbow, composite")</f>
        <v>Longbow, composite</v>
      </c>
      <c r="C55" s="5" t="str">
        <f ca="1">IFERROR(__xludf.DUMMYFUNCTION("""COMPUTED_VALUE"""),"Weapon")</f>
        <v>Weapon</v>
      </c>
      <c r="D55" s="80">
        <f ca="1">IFERROR(__xludf.DUMMYFUNCTION("""COMPUTED_VALUE"""),100)</f>
        <v>100</v>
      </c>
    </row>
    <row r="56" spans="1:4" ht="13.2">
      <c r="A56" s="5">
        <f ca="1">IFERROR(__xludf.DUMMYFUNCTION("""COMPUTED_VALUE"""),55)</f>
        <v>55</v>
      </c>
      <c r="B56" t="str">
        <f ca="1">IFERROR(__xludf.DUMMYFUNCTION("""COMPUTED_VALUE"""),"Shortbow")</f>
        <v>Shortbow</v>
      </c>
      <c r="C56" s="5" t="str">
        <f ca="1">IFERROR(__xludf.DUMMYFUNCTION("""COMPUTED_VALUE"""),"Weapon")</f>
        <v>Weapon</v>
      </c>
      <c r="D56" s="80">
        <f ca="1">IFERROR(__xludf.DUMMYFUNCTION("""COMPUTED_VALUE"""),30)</f>
        <v>30</v>
      </c>
    </row>
    <row r="57" spans="1:4" ht="13.2">
      <c r="A57" s="5">
        <f ca="1">IFERROR(__xludf.DUMMYFUNCTION("""COMPUTED_VALUE"""),56)</f>
        <v>56</v>
      </c>
      <c r="B57" t="str">
        <f ca="1">IFERROR(__xludf.DUMMYFUNCTION("""COMPUTED_VALUE"""),"Shortbow, composite")</f>
        <v>Shortbow, composite</v>
      </c>
      <c r="C57" s="5" t="str">
        <f ca="1">IFERROR(__xludf.DUMMYFUNCTION("""COMPUTED_VALUE"""),"Weapon")</f>
        <v>Weapon</v>
      </c>
      <c r="D57" s="80">
        <f ca="1">IFERROR(__xludf.DUMMYFUNCTION("""COMPUTED_VALUE"""),75)</f>
        <v>75</v>
      </c>
    </row>
    <row r="58" spans="1:4" ht="13.2">
      <c r="A58" s="5">
        <f ca="1">IFERROR(__xludf.DUMMYFUNCTION("""COMPUTED_VALUE"""),57)</f>
        <v>57</v>
      </c>
      <c r="B58" t="str">
        <f ca="1">IFERROR(__xludf.DUMMYFUNCTION("""COMPUTED_VALUE"""),"Arrows (20)")</f>
        <v>Arrows (20)</v>
      </c>
      <c r="C58" s="5" t="str">
        <f ca="1">IFERROR(__xludf.DUMMYFUNCTION("""COMPUTED_VALUE"""),"Weapon")</f>
        <v>Weapon</v>
      </c>
      <c r="D58" s="80">
        <f ca="1">IFERROR(__xludf.DUMMYFUNCTION("""COMPUTED_VALUE"""),1)</f>
        <v>1</v>
      </c>
    </row>
    <row r="59" spans="1:4" ht="13.2">
      <c r="A59" s="5">
        <f ca="1">IFERROR(__xludf.DUMMYFUNCTION("""COMPUTED_VALUE"""),58)</f>
        <v>58</v>
      </c>
      <c r="B59" t="str">
        <f ca="1">IFERROR(__xludf.DUMMYFUNCTION("""COMPUTED_VALUE"""),"Kama")</f>
        <v>Kama</v>
      </c>
      <c r="C59" s="5" t="str">
        <f ca="1">IFERROR(__xludf.DUMMYFUNCTION("""COMPUTED_VALUE"""),"Weapon")</f>
        <v>Weapon</v>
      </c>
      <c r="D59" s="80">
        <f ca="1">IFERROR(__xludf.DUMMYFUNCTION("""COMPUTED_VALUE"""),2)</f>
        <v>2</v>
      </c>
    </row>
    <row r="60" spans="1:4" ht="13.2">
      <c r="A60" s="5">
        <f ca="1">IFERROR(__xludf.DUMMYFUNCTION("""COMPUTED_VALUE"""),59)</f>
        <v>59</v>
      </c>
      <c r="B60" t="str">
        <f ca="1">IFERROR(__xludf.DUMMYFUNCTION("""COMPUTED_VALUE"""),"Nunchaku")</f>
        <v>Nunchaku</v>
      </c>
      <c r="C60" s="5" t="str">
        <f ca="1">IFERROR(__xludf.DUMMYFUNCTION("""COMPUTED_VALUE"""),"Weapon")</f>
        <v>Weapon</v>
      </c>
      <c r="D60" s="80">
        <f ca="1">IFERROR(__xludf.DUMMYFUNCTION("""COMPUTED_VALUE"""),2)</f>
        <v>2</v>
      </c>
    </row>
    <row r="61" spans="1:4" ht="13.2">
      <c r="A61" s="5">
        <f ca="1">IFERROR(__xludf.DUMMYFUNCTION("""COMPUTED_VALUE"""),60)</f>
        <v>60</v>
      </c>
      <c r="B61" t="str">
        <f ca="1">IFERROR(__xludf.DUMMYFUNCTION("""COMPUTED_VALUE"""),"Sai")</f>
        <v>Sai</v>
      </c>
      <c r="C61" s="5" t="str">
        <f ca="1">IFERROR(__xludf.DUMMYFUNCTION("""COMPUTED_VALUE"""),"Weapon")</f>
        <v>Weapon</v>
      </c>
      <c r="D61" s="80">
        <f ca="1">IFERROR(__xludf.DUMMYFUNCTION("""COMPUTED_VALUE"""),1)</f>
        <v>1</v>
      </c>
    </row>
    <row r="62" spans="1:4" ht="13.2">
      <c r="A62" s="5">
        <f ca="1">IFERROR(__xludf.DUMMYFUNCTION("""COMPUTED_VALUE"""),61)</f>
        <v>61</v>
      </c>
      <c r="B62" t="str">
        <f ca="1">IFERROR(__xludf.DUMMYFUNCTION("""COMPUTED_VALUE"""),"Siangham")</f>
        <v>Siangham</v>
      </c>
      <c r="C62" s="5" t="str">
        <f ca="1">IFERROR(__xludf.DUMMYFUNCTION("""COMPUTED_VALUE"""),"Weapon")</f>
        <v>Weapon</v>
      </c>
      <c r="D62" s="80">
        <f ca="1">IFERROR(__xludf.DUMMYFUNCTION("""COMPUTED_VALUE"""),3)</f>
        <v>3</v>
      </c>
    </row>
    <row r="63" spans="1:4" ht="13.2">
      <c r="A63" s="5">
        <f ca="1">IFERROR(__xludf.DUMMYFUNCTION("""COMPUTED_VALUE"""),62)</f>
        <v>62</v>
      </c>
      <c r="B63" t="str">
        <f ca="1">IFERROR(__xludf.DUMMYFUNCTION("""COMPUTED_VALUE"""),"Sword, bastard")</f>
        <v>Sword, bastard</v>
      </c>
      <c r="C63" s="5" t="str">
        <f ca="1">IFERROR(__xludf.DUMMYFUNCTION("""COMPUTED_VALUE"""),"Weapon")</f>
        <v>Weapon</v>
      </c>
      <c r="D63" s="80">
        <f ca="1">IFERROR(__xludf.DUMMYFUNCTION("""COMPUTED_VALUE"""),35)</f>
        <v>35</v>
      </c>
    </row>
    <row r="64" spans="1:4" ht="13.2">
      <c r="A64" s="5">
        <f ca="1">IFERROR(__xludf.DUMMYFUNCTION("""COMPUTED_VALUE"""),63)</f>
        <v>63</v>
      </c>
      <c r="B64" t="str">
        <f ca="1">IFERROR(__xludf.DUMMYFUNCTION("""COMPUTED_VALUE"""),"Waraxe, dwarven")</f>
        <v>Waraxe, dwarven</v>
      </c>
      <c r="C64" s="5" t="str">
        <f ca="1">IFERROR(__xludf.DUMMYFUNCTION("""COMPUTED_VALUE"""),"Weapon")</f>
        <v>Weapon</v>
      </c>
      <c r="D64" s="80">
        <f ca="1">IFERROR(__xludf.DUMMYFUNCTION("""COMPUTED_VALUE"""),30)</f>
        <v>30</v>
      </c>
    </row>
    <row r="65" spans="1:4" ht="13.2">
      <c r="A65" s="5">
        <f ca="1">IFERROR(__xludf.DUMMYFUNCTION("""COMPUTED_VALUE"""),64)</f>
        <v>64</v>
      </c>
      <c r="B65" t="str">
        <f ca="1">IFERROR(__xludf.DUMMYFUNCTION("""COMPUTED_VALUE"""),"Whip4")</f>
        <v>Whip4</v>
      </c>
      <c r="C65" s="5" t="str">
        <f ca="1">IFERROR(__xludf.DUMMYFUNCTION("""COMPUTED_VALUE"""),"Weapon")</f>
        <v>Weapon</v>
      </c>
      <c r="D65" s="80">
        <f ca="1">IFERROR(__xludf.DUMMYFUNCTION("""COMPUTED_VALUE"""),1)</f>
        <v>1</v>
      </c>
    </row>
    <row r="66" spans="1:4" ht="13.2">
      <c r="A66" s="5">
        <f ca="1">IFERROR(__xludf.DUMMYFUNCTION("""COMPUTED_VALUE"""),65)</f>
        <v>65</v>
      </c>
      <c r="B66" t="str">
        <f ca="1">IFERROR(__xludf.DUMMYFUNCTION("""COMPUTED_VALUE"""),"Axe, orc double5")</f>
        <v>Axe, orc double5</v>
      </c>
      <c r="C66" s="5" t="str">
        <f ca="1">IFERROR(__xludf.DUMMYFUNCTION("""COMPUTED_VALUE"""),"Weapon")</f>
        <v>Weapon</v>
      </c>
      <c r="D66" s="80">
        <f ca="1">IFERROR(__xludf.DUMMYFUNCTION("""COMPUTED_VALUE"""),60)</f>
        <v>60</v>
      </c>
    </row>
    <row r="67" spans="1:4" ht="13.2">
      <c r="A67" s="5">
        <f ca="1">IFERROR(__xludf.DUMMYFUNCTION("""COMPUTED_VALUE"""),66)</f>
        <v>66</v>
      </c>
      <c r="B67" t="str">
        <f ca="1">IFERROR(__xludf.DUMMYFUNCTION("""COMPUTED_VALUE"""),"Chain, spiked4")</f>
        <v>Chain, spiked4</v>
      </c>
      <c r="C67" s="5" t="str">
        <f ca="1">IFERROR(__xludf.DUMMYFUNCTION("""COMPUTED_VALUE"""),"Weapon")</f>
        <v>Weapon</v>
      </c>
      <c r="D67" s="80">
        <f ca="1">IFERROR(__xludf.DUMMYFUNCTION("""COMPUTED_VALUE"""),25)</f>
        <v>25</v>
      </c>
    </row>
    <row r="68" spans="1:4" ht="13.2">
      <c r="A68" s="5">
        <f ca="1">IFERROR(__xludf.DUMMYFUNCTION("""COMPUTED_VALUE"""),67)</f>
        <v>67</v>
      </c>
      <c r="B68" t="str">
        <f ca="1">IFERROR(__xludf.DUMMYFUNCTION("""COMPUTED_VALUE"""),"Flail, dire5")</f>
        <v>Flail, dire5</v>
      </c>
      <c r="C68" s="5" t="str">
        <f ca="1">IFERROR(__xludf.DUMMYFUNCTION("""COMPUTED_VALUE"""),"Weapon")</f>
        <v>Weapon</v>
      </c>
      <c r="D68" s="80">
        <f ca="1">IFERROR(__xludf.DUMMYFUNCTION("""COMPUTED_VALUE"""),90)</f>
        <v>90</v>
      </c>
    </row>
    <row r="69" spans="1:4" ht="13.2">
      <c r="A69" s="5">
        <f ca="1">IFERROR(__xludf.DUMMYFUNCTION("""COMPUTED_VALUE"""),68)</f>
        <v>68</v>
      </c>
      <c r="B69" t="str">
        <f ca="1">IFERROR(__xludf.DUMMYFUNCTION("""COMPUTED_VALUE"""),"Hammer, gnome hooked5")</f>
        <v>Hammer, gnome hooked5</v>
      </c>
      <c r="C69" s="5" t="str">
        <f ca="1">IFERROR(__xludf.DUMMYFUNCTION("""COMPUTED_VALUE"""),"Weapon")</f>
        <v>Weapon</v>
      </c>
      <c r="D69" s="80">
        <f ca="1">IFERROR(__xludf.DUMMYFUNCTION("""COMPUTED_VALUE"""),20)</f>
        <v>20</v>
      </c>
    </row>
    <row r="70" spans="1:4" ht="13.2">
      <c r="A70" s="5">
        <f ca="1">IFERROR(__xludf.DUMMYFUNCTION("""COMPUTED_VALUE"""),69)</f>
        <v>69</v>
      </c>
      <c r="B70" t="str">
        <f ca="1">IFERROR(__xludf.DUMMYFUNCTION("""COMPUTED_VALUE"""),"Sword, two-bladed5")</f>
        <v>Sword, two-bladed5</v>
      </c>
      <c r="C70" s="5" t="str">
        <f ca="1">IFERROR(__xludf.DUMMYFUNCTION("""COMPUTED_VALUE"""),"Weapon")</f>
        <v>Weapon</v>
      </c>
      <c r="D70" s="80">
        <f ca="1">IFERROR(__xludf.DUMMYFUNCTION("""COMPUTED_VALUE"""),100)</f>
        <v>100</v>
      </c>
    </row>
    <row r="71" spans="1:4" ht="13.2">
      <c r="A71" s="5">
        <f ca="1">IFERROR(__xludf.DUMMYFUNCTION("""COMPUTED_VALUE"""),70)</f>
        <v>70</v>
      </c>
      <c r="B71" t="str">
        <f ca="1">IFERROR(__xludf.DUMMYFUNCTION("""COMPUTED_VALUE"""),"Urgrosh, dwarven5")</f>
        <v>Urgrosh, dwarven5</v>
      </c>
      <c r="C71" s="5" t="str">
        <f ca="1">IFERROR(__xludf.DUMMYFUNCTION("""COMPUTED_VALUE"""),"Weapon")</f>
        <v>Weapon</v>
      </c>
      <c r="D71" s="80">
        <f ca="1">IFERROR(__xludf.DUMMYFUNCTION("""COMPUTED_VALUE"""),50)</f>
        <v>50</v>
      </c>
    </row>
    <row r="72" spans="1:4" ht="13.2">
      <c r="A72" s="5">
        <f ca="1">IFERROR(__xludf.DUMMYFUNCTION("""COMPUTED_VALUE"""),71)</f>
        <v>71</v>
      </c>
      <c r="B72" t="str">
        <f ca="1">IFERROR(__xludf.DUMMYFUNCTION("""COMPUTED_VALUE"""),"Bolas")</f>
        <v>Bolas</v>
      </c>
      <c r="C72" s="5" t="str">
        <f ca="1">IFERROR(__xludf.DUMMYFUNCTION("""COMPUTED_VALUE"""),"Weapon")</f>
        <v>Weapon</v>
      </c>
      <c r="D72" s="80">
        <f ca="1">IFERROR(__xludf.DUMMYFUNCTION("""COMPUTED_VALUE"""),5)</f>
        <v>5</v>
      </c>
    </row>
    <row r="73" spans="1:4" ht="13.2">
      <c r="A73" s="5">
        <f ca="1">IFERROR(__xludf.DUMMYFUNCTION("""COMPUTED_VALUE"""),72)</f>
        <v>72</v>
      </c>
      <c r="B73" t="str">
        <f ca="1">IFERROR(__xludf.DUMMYFUNCTION("""COMPUTED_VALUE"""),"Crossbow, hand")</f>
        <v>Crossbow, hand</v>
      </c>
      <c r="C73" s="5" t="str">
        <f ca="1">IFERROR(__xludf.DUMMYFUNCTION("""COMPUTED_VALUE"""),"Weapon")</f>
        <v>Weapon</v>
      </c>
      <c r="D73" s="80">
        <f ca="1">IFERROR(__xludf.DUMMYFUNCTION("""COMPUTED_VALUE"""),100)</f>
        <v>100</v>
      </c>
    </row>
    <row r="74" spans="1:4" ht="13.2">
      <c r="A74" s="5">
        <f ca="1">IFERROR(__xludf.DUMMYFUNCTION("""COMPUTED_VALUE"""),73)</f>
        <v>73</v>
      </c>
      <c r="B74" t="str">
        <f ca="1">IFERROR(__xludf.DUMMYFUNCTION("""COMPUTED_VALUE"""),"Bolts (10)")</f>
        <v>Bolts (10)</v>
      </c>
      <c r="C74" s="5" t="str">
        <f ca="1">IFERROR(__xludf.DUMMYFUNCTION("""COMPUTED_VALUE"""),"Weapon")</f>
        <v>Weapon</v>
      </c>
      <c r="D74" s="80">
        <f ca="1">IFERROR(__xludf.DUMMYFUNCTION("""COMPUTED_VALUE"""),2)</f>
        <v>2</v>
      </c>
    </row>
    <row r="75" spans="1:4" ht="13.2">
      <c r="A75" s="5">
        <f ca="1">IFERROR(__xludf.DUMMYFUNCTION("""COMPUTED_VALUE"""),74)</f>
        <v>74</v>
      </c>
      <c r="B75" t="str">
        <f ca="1">IFERROR(__xludf.DUMMYFUNCTION("""COMPUTED_VALUE"""),"Crossbow, repeating heavy")</f>
        <v>Crossbow, repeating heavy</v>
      </c>
      <c r="C75" s="5" t="str">
        <f ca="1">IFERROR(__xludf.DUMMYFUNCTION("""COMPUTED_VALUE"""),"Weapon")</f>
        <v>Weapon</v>
      </c>
      <c r="D75" s="80">
        <f ca="1">IFERROR(__xludf.DUMMYFUNCTION("""COMPUTED_VALUE"""),400)</f>
        <v>400</v>
      </c>
    </row>
    <row r="76" spans="1:4" ht="13.2">
      <c r="A76" s="5">
        <f ca="1">IFERROR(__xludf.DUMMYFUNCTION("""COMPUTED_VALUE"""),75)</f>
        <v>75</v>
      </c>
      <c r="B76" t="str">
        <f ca="1">IFERROR(__xludf.DUMMYFUNCTION("""COMPUTED_VALUE"""),"Bolts (5)")</f>
        <v>Bolts (5)</v>
      </c>
      <c r="C76" s="5" t="str">
        <f ca="1">IFERROR(__xludf.DUMMYFUNCTION("""COMPUTED_VALUE"""),"Weapon")</f>
        <v>Weapon</v>
      </c>
      <c r="D76" s="80">
        <f ca="1">IFERROR(__xludf.DUMMYFUNCTION("""COMPUTED_VALUE"""),1)</f>
        <v>1</v>
      </c>
    </row>
    <row r="77" spans="1:4" ht="13.2">
      <c r="A77" s="5">
        <f ca="1">IFERROR(__xludf.DUMMYFUNCTION("""COMPUTED_VALUE"""),76)</f>
        <v>76</v>
      </c>
      <c r="B77" t="str">
        <f ca="1">IFERROR(__xludf.DUMMYFUNCTION("""COMPUTED_VALUE"""),"Crossbow, repeating light")</f>
        <v>Crossbow, repeating light</v>
      </c>
      <c r="C77" s="5" t="str">
        <f ca="1">IFERROR(__xludf.DUMMYFUNCTION("""COMPUTED_VALUE"""),"Weapon")</f>
        <v>Weapon</v>
      </c>
      <c r="D77" s="80">
        <f ca="1">IFERROR(__xludf.DUMMYFUNCTION("""COMPUTED_VALUE"""),250)</f>
        <v>250</v>
      </c>
    </row>
    <row r="78" spans="1:4" ht="13.2">
      <c r="A78" s="5">
        <f ca="1">IFERROR(__xludf.DUMMYFUNCTION("""COMPUTED_VALUE"""),77)</f>
        <v>77</v>
      </c>
      <c r="B78" t="str">
        <f ca="1">IFERROR(__xludf.DUMMYFUNCTION("""COMPUTED_VALUE"""),"Net")</f>
        <v>Net</v>
      </c>
      <c r="C78" s="5" t="str">
        <f ca="1">IFERROR(__xludf.DUMMYFUNCTION("""COMPUTED_VALUE"""),"Weapon")</f>
        <v>Weapon</v>
      </c>
      <c r="D78" s="80">
        <f ca="1">IFERROR(__xludf.DUMMYFUNCTION("""COMPUTED_VALUE"""),20)</f>
        <v>20</v>
      </c>
    </row>
    <row r="79" spans="1:4" ht="13.2">
      <c r="A79" s="5">
        <f ca="1">IFERROR(__xludf.DUMMYFUNCTION("""COMPUTED_VALUE"""),78)</f>
        <v>78</v>
      </c>
      <c r="B79" t="str">
        <f ca="1">IFERROR(__xludf.DUMMYFUNCTION("""COMPUTED_VALUE"""),"Shuriken (5)")</f>
        <v>Shuriken (5)</v>
      </c>
      <c r="C79" s="5" t="str">
        <f ca="1">IFERROR(__xludf.DUMMYFUNCTION("""COMPUTED_VALUE"""),"Weapon")</f>
        <v>Weapon</v>
      </c>
      <c r="D79" s="80">
        <f ca="1">IFERROR(__xludf.DUMMYFUNCTION("""COMPUTED_VALUE"""),1)</f>
        <v>1</v>
      </c>
    </row>
    <row r="80" spans="1:4" ht="13.2">
      <c r="A80" s="5">
        <f ca="1">IFERROR(__xludf.DUMMYFUNCTION("""COMPUTED_VALUE"""),79)</f>
        <v>79</v>
      </c>
      <c r="B80" t="str">
        <f ca="1">IFERROR(__xludf.DUMMYFUNCTION("""COMPUTED_VALUE"""),"Poop")</f>
        <v>Poop</v>
      </c>
      <c r="C80" s="5" t="str">
        <f ca="1">IFERROR(__xludf.DUMMYFUNCTION("""COMPUTED_VALUE"""),"Weapon")</f>
        <v>Weapon</v>
      </c>
      <c r="D80" s="80">
        <f ca="1">IFERROR(__xludf.DUMMYFUNCTION("""COMPUTED_VALUE"""),0.001)</f>
        <v>1E-3</v>
      </c>
    </row>
    <row r="81" spans="1:4" ht="13.2">
      <c r="A81" s="5">
        <f ca="1">IFERROR(__xludf.DUMMYFUNCTION("""COMPUTED_VALUE"""),1)</f>
        <v>1</v>
      </c>
      <c r="B81" t="str">
        <f ca="1">IFERROR(__xludf.DUMMYFUNCTION("""COMPUTED_VALUE"""),"Padded")</f>
        <v>Padded</v>
      </c>
      <c r="C81" s="5" t="str">
        <f ca="1">IFERROR(__xludf.DUMMYFUNCTION("""COMPUTED_VALUE"""),"Armor")</f>
        <v>Armor</v>
      </c>
      <c r="D81" s="80">
        <f ca="1">IFERROR(__xludf.DUMMYFUNCTION("""COMPUTED_VALUE"""),5)</f>
        <v>5</v>
      </c>
    </row>
    <row r="82" spans="1:4" ht="13.2">
      <c r="A82" s="5">
        <f ca="1">IFERROR(__xludf.DUMMYFUNCTION("""COMPUTED_VALUE"""),2)</f>
        <v>2</v>
      </c>
      <c r="B82" t="str">
        <f ca="1">IFERROR(__xludf.DUMMYFUNCTION("""COMPUTED_VALUE"""),"Leather")</f>
        <v>Leather</v>
      </c>
      <c r="C82" s="5" t="str">
        <f ca="1">IFERROR(__xludf.DUMMYFUNCTION("""COMPUTED_VALUE"""),"Armor")</f>
        <v>Armor</v>
      </c>
      <c r="D82" s="80">
        <f ca="1">IFERROR(__xludf.DUMMYFUNCTION("""COMPUTED_VALUE"""),10)</f>
        <v>10</v>
      </c>
    </row>
    <row r="83" spans="1:4" ht="13.2">
      <c r="A83" s="5">
        <f ca="1">IFERROR(__xludf.DUMMYFUNCTION("""COMPUTED_VALUE"""),3)</f>
        <v>3</v>
      </c>
      <c r="B83" t="str">
        <f ca="1">IFERROR(__xludf.DUMMYFUNCTION("""COMPUTED_VALUE"""),"Studded leather")</f>
        <v>Studded leather</v>
      </c>
      <c r="C83" s="5" t="str">
        <f ca="1">IFERROR(__xludf.DUMMYFUNCTION("""COMPUTED_VALUE"""),"Armor")</f>
        <v>Armor</v>
      </c>
      <c r="D83" s="80">
        <f ca="1">IFERROR(__xludf.DUMMYFUNCTION("""COMPUTED_VALUE"""),25)</f>
        <v>25</v>
      </c>
    </row>
    <row r="84" spans="1:4" ht="13.2">
      <c r="A84" s="5">
        <f ca="1">IFERROR(__xludf.DUMMYFUNCTION("""COMPUTED_VALUE"""),4)</f>
        <v>4</v>
      </c>
      <c r="B84" t="str">
        <f ca="1">IFERROR(__xludf.DUMMYFUNCTION("""COMPUTED_VALUE"""),"Chain shirt")</f>
        <v>Chain shirt</v>
      </c>
      <c r="C84" s="5" t="str">
        <f ca="1">IFERROR(__xludf.DUMMYFUNCTION("""COMPUTED_VALUE"""),"Armor")</f>
        <v>Armor</v>
      </c>
      <c r="D84" s="80">
        <f ca="1">IFERROR(__xludf.DUMMYFUNCTION("""COMPUTED_VALUE"""),100)</f>
        <v>100</v>
      </c>
    </row>
    <row r="85" spans="1:4" ht="13.2">
      <c r="A85" s="5">
        <f ca="1">IFERROR(__xludf.DUMMYFUNCTION("""COMPUTED_VALUE"""),5)</f>
        <v>5</v>
      </c>
      <c r="B85" t="str">
        <f ca="1">IFERROR(__xludf.DUMMYFUNCTION("""COMPUTED_VALUE"""),"Hide")</f>
        <v>Hide</v>
      </c>
      <c r="C85" s="5" t="str">
        <f ca="1">IFERROR(__xludf.DUMMYFUNCTION("""COMPUTED_VALUE"""),"Armor")</f>
        <v>Armor</v>
      </c>
      <c r="D85" s="80">
        <f ca="1">IFERROR(__xludf.DUMMYFUNCTION("""COMPUTED_VALUE"""),15)</f>
        <v>15</v>
      </c>
    </row>
    <row r="86" spans="1:4" ht="13.2">
      <c r="A86" s="5">
        <f ca="1">IFERROR(__xludf.DUMMYFUNCTION("""COMPUTED_VALUE"""),6)</f>
        <v>6</v>
      </c>
      <c r="B86" t="str">
        <f ca="1">IFERROR(__xludf.DUMMYFUNCTION("""COMPUTED_VALUE"""),"Scale mail")</f>
        <v>Scale mail</v>
      </c>
      <c r="C86" s="5" t="str">
        <f ca="1">IFERROR(__xludf.DUMMYFUNCTION("""COMPUTED_VALUE"""),"Armor")</f>
        <v>Armor</v>
      </c>
      <c r="D86" s="80">
        <f ca="1">IFERROR(__xludf.DUMMYFUNCTION("""COMPUTED_VALUE"""),50)</f>
        <v>50</v>
      </c>
    </row>
    <row r="87" spans="1:4" ht="13.2">
      <c r="A87" s="5">
        <f ca="1">IFERROR(__xludf.DUMMYFUNCTION("""COMPUTED_VALUE"""),7)</f>
        <v>7</v>
      </c>
      <c r="B87" t="str">
        <f ca="1">IFERROR(__xludf.DUMMYFUNCTION("""COMPUTED_VALUE"""),"Chainmail")</f>
        <v>Chainmail</v>
      </c>
      <c r="C87" s="5" t="str">
        <f ca="1">IFERROR(__xludf.DUMMYFUNCTION("""COMPUTED_VALUE"""),"Armor")</f>
        <v>Armor</v>
      </c>
      <c r="D87" s="80">
        <f ca="1">IFERROR(__xludf.DUMMYFUNCTION("""COMPUTED_VALUE"""),150)</f>
        <v>150</v>
      </c>
    </row>
    <row r="88" spans="1:4" ht="13.2">
      <c r="A88" s="5">
        <f ca="1">IFERROR(__xludf.DUMMYFUNCTION("""COMPUTED_VALUE"""),8)</f>
        <v>8</v>
      </c>
      <c r="B88" t="str">
        <f ca="1">IFERROR(__xludf.DUMMYFUNCTION("""COMPUTED_VALUE"""),"Breastplate")</f>
        <v>Breastplate</v>
      </c>
      <c r="C88" s="5" t="str">
        <f ca="1">IFERROR(__xludf.DUMMYFUNCTION("""COMPUTED_VALUE"""),"Armor")</f>
        <v>Armor</v>
      </c>
      <c r="D88" s="80">
        <f ca="1">IFERROR(__xludf.DUMMYFUNCTION("""COMPUTED_VALUE"""),200)</f>
        <v>200</v>
      </c>
    </row>
    <row r="89" spans="1:4" ht="13.2">
      <c r="A89" s="5">
        <f ca="1">IFERROR(__xludf.DUMMYFUNCTION("""COMPUTED_VALUE"""),9)</f>
        <v>9</v>
      </c>
      <c r="B89" t="str">
        <f ca="1">IFERROR(__xludf.DUMMYFUNCTION("""COMPUTED_VALUE"""),"Splint mail")</f>
        <v>Splint mail</v>
      </c>
      <c r="C89" s="5" t="str">
        <f ca="1">IFERROR(__xludf.DUMMYFUNCTION("""COMPUTED_VALUE"""),"Armor")</f>
        <v>Armor</v>
      </c>
      <c r="D89" s="80">
        <f ca="1">IFERROR(__xludf.DUMMYFUNCTION("""COMPUTED_VALUE"""),200)</f>
        <v>200</v>
      </c>
    </row>
    <row r="90" spans="1:4" ht="13.2">
      <c r="A90" s="5">
        <f ca="1">IFERROR(__xludf.DUMMYFUNCTION("""COMPUTED_VALUE"""),10)</f>
        <v>10</v>
      </c>
      <c r="B90" t="str">
        <f ca="1">IFERROR(__xludf.DUMMYFUNCTION("""COMPUTED_VALUE"""),"Banded mail")</f>
        <v>Banded mail</v>
      </c>
      <c r="C90" s="5" t="str">
        <f ca="1">IFERROR(__xludf.DUMMYFUNCTION("""COMPUTED_VALUE"""),"Armor")</f>
        <v>Armor</v>
      </c>
      <c r="D90" s="80">
        <f ca="1">IFERROR(__xludf.DUMMYFUNCTION("""COMPUTED_VALUE"""),250)</f>
        <v>250</v>
      </c>
    </row>
    <row r="91" spans="1:4" ht="13.2">
      <c r="A91" s="5">
        <f ca="1">IFERROR(__xludf.DUMMYFUNCTION("""COMPUTED_VALUE"""),11)</f>
        <v>11</v>
      </c>
      <c r="B91" t="str">
        <f ca="1">IFERROR(__xludf.DUMMYFUNCTION("""COMPUTED_VALUE"""),"Half-plate")</f>
        <v>Half-plate</v>
      </c>
      <c r="C91" s="5" t="str">
        <f ca="1">IFERROR(__xludf.DUMMYFUNCTION("""COMPUTED_VALUE"""),"Armor")</f>
        <v>Armor</v>
      </c>
      <c r="D91" s="80">
        <f ca="1">IFERROR(__xludf.DUMMYFUNCTION("""COMPUTED_VALUE"""),600)</f>
        <v>600</v>
      </c>
    </row>
    <row r="92" spans="1:4" ht="13.2">
      <c r="A92" s="5">
        <f ca="1">IFERROR(__xludf.DUMMYFUNCTION("""COMPUTED_VALUE"""),12)</f>
        <v>12</v>
      </c>
      <c r="B92" t="str">
        <f ca="1">IFERROR(__xludf.DUMMYFUNCTION("""COMPUTED_VALUE"""),"Full plate")</f>
        <v>Full plate</v>
      </c>
      <c r="C92" s="5" t="str">
        <f ca="1">IFERROR(__xludf.DUMMYFUNCTION("""COMPUTED_VALUE"""),"Armor")</f>
        <v>Armor</v>
      </c>
      <c r="D92" s="80">
        <f ca="1">IFERROR(__xludf.DUMMYFUNCTION("""COMPUTED_VALUE"""),1500)</f>
        <v>1500</v>
      </c>
    </row>
    <row r="93" spans="1:4" ht="13.2">
      <c r="A93" s="5">
        <f ca="1">IFERROR(__xludf.DUMMYFUNCTION("""COMPUTED_VALUE"""),13)</f>
        <v>13</v>
      </c>
      <c r="B93" t="str">
        <f ca="1">IFERROR(__xludf.DUMMYFUNCTION("""COMPUTED_VALUE"""),"Buckler")</f>
        <v>Buckler</v>
      </c>
      <c r="C93" s="5" t="str">
        <f ca="1">IFERROR(__xludf.DUMMYFUNCTION("""COMPUTED_VALUE"""),"Armor")</f>
        <v>Armor</v>
      </c>
      <c r="D93" s="80">
        <f ca="1">IFERROR(__xludf.DUMMYFUNCTION("""COMPUTED_VALUE"""),15)</f>
        <v>15</v>
      </c>
    </row>
    <row r="94" spans="1:4" ht="13.2">
      <c r="A94" s="5">
        <f ca="1">IFERROR(__xludf.DUMMYFUNCTION("""COMPUTED_VALUE"""),14)</f>
        <v>14</v>
      </c>
      <c r="B94" t="str">
        <f ca="1">IFERROR(__xludf.DUMMYFUNCTION("""COMPUTED_VALUE"""),"Shield, light wooden")</f>
        <v>Shield, light wooden</v>
      </c>
      <c r="C94" s="5" t="str">
        <f ca="1">IFERROR(__xludf.DUMMYFUNCTION("""COMPUTED_VALUE"""),"Armor")</f>
        <v>Armor</v>
      </c>
      <c r="D94" s="80">
        <f ca="1">IFERROR(__xludf.DUMMYFUNCTION("""COMPUTED_VALUE"""),3)</f>
        <v>3</v>
      </c>
    </row>
    <row r="95" spans="1:4" ht="13.2">
      <c r="A95" s="5">
        <f ca="1">IFERROR(__xludf.DUMMYFUNCTION("""COMPUTED_VALUE"""),15)</f>
        <v>15</v>
      </c>
      <c r="B95" t="str">
        <f ca="1">IFERROR(__xludf.DUMMYFUNCTION("""COMPUTED_VALUE"""),"Shield, light steel")</f>
        <v>Shield, light steel</v>
      </c>
      <c r="C95" s="5" t="str">
        <f ca="1">IFERROR(__xludf.DUMMYFUNCTION("""COMPUTED_VALUE"""),"Armor")</f>
        <v>Armor</v>
      </c>
      <c r="D95" s="80">
        <f ca="1">IFERROR(__xludf.DUMMYFUNCTION("""COMPUTED_VALUE"""),9)</f>
        <v>9</v>
      </c>
    </row>
    <row r="96" spans="1:4" ht="13.2">
      <c r="A96" s="5">
        <f ca="1">IFERROR(__xludf.DUMMYFUNCTION("""COMPUTED_VALUE"""),16)</f>
        <v>16</v>
      </c>
      <c r="B96" t="str">
        <f ca="1">IFERROR(__xludf.DUMMYFUNCTION("""COMPUTED_VALUE"""),"Shield, heavy wooden")</f>
        <v>Shield, heavy wooden</v>
      </c>
      <c r="C96" s="5" t="str">
        <f ca="1">IFERROR(__xludf.DUMMYFUNCTION("""COMPUTED_VALUE"""),"Armor")</f>
        <v>Armor</v>
      </c>
      <c r="D96" s="80">
        <f ca="1">IFERROR(__xludf.DUMMYFUNCTION("""COMPUTED_VALUE"""),7)</f>
        <v>7</v>
      </c>
    </row>
    <row r="97" spans="1:4" ht="13.2">
      <c r="A97" s="5">
        <f ca="1">IFERROR(__xludf.DUMMYFUNCTION("""COMPUTED_VALUE"""),17)</f>
        <v>17</v>
      </c>
      <c r="B97" t="str">
        <f ca="1">IFERROR(__xludf.DUMMYFUNCTION("""COMPUTED_VALUE"""),"Shield, heavy steel")</f>
        <v>Shield, heavy steel</v>
      </c>
      <c r="C97" s="5" t="str">
        <f ca="1">IFERROR(__xludf.DUMMYFUNCTION("""COMPUTED_VALUE"""),"Armor")</f>
        <v>Armor</v>
      </c>
      <c r="D97" s="80">
        <f ca="1">IFERROR(__xludf.DUMMYFUNCTION("""COMPUTED_VALUE"""),20)</f>
        <v>20</v>
      </c>
    </row>
    <row r="98" spans="1:4" ht="13.2">
      <c r="A98" s="5">
        <f ca="1">IFERROR(__xludf.DUMMYFUNCTION("""COMPUTED_VALUE"""),18)</f>
        <v>18</v>
      </c>
      <c r="B98" t="str">
        <f ca="1">IFERROR(__xludf.DUMMYFUNCTION("""COMPUTED_VALUE"""),"Shield, tower")</f>
        <v>Shield, tower</v>
      </c>
      <c r="C98" s="5" t="str">
        <f ca="1">IFERROR(__xludf.DUMMYFUNCTION("""COMPUTED_VALUE"""),"Armor")</f>
        <v>Armor</v>
      </c>
      <c r="D98" s="80">
        <f ca="1">IFERROR(__xludf.DUMMYFUNCTION("""COMPUTED_VALUE"""),30)</f>
        <v>30</v>
      </c>
    </row>
    <row r="99" spans="1:4" ht="13.2">
      <c r="A99" s="5">
        <f ca="1">IFERROR(__xludf.DUMMYFUNCTION("""COMPUTED_VALUE"""),19)</f>
        <v>19</v>
      </c>
      <c r="B99" t="str">
        <f ca="1">IFERROR(__xludf.DUMMYFUNCTION("""COMPUTED_VALUE"""),"Armor spikes")</f>
        <v>Armor spikes</v>
      </c>
      <c r="C99" s="5" t="str">
        <f ca="1">IFERROR(__xludf.DUMMYFUNCTION("""COMPUTED_VALUE"""),"Armor")</f>
        <v>Armor</v>
      </c>
      <c r="D99" s="80">
        <f ca="1">IFERROR(__xludf.DUMMYFUNCTION("""COMPUTED_VALUE"""),50)</f>
        <v>50</v>
      </c>
    </row>
    <row r="100" spans="1:4" ht="13.2">
      <c r="A100" s="5">
        <f ca="1">IFERROR(__xludf.DUMMYFUNCTION("""COMPUTED_VALUE"""),20)</f>
        <v>20</v>
      </c>
      <c r="B100" t="str">
        <f ca="1">IFERROR(__xludf.DUMMYFUNCTION("""COMPUTED_VALUE"""),"Gauntlet, locked")</f>
        <v>Gauntlet, locked</v>
      </c>
      <c r="C100" s="5" t="str">
        <f ca="1">IFERROR(__xludf.DUMMYFUNCTION("""COMPUTED_VALUE"""),"Armor")</f>
        <v>Armor</v>
      </c>
      <c r="D100" s="80">
        <f ca="1">IFERROR(__xludf.DUMMYFUNCTION("""COMPUTED_VALUE"""),8)</f>
        <v>8</v>
      </c>
    </row>
    <row r="101" spans="1:4" ht="13.2">
      <c r="A101" s="5">
        <f ca="1">IFERROR(__xludf.DUMMYFUNCTION("""COMPUTED_VALUE"""),21)</f>
        <v>21</v>
      </c>
      <c r="B101" t="str">
        <f ca="1">IFERROR(__xludf.DUMMYFUNCTION("""COMPUTED_VALUE"""),"Shield Spikes, Light or Heavy")</f>
        <v>Shield Spikes, Light or Heavy</v>
      </c>
      <c r="C101" s="5" t="str">
        <f ca="1">IFERROR(__xludf.DUMMYFUNCTION("""COMPUTED_VALUE"""),"Armor")</f>
        <v>Armor</v>
      </c>
      <c r="D101" s="80">
        <f ca="1">IFERROR(__xludf.DUMMYFUNCTION("""COMPUTED_VALUE"""),10)</f>
        <v>10</v>
      </c>
    </row>
    <row r="102" spans="1:4" ht="13.2">
      <c r="A102" s="5">
        <f ca="1">IFERROR(__xludf.DUMMYFUNCTION("""COMPUTED_VALUE"""),1)</f>
        <v>1</v>
      </c>
      <c r="B102" t="str">
        <f ca="1">IFERROR(__xludf.DUMMYFUNCTION("""COMPUTED_VALUE"""),"Backpack (empty)")</f>
        <v>Backpack (empty)</v>
      </c>
      <c r="C102" s="5" t="str">
        <f ca="1">IFERROR(__xludf.DUMMYFUNCTION("""COMPUTED_VALUE"""),"Adventure")</f>
        <v>Adventure</v>
      </c>
      <c r="D102" s="80">
        <f ca="1">IFERROR(__xludf.DUMMYFUNCTION("""COMPUTED_VALUE"""),2)</f>
        <v>2</v>
      </c>
    </row>
    <row r="103" spans="1:4" ht="13.2">
      <c r="A103" s="5">
        <f ca="1">IFERROR(__xludf.DUMMYFUNCTION("""COMPUTED_VALUE"""),2)</f>
        <v>2</v>
      </c>
      <c r="B103" t="str">
        <f ca="1">IFERROR(__xludf.DUMMYFUNCTION("""COMPUTED_VALUE"""),"Barrel (empty)")</f>
        <v>Barrel (empty)</v>
      </c>
      <c r="C103" s="5" t="str">
        <f ca="1">IFERROR(__xludf.DUMMYFUNCTION("""COMPUTED_VALUE"""),"Adventure")</f>
        <v>Adventure</v>
      </c>
      <c r="D103" s="80">
        <f ca="1">IFERROR(__xludf.DUMMYFUNCTION("""COMPUTED_VALUE"""),2)</f>
        <v>2</v>
      </c>
    </row>
    <row r="104" spans="1:4" ht="13.2">
      <c r="A104" s="5">
        <f ca="1">IFERROR(__xludf.DUMMYFUNCTION("""COMPUTED_VALUE"""),3)</f>
        <v>3</v>
      </c>
      <c r="B104" t="str">
        <f ca="1">IFERROR(__xludf.DUMMYFUNCTION("""COMPUTED_VALUE"""),"Basket (empty)")</f>
        <v>Basket (empty)</v>
      </c>
      <c r="C104" s="5" t="str">
        <f ca="1">IFERROR(__xludf.DUMMYFUNCTION("""COMPUTED_VALUE"""),"Adventure")</f>
        <v>Adventure</v>
      </c>
      <c r="D104" s="80">
        <f ca="1">IFERROR(__xludf.DUMMYFUNCTION("""COMPUTED_VALUE"""),0.4)</f>
        <v>0.4</v>
      </c>
    </row>
    <row r="105" spans="1:4" ht="13.2">
      <c r="A105" s="5">
        <f ca="1">IFERROR(__xludf.DUMMYFUNCTION("""COMPUTED_VALUE"""),4)</f>
        <v>4</v>
      </c>
      <c r="B105" t="str">
        <f ca="1">IFERROR(__xludf.DUMMYFUNCTION("""COMPUTED_VALUE"""),"Bedroll")</f>
        <v>Bedroll</v>
      </c>
      <c r="C105" s="5" t="str">
        <f ca="1">IFERROR(__xludf.DUMMYFUNCTION("""COMPUTED_VALUE"""),"Adventure")</f>
        <v>Adventure</v>
      </c>
      <c r="D105" s="80">
        <f ca="1">IFERROR(__xludf.DUMMYFUNCTION("""COMPUTED_VALUE"""),0.1)</f>
        <v>0.1</v>
      </c>
    </row>
    <row r="106" spans="1:4" ht="13.2">
      <c r="A106" s="5">
        <f ca="1">IFERROR(__xludf.DUMMYFUNCTION("""COMPUTED_VALUE"""),5)</f>
        <v>5</v>
      </c>
      <c r="B106" t="str">
        <f ca="1">IFERROR(__xludf.DUMMYFUNCTION("""COMPUTED_VALUE"""),"Bell")</f>
        <v>Bell</v>
      </c>
      <c r="C106" s="5" t="str">
        <f ca="1">IFERROR(__xludf.DUMMYFUNCTION("""COMPUTED_VALUE"""),"Adventure")</f>
        <v>Adventure</v>
      </c>
      <c r="D106" s="80">
        <f ca="1">IFERROR(__xludf.DUMMYFUNCTION("""COMPUTED_VALUE"""),1)</f>
        <v>1</v>
      </c>
    </row>
    <row r="107" spans="1:4" ht="13.2">
      <c r="A107" s="5">
        <f ca="1">IFERROR(__xludf.DUMMYFUNCTION("""COMPUTED_VALUE"""),6)</f>
        <v>6</v>
      </c>
      <c r="B107" t="str">
        <f ca="1">IFERROR(__xludf.DUMMYFUNCTION("""COMPUTED_VALUE"""),"Blanket, winter")</f>
        <v>Blanket, winter</v>
      </c>
      <c r="C107" s="5" t="str">
        <f ca="1">IFERROR(__xludf.DUMMYFUNCTION("""COMPUTED_VALUE"""),"Adventure")</f>
        <v>Adventure</v>
      </c>
      <c r="D107" s="80">
        <f ca="1">IFERROR(__xludf.DUMMYFUNCTION("""COMPUTED_VALUE"""),0.5)</f>
        <v>0.5</v>
      </c>
    </row>
    <row r="108" spans="1:4" ht="13.2">
      <c r="A108" s="5">
        <f ca="1">IFERROR(__xludf.DUMMYFUNCTION("""COMPUTED_VALUE"""),7)</f>
        <v>7</v>
      </c>
      <c r="B108" t="str">
        <f ca="1">IFERROR(__xludf.DUMMYFUNCTION("""COMPUTED_VALUE"""),"Block and tackle")</f>
        <v>Block and tackle</v>
      </c>
      <c r="C108" s="5" t="str">
        <f ca="1">IFERROR(__xludf.DUMMYFUNCTION("""COMPUTED_VALUE"""),"Adventure")</f>
        <v>Adventure</v>
      </c>
      <c r="D108" s="80">
        <f ca="1">IFERROR(__xludf.DUMMYFUNCTION("""COMPUTED_VALUE"""),5)</f>
        <v>5</v>
      </c>
    </row>
    <row r="109" spans="1:4" ht="13.2">
      <c r="A109" s="5">
        <f ca="1">IFERROR(__xludf.DUMMYFUNCTION("""COMPUTED_VALUE"""),8)</f>
        <v>8</v>
      </c>
      <c r="B109" t="str">
        <f ca="1">IFERROR(__xludf.DUMMYFUNCTION("""COMPUTED_VALUE"""),"Bottle, wine, glass")</f>
        <v>Bottle, wine, glass</v>
      </c>
      <c r="C109" s="5" t="str">
        <f ca="1">IFERROR(__xludf.DUMMYFUNCTION("""COMPUTED_VALUE"""),"Adventure")</f>
        <v>Adventure</v>
      </c>
      <c r="D109" s="80">
        <f ca="1">IFERROR(__xludf.DUMMYFUNCTION("""COMPUTED_VALUE"""),2)</f>
        <v>2</v>
      </c>
    </row>
    <row r="110" spans="1:4" ht="13.2">
      <c r="A110" s="5">
        <f ca="1">IFERROR(__xludf.DUMMYFUNCTION("""COMPUTED_VALUE"""),9)</f>
        <v>9</v>
      </c>
      <c r="B110" t="str">
        <f ca="1">IFERROR(__xludf.DUMMYFUNCTION("""COMPUTED_VALUE"""),"Bucket (empty)")</f>
        <v>Bucket (empty)</v>
      </c>
      <c r="C110" s="5" t="str">
        <f ca="1">IFERROR(__xludf.DUMMYFUNCTION("""COMPUTED_VALUE"""),"Adventure")</f>
        <v>Adventure</v>
      </c>
      <c r="D110" s="80">
        <f ca="1">IFERROR(__xludf.DUMMYFUNCTION("""COMPUTED_VALUE"""),0.05)</f>
        <v>0.05</v>
      </c>
    </row>
    <row r="111" spans="1:4" ht="13.2">
      <c r="A111" s="5">
        <f ca="1">IFERROR(__xludf.DUMMYFUNCTION("""COMPUTED_VALUE"""),10)</f>
        <v>10</v>
      </c>
      <c r="B111" t="str">
        <f ca="1">IFERROR(__xludf.DUMMYFUNCTION("""COMPUTED_VALUE"""),"Caltrops")</f>
        <v>Caltrops</v>
      </c>
      <c r="C111" s="5" t="str">
        <f ca="1">IFERROR(__xludf.DUMMYFUNCTION("""COMPUTED_VALUE"""),"Adventure")</f>
        <v>Adventure</v>
      </c>
      <c r="D111" s="80">
        <f ca="1">IFERROR(__xludf.DUMMYFUNCTION("""COMPUTED_VALUE"""),0.1)</f>
        <v>0.1</v>
      </c>
    </row>
    <row r="112" spans="1:4" ht="13.2">
      <c r="A112" s="5">
        <f ca="1">IFERROR(__xludf.DUMMYFUNCTION("""COMPUTED_VALUE"""),11)</f>
        <v>11</v>
      </c>
      <c r="B112" t="str">
        <f ca="1">IFERROR(__xludf.DUMMYFUNCTION("""COMPUTED_VALUE"""),"Candle")</f>
        <v>Candle</v>
      </c>
      <c r="C112" s="5" t="str">
        <f ca="1">IFERROR(__xludf.DUMMYFUNCTION("""COMPUTED_VALUE"""),"Adventure")</f>
        <v>Adventure</v>
      </c>
      <c r="D112" s="80">
        <f ca="1">IFERROR(__xludf.DUMMYFUNCTION("""COMPUTED_VALUE"""),0.1)</f>
        <v>0.1</v>
      </c>
    </row>
    <row r="113" spans="1:4" ht="13.2">
      <c r="A113" s="5">
        <f ca="1">IFERROR(__xludf.DUMMYFUNCTION("""COMPUTED_VALUE"""),12)</f>
        <v>12</v>
      </c>
      <c r="B113" t="str">
        <f ca="1">IFERROR(__xludf.DUMMYFUNCTION("""COMPUTED_VALUE"""),"Canvas (sq. yd.)")</f>
        <v>Canvas (sq. yd.)</v>
      </c>
      <c r="C113" s="5" t="str">
        <f ca="1">IFERROR(__xludf.DUMMYFUNCTION("""COMPUTED_VALUE"""),"Adventure")</f>
        <v>Adventure</v>
      </c>
      <c r="D113" s="80">
        <f ca="1">IFERROR(__xludf.DUMMYFUNCTION("""COMPUTED_VALUE"""),0.1)</f>
        <v>0.1</v>
      </c>
    </row>
    <row r="114" spans="1:4" ht="13.2">
      <c r="A114" s="5">
        <f ca="1">IFERROR(__xludf.DUMMYFUNCTION("""COMPUTED_VALUE"""),13)</f>
        <v>13</v>
      </c>
      <c r="B114" t="str">
        <f ca="1">IFERROR(__xludf.DUMMYFUNCTION("""COMPUTED_VALUE"""),"Case, map or scroll")</f>
        <v>Case, map or scroll</v>
      </c>
      <c r="C114" s="5" t="str">
        <f ca="1">IFERROR(__xludf.DUMMYFUNCTION("""COMPUTED_VALUE"""),"Adventure")</f>
        <v>Adventure</v>
      </c>
      <c r="D114" s="80">
        <f ca="1">IFERROR(__xludf.DUMMYFUNCTION("""COMPUTED_VALUE"""),1)</f>
        <v>1</v>
      </c>
    </row>
    <row r="115" spans="1:4" ht="13.2">
      <c r="A115" s="5">
        <f ca="1">IFERROR(__xludf.DUMMYFUNCTION("""COMPUTED_VALUE"""),14)</f>
        <v>14</v>
      </c>
      <c r="B115" t="str">
        <f ca="1">IFERROR(__xludf.DUMMYFUNCTION("""COMPUTED_VALUE"""),"Chain (10 ft.)")</f>
        <v>Chain (10 ft.)</v>
      </c>
      <c r="C115" s="5" t="str">
        <f ca="1">IFERROR(__xludf.DUMMYFUNCTION("""COMPUTED_VALUE"""),"Adventure")</f>
        <v>Adventure</v>
      </c>
      <c r="D115" s="80">
        <f ca="1">IFERROR(__xludf.DUMMYFUNCTION("""COMPUTED_VALUE"""),30)</f>
        <v>30</v>
      </c>
    </row>
    <row r="116" spans="1:4" ht="13.2">
      <c r="A116" s="5">
        <f ca="1">IFERROR(__xludf.DUMMYFUNCTION("""COMPUTED_VALUE"""),15)</f>
        <v>15</v>
      </c>
      <c r="B116" t="str">
        <f ca="1">IFERROR(__xludf.DUMMYFUNCTION("""COMPUTED_VALUE"""),"Chalk, 1 piece")</f>
        <v>Chalk, 1 piece</v>
      </c>
      <c r="C116" s="5" t="str">
        <f ca="1">IFERROR(__xludf.DUMMYFUNCTION("""COMPUTED_VALUE"""),"Adventure")</f>
        <v>Adventure</v>
      </c>
      <c r="D116" s="80">
        <f ca="1">IFERROR(__xludf.DUMMYFUNCTION("""COMPUTED_VALUE"""),0.01)</f>
        <v>0.01</v>
      </c>
    </row>
    <row r="117" spans="1:4" ht="13.2">
      <c r="A117" s="5">
        <f ca="1">IFERROR(__xludf.DUMMYFUNCTION("""COMPUTED_VALUE"""),16)</f>
        <v>16</v>
      </c>
      <c r="B117" t="str">
        <f ca="1">IFERROR(__xludf.DUMMYFUNCTION("""COMPUTED_VALUE"""),"Chest (empty)")</f>
        <v>Chest (empty)</v>
      </c>
      <c r="C117" s="5" t="str">
        <f ca="1">IFERROR(__xludf.DUMMYFUNCTION("""COMPUTED_VALUE"""),"Adventure")</f>
        <v>Adventure</v>
      </c>
      <c r="D117" s="80">
        <f ca="1">IFERROR(__xludf.DUMMYFUNCTION("""COMPUTED_VALUE"""),2)</f>
        <v>2</v>
      </c>
    </row>
    <row r="118" spans="1:4" ht="13.2">
      <c r="A118" s="5">
        <f ca="1">IFERROR(__xludf.DUMMYFUNCTION("""COMPUTED_VALUE"""),17)</f>
        <v>17</v>
      </c>
      <c r="B118" t="str">
        <f ca="1">IFERROR(__xludf.DUMMYFUNCTION("""COMPUTED_VALUE"""),"Crowbar")</f>
        <v>Crowbar</v>
      </c>
      <c r="C118" s="5" t="str">
        <f ca="1">IFERROR(__xludf.DUMMYFUNCTION("""COMPUTED_VALUE"""),"Adventure")</f>
        <v>Adventure</v>
      </c>
      <c r="D118" s="80">
        <f ca="1">IFERROR(__xludf.DUMMYFUNCTION("""COMPUTED_VALUE"""),2)</f>
        <v>2</v>
      </c>
    </row>
    <row r="119" spans="1:4" ht="13.2">
      <c r="A119" s="5">
        <f ca="1">IFERROR(__xludf.DUMMYFUNCTION("""COMPUTED_VALUE"""),18)</f>
        <v>18</v>
      </c>
      <c r="B119" t="str">
        <f ca="1">IFERROR(__xludf.DUMMYFUNCTION("""COMPUTED_VALUE"""),"Firewood (per day)")</f>
        <v>Firewood (per day)</v>
      </c>
      <c r="C119" s="5" t="str">
        <f ca="1">IFERROR(__xludf.DUMMYFUNCTION("""COMPUTED_VALUE"""),"Adventure")</f>
        <v>Adventure</v>
      </c>
      <c r="D119" s="80">
        <f ca="1">IFERROR(__xludf.DUMMYFUNCTION("""COMPUTED_VALUE"""),0.01)</f>
        <v>0.01</v>
      </c>
    </row>
    <row r="120" spans="1:4" ht="13.2">
      <c r="A120" s="5">
        <f ca="1">IFERROR(__xludf.DUMMYFUNCTION("""COMPUTED_VALUE"""),19)</f>
        <v>19</v>
      </c>
      <c r="B120" t="str">
        <f ca="1">IFERROR(__xludf.DUMMYFUNCTION("""COMPUTED_VALUE"""),"Fishhook")</f>
        <v>Fishhook</v>
      </c>
      <c r="C120" s="5" t="str">
        <f ca="1">IFERROR(__xludf.DUMMYFUNCTION("""COMPUTED_VALUE"""),"Adventure")</f>
        <v>Adventure</v>
      </c>
      <c r="D120" s="80">
        <f ca="1">IFERROR(__xludf.DUMMYFUNCTION("""COMPUTED_VALUE"""),0.1)</f>
        <v>0.1</v>
      </c>
    </row>
    <row r="121" spans="1:4" ht="13.2">
      <c r="A121" s="5">
        <f ca="1">IFERROR(__xludf.DUMMYFUNCTION("""COMPUTED_VALUE"""),20)</f>
        <v>20</v>
      </c>
      <c r="B121" t="str">
        <f ca="1">IFERROR(__xludf.DUMMYFUNCTION("""COMPUTED_VALUE"""),"Fishing net, 25 sq. ft.")</f>
        <v>Fishing net, 25 sq. ft.</v>
      </c>
      <c r="C121" s="5" t="str">
        <f ca="1">IFERROR(__xludf.DUMMYFUNCTION("""COMPUTED_VALUE"""),"Adventure")</f>
        <v>Adventure</v>
      </c>
      <c r="D121" s="80">
        <f ca="1">IFERROR(__xludf.DUMMYFUNCTION("""COMPUTED_VALUE"""),4)</f>
        <v>4</v>
      </c>
    </row>
    <row r="122" spans="1:4" ht="13.2">
      <c r="A122" s="5">
        <f ca="1">IFERROR(__xludf.DUMMYFUNCTION("""COMPUTED_VALUE"""),21)</f>
        <v>21</v>
      </c>
      <c r="B122" t="str">
        <f ca="1">IFERROR(__xludf.DUMMYFUNCTION("""COMPUTED_VALUE"""),"Flask (empty)")</f>
        <v>Flask (empty)</v>
      </c>
      <c r="C122" s="5" t="str">
        <f ca="1">IFERROR(__xludf.DUMMYFUNCTION("""COMPUTED_VALUE"""),"Adventure")</f>
        <v>Adventure</v>
      </c>
      <c r="D122" s="80">
        <f ca="1">IFERROR(__xludf.DUMMYFUNCTION("""COMPUTED_VALUE"""),0.03)</f>
        <v>0.03</v>
      </c>
    </row>
    <row r="123" spans="1:4" ht="13.2">
      <c r="A123" s="5">
        <f ca="1">IFERROR(__xludf.DUMMYFUNCTION("""COMPUTED_VALUE"""),22)</f>
        <v>22</v>
      </c>
      <c r="B123" t="str">
        <f ca="1">IFERROR(__xludf.DUMMYFUNCTION("""COMPUTED_VALUE"""),"Flint and steel")</f>
        <v>Flint and steel</v>
      </c>
      <c r="C123" s="5" t="str">
        <f ca="1">IFERROR(__xludf.DUMMYFUNCTION("""COMPUTED_VALUE"""),"Adventure")</f>
        <v>Adventure</v>
      </c>
      <c r="D123" s="80">
        <f ca="1">IFERROR(__xludf.DUMMYFUNCTION("""COMPUTED_VALUE"""),1)</f>
        <v>1</v>
      </c>
    </row>
    <row r="124" spans="1:4" ht="13.2">
      <c r="A124" s="5">
        <f ca="1">IFERROR(__xludf.DUMMYFUNCTION("""COMPUTED_VALUE"""),23)</f>
        <v>23</v>
      </c>
      <c r="B124" t="str">
        <f ca="1">IFERROR(__xludf.DUMMYFUNCTION("""COMPUTED_VALUE"""),"Grappling hook")</f>
        <v>Grappling hook</v>
      </c>
      <c r="C124" s="5" t="str">
        <f ca="1">IFERROR(__xludf.DUMMYFUNCTION("""COMPUTED_VALUE"""),"Adventure")</f>
        <v>Adventure</v>
      </c>
      <c r="D124" s="80">
        <f ca="1">IFERROR(__xludf.DUMMYFUNCTION("""COMPUTED_VALUE"""),1)</f>
        <v>1</v>
      </c>
    </row>
    <row r="125" spans="1:4" ht="13.2">
      <c r="A125" s="5">
        <f ca="1">IFERROR(__xludf.DUMMYFUNCTION("""COMPUTED_VALUE"""),24)</f>
        <v>24</v>
      </c>
      <c r="B125" t="str">
        <f ca="1">IFERROR(__xludf.DUMMYFUNCTION("""COMPUTED_VALUE"""),"Hammer")</f>
        <v>Hammer</v>
      </c>
      <c r="C125" s="5" t="str">
        <f ca="1">IFERROR(__xludf.DUMMYFUNCTION("""COMPUTED_VALUE"""),"Adventure")</f>
        <v>Adventure</v>
      </c>
      <c r="D125" s="80">
        <f ca="1">IFERROR(__xludf.DUMMYFUNCTION("""COMPUTED_VALUE"""),0.5)</f>
        <v>0.5</v>
      </c>
    </row>
    <row r="126" spans="1:4" ht="13.2">
      <c r="A126" s="5">
        <f ca="1">IFERROR(__xludf.DUMMYFUNCTION("""COMPUTED_VALUE"""),25)</f>
        <v>25</v>
      </c>
      <c r="B126" t="str">
        <f ca="1">IFERROR(__xludf.DUMMYFUNCTION("""COMPUTED_VALUE"""),"Ink (1 oz. vial)")</f>
        <v>Ink (1 oz. vial)</v>
      </c>
      <c r="C126" s="5" t="str">
        <f ca="1">IFERROR(__xludf.DUMMYFUNCTION("""COMPUTED_VALUE"""),"Adventure")</f>
        <v>Adventure</v>
      </c>
      <c r="D126" s="80">
        <f ca="1">IFERROR(__xludf.DUMMYFUNCTION("""COMPUTED_VALUE"""),8)</f>
        <v>8</v>
      </c>
    </row>
    <row r="127" spans="1:4" ht="13.2">
      <c r="A127" s="5">
        <f ca="1">IFERROR(__xludf.DUMMYFUNCTION("""COMPUTED_VALUE"""),26)</f>
        <v>26</v>
      </c>
      <c r="B127" t="str">
        <f ca="1">IFERROR(__xludf.DUMMYFUNCTION("""COMPUTED_VALUE"""),"Inkpen")</f>
        <v>Inkpen</v>
      </c>
      <c r="C127" s="5" t="str">
        <f ca="1">IFERROR(__xludf.DUMMYFUNCTION("""COMPUTED_VALUE"""),"Adventure")</f>
        <v>Adventure</v>
      </c>
      <c r="D127" s="80">
        <f ca="1">IFERROR(__xludf.DUMMYFUNCTION("""COMPUTED_VALUE"""),0.1)</f>
        <v>0.1</v>
      </c>
    </row>
    <row r="128" spans="1:4" ht="13.2">
      <c r="A128" s="5">
        <f ca="1">IFERROR(__xludf.DUMMYFUNCTION("""COMPUTED_VALUE"""),27)</f>
        <v>27</v>
      </c>
      <c r="B128" t="str">
        <f ca="1">IFERROR(__xludf.DUMMYFUNCTION("""COMPUTED_VALUE"""),"Jug, clay")</f>
        <v>Jug, clay</v>
      </c>
      <c r="C128" s="5" t="str">
        <f ca="1">IFERROR(__xludf.DUMMYFUNCTION("""COMPUTED_VALUE"""),"Adventure")</f>
        <v>Adventure</v>
      </c>
      <c r="D128" s="80">
        <f ca="1">IFERROR(__xludf.DUMMYFUNCTION("""COMPUTED_VALUE"""),0.04)</f>
        <v>0.04</v>
      </c>
    </row>
    <row r="129" spans="1:4" ht="13.2">
      <c r="A129" s="5">
        <f ca="1">IFERROR(__xludf.DUMMYFUNCTION("""COMPUTED_VALUE"""),28)</f>
        <v>28</v>
      </c>
      <c r="B129" t="str">
        <f ca="1">IFERROR(__xludf.DUMMYFUNCTION("""COMPUTED_VALUE"""),"Ladder, 10-foot")</f>
        <v>Ladder, 10-foot</v>
      </c>
      <c r="C129" s="5" t="str">
        <f ca="1">IFERROR(__xludf.DUMMYFUNCTION("""COMPUTED_VALUE"""),"Adventure")</f>
        <v>Adventure</v>
      </c>
      <c r="D129" s="80">
        <f ca="1">IFERROR(__xludf.DUMMYFUNCTION("""COMPUTED_VALUE"""),0.05)</f>
        <v>0.05</v>
      </c>
    </row>
    <row r="130" spans="1:4" ht="13.2">
      <c r="A130" s="5">
        <f ca="1">IFERROR(__xludf.DUMMYFUNCTION("""COMPUTED_VALUE"""),29)</f>
        <v>29</v>
      </c>
      <c r="B130" t="str">
        <f ca="1">IFERROR(__xludf.DUMMYFUNCTION("""COMPUTED_VALUE"""),"Lamp, common")</f>
        <v>Lamp, common</v>
      </c>
      <c r="C130" s="5" t="str">
        <f ca="1">IFERROR(__xludf.DUMMYFUNCTION("""COMPUTED_VALUE"""),"Adventure")</f>
        <v>Adventure</v>
      </c>
      <c r="D130" s="80">
        <f ca="1">IFERROR(__xludf.DUMMYFUNCTION("""COMPUTED_VALUE"""),0.1)</f>
        <v>0.1</v>
      </c>
    </row>
    <row r="131" spans="1:4" ht="13.2">
      <c r="A131" s="5">
        <f ca="1">IFERROR(__xludf.DUMMYFUNCTION("""COMPUTED_VALUE"""),30)</f>
        <v>30</v>
      </c>
      <c r="B131" t="str">
        <f ca="1">IFERROR(__xludf.DUMMYFUNCTION("""COMPUTED_VALUE"""),"Lantern, bullseye")</f>
        <v>Lantern, bullseye</v>
      </c>
      <c r="C131" s="5" t="str">
        <f ca="1">IFERROR(__xludf.DUMMYFUNCTION("""COMPUTED_VALUE"""),"Adventure")</f>
        <v>Adventure</v>
      </c>
      <c r="D131" s="80">
        <f ca="1">IFERROR(__xludf.DUMMYFUNCTION("""COMPUTED_VALUE"""),12)</f>
        <v>12</v>
      </c>
    </row>
    <row r="132" spans="1:4" ht="13.2">
      <c r="A132" s="5">
        <f ca="1">IFERROR(__xludf.DUMMYFUNCTION("""COMPUTED_VALUE"""),31)</f>
        <v>31</v>
      </c>
      <c r="B132" t="str">
        <f ca="1">IFERROR(__xludf.DUMMYFUNCTION("""COMPUTED_VALUE"""),"Lantern, hooded")</f>
        <v>Lantern, hooded</v>
      </c>
      <c r="C132" s="5" t="str">
        <f ca="1">IFERROR(__xludf.DUMMYFUNCTION("""COMPUTED_VALUE"""),"Adventure")</f>
        <v>Adventure</v>
      </c>
      <c r="D132" s="80">
        <f ca="1">IFERROR(__xludf.DUMMYFUNCTION("""COMPUTED_VALUE"""),7)</f>
        <v>7</v>
      </c>
    </row>
    <row r="133" spans="1:4" ht="13.2">
      <c r="A133" s="5">
        <f ca="1">IFERROR(__xludf.DUMMYFUNCTION("""COMPUTED_VALUE"""),33)</f>
        <v>33</v>
      </c>
      <c r="B133" t="str">
        <f ca="1">IFERROR(__xludf.DUMMYFUNCTION("""COMPUTED_VALUE"""),"Lock - Very simple")</f>
        <v>Lock - Very simple</v>
      </c>
      <c r="C133" s="5" t="str">
        <f ca="1">IFERROR(__xludf.DUMMYFUNCTION("""COMPUTED_VALUE"""),"Adventure")</f>
        <v>Adventure</v>
      </c>
      <c r="D133" s="80">
        <f ca="1">IFERROR(__xludf.DUMMYFUNCTION("""COMPUTED_VALUE"""),20)</f>
        <v>20</v>
      </c>
    </row>
    <row r="134" spans="1:4" ht="13.2">
      <c r="A134" s="5">
        <f ca="1">IFERROR(__xludf.DUMMYFUNCTION("""COMPUTED_VALUE"""),34)</f>
        <v>34</v>
      </c>
      <c r="B134" t="str">
        <f ca="1">IFERROR(__xludf.DUMMYFUNCTION("""COMPUTED_VALUE"""),"Lock - Average")</f>
        <v>Lock - Average</v>
      </c>
      <c r="C134" s="5" t="str">
        <f ca="1">IFERROR(__xludf.DUMMYFUNCTION("""COMPUTED_VALUE"""),"Adventure")</f>
        <v>Adventure</v>
      </c>
      <c r="D134" s="80">
        <f ca="1">IFERROR(__xludf.DUMMYFUNCTION("""COMPUTED_VALUE"""),40)</f>
        <v>40</v>
      </c>
    </row>
    <row r="135" spans="1:4" ht="13.2">
      <c r="A135" s="5">
        <f ca="1">IFERROR(__xludf.DUMMYFUNCTION("""COMPUTED_VALUE"""),35)</f>
        <v>35</v>
      </c>
      <c r="B135" t="str">
        <f ca="1">IFERROR(__xludf.DUMMYFUNCTION("""COMPUTED_VALUE"""),"Lock - Good")</f>
        <v>Lock - Good</v>
      </c>
      <c r="C135" s="5" t="str">
        <f ca="1">IFERROR(__xludf.DUMMYFUNCTION("""COMPUTED_VALUE"""),"Adventure")</f>
        <v>Adventure</v>
      </c>
      <c r="D135" s="80">
        <f ca="1">IFERROR(__xludf.DUMMYFUNCTION("""COMPUTED_VALUE"""),80)</f>
        <v>80</v>
      </c>
    </row>
    <row r="136" spans="1:4" ht="13.2">
      <c r="A136" s="5">
        <f ca="1">IFERROR(__xludf.DUMMYFUNCTION("""COMPUTED_VALUE"""),36)</f>
        <v>36</v>
      </c>
      <c r="B136" t="str">
        <f ca="1">IFERROR(__xludf.DUMMYFUNCTION("""COMPUTED_VALUE"""),"Lock - Amazing")</f>
        <v>Lock - Amazing</v>
      </c>
      <c r="C136" s="5" t="str">
        <f ca="1">IFERROR(__xludf.DUMMYFUNCTION("""COMPUTED_VALUE"""),"Adventure")</f>
        <v>Adventure</v>
      </c>
      <c r="D136" s="80">
        <f ca="1">IFERROR(__xludf.DUMMYFUNCTION("""COMPUTED_VALUE"""),150)</f>
        <v>150</v>
      </c>
    </row>
    <row r="137" spans="1:4" ht="13.2">
      <c r="A137" s="5">
        <f ca="1">IFERROR(__xludf.DUMMYFUNCTION("""COMPUTED_VALUE"""),37)</f>
        <v>37</v>
      </c>
      <c r="B137" t="str">
        <f ca="1">IFERROR(__xludf.DUMMYFUNCTION("""COMPUTED_VALUE"""),"Manacles")</f>
        <v>Manacles</v>
      </c>
      <c r="C137" s="5" t="str">
        <f ca="1">IFERROR(__xludf.DUMMYFUNCTION("""COMPUTED_VALUE"""),"Adventure")</f>
        <v>Adventure</v>
      </c>
      <c r="D137" s="80">
        <f ca="1">IFERROR(__xludf.DUMMYFUNCTION("""COMPUTED_VALUE"""),15)</f>
        <v>15</v>
      </c>
    </row>
    <row r="138" spans="1:4" ht="13.2">
      <c r="A138" s="5">
        <f ca="1">IFERROR(__xludf.DUMMYFUNCTION("""COMPUTED_VALUE"""),38)</f>
        <v>38</v>
      </c>
      <c r="B138" t="str">
        <f ca="1">IFERROR(__xludf.DUMMYFUNCTION("""COMPUTED_VALUE"""),"Manacles, masterwork")</f>
        <v>Manacles, masterwork</v>
      </c>
      <c r="C138" s="5" t="str">
        <f ca="1">IFERROR(__xludf.DUMMYFUNCTION("""COMPUTED_VALUE"""),"Adventure")</f>
        <v>Adventure</v>
      </c>
      <c r="D138" s="80">
        <f ca="1">IFERROR(__xludf.DUMMYFUNCTION("""COMPUTED_VALUE"""),50)</f>
        <v>50</v>
      </c>
    </row>
    <row r="139" spans="1:4" ht="13.2">
      <c r="A139" s="5">
        <f ca="1">IFERROR(__xludf.DUMMYFUNCTION("""COMPUTED_VALUE"""),39)</f>
        <v>39</v>
      </c>
      <c r="B139" t="str">
        <f ca="1">IFERROR(__xludf.DUMMYFUNCTION("""COMPUTED_VALUE"""),"Mirror, small steel")</f>
        <v>Mirror, small steel</v>
      </c>
      <c r="C139" s="5" t="str">
        <f ca="1">IFERROR(__xludf.DUMMYFUNCTION("""COMPUTED_VALUE"""),"Adventure")</f>
        <v>Adventure</v>
      </c>
      <c r="D139" s="80">
        <f ca="1">IFERROR(__xludf.DUMMYFUNCTION("""COMPUTED_VALUE"""),10)</f>
        <v>10</v>
      </c>
    </row>
    <row r="140" spans="1:4" ht="13.2">
      <c r="A140" s="5">
        <f ca="1">IFERROR(__xludf.DUMMYFUNCTION("""COMPUTED_VALUE"""),40)</f>
        <v>40</v>
      </c>
      <c r="B140" t="str">
        <f ca="1">IFERROR(__xludf.DUMMYFUNCTION("""COMPUTED_VALUE"""),"Mug/Tankard, clay")</f>
        <v>Mug/Tankard, clay</v>
      </c>
      <c r="C140" s="5" t="str">
        <f ca="1">IFERROR(__xludf.DUMMYFUNCTION("""COMPUTED_VALUE"""),"Adventure")</f>
        <v>Adventure</v>
      </c>
      <c r="D140" s="80">
        <f ca="1">IFERROR(__xludf.DUMMYFUNCTION("""COMPUTED_VALUE"""),0.002)</f>
        <v>2E-3</v>
      </c>
    </row>
    <row r="141" spans="1:4" ht="13.2">
      <c r="A141" s="5">
        <f ca="1">IFERROR(__xludf.DUMMYFUNCTION("""COMPUTED_VALUE"""),41)</f>
        <v>41</v>
      </c>
      <c r="B141" t="str">
        <f ca="1">IFERROR(__xludf.DUMMYFUNCTION("""COMPUTED_VALUE"""),"Oil (1-pint flask)")</f>
        <v>Oil (1-pint flask)</v>
      </c>
      <c r="C141" s="5" t="str">
        <f ca="1">IFERROR(__xludf.DUMMYFUNCTION("""COMPUTED_VALUE"""),"Adventure")</f>
        <v>Adventure</v>
      </c>
      <c r="D141" s="80">
        <f ca="1">IFERROR(__xludf.DUMMYFUNCTION("""COMPUTED_VALUE"""),0.1)</f>
        <v>0.1</v>
      </c>
    </row>
    <row r="142" spans="1:4" ht="13.2">
      <c r="A142" s="5">
        <f ca="1">IFERROR(__xludf.DUMMYFUNCTION("""COMPUTED_VALUE"""),42)</f>
        <v>42</v>
      </c>
      <c r="B142" t="str">
        <f ca="1">IFERROR(__xludf.DUMMYFUNCTION("""COMPUTED_VALUE"""),"Paper (sheet)")</f>
        <v>Paper (sheet)</v>
      </c>
      <c r="C142" s="5" t="str">
        <f ca="1">IFERROR(__xludf.DUMMYFUNCTION("""COMPUTED_VALUE"""),"Adventure")</f>
        <v>Adventure</v>
      </c>
      <c r="D142" s="80">
        <f ca="1">IFERROR(__xludf.DUMMYFUNCTION("""COMPUTED_VALUE"""),0.4)</f>
        <v>0.4</v>
      </c>
    </row>
    <row r="143" spans="1:4" ht="13.2">
      <c r="A143" s="5">
        <f ca="1">IFERROR(__xludf.DUMMYFUNCTION("""COMPUTED_VALUE"""),43)</f>
        <v>43</v>
      </c>
      <c r="B143" t="str">
        <f ca="1">IFERROR(__xludf.DUMMYFUNCTION("""COMPUTED_VALUE"""),"Parchment (sheet)")</f>
        <v>Parchment (sheet)</v>
      </c>
      <c r="C143" s="5" t="str">
        <f ca="1">IFERROR(__xludf.DUMMYFUNCTION("""COMPUTED_VALUE"""),"Adventure")</f>
        <v>Adventure</v>
      </c>
      <c r="D143" s="80">
        <f ca="1">IFERROR(__xludf.DUMMYFUNCTION("""COMPUTED_VALUE"""),0.2)</f>
        <v>0.2</v>
      </c>
    </row>
    <row r="144" spans="1:4" ht="13.2">
      <c r="A144" s="5">
        <f ca="1">IFERROR(__xludf.DUMMYFUNCTION("""COMPUTED_VALUE"""),44)</f>
        <v>44</v>
      </c>
      <c r="B144" t="str">
        <f ca="1">IFERROR(__xludf.DUMMYFUNCTION("""COMPUTED_VALUE"""),"Pick, miner’s")</f>
        <v>Pick, miner’s</v>
      </c>
      <c r="C144" s="5" t="str">
        <f ca="1">IFERROR(__xludf.DUMMYFUNCTION("""COMPUTED_VALUE"""),"Adventure")</f>
        <v>Adventure</v>
      </c>
      <c r="D144" s="80">
        <f ca="1">IFERROR(__xludf.DUMMYFUNCTION("""COMPUTED_VALUE"""),3)</f>
        <v>3</v>
      </c>
    </row>
    <row r="145" spans="1:4" ht="13.2">
      <c r="A145" s="5">
        <f ca="1">IFERROR(__xludf.DUMMYFUNCTION("""COMPUTED_VALUE"""),45)</f>
        <v>45</v>
      </c>
      <c r="B145" t="str">
        <f ca="1">IFERROR(__xludf.DUMMYFUNCTION("""COMPUTED_VALUE"""),"Pitcher, clay")</f>
        <v>Pitcher, clay</v>
      </c>
      <c r="C145" s="5" t="str">
        <f ca="1">IFERROR(__xludf.DUMMYFUNCTION("""COMPUTED_VALUE"""),"Adventure")</f>
        <v>Adventure</v>
      </c>
      <c r="D145" s="80">
        <f ca="1">IFERROR(__xludf.DUMMYFUNCTION("""COMPUTED_VALUE"""),0.002)</f>
        <v>2E-3</v>
      </c>
    </row>
    <row r="146" spans="1:4" ht="13.2">
      <c r="A146" s="5">
        <f ca="1">IFERROR(__xludf.DUMMYFUNCTION("""COMPUTED_VALUE"""),46)</f>
        <v>46</v>
      </c>
      <c r="B146" t="str">
        <f ca="1">IFERROR(__xludf.DUMMYFUNCTION("""COMPUTED_VALUE"""),"Piton")</f>
        <v>Piton</v>
      </c>
      <c r="C146" s="5" t="str">
        <f ca="1">IFERROR(__xludf.DUMMYFUNCTION("""COMPUTED_VALUE"""),"Adventure")</f>
        <v>Adventure</v>
      </c>
      <c r="D146" s="80">
        <f ca="1">IFERROR(__xludf.DUMMYFUNCTION("""COMPUTED_VALUE"""),0.1)</f>
        <v>0.1</v>
      </c>
    </row>
    <row r="147" spans="1:4" ht="13.2">
      <c r="A147" s="5">
        <f ca="1">IFERROR(__xludf.DUMMYFUNCTION("""COMPUTED_VALUE"""),47)</f>
        <v>47</v>
      </c>
      <c r="B147" t="str">
        <f ca="1">IFERROR(__xludf.DUMMYFUNCTION("""COMPUTED_VALUE"""),"Pole, 10-foot")</f>
        <v>Pole, 10-foot</v>
      </c>
      <c r="C147" s="5" t="str">
        <f ca="1">IFERROR(__xludf.DUMMYFUNCTION("""COMPUTED_VALUE"""),"Adventure")</f>
        <v>Adventure</v>
      </c>
      <c r="D147" s="80">
        <f ca="1">IFERROR(__xludf.DUMMYFUNCTION("""COMPUTED_VALUE"""),0.02)</f>
        <v>0.02</v>
      </c>
    </row>
    <row r="148" spans="1:4" ht="13.2">
      <c r="A148" s="5">
        <f ca="1">IFERROR(__xludf.DUMMYFUNCTION("""COMPUTED_VALUE"""),48)</f>
        <v>48</v>
      </c>
      <c r="B148" t="str">
        <f ca="1">IFERROR(__xludf.DUMMYFUNCTION("""COMPUTED_VALUE"""),"Pot, iron")</f>
        <v>Pot, iron</v>
      </c>
      <c r="C148" s="5" t="str">
        <f ca="1">IFERROR(__xludf.DUMMYFUNCTION("""COMPUTED_VALUE"""),"Adventure")</f>
        <v>Adventure</v>
      </c>
      <c r="D148" s="80">
        <f ca="1">IFERROR(__xludf.DUMMYFUNCTION("""COMPUTED_VALUE"""),0.05)</f>
        <v>0.05</v>
      </c>
    </row>
    <row r="149" spans="1:4" ht="13.2">
      <c r="A149" s="5">
        <f ca="1">IFERROR(__xludf.DUMMYFUNCTION("""COMPUTED_VALUE"""),49)</f>
        <v>49</v>
      </c>
      <c r="B149" t="str">
        <f ca="1">IFERROR(__xludf.DUMMYFUNCTION("""COMPUTED_VALUE"""),"Pouch, belt (empty)")</f>
        <v>Pouch, belt (empty)</v>
      </c>
      <c r="C149" s="5" t="str">
        <f ca="1">IFERROR(__xludf.DUMMYFUNCTION("""COMPUTED_VALUE"""),"Adventure")</f>
        <v>Adventure</v>
      </c>
      <c r="D149" s="80">
        <f ca="1">IFERROR(__xludf.DUMMYFUNCTION("""COMPUTED_VALUE"""),1)</f>
        <v>1</v>
      </c>
    </row>
    <row r="150" spans="1:4" ht="13.2">
      <c r="A150" s="5">
        <f ca="1">IFERROR(__xludf.DUMMYFUNCTION("""COMPUTED_VALUE"""),50)</f>
        <v>50</v>
      </c>
      <c r="B150" t="str">
        <f ca="1">IFERROR(__xludf.DUMMYFUNCTION("""COMPUTED_VALUE"""),"Ram, portable")</f>
        <v>Ram, portable</v>
      </c>
      <c r="C150" s="5" t="str">
        <f ca="1">IFERROR(__xludf.DUMMYFUNCTION("""COMPUTED_VALUE"""),"Adventure")</f>
        <v>Adventure</v>
      </c>
      <c r="D150" s="80">
        <f ca="1">IFERROR(__xludf.DUMMYFUNCTION("""COMPUTED_VALUE"""),10)</f>
        <v>10</v>
      </c>
    </row>
    <row r="151" spans="1:4" ht="13.2">
      <c r="A151" s="5">
        <f ca="1">IFERROR(__xludf.DUMMYFUNCTION("""COMPUTED_VALUE"""),51)</f>
        <v>51</v>
      </c>
      <c r="B151" t="str">
        <f ca="1">IFERROR(__xludf.DUMMYFUNCTION("""COMPUTED_VALUE"""),"Rations, trail (per day)")</f>
        <v>Rations, trail (per day)</v>
      </c>
      <c r="C151" s="5" t="str">
        <f ca="1">IFERROR(__xludf.DUMMYFUNCTION("""COMPUTED_VALUE"""),"Adventure")</f>
        <v>Adventure</v>
      </c>
      <c r="D151" s="80">
        <f ca="1">IFERROR(__xludf.DUMMYFUNCTION("""COMPUTED_VALUE"""),0.05)</f>
        <v>0.05</v>
      </c>
    </row>
    <row r="152" spans="1:4" ht="13.2">
      <c r="A152" s="5">
        <f ca="1">IFERROR(__xludf.DUMMYFUNCTION("""COMPUTED_VALUE"""),52)</f>
        <v>52</v>
      </c>
      <c r="B152" t="str">
        <f ca="1">IFERROR(__xludf.DUMMYFUNCTION("""COMPUTED_VALUE"""),"Rope, hempen (50 ft.)")</f>
        <v>Rope, hempen (50 ft.)</v>
      </c>
      <c r="C152" s="5" t="str">
        <f ca="1">IFERROR(__xludf.DUMMYFUNCTION("""COMPUTED_VALUE"""),"Adventure")</f>
        <v>Adventure</v>
      </c>
      <c r="D152" s="80">
        <f ca="1">IFERROR(__xludf.DUMMYFUNCTION("""COMPUTED_VALUE"""),1)</f>
        <v>1</v>
      </c>
    </row>
    <row r="153" spans="1:4" ht="13.2">
      <c r="A153" s="5">
        <f ca="1">IFERROR(__xludf.DUMMYFUNCTION("""COMPUTED_VALUE"""),53)</f>
        <v>53</v>
      </c>
      <c r="B153" t="str">
        <f ca="1">IFERROR(__xludf.DUMMYFUNCTION("""COMPUTED_VALUE"""),"Rope, silk (50 ft.)")</f>
        <v>Rope, silk (50 ft.)</v>
      </c>
      <c r="C153" s="5" t="str">
        <f ca="1">IFERROR(__xludf.DUMMYFUNCTION("""COMPUTED_VALUE"""),"Adventure")</f>
        <v>Adventure</v>
      </c>
      <c r="D153" s="80">
        <f ca="1">IFERROR(__xludf.DUMMYFUNCTION("""COMPUTED_VALUE"""),10)</f>
        <v>10</v>
      </c>
    </row>
    <row r="154" spans="1:4" ht="13.2">
      <c r="A154" s="5">
        <f ca="1">IFERROR(__xludf.DUMMYFUNCTION("""COMPUTED_VALUE"""),54)</f>
        <v>54</v>
      </c>
      <c r="B154" t="str">
        <f ca="1">IFERROR(__xludf.DUMMYFUNCTION("""COMPUTED_VALUE"""),"Sack (empty)")</f>
        <v>Sack (empty)</v>
      </c>
      <c r="C154" s="5" t="str">
        <f ca="1">IFERROR(__xludf.DUMMYFUNCTION("""COMPUTED_VALUE"""),"Adventure")</f>
        <v>Adventure</v>
      </c>
      <c r="D154" s="80">
        <f ca="1">IFERROR(__xludf.DUMMYFUNCTION("""COMPUTED_VALUE"""),0.01)</f>
        <v>0.01</v>
      </c>
    </row>
    <row r="155" spans="1:4" ht="13.2">
      <c r="A155" s="5">
        <f ca="1">IFERROR(__xludf.DUMMYFUNCTION("""COMPUTED_VALUE"""),55)</f>
        <v>55</v>
      </c>
      <c r="B155" t="str">
        <f ca="1">IFERROR(__xludf.DUMMYFUNCTION("""COMPUTED_VALUE"""),"Sealing wax")</f>
        <v>Sealing wax</v>
      </c>
      <c r="C155" s="5" t="str">
        <f ca="1">IFERROR(__xludf.DUMMYFUNCTION("""COMPUTED_VALUE"""),"Adventure")</f>
        <v>Adventure</v>
      </c>
      <c r="D155" s="80">
        <f ca="1">IFERROR(__xludf.DUMMYFUNCTION("""COMPUTED_VALUE"""),1)</f>
        <v>1</v>
      </c>
    </row>
    <row r="156" spans="1:4" ht="13.2">
      <c r="A156" s="5">
        <f ca="1">IFERROR(__xludf.DUMMYFUNCTION("""COMPUTED_VALUE"""),56)</f>
        <v>56</v>
      </c>
      <c r="B156" t="str">
        <f ca="1">IFERROR(__xludf.DUMMYFUNCTION("""COMPUTED_VALUE"""),"Sewing needle")</f>
        <v>Sewing needle</v>
      </c>
      <c r="C156" s="5" t="str">
        <f ca="1">IFERROR(__xludf.DUMMYFUNCTION("""COMPUTED_VALUE"""),"Adventure")</f>
        <v>Adventure</v>
      </c>
      <c r="D156" s="80">
        <f ca="1">IFERROR(__xludf.DUMMYFUNCTION("""COMPUTED_VALUE"""),0.05)</f>
        <v>0.05</v>
      </c>
    </row>
    <row r="157" spans="1:4" ht="13.2">
      <c r="A157" s="5">
        <f ca="1">IFERROR(__xludf.DUMMYFUNCTION("""COMPUTED_VALUE"""),57)</f>
        <v>57</v>
      </c>
      <c r="B157" t="str">
        <f ca="1">IFERROR(__xludf.DUMMYFUNCTION("""COMPUTED_VALUE"""),"Signal whistle")</f>
        <v>Signal whistle</v>
      </c>
      <c r="C157" s="5" t="str">
        <f ca="1">IFERROR(__xludf.DUMMYFUNCTION("""COMPUTED_VALUE"""),"Adventure")</f>
        <v>Adventure</v>
      </c>
      <c r="D157" s="80">
        <f ca="1">IFERROR(__xludf.DUMMYFUNCTION("""COMPUTED_VALUE"""),0.08)</f>
        <v>0.08</v>
      </c>
    </row>
    <row r="158" spans="1:4" ht="13.2">
      <c r="A158" s="5">
        <f ca="1">IFERROR(__xludf.DUMMYFUNCTION("""COMPUTED_VALUE"""),58)</f>
        <v>58</v>
      </c>
      <c r="B158" t="str">
        <f ca="1">IFERROR(__xludf.DUMMYFUNCTION("""COMPUTED_VALUE"""),"Signet ring")</f>
        <v>Signet ring</v>
      </c>
      <c r="C158" s="5" t="str">
        <f ca="1">IFERROR(__xludf.DUMMYFUNCTION("""COMPUTED_VALUE"""),"Adventure")</f>
        <v>Adventure</v>
      </c>
      <c r="D158" s="80">
        <f ca="1">IFERROR(__xludf.DUMMYFUNCTION("""COMPUTED_VALUE"""),5)</f>
        <v>5</v>
      </c>
    </row>
    <row r="159" spans="1:4" ht="13.2">
      <c r="A159" s="5">
        <f ca="1">IFERROR(__xludf.DUMMYFUNCTION("""COMPUTED_VALUE"""),59)</f>
        <v>59</v>
      </c>
      <c r="B159" t="str">
        <f ca="1">IFERROR(__xludf.DUMMYFUNCTION("""COMPUTED_VALUE"""),"Sledge")</f>
        <v>Sledge</v>
      </c>
      <c r="C159" s="5" t="str">
        <f ca="1">IFERROR(__xludf.DUMMYFUNCTION("""COMPUTED_VALUE"""),"Adventure")</f>
        <v>Adventure</v>
      </c>
      <c r="D159" s="80">
        <f ca="1">IFERROR(__xludf.DUMMYFUNCTION("""COMPUTED_VALUE"""),1)</f>
        <v>1</v>
      </c>
    </row>
    <row r="160" spans="1:4" ht="13.2">
      <c r="A160" s="5">
        <f ca="1">IFERROR(__xludf.DUMMYFUNCTION("""COMPUTED_VALUE"""),60)</f>
        <v>60</v>
      </c>
      <c r="B160" t="str">
        <f ca="1">IFERROR(__xludf.DUMMYFUNCTION("""COMPUTED_VALUE"""),"Soap (per lb.)")</f>
        <v>Soap (per lb.)</v>
      </c>
      <c r="C160" s="5" t="str">
        <f ca="1">IFERROR(__xludf.DUMMYFUNCTION("""COMPUTED_VALUE"""),"Adventure")</f>
        <v>Adventure</v>
      </c>
      <c r="D160" s="80">
        <f ca="1">IFERROR(__xludf.DUMMYFUNCTION("""COMPUTED_VALUE"""),0.05)</f>
        <v>0.05</v>
      </c>
    </row>
    <row r="161" spans="1:4" ht="13.2">
      <c r="A161" s="5">
        <f ca="1">IFERROR(__xludf.DUMMYFUNCTION("""COMPUTED_VALUE"""),61)</f>
        <v>61</v>
      </c>
      <c r="B161" t="str">
        <f ca="1">IFERROR(__xludf.DUMMYFUNCTION("""COMPUTED_VALUE"""),"Spade or shovel")</f>
        <v>Spade or shovel</v>
      </c>
      <c r="C161" s="5" t="str">
        <f ca="1">IFERROR(__xludf.DUMMYFUNCTION("""COMPUTED_VALUE"""),"Adventure")</f>
        <v>Adventure</v>
      </c>
      <c r="D161" s="80">
        <f ca="1">IFERROR(__xludf.DUMMYFUNCTION("""COMPUTED_VALUE"""),2)</f>
        <v>2</v>
      </c>
    </row>
    <row r="162" spans="1:4" ht="13.2">
      <c r="A162" s="5">
        <f ca="1">IFERROR(__xludf.DUMMYFUNCTION("""COMPUTED_VALUE"""),62)</f>
        <v>62</v>
      </c>
      <c r="B162" t="str">
        <f ca="1">IFERROR(__xludf.DUMMYFUNCTION("""COMPUTED_VALUE"""),"Spyglass")</f>
        <v>Spyglass</v>
      </c>
      <c r="C162" s="5" t="str">
        <f ca="1">IFERROR(__xludf.DUMMYFUNCTION("""COMPUTED_VALUE"""),"Adventure")</f>
        <v>Adventure</v>
      </c>
      <c r="D162" s="80">
        <f ca="1">IFERROR(__xludf.DUMMYFUNCTION("""COMPUTED_VALUE"""),1000)</f>
        <v>1000</v>
      </c>
    </row>
    <row r="163" spans="1:4" ht="13.2">
      <c r="A163" s="5">
        <f ca="1">IFERROR(__xludf.DUMMYFUNCTION("""COMPUTED_VALUE"""),63)</f>
        <v>63</v>
      </c>
      <c r="B163" t="str">
        <f ca="1">IFERROR(__xludf.DUMMYFUNCTION("""COMPUTED_VALUE"""),"Tent")</f>
        <v>Tent</v>
      </c>
      <c r="C163" s="5" t="str">
        <f ca="1">IFERROR(__xludf.DUMMYFUNCTION("""COMPUTED_VALUE"""),"Adventure")</f>
        <v>Adventure</v>
      </c>
      <c r="D163" s="80">
        <f ca="1">IFERROR(__xludf.DUMMYFUNCTION("""COMPUTED_VALUE"""),10)</f>
        <v>10</v>
      </c>
    </row>
    <row r="164" spans="1:4" ht="13.2">
      <c r="A164" s="5">
        <f ca="1">IFERROR(__xludf.DUMMYFUNCTION("""COMPUTED_VALUE"""),64)</f>
        <v>64</v>
      </c>
      <c r="B164" t="str">
        <f ca="1">IFERROR(__xludf.DUMMYFUNCTION("""COMPUTED_VALUE"""),"Torch")</f>
        <v>Torch</v>
      </c>
      <c r="C164" s="5" t="str">
        <f ca="1">IFERROR(__xludf.DUMMYFUNCTION("""COMPUTED_VALUE"""),"Adventure")</f>
        <v>Adventure</v>
      </c>
      <c r="D164" s="80">
        <f ca="1">IFERROR(__xludf.DUMMYFUNCTION("""COMPUTED_VALUE"""),0.001)</f>
        <v>1E-3</v>
      </c>
    </row>
    <row r="165" spans="1:4" ht="13.2">
      <c r="A165" s="5">
        <f ca="1">IFERROR(__xludf.DUMMYFUNCTION("""COMPUTED_VALUE"""),65)</f>
        <v>65</v>
      </c>
      <c r="B165" t="str">
        <f ca="1">IFERROR(__xludf.DUMMYFUNCTION("""COMPUTED_VALUE"""),"Vial, ink or potion")</f>
        <v>Vial, ink or potion</v>
      </c>
      <c r="C165" s="5" t="str">
        <f ca="1">IFERROR(__xludf.DUMMYFUNCTION("""COMPUTED_VALUE"""),"Adventure")</f>
        <v>Adventure</v>
      </c>
      <c r="D165" s="80">
        <f ca="1">IFERROR(__xludf.DUMMYFUNCTION("""COMPUTED_VALUE"""),1)</f>
        <v>1</v>
      </c>
    </row>
    <row r="166" spans="1:4" ht="13.2">
      <c r="A166" s="5">
        <f ca="1">IFERROR(__xludf.DUMMYFUNCTION("""COMPUTED_VALUE"""),66)</f>
        <v>66</v>
      </c>
      <c r="B166" t="str">
        <f ca="1">IFERROR(__xludf.DUMMYFUNCTION("""COMPUTED_VALUE"""),"Waterskin")</f>
        <v>Waterskin</v>
      </c>
      <c r="C166" s="5" t="str">
        <f ca="1">IFERROR(__xludf.DUMMYFUNCTION("""COMPUTED_VALUE"""),"Adventure")</f>
        <v>Adventure</v>
      </c>
      <c r="D166" s="80">
        <f ca="1">IFERROR(__xludf.DUMMYFUNCTION("""COMPUTED_VALUE"""),1)</f>
        <v>1</v>
      </c>
    </row>
    <row r="167" spans="1:4" ht="13.2">
      <c r="A167" s="5">
        <f ca="1">IFERROR(__xludf.DUMMYFUNCTION("""COMPUTED_VALUE"""),67)</f>
        <v>67</v>
      </c>
      <c r="B167" t="str">
        <f ca="1">IFERROR(__xludf.DUMMYFUNCTION("""COMPUTED_VALUE"""),"Whetstone")</f>
        <v>Whetstone</v>
      </c>
      <c r="C167" s="5" t="str">
        <f ca="1">IFERROR(__xludf.DUMMYFUNCTION("""COMPUTED_VALUE"""),"Adventure")</f>
        <v>Adventure</v>
      </c>
      <c r="D167" s="80">
        <f ca="1">IFERROR(__xludf.DUMMYFUNCTION("""COMPUTED_VALUE"""),0.002)</f>
        <v>2E-3</v>
      </c>
    </row>
    <row r="168" spans="1:4" ht="13.2">
      <c r="A168" s="5">
        <f ca="1">IFERROR(__xludf.DUMMYFUNCTION("""COMPUTED_VALUE"""),1)</f>
        <v>1</v>
      </c>
      <c r="B168" t="str">
        <f ca="1">IFERROR(__xludf.DUMMYFUNCTION("""COMPUTED_VALUE"""),"Adamantine armor")</f>
        <v>Adamantine armor</v>
      </c>
      <c r="C168" s="5" t="str">
        <f ca="1">IFERROR(__xludf.DUMMYFUNCTION("""COMPUTED_VALUE"""),"Magic")</f>
        <v>Magic</v>
      </c>
      <c r="D168" s="80">
        <f ca="1">IFERROR(__xludf.DUMMYFUNCTION("""COMPUTED_VALUE"""),378)</f>
        <v>378</v>
      </c>
    </row>
    <row r="169" spans="1:4" ht="13.2">
      <c r="A169" s="5">
        <f ca="1">IFERROR(__xludf.DUMMYFUNCTION("""COMPUTED_VALUE"""),2)</f>
        <v>2</v>
      </c>
      <c r="B169" t="str">
        <f ca="1">IFERROR(__xludf.DUMMYFUNCTION("""COMPUTED_VALUE"""),"Alchemy jug")</f>
        <v>Alchemy jug</v>
      </c>
      <c r="C169" s="5" t="str">
        <f ca="1">IFERROR(__xludf.DUMMYFUNCTION("""COMPUTED_VALUE"""),"Magic")</f>
        <v>Magic</v>
      </c>
      <c r="D169" s="80">
        <f ca="1">IFERROR(__xludf.DUMMYFUNCTION("""COMPUTED_VALUE"""),366)</f>
        <v>366</v>
      </c>
    </row>
    <row r="170" spans="1:4" ht="13.2">
      <c r="A170" s="5">
        <f ca="1">IFERROR(__xludf.DUMMYFUNCTION("""COMPUTED_VALUE"""),3)</f>
        <v>3</v>
      </c>
      <c r="B170" t="str">
        <f ca="1">IFERROR(__xludf.DUMMYFUNCTION("""COMPUTED_VALUE"""),"Ammunition +1")</f>
        <v>Ammunition +1</v>
      </c>
      <c r="C170" s="5" t="str">
        <f ca="1">IFERROR(__xludf.DUMMYFUNCTION("""COMPUTED_VALUE"""),"Magic")</f>
        <v>Magic</v>
      </c>
      <c r="D170" s="80">
        <f ca="1">IFERROR(__xludf.DUMMYFUNCTION("""COMPUTED_VALUE"""),378)</f>
        <v>378</v>
      </c>
    </row>
    <row r="171" spans="1:4" ht="13.2">
      <c r="A171" s="5">
        <f ca="1">IFERROR(__xludf.DUMMYFUNCTION("""COMPUTED_VALUE"""),4)</f>
        <v>4</v>
      </c>
      <c r="B171" t="str">
        <f ca="1">IFERROR(__xludf.DUMMYFUNCTION("""COMPUTED_VALUE"""),"Ammunition +2")</f>
        <v>Ammunition +2</v>
      </c>
      <c r="C171" s="5" t="str">
        <f ca="1">IFERROR(__xludf.DUMMYFUNCTION("""COMPUTED_VALUE"""),"Magic")</f>
        <v>Magic</v>
      </c>
      <c r="D171" s="80">
        <f ca="1">IFERROR(__xludf.DUMMYFUNCTION("""COMPUTED_VALUE"""),919)</f>
        <v>919</v>
      </c>
    </row>
    <row r="172" spans="1:4" ht="13.2">
      <c r="A172" s="5">
        <f ca="1">IFERROR(__xludf.DUMMYFUNCTION("""COMPUTED_VALUE"""),5)</f>
        <v>5</v>
      </c>
      <c r="B172" t="str">
        <f ca="1">IFERROR(__xludf.DUMMYFUNCTION("""COMPUTED_VALUE"""),"Ammunition +3")</f>
        <v>Ammunition +3</v>
      </c>
      <c r="C172" s="5" t="str">
        <f ca="1">IFERROR(__xludf.DUMMYFUNCTION("""COMPUTED_VALUE"""),"Magic")</f>
        <v>Magic</v>
      </c>
      <c r="D172" s="80">
        <f ca="1">IFERROR(__xludf.DUMMYFUNCTION("""COMPUTED_VALUE"""),1576)</f>
        <v>1576</v>
      </c>
    </row>
    <row r="173" spans="1:4" ht="13.2">
      <c r="A173" s="5">
        <f ca="1">IFERROR(__xludf.DUMMYFUNCTION("""COMPUTED_VALUE"""),6)</f>
        <v>6</v>
      </c>
      <c r="B173" t="str">
        <f ca="1">IFERROR(__xludf.DUMMYFUNCTION("""COMPUTED_VALUE"""),"Amulet of health")</f>
        <v>Amulet of health</v>
      </c>
      <c r="C173" s="5" t="str">
        <f ca="1">IFERROR(__xludf.DUMMYFUNCTION("""COMPUTED_VALUE"""),"Magic")</f>
        <v>Magic</v>
      </c>
      <c r="D173" s="80">
        <f ca="1">IFERROR(__xludf.DUMMYFUNCTION("""COMPUTED_VALUE"""),919)</f>
        <v>919</v>
      </c>
    </row>
    <row r="174" spans="1:4" ht="13.2">
      <c r="A174" s="5">
        <f ca="1">IFERROR(__xludf.DUMMYFUNCTION("""COMPUTED_VALUE"""),7)</f>
        <v>7</v>
      </c>
      <c r="B174" t="str">
        <f ca="1">IFERROR(__xludf.DUMMYFUNCTION("""COMPUTED_VALUE"""),"Amulet of proof against detection and location")</f>
        <v>Amulet of proof against detection and location</v>
      </c>
      <c r="C174" s="5" t="str">
        <f ca="1">IFERROR(__xludf.DUMMYFUNCTION("""COMPUTED_VALUE"""),"Magic")</f>
        <v>Magic</v>
      </c>
      <c r="D174" s="80">
        <f ca="1">IFERROR(__xludf.DUMMYFUNCTION("""COMPUTED_VALUE"""),380)</f>
        <v>380</v>
      </c>
    </row>
    <row r="175" spans="1:4" ht="13.2">
      <c r="A175" s="5">
        <f ca="1">IFERROR(__xludf.DUMMYFUNCTION("""COMPUTED_VALUE"""),8)</f>
        <v>8</v>
      </c>
      <c r="B175" t="str">
        <f ca="1">IFERROR(__xludf.DUMMYFUNCTION("""COMPUTED_VALUE"""),"Amulet of the planes")</f>
        <v>Amulet of the planes</v>
      </c>
      <c r="C175" s="5" t="str">
        <f ca="1">IFERROR(__xludf.DUMMYFUNCTION("""COMPUTED_VALUE"""),"Magic")</f>
        <v>Magic</v>
      </c>
      <c r="D175" s="80">
        <f ca="1">IFERROR(__xludf.DUMMYFUNCTION("""COMPUTED_VALUE"""),1556)</f>
        <v>1556</v>
      </c>
    </row>
    <row r="176" spans="1:4" ht="13.2">
      <c r="A176" s="5">
        <f ca="1">IFERROR(__xludf.DUMMYFUNCTION("""COMPUTED_VALUE"""),9)</f>
        <v>9</v>
      </c>
      <c r="B176" t="str">
        <f ca="1">IFERROR(__xludf.DUMMYFUNCTION("""COMPUTED_VALUE"""),"Animated shield")</f>
        <v>Animated shield</v>
      </c>
      <c r="C176" s="5" t="str">
        <f ca="1">IFERROR(__xludf.DUMMYFUNCTION("""COMPUTED_VALUE"""),"Magic")</f>
        <v>Magic</v>
      </c>
      <c r="D176" s="80">
        <f ca="1">IFERROR(__xludf.DUMMYFUNCTION("""COMPUTED_VALUE"""),1580)</f>
        <v>1580</v>
      </c>
    </row>
    <row r="177" spans="1:4" ht="13.2">
      <c r="A177" s="5">
        <f ca="1">IFERROR(__xludf.DUMMYFUNCTION("""COMPUTED_VALUE"""),10)</f>
        <v>10</v>
      </c>
      <c r="B177" t="str">
        <f ca="1">IFERROR(__xludf.DUMMYFUNCTION("""COMPUTED_VALUE"""),"Apparatus of Kwalish")</f>
        <v>Apparatus of Kwalish</v>
      </c>
      <c r="C177" s="5" t="str">
        <f ca="1">IFERROR(__xludf.DUMMYFUNCTION("""COMPUTED_VALUE"""),"Magic")</f>
        <v>Magic</v>
      </c>
      <c r="D177" s="80">
        <f ca="1">IFERROR(__xludf.DUMMYFUNCTION("""COMPUTED_VALUE"""),3020)</f>
        <v>3020</v>
      </c>
    </row>
    <row r="178" spans="1:4" ht="13.2">
      <c r="A178" s="5">
        <f ca="1">IFERROR(__xludf.DUMMYFUNCTION("""COMPUTED_VALUE"""),11)</f>
        <v>11</v>
      </c>
      <c r="B178" t="str">
        <f ca="1">IFERROR(__xludf.DUMMYFUNCTION("""COMPUTED_VALUE"""),"Armor +1")</f>
        <v>Armor +1</v>
      </c>
      <c r="C178" s="5" t="str">
        <f ca="1">IFERROR(__xludf.DUMMYFUNCTION("""COMPUTED_VALUE"""),"Magic")</f>
        <v>Magic</v>
      </c>
      <c r="D178" s="80">
        <f ca="1">IFERROR(__xludf.DUMMYFUNCTION("""COMPUTED_VALUE"""),940)</f>
        <v>940</v>
      </c>
    </row>
    <row r="179" spans="1:4" ht="13.2">
      <c r="A179" s="5">
        <f ca="1">IFERROR(__xludf.DUMMYFUNCTION("""COMPUTED_VALUE"""),12)</f>
        <v>12</v>
      </c>
      <c r="B179" t="str">
        <f ca="1">IFERROR(__xludf.DUMMYFUNCTION("""COMPUTED_VALUE"""),"Armor +2")</f>
        <v>Armor +2</v>
      </c>
      <c r="C179" s="5" t="str">
        <f ca="1">IFERROR(__xludf.DUMMYFUNCTION("""COMPUTED_VALUE"""),"Magic")</f>
        <v>Magic</v>
      </c>
      <c r="D179" s="80">
        <f ca="1">IFERROR(__xludf.DUMMYFUNCTION("""COMPUTED_VALUE"""),1556)</f>
        <v>1556</v>
      </c>
    </row>
    <row r="180" spans="1:4" ht="13.2">
      <c r="A180" s="5">
        <f ca="1">IFERROR(__xludf.DUMMYFUNCTION("""COMPUTED_VALUE"""),13)</f>
        <v>13</v>
      </c>
      <c r="B180" t="str">
        <f ca="1">IFERROR(__xludf.DUMMYFUNCTION("""COMPUTED_VALUE"""),"Armor +3")</f>
        <v>Armor +3</v>
      </c>
      <c r="C180" s="5" t="str">
        <f ca="1">IFERROR(__xludf.DUMMYFUNCTION("""COMPUTED_VALUE"""),"Magic")</f>
        <v>Magic</v>
      </c>
      <c r="D180" s="80">
        <f ca="1">IFERROR(__xludf.DUMMYFUNCTION("""COMPUTED_VALUE"""),3055)</f>
        <v>3055</v>
      </c>
    </row>
    <row r="181" spans="1:4" ht="13.2">
      <c r="A181" s="5">
        <f ca="1">IFERROR(__xludf.DUMMYFUNCTION("""COMPUTED_VALUE"""),14)</f>
        <v>14</v>
      </c>
      <c r="B181" t="str">
        <f ca="1">IFERROR(__xludf.DUMMYFUNCTION("""COMPUTED_VALUE"""),"Armor of invulnerability")</f>
        <v>Armor of invulnerability</v>
      </c>
      <c r="C181" s="5" t="str">
        <f ca="1">IFERROR(__xludf.DUMMYFUNCTION("""COMPUTED_VALUE"""),"Magic")</f>
        <v>Magic</v>
      </c>
      <c r="D181" s="80">
        <f ca="1">IFERROR(__xludf.DUMMYFUNCTION("""COMPUTED_VALUE"""),3025)</f>
        <v>3025</v>
      </c>
    </row>
    <row r="182" spans="1:4" ht="13.2">
      <c r="A182" s="5">
        <f ca="1">IFERROR(__xludf.DUMMYFUNCTION("""COMPUTED_VALUE"""),15)</f>
        <v>15</v>
      </c>
      <c r="B182" t="str">
        <f ca="1">IFERROR(__xludf.DUMMYFUNCTION("""COMPUTED_VALUE"""),"Armor of resistance")</f>
        <v>Armor of resistance</v>
      </c>
      <c r="C182" s="5" t="str">
        <f ca="1">IFERROR(__xludf.DUMMYFUNCTION("""COMPUTED_VALUE"""),"Magic")</f>
        <v>Magic</v>
      </c>
      <c r="D182" s="80">
        <f ca="1">IFERROR(__xludf.DUMMYFUNCTION("""COMPUTED_VALUE"""),943)</f>
        <v>943</v>
      </c>
    </row>
    <row r="183" spans="1:4" ht="13.2">
      <c r="A183" s="5">
        <f ca="1">IFERROR(__xludf.DUMMYFUNCTION("""COMPUTED_VALUE"""),16)</f>
        <v>16</v>
      </c>
      <c r="B183" t="str">
        <f ca="1">IFERROR(__xludf.DUMMYFUNCTION("""COMPUTED_VALUE"""),"Armor of vulnerability")</f>
        <v>Armor of vulnerability</v>
      </c>
      <c r="C183" s="5" t="str">
        <f ca="1">IFERROR(__xludf.DUMMYFUNCTION("""COMPUTED_VALUE"""),"Magic")</f>
        <v>Magic</v>
      </c>
      <c r="D183" s="80">
        <f ca="1">IFERROR(__xludf.DUMMYFUNCTION("""COMPUTED_VALUE"""),925)</f>
        <v>925</v>
      </c>
    </row>
    <row r="184" spans="1:4" ht="13.2">
      <c r="A184" s="5">
        <f ca="1">IFERROR(__xludf.DUMMYFUNCTION("""COMPUTED_VALUE"""),17)</f>
        <v>17</v>
      </c>
      <c r="B184" t="str">
        <f ca="1">IFERROR(__xludf.DUMMYFUNCTION("""COMPUTED_VALUE"""),"Arrow of slaying")</f>
        <v>Arrow of slaying</v>
      </c>
      <c r="C184" s="5" t="str">
        <f ca="1">IFERROR(__xludf.DUMMYFUNCTION("""COMPUTED_VALUE"""),"Magic")</f>
        <v>Magic</v>
      </c>
      <c r="D184" s="80">
        <f ca="1">IFERROR(__xludf.DUMMYFUNCTION("""COMPUTED_VALUE"""),1584)</f>
        <v>1584</v>
      </c>
    </row>
    <row r="185" spans="1:4" ht="13.2">
      <c r="A185" s="5">
        <f ca="1">IFERROR(__xludf.DUMMYFUNCTION("""COMPUTED_VALUE"""),18)</f>
        <v>18</v>
      </c>
      <c r="B185" t="str">
        <f ca="1">IFERROR(__xludf.DUMMYFUNCTION("""COMPUTED_VALUE"""),"Arrow-catching shield")</f>
        <v>Arrow-catching shield</v>
      </c>
      <c r="C185" s="5" t="str">
        <f ca="1">IFERROR(__xludf.DUMMYFUNCTION("""COMPUTED_VALUE"""),"Magic")</f>
        <v>Magic</v>
      </c>
      <c r="D185" s="80">
        <f ca="1">IFERROR(__xludf.DUMMYFUNCTION("""COMPUTED_VALUE"""),925)</f>
        <v>925</v>
      </c>
    </row>
    <row r="186" spans="1:4" ht="13.2">
      <c r="A186" s="5">
        <f ca="1">IFERROR(__xludf.DUMMYFUNCTION("""COMPUTED_VALUE"""),19)</f>
        <v>19</v>
      </c>
      <c r="B186" t="str">
        <f ca="1">IFERROR(__xludf.DUMMYFUNCTION("""COMPUTED_VALUE"""),"Bag of beans")</f>
        <v>Bag of beans</v>
      </c>
      <c r="C186" s="5" t="str">
        <f ca="1">IFERROR(__xludf.DUMMYFUNCTION("""COMPUTED_VALUE"""),"Magic")</f>
        <v>Magic</v>
      </c>
      <c r="D186" s="80">
        <f ca="1">IFERROR(__xludf.DUMMYFUNCTION("""COMPUTED_VALUE"""),946)</f>
        <v>946</v>
      </c>
    </row>
    <row r="187" spans="1:4" ht="13.2">
      <c r="A187" s="5">
        <f ca="1">IFERROR(__xludf.DUMMYFUNCTION("""COMPUTED_VALUE"""),20)</f>
        <v>20</v>
      </c>
      <c r="B187" t="str">
        <f ca="1">IFERROR(__xludf.DUMMYFUNCTION("""COMPUTED_VALUE"""),"Bag of devouring")</f>
        <v>Bag of devouring</v>
      </c>
      <c r="C187" s="5" t="str">
        <f ca="1">IFERROR(__xludf.DUMMYFUNCTION("""COMPUTED_VALUE"""),"Magic")</f>
        <v>Magic</v>
      </c>
      <c r="D187" s="80">
        <f ca="1">IFERROR(__xludf.DUMMYFUNCTION("""COMPUTED_VALUE"""),1564)</f>
        <v>1564</v>
      </c>
    </row>
    <row r="188" spans="1:4" ht="13.2">
      <c r="A188" s="5">
        <f ca="1">IFERROR(__xludf.DUMMYFUNCTION("""COMPUTED_VALUE"""),21)</f>
        <v>21</v>
      </c>
      <c r="B188" t="str">
        <f ca="1">IFERROR(__xludf.DUMMYFUNCTION("""COMPUTED_VALUE"""),"Bag of holding")</f>
        <v>Bag of holding</v>
      </c>
      <c r="C188" s="5" t="str">
        <f ca="1">IFERROR(__xludf.DUMMYFUNCTION("""COMPUTED_VALUE"""),"Magic")</f>
        <v>Magic</v>
      </c>
      <c r="D188" s="80">
        <f ca="1">IFERROR(__xludf.DUMMYFUNCTION("""COMPUTED_VALUE"""),384)</f>
        <v>384</v>
      </c>
    </row>
    <row r="189" spans="1:4" ht="13.2">
      <c r="A189" s="5">
        <f ca="1">IFERROR(__xludf.DUMMYFUNCTION("""COMPUTED_VALUE"""),22)</f>
        <v>22</v>
      </c>
      <c r="B189" t="str">
        <f ca="1">IFERROR(__xludf.DUMMYFUNCTION("""COMPUTED_VALUE"""),"Bag of tricks")</f>
        <v>Bag of tricks</v>
      </c>
      <c r="C189" s="5" t="str">
        <f ca="1">IFERROR(__xludf.DUMMYFUNCTION("""COMPUTED_VALUE"""),"Magic")</f>
        <v>Magic</v>
      </c>
      <c r="D189" s="80">
        <f ca="1">IFERROR(__xludf.DUMMYFUNCTION("""COMPUTED_VALUE"""),372)</f>
        <v>372</v>
      </c>
    </row>
    <row r="190" spans="1:4" ht="13.2">
      <c r="A190" s="5">
        <f ca="1">IFERROR(__xludf.DUMMYFUNCTION("""COMPUTED_VALUE"""),23)</f>
        <v>23</v>
      </c>
      <c r="B190" t="str">
        <f ca="1">IFERROR(__xludf.DUMMYFUNCTION("""COMPUTED_VALUE"""),"Bead of force")</f>
        <v>Bead of force</v>
      </c>
      <c r="C190" s="5" t="str">
        <f ca="1">IFERROR(__xludf.DUMMYFUNCTION("""COMPUTED_VALUE"""),"Magic")</f>
        <v>Magic</v>
      </c>
      <c r="D190" s="80">
        <f ca="1">IFERROR(__xludf.DUMMYFUNCTION("""COMPUTED_VALUE"""),946)</f>
        <v>946</v>
      </c>
    </row>
    <row r="191" spans="1:4" ht="13.2">
      <c r="A191" s="5">
        <f ca="1">IFERROR(__xludf.DUMMYFUNCTION("""COMPUTED_VALUE"""),24)</f>
        <v>24</v>
      </c>
      <c r="B191" t="str">
        <f ca="1">IFERROR(__xludf.DUMMYFUNCTION("""COMPUTED_VALUE"""),"Belt of dwarvenkind")</f>
        <v>Belt of dwarvenkind</v>
      </c>
      <c r="C191" s="5" t="str">
        <f ca="1">IFERROR(__xludf.DUMMYFUNCTION("""COMPUTED_VALUE"""),"Magic")</f>
        <v>Magic</v>
      </c>
      <c r="D191" s="80">
        <f ca="1">IFERROR(__xludf.DUMMYFUNCTION("""COMPUTED_VALUE"""),928)</f>
        <v>928</v>
      </c>
    </row>
    <row r="192" spans="1:4" ht="13.2">
      <c r="A192" s="5">
        <f ca="1">IFERROR(__xludf.DUMMYFUNCTION("""COMPUTED_VALUE"""),25)</f>
        <v>25</v>
      </c>
      <c r="B192" t="str">
        <f ca="1">IFERROR(__xludf.DUMMYFUNCTION("""COMPUTED_VALUE"""),"Belt of giant strength (cloud giant)")</f>
        <v>Belt of giant strength (cloud giant)</v>
      </c>
      <c r="C192" s="5" t="str">
        <f ca="1">IFERROR(__xludf.DUMMYFUNCTION("""COMPUTED_VALUE"""),"Magic")</f>
        <v>Magic</v>
      </c>
      <c r="D192" s="80">
        <f ca="1">IFERROR(__xludf.DUMMYFUNCTION("""COMPUTED_VALUE"""),3065)</f>
        <v>3065</v>
      </c>
    </row>
    <row r="193" spans="1:4" ht="13.2">
      <c r="A193" s="5">
        <f ca="1">IFERROR(__xludf.DUMMYFUNCTION("""COMPUTED_VALUE"""),26)</f>
        <v>26</v>
      </c>
      <c r="B193" t="str">
        <f ca="1">IFERROR(__xludf.DUMMYFUNCTION("""COMPUTED_VALUE"""),"Belt of giant strength (fire giant)")</f>
        <v>Belt of giant strength (fire giant)</v>
      </c>
      <c r="C193" s="5" t="str">
        <f ca="1">IFERROR(__xludf.DUMMYFUNCTION("""COMPUTED_VALUE"""),"Magic")</f>
        <v>Magic</v>
      </c>
      <c r="D193" s="80">
        <f ca="1">IFERROR(__xludf.DUMMYFUNCTION("""COMPUTED_VALUE"""),1568)</f>
        <v>1568</v>
      </c>
    </row>
    <row r="194" spans="1:4" ht="13.2">
      <c r="A194" s="5">
        <f ca="1">IFERROR(__xludf.DUMMYFUNCTION("""COMPUTED_VALUE"""),27)</f>
        <v>27</v>
      </c>
      <c r="B194" t="str">
        <f ca="1">IFERROR(__xludf.DUMMYFUNCTION("""COMPUTED_VALUE"""),"Belt of giant strength (frost or stone giant)")</f>
        <v>Belt of giant strength (frost or stone giant)</v>
      </c>
      <c r="C194" s="5" t="str">
        <f ca="1">IFERROR(__xludf.DUMMYFUNCTION("""COMPUTED_VALUE"""),"Magic")</f>
        <v>Magic</v>
      </c>
      <c r="D194" s="80">
        <f ca="1">IFERROR(__xludf.DUMMYFUNCTION("""COMPUTED_VALUE"""),1592)</f>
        <v>1592</v>
      </c>
    </row>
    <row r="195" spans="1:4" ht="13.2">
      <c r="A195" s="5">
        <f ca="1">IFERROR(__xludf.DUMMYFUNCTION("""COMPUTED_VALUE"""),28)</f>
        <v>28</v>
      </c>
      <c r="B195" t="str">
        <f ca="1">IFERROR(__xludf.DUMMYFUNCTION("""COMPUTED_VALUE"""),"Belt of giant strength (hill giant)")</f>
        <v>Belt of giant strength (hill giant)</v>
      </c>
      <c r="C195" s="5" t="str">
        <f ca="1">IFERROR(__xludf.DUMMYFUNCTION("""COMPUTED_VALUE"""),"Magic")</f>
        <v>Magic</v>
      </c>
      <c r="D195" s="80">
        <f ca="1">IFERROR(__xludf.DUMMYFUNCTION("""COMPUTED_VALUE"""),931)</f>
        <v>931</v>
      </c>
    </row>
    <row r="196" spans="1:4" ht="13.2">
      <c r="A196" s="5">
        <f ca="1">IFERROR(__xludf.DUMMYFUNCTION("""COMPUTED_VALUE"""),29)</f>
        <v>29</v>
      </c>
      <c r="B196" t="str">
        <f ca="1">IFERROR(__xludf.DUMMYFUNCTION("""COMPUTED_VALUE"""),"Belt of giant strength (storm giant)")</f>
        <v>Belt of giant strength (storm giant)</v>
      </c>
      <c r="C196" s="5" t="str">
        <f ca="1">IFERROR(__xludf.DUMMYFUNCTION("""COMPUTED_VALUE"""),"Magic")</f>
        <v>Magic</v>
      </c>
      <c r="D196" s="80">
        <f ca="1">IFERROR(__xludf.DUMMYFUNCTION("""COMPUTED_VALUE"""),3065)</f>
        <v>3065</v>
      </c>
    </row>
    <row r="197" spans="1:4" ht="13.2">
      <c r="A197" s="5">
        <f ca="1">IFERROR(__xludf.DUMMYFUNCTION("""COMPUTED_VALUE"""),30)</f>
        <v>30</v>
      </c>
      <c r="B197" t="str">
        <f ca="1">IFERROR(__xludf.DUMMYFUNCTION("""COMPUTED_VALUE"""),"Berserker axe")</f>
        <v>Berserker axe</v>
      </c>
      <c r="C197" s="5" t="str">
        <f ca="1">IFERROR(__xludf.DUMMYFUNCTION("""COMPUTED_VALUE"""),"Magic")</f>
        <v>Magic</v>
      </c>
      <c r="D197" s="80">
        <f ca="1">IFERROR(__xludf.DUMMYFUNCTION("""COMPUTED_VALUE"""),931)</f>
        <v>931</v>
      </c>
    </row>
    <row r="198" spans="1:4" ht="13.2">
      <c r="A198" s="5">
        <f ca="1">IFERROR(__xludf.DUMMYFUNCTION("""COMPUTED_VALUE"""),31)</f>
        <v>31</v>
      </c>
      <c r="B198" t="str">
        <f ca="1">IFERROR(__xludf.DUMMYFUNCTION("""COMPUTED_VALUE"""),"Boots of elvenkind")</f>
        <v>Boots of elvenkind</v>
      </c>
      <c r="C198" s="5" t="str">
        <f ca="1">IFERROR(__xludf.DUMMYFUNCTION("""COMPUTED_VALUE"""),"Magic")</f>
        <v>Magic</v>
      </c>
      <c r="D198" s="80">
        <f ca="1">IFERROR(__xludf.DUMMYFUNCTION("""COMPUTED_VALUE"""),388)</f>
        <v>388</v>
      </c>
    </row>
    <row r="199" spans="1:4" ht="13.2">
      <c r="A199" s="5">
        <f ca="1">IFERROR(__xludf.DUMMYFUNCTION("""COMPUTED_VALUE"""),32)</f>
        <v>32</v>
      </c>
      <c r="B199" t="str">
        <f ca="1">IFERROR(__xludf.DUMMYFUNCTION("""COMPUTED_VALUE"""),"Boots of levitation")</f>
        <v>Boots of levitation</v>
      </c>
      <c r="C199" s="5" t="str">
        <f ca="1">IFERROR(__xludf.DUMMYFUNCTION("""COMPUTED_VALUE"""),"Magic")</f>
        <v>Magic</v>
      </c>
      <c r="D199" s="80">
        <f ca="1">IFERROR(__xludf.DUMMYFUNCTION("""COMPUTED_VALUE"""),934)</f>
        <v>934</v>
      </c>
    </row>
    <row r="200" spans="1:4" ht="13.2">
      <c r="A200" s="5">
        <f ca="1">IFERROR(__xludf.DUMMYFUNCTION("""COMPUTED_VALUE"""),33)</f>
        <v>33</v>
      </c>
      <c r="B200" t="str">
        <f ca="1">IFERROR(__xludf.DUMMYFUNCTION("""COMPUTED_VALUE"""),"Boots of speed")</f>
        <v>Boots of speed</v>
      </c>
      <c r="C200" s="5" t="str">
        <f ca="1">IFERROR(__xludf.DUMMYFUNCTION("""COMPUTED_VALUE"""),"Magic")</f>
        <v>Magic</v>
      </c>
      <c r="D200" s="80">
        <f ca="1">IFERROR(__xludf.DUMMYFUNCTION("""COMPUTED_VALUE"""),952)</f>
        <v>952</v>
      </c>
    </row>
    <row r="201" spans="1:4" ht="13.2">
      <c r="A201" s="5">
        <f ca="1">IFERROR(__xludf.DUMMYFUNCTION("""COMPUTED_VALUE"""),34)</f>
        <v>34</v>
      </c>
      <c r="B201" t="str">
        <f ca="1">IFERROR(__xludf.DUMMYFUNCTION("""COMPUTED_VALUE"""),"Boots of striding and springing")</f>
        <v>Boots of striding and springing</v>
      </c>
      <c r="C201" s="5" t="str">
        <f ca="1">IFERROR(__xludf.DUMMYFUNCTION("""COMPUTED_VALUE"""),"Magic")</f>
        <v>Magic</v>
      </c>
      <c r="D201" s="80">
        <f ca="1">IFERROR(__xludf.DUMMYFUNCTION("""COMPUTED_VALUE"""),376)</f>
        <v>376</v>
      </c>
    </row>
    <row r="202" spans="1:4" ht="13.2">
      <c r="A202" s="5">
        <f ca="1">IFERROR(__xludf.DUMMYFUNCTION("""COMPUTED_VALUE"""),35)</f>
        <v>35</v>
      </c>
      <c r="B202" t="str">
        <f ca="1">IFERROR(__xludf.DUMMYFUNCTION("""COMPUTED_VALUE"""),"Boots of the winterlands")</f>
        <v>Boots of the winterlands</v>
      </c>
      <c r="C202" s="5" t="str">
        <f ca="1">IFERROR(__xludf.DUMMYFUNCTION("""COMPUTED_VALUE"""),"Magic")</f>
        <v>Magic</v>
      </c>
      <c r="D202" s="80">
        <f ca="1">IFERROR(__xludf.DUMMYFUNCTION("""COMPUTED_VALUE"""),388)</f>
        <v>388</v>
      </c>
    </row>
    <row r="203" spans="1:4" ht="13.2">
      <c r="A203" s="5">
        <f ca="1">IFERROR(__xludf.DUMMYFUNCTION("""COMPUTED_VALUE"""),36)</f>
        <v>36</v>
      </c>
      <c r="B203" t="str">
        <f ca="1">IFERROR(__xludf.DUMMYFUNCTION("""COMPUTED_VALUE"""),"Bowl of commanding water elementals")</f>
        <v>Bowl of commanding water elementals</v>
      </c>
      <c r="C203" s="5" t="str">
        <f ca="1">IFERROR(__xludf.DUMMYFUNCTION("""COMPUTED_VALUE"""),"Magic")</f>
        <v>Magic</v>
      </c>
      <c r="D203" s="80">
        <f ca="1">IFERROR(__xludf.DUMMYFUNCTION("""COMPUTED_VALUE"""),934)</f>
        <v>934</v>
      </c>
    </row>
    <row r="204" spans="1:4" ht="13.2">
      <c r="A204" s="5">
        <f ca="1">IFERROR(__xludf.DUMMYFUNCTION("""COMPUTED_VALUE"""),37)</f>
        <v>37</v>
      </c>
      <c r="B204" t="str">
        <f ca="1">IFERROR(__xludf.DUMMYFUNCTION("""COMPUTED_VALUE"""),"Bracers of archery")</f>
        <v>Bracers of archery</v>
      </c>
      <c r="C204" s="5" t="str">
        <f ca="1">IFERROR(__xludf.DUMMYFUNCTION("""COMPUTED_VALUE"""),"Magic")</f>
        <v>Magic</v>
      </c>
      <c r="D204" s="80">
        <f ca="1">IFERROR(__xludf.DUMMYFUNCTION("""COMPUTED_VALUE"""),366)</f>
        <v>366</v>
      </c>
    </row>
    <row r="205" spans="1:4" ht="13.2">
      <c r="A205" s="5">
        <f ca="1">IFERROR(__xludf.DUMMYFUNCTION("""COMPUTED_VALUE"""),38)</f>
        <v>38</v>
      </c>
      <c r="B205" t="str">
        <f ca="1">IFERROR(__xludf.DUMMYFUNCTION("""COMPUTED_VALUE"""),"Bracers of defense")</f>
        <v>Bracers of defense</v>
      </c>
      <c r="C205" s="5" t="str">
        <f ca="1">IFERROR(__xludf.DUMMYFUNCTION("""COMPUTED_VALUE"""),"Magic")</f>
        <v>Magic</v>
      </c>
      <c r="D205" s="80">
        <f ca="1">IFERROR(__xludf.DUMMYFUNCTION("""COMPUTED_VALUE"""),937)</f>
        <v>937</v>
      </c>
    </row>
    <row r="206" spans="1:4" ht="13.2">
      <c r="A206" s="5">
        <f ca="1">IFERROR(__xludf.DUMMYFUNCTION("""COMPUTED_VALUE"""),39)</f>
        <v>39</v>
      </c>
      <c r="B206" t="str">
        <f ca="1">IFERROR(__xludf.DUMMYFUNCTION("""COMPUTED_VALUE"""),"Brazier of commanding fire elementals")</f>
        <v>Brazier of commanding fire elementals</v>
      </c>
      <c r="C206" s="5" t="str">
        <f ca="1">IFERROR(__xludf.DUMMYFUNCTION("""COMPUTED_VALUE"""),"Magic")</f>
        <v>Magic</v>
      </c>
      <c r="D206" s="80">
        <f ca="1">IFERROR(__xludf.DUMMYFUNCTION("""COMPUTED_VALUE"""),919)</f>
        <v>919</v>
      </c>
    </row>
    <row r="207" spans="1:4" ht="13.2">
      <c r="A207" s="5">
        <f ca="1">IFERROR(__xludf.DUMMYFUNCTION("""COMPUTED_VALUE"""),40)</f>
        <v>40</v>
      </c>
      <c r="B207" t="str">
        <f ca="1">IFERROR(__xludf.DUMMYFUNCTION("""COMPUTED_VALUE"""),"Brooch of shielding")</f>
        <v>Brooch of shielding</v>
      </c>
      <c r="C207" s="5" t="str">
        <f ca="1">IFERROR(__xludf.DUMMYFUNCTION("""COMPUTED_VALUE"""),"Magic")</f>
        <v>Magic</v>
      </c>
      <c r="D207" s="80">
        <f ca="1">IFERROR(__xludf.DUMMYFUNCTION("""COMPUTED_VALUE"""),378)</f>
        <v>378</v>
      </c>
    </row>
    <row r="208" spans="1:4" ht="13.2">
      <c r="A208" s="5">
        <f ca="1">IFERROR(__xludf.DUMMYFUNCTION("""COMPUTED_VALUE"""),41)</f>
        <v>41</v>
      </c>
      <c r="B208" t="str">
        <f ca="1">IFERROR(__xludf.DUMMYFUNCTION("""COMPUTED_VALUE"""),"Broom of flying")</f>
        <v>Broom of flying</v>
      </c>
      <c r="C208" s="5" t="str">
        <f ca="1">IFERROR(__xludf.DUMMYFUNCTION("""COMPUTED_VALUE"""),"Magic")</f>
        <v>Magic</v>
      </c>
      <c r="D208" s="80">
        <f ca="1">IFERROR(__xludf.DUMMYFUNCTION("""COMPUTED_VALUE"""),366)</f>
        <v>366</v>
      </c>
    </row>
    <row r="209" spans="1:4" ht="13.2">
      <c r="A209" s="5">
        <f ca="1">IFERROR(__xludf.DUMMYFUNCTION("""COMPUTED_VALUE"""),42)</f>
        <v>42</v>
      </c>
      <c r="B209" t="str">
        <f ca="1">IFERROR(__xludf.DUMMYFUNCTION("""COMPUTED_VALUE"""),"Candle of invocation")</f>
        <v>Candle of invocation</v>
      </c>
      <c r="C209" s="5" t="str">
        <f ca="1">IFERROR(__xludf.DUMMYFUNCTION("""COMPUTED_VALUE"""),"Magic")</f>
        <v>Magic</v>
      </c>
      <c r="D209" s="80">
        <f ca="1">IFERROR(__xludf.DUMMYFUNCTION("""COMPUTED_VALUE"""),1576)</f>
        <v>1576</v>
      </c>
    </row>
    <row r="210" spans="1:4" ht="13.2">
      <c r="A210" s="5">
        <f ca="1">IFERROR(__xludf.DUMMYFUNCTION("""COMPUTED_VALUE"""),43)</f>
        <v>43</v>
      </c>
      <c r="B210" t="str">
        <f ca="1">IFERROR(__xludf.DUMMYFUNCTION("""COMPUTED_VALUE"""),"Cap of water breathing")</f>
        <v>Cap of water breathing</v>
      </c>
      <c r="C210" s="5" t="str">
        <f ca="1">IFERROR(__xludf.DUMMYFUNCTION("""COMPUTED_VALUE"""),"Magic")</f>
        <v>Magic</v>
      </c>
      <c r="D210" s="80">
        <f ca="1">IFERROR(__xludf.DUMMYFUNCTION("""COMPUTED_VALUE"""),368)</f>
        <v>368</v>
      </c>
    </row>
    <row r="211" spans="1:4" ht="13.2">
      <c r="A211" s="5">
        <f ca="1">IFERROR(__xludf.DUMMYFUNCTION("""COMPUTED_VALUE"""),44)</f>
        <v>44</v>
      </c>
      <c r="B211" t="str">
        <f ca="1">IFERROR(__xludf.DUMMYFUNCTION("""COMPUTED_VALUE"""),"Cape of the mountebank")</f>
        <v>Cape of the mountebank</v>
      </c>
      <c r="C211" s="5" t="str">
        <f ca="1">IFERROR(__xludf.DUMMYFUNCTION("""COMPUTED_VALUE"""),"Magic")</f>
        <v>Magic</v>
      </c>
      <c r="D211" s="80">
        <f ca="1">IFERROR(__xludf.DUMMYFUNCTION("""COMPUTED_VALUE"""),940)</f>
        <v>940</v>
      </c>
    </row>
    <row r="212" spans="1:4" ht="13.2">
      <c r="A212" s="5">
        <f ca="1">IFERROR(__xludf.DUMMYFUNCTION("""COMPUTED_VALUE"""),45)</f>
        <v>45</v>
      </c>
      <c r="B212" t="str">
        <f ca="1">IFERROR(__xludf.DUMMYFUNCTION("""COMPUTED_VALUE"""),"Carpet of flying")</f>
        <v>Carpet of flying</v>
      </c>
      <c r="C212" s="5" t="str">
        <f ca="1">IFERROR(__xludf.DUMMYFUNCTION("""COMPUTED_VALUE"""),"Magic")</f>
        <v>Magic</v>
      </c>
      <c r="D212" s="80">
        <f ca="1">IFERROR(__xludf.DUMMYFUNCTION("""COMPUTED_VALUE"""),1556)</f>
        <v>1556</v>
      </c>
    </row>
    <row r="213" spans="1:4" ht="13.2">
      <c r="A213" s="5">
        <f ca="1">IFERROR(__xludf.DUMMYFUNCTION("""COMPUTED_VALUE"""),46)</f>
        <v>46</v>
      </c>
      <c r="B213" t="str">
        <f ca="1">IFERROR(__xludf.DUMMYFUNCTION("""COMPUTED_VALUE"""),"Censer of controlling air elementals")</f>
        <v>Censer of controlling air elementals</v>
      </c>
      <c r="C213" s="5" t="str">
        <f ca="1">IFERROR(__xludf.DUMMYFUNCTION("""COMPUTED_VALUE"""),"Magic")</f>
        <v>Magic</v>
      </c>
      <c r="D213" s="80">
        <f ca="1">IFERROR(__xludf.DUMMYFUNCTION("""COMPUTED_VALUE"""),940)</f>
        <v>940</v>
      </c>
    </row>
    <row r="214" spans="1:4" ht="13.2">
      <c r="A214" s="5">
        <f ca="1">IFERROR(__xludf.DUMMYFUNCTION("""COMPUTED_VALUE"""),47)</f>
        <v>47</v>
      </c>
      <c r="B214" t="str">
        <f ca="1">IFERROR(__xludf.DUMMYFUNCTION("""COMPUTED_VALUE"""),"Chime of opening")</f>
        <v>Chime of opening</v>
      </c>
      <c r="C214" s="5" t="str">
        <f ca="1">IFERROR(__xludf.DUMMYFUNCTION("""COMPUTED_VALUE"""),"Magic")</f>
        <v>Magic</v>
      </c>
      <c r="D214" s="80">
        <f ca="1">IFERROR(__xludf.DUMMYFUNCTION("""COMPUTED_VALUE"""),922)</f>
        <v>922</v>
      </c>
    </row>
    <row r="215" spans="1:4" ht="13.2">
      <c r="A215" s="5">
        <f ca="1">IFERROR(__xludf.DUMMYFUNCTION("""COMPUTED_VALUE"""),48)</f>
        <v>48</v>
      </c>
      <c r="B215" t="str">
        <f ca="1">IFERROR(__xludf.DUMMYFUNCTION("""COMPUTED_VALUE"""),"Circlet of blasting")</f>
        <v>Circlet of blasting</v>
      </c>
      <c r="C215" s="5" t="str">
        <f ca="1">IFERROR(__xludf.DUMMYFUNCTION("""COMPUTED_VALUE"""),"Magic")</f>
        <v>Magic</v>
      </c>
      <c r="D215" s="80">
        <f ca="1">IFERROR(__xludf.DUMMYFUNCTION("""COMPUTED_VALUE"""),380)</f>
        <v>380</v>
      </c>
    </row>
    <row r="216" spans="1:4" ht="13.2">
      <c r="A216" s="5">
        <f ca="1">IFERROR(__xludf.DUMMYFUNCTION("""COMPUTED_VALUE"""),49)</f>
        <v>49</v>
      </c>
      <c r="B216" t="str">
        <f ca="1">IFERROR(__xludf.DUMMYFUNCTION("""COMPUTED_VALUE"""),"Cloak of arachnida")</f>
        <v>Cloak of arachnida</v>
      </c>
      <c r="C216" s="5" t="str">
        <f ca="1">IFERROR(__xludf.DUMMYFUNCTION("""COMPUTED_VALUE"""),"Magic")</f>
        <v>Magic</v>
      </c>
      <c r="D216" s="80">
        <f ca="1">IFERROR(__xludf.DUMMYFUNCTION("""COMPUTED_VALUE"""),1560)</f>
        <v>1560</v>
      </c>
    </row>
    <row r="217" spans="1:4" ht="13.2">
      <c r="A217" s="5">
        <f ca="1">IFERROR(__xludf.DUMMYFUNCTION("""COMPUTED_VALUE"""),50)</f>
        <v>50</v>
      </c>
      <c r="B217" t="str">
        <f ca="1">IFERROR(__xludf.DUMMYFUNCTION("""COMPUTED_VALUE"""),"Cloak of displacement")</f>
        <v>Cloak of displacement</v>
      </c>
      <c r="C217" s="5" t="str">
        <f ca="1">IFERROR(__xludf.DUMMYFUNCTION("""COMPUTED_VALUE"""),"Magic")</f>
        <v>Magic</v>
      </c>
      <c r="D217" s="80">
        <f ca="1">IFERROR(__xludf.DUMMYFUNCTION("""COMPUTED_VALUE"""),943)</f>
        <v>943</v>
      </c>
    </row>
    <row r="218" spans="1:4" ht="13.2">
      <c r="A218" s="5">
        <f ca="1">IFERROR(__xludf.DUMMYFUNCTION("""COMPUTED_VALUE"""),51)</f>
        <v>51</v>
      </c>
      <c r="B218" t="str">
        <f ca="1">IFERROR(__xludf.DUMMYFUNCTION("""COMPUTED_VALUE"""),"Cloak of elvenkind")</f>
        <v>Cloak of elvenkind</v>
      </c>
      <c r="C218" s="5" t="str">
        <f ca="1">IFERROR(__xludf.DUMMYFUNCTION("""COMPUTED_VALUE"""),"Magic")</f>
        <v>Magic</v>
      </c>
      <c r="D218" s="80">
        <f ca="1">IFERROR(__xludf.DUMMYFUNCTION("""COMPUTED_VALUE"""),370)</f>
        <v>370</v>
      </c>
    </row>
    <row r="219" spans="1:4" ht="13.2">
      <c r="A219" s="5">
        <f ca="1">IFERROR(__xludf.DUMMYFUNCTION("""COMPUTED_VALUE"""),52)</f>
        <v>52</v>
      </c>
      <c r="B219" t="str">
        <f ca="1">IFERROR(__xludf.DUMMYFUNCTION("""COMPUTED_VALUE"""),"Cloak of invisibility")</f>
        <v>Cloak of invisibility</v>
      </c>
      <c r="C219" s="5" t="str">
        <f ca="1">IFERROR(__xludf.DUMMYFUNCTION("""COMPUTED_VALUE"""),"Magic")</f>
        <v>Magic</v>
      </c>
      <c r="D219" s="80">
        <f ca="1">IFERROR(__xludf.DUMMYFUNCTION("""COMPUTED_VALUE"""),3055)</f>
        <v>3055</v>
      </c>
    </row>
    <row r="220" spans="1:4" ht="13.2">
      <c r="A220" s="5">
        <f ca="1">IFERROR(__xludf.DUMMYFUNCTION("""COMPUTED_VALUE"""),53)</f>
        <v>53</v>
      </c>
      <c r="B220" t="str">
        <f ca="1">IFERROR(__xludf.DUMMYFUNCTION("""COMPUTED_VALUE"""),"Cloak of protection")</f>
        <v>Cloak of protection</v>
      </c>
      <c r="C220" s="5" t="str">
        <f ca="1">IFERROR(__xludf.DUMMYFUNCTION("""COMPUTED_VALUE"""),"Magic")</f>
        <v>Magic</v>
      </c>
      <c r="D220" s="80">
        <f ca="1">IFERROR(__xludf.DUMMYFUNCTION("""COMPUTED_VALUE"""),370)</f>
        <v>370</v>
      </c>
    </row>
    <row r="221" spans="1:4" ht="13.2">
      <c r="A221" s="5">
        <f ca="1">IFERROR(__xludf.DUMMYFUNCTION("""COMPUTED_VALUE"""),54)</f>
        <v>54</v>
      </c>
      <c r="B221" t="str">
        <f ca="1">IFERROR(__xludf.DUMMYFUNCTION("""COMPUTED_VALUE"""),"Cloak of the bat")</f>
        <v>Cloak of the bat</v>
      </c>
      <c r="C221" s="5" t="str">
        <f ca="1">IFERROR(__xludf.DUMMYFUNCTION("""COMPUTED_VALUE"""),"Magic")</f>
        <v>Magic</v>
      </c>
      <c r="D221" s="80">
        <f ca="1">IFERROR(__xludf.DUMMYFUNCTION("""COMPUTED_VALUE"""),943)</f>
        <v>943</v>
      </c>
    </row>
    <row r="222" spans="1:4" ht="13.2">
      <c r="A222" s="5">
        <f ca="1">IFERROR(__xludf.DUMMYFUNCTION("""COMPUTED_VALUE"""),55)</f>
        <v>55</v>
      </c>
      <c r="B222" t="str">
        <f ca="1">IFERROR(__xludf.DUMMYFUNCTION("""COMPUTED_VALUE"""),"Cloak of the manta ray")</f>
        <v>Cloak of the manta ray</v>
      </c>
      <c r="C222" s="5" t="str">
        <f ca="1">IFERROR(__xludf.DUMMYFUNCTION("""COMPUTED_VALUE"""),"Magic")</f>
        <v>Magic</v>
      </c>
      <c r="D222" s="80">
        <f ca="1">IFERROR(__xludf.DUMMYFUNCTION("""COMPUTED_VALUE"""),372)</f>
        <v>372</v>
      </c>
    </row>
    <row r="223" spans="1:4" ht="13.2">
      <c r="A223" s="5">
        <f ca="1">IFERROR(__xludf.DUMMYFUNCTION("""COMPUTED_VALUE"""),56)</f>
        <v>56</v>
      </c>
      <c r="B223" t="str">
        <f ca="1">IFERROR(__xludf.DUMMYFUNCTION("""COMPUTED_VALUE"""),"Crystal ball")</f>
        <v>Crystal ball</v>
      </c>
      <c r="C223" s="5" t="str">
        <f ca="1">IFERROR(__xludf.DUMMYFUNCTION("""COMPUTED_VALUE"""),"Magic")</f>
        <v>Magic</v>
      </c>
      <c r="D223" s="80">
        <f ca="1">IFERROR(__xludf.DUMMYFUNCTION("""COMPUTED_VALUE"""),1588)</f>
        <v>1588</v>
      </c>
    </row>
    <row r="224" spans="1:4" ht="13.2">
      <c r="A224" s="5">
        <f ca="1">IFERROR(__xludf.DUMMYFUNCTION("""COMPUTED_VALUE"""),57)</f>
        <v>57</v>
      </c>
      <c r="B224" t="str">
        <f ca="1">IFERROR(__xludf.DUMMYFUNCTION("""COMPUTED_VALUE"""),"Crystal ball")</f>
        <v>Crystal ball</v>
      </c>
      <c r="C224" s="5" t="str">
        <f ca="1">IFERROR(__xludf.DUMMYFUNCTION("""COMPUTED_VALUE"""),"Magic")</f>
        <v>Magic</v>
      </c>
      <c r="D224" s="80">
        <f ca="1">IFERROR(__xludf.DUMMYFUNCTION("""COMPUTED_VALUE"""),3030)</f>
        <v>3030</v>
      </c>
    </row>
    <row r="225" spans="1:4" ht="13.2">
      <c r="A225" s="5">
        <f ca="1">IFERROR(__xludf.DUMMYFUNCTION("""COMPUTED_VALUE"""),58)</f>
        <v>58</v>
      </c>
      <c r="B225" t="str">
        <f ca="1">IFERROR(__xludf.DUMMYFUNCTION("""COMPUTED_VALUE"""),"Cube of force")</f>
        <v>Cube of force</v>
      </c>
      <c r="C225" s="5" t="str">
        <f ca="1">IFERROR(__xludf.DUMMYFUNCTION("""COMPUTED_VALUE"""),"Magic")</f>
        <v>Magic</v>
      </c>
      <c r="D225" s="80">
        <f ca="1">IFERROR(__xludf.DUMMYFUNCTION("""COMPUTED_VALUE"""),946)</f>
        <v>946</v>
      </c>
    </row>
    <row r="226" spans="1:4" ht="13.2">
      <c r="A226" s="5">
        <f ca="1">IFERROR(__xludf.DUMMYFUNCTION("""COMPUTED_VALUE"""),59)</f>
        <v>59</v>
      </c>
      <c r="B226" t="str">
        <f ca="1">IFERROR(__xludf.DUMMYFUNCTION("""COMPUTED_VALUE"""),"Cubic gate")</f>
        <v>Cubic gate</v>
      </c>
      <c r="C226" s="5" t="str">
        <f ca="1">IFERROR(__xludf.DUMMYFUNCTION("""COMPUTED_VALUE"""),"Magic")</f>
        <v>Magic</v>
      </c>
      <c r="D226" s="80">
        <f ca="1">IFERROR(__xludf.DUMMYFUNCTION("""COMPUTED_VALUE"""),3030)</f>
        <v>3030</v>
      </c>
    </row>
    <row r="227" spans="1:4" ht="13.2">
      <c r="A227" s="5">
        <f ca="1">IFERROR(__xludf.DUMMYFUNCTION("""COMPUTED_VALUE"""),60)</f>
        <v>60</v>
      </c>
      <c r="B227" t="str">
        <f ca="1">IFERROR(__xludf.DUMMYFUNCTION("""COMPUTED_VALUE"""),"Daern’s instant fortress")</f>
        <v>Daern’s instant fortress</v>
      </c>
      <c r="C227" s="5" t="str">
        <f ca="1">IFERROR(__xludf.DUMMYFUNCTION("""COMPUTED_VALUE"""),"Magic")</f>
        <v>Magic</v>
      </c>
      <c r="D227" s="80">
        <f ca="1">IFERROR(__xludf.DUMMYFUNCTION("""COMPUTED_VALUE"""),946)</f>
        <v>946</v>
      </c>
    </row>
    <row r="228" spans="1:4" ht="13.2">
      <c r="A228" s="5">
        <f ca="1">IFERROR(__xludf.DUMMYFUNCTION("""COMPUTED_VALUE"""),61)</f>
        <v>61</v>
      </c>
      <c r="B228" t="str">
        <f ca="1">IFERROR(__xludf.DUMMYFUNCTION("""COMPUTED_VALUE"""),"Dagger of venom")</f>
        <v>Dagger of venom</v>
      </c>
      <c r="C228" s="5" t="str">
        <f ca="1">IFERROR(__xludf.DUMMYFUNCTION("""COMPUTED_VALUE"""),"Magic")</f>
        <v>Magic</v>
      </c>
      <c r="D228" s="80">
        <f ca="1">IFERROR(__xludf.DUMMYFUNCTION("""COMPUTED_VALUE"""),931)</f>
        <v>931</v>
      </c>
    </row>
    <row r="229" spans="1:4" ht="13.2">
      <c r="A229" s="5">
        <f ca="1">IFERROR(__xludf.DUMMYFUNCTION("""COMPUTED_VALUE"""),62)</f>
        <v>62</v>
      </c>
      <c r="B229" t="str">
        <f ca="1">IFERROR(__xludf.DUMMYFUNCTION("""COMPUTED_VALUE"""),"Dancing sword")</f>
        <v>Dancing sword</v>
      </c>
      <c r="C229" s="5" t="str">
        <f ca="1">IFERROR(__xludf.DUMMYFUNCTION("""COMPUTED_VALUE"""),"Magic")</f>
        <v>Magic</v>
      </c>
      <c r="D229" s="80">
        <f ca="1">IFERROR(__xludf.DUMMYFUNCTION("""COMPUTED_VALUE"""),1592)</f>
        <v>1592</v>
      </c>
    </row>
    <row r="230" spans="1:4" ht="13.2">
      <c r="A230" s="5">
        <f ca="1">IFERROR(__xludf.DUMMYFUNCTION("""COMPUTED_VALUE"""),63)</f>
        <v>63</v>
      </c>
      <c r="B230" t="str">
        <f ca="1">IFERROR(__xludf.DUMMYFUNCTION("""COMPUTED_VALUE"""),"Decanter of endless water")</f>
        <v>Decanter of endless water</v>
      </c>
      <c r="C230" s="5" t="str">
        <f ca="1">IFERROR(__xludf.DUMMYFUNCTION("""COMPUTED_VALUE"""),"Magic")</f>
        <v>Magic</v>
      </c>
      <c r="D230" s="80">
        <f ca="1">IFERROR(__xludf.DUMMYFUNCTION("""COMPUTED_VALUE"""),374)</f>
        <v>374</v>
      </c>
    </row>
    <row r="231" spans="1:4" ht="13.2">
      <c r="A231" s="5">
        <f ca="1">IFERROR(__xludf.DUMMYFUNCTION("""COMPUTED_VALUE"""),64)</f>
        <v>64</v>
      </c>
      <c r="B231" t="str">
        <f ca="1">IFERROR(__xludf.DUMMYFUNCTION("""COMPUTED_VALUE"""),"Deck of illusions")</f>
        <v>Deck of illusions</v>
      </c>
      <c r="C231" s="5" t="str">
        <f ca="1">IFERROR(__xludf.DUMMYFUNCTION("""COMPUTED_VALUE"""),"Magic")</f>
        <v>Magic</v>
      </c>
      <c r="D231" s="80">
        <f ca="1">IFERROR(__xludf.DUMMYFUNCTION("""COMPUTED_VALUE"""),386)</f>
        <v>386</v>
      </c>
    </row>
    <row r="232" spans="1:4" ht="13.2">
      <c r="A232" s="5">
        <f ca="1">IFERROR(__xludf.DUMMYFUNCTION("""COMPUTED_VALUE"""),65)</f>
        <v>65</v>
      </c>
      <c r="B232" t="str">
        <f ca="1">IFERROR(__xludf.DUMMYFUNCTION("""COMPUTED_VALUE"""),"Deck of many things")</f>
        <v>Deck of many things</v>
      </c>
      <c r="C232" s="5" t="str">
        <f ca="1">IFERROR(__xludf.DUMMYFUNCTION("""COMPUTED_VALUE"""),"Magic")</f>
        <v>Magic</v>
      </c>
      <c r="D232" s="80">
        <f ca="1">IFERROR(__xludf.DUMMYFUNCTION("""COMPUTED_VALUE"""),3035)</f>
        <v>3035</v>
      </c>
    </row>
    <row r="233" spans="1:4" ht="13.2">
      <c r="A233" s="5">
        <f ca="1">IFERROR(__xludf.DUMMYFUNCTION("""COMPUTED_VALUE"""),66)</f>
        <v>66</v>
      </c>
      <c r="B233" t="str">
        <f ca="1">IFERROR(__xludf.DUMMYFUNCTION("""COMPUTED_VALUE"""),"Defender")</f>
        <v>Defender</v>
      </c>
      <c r="C233" s="5" t="str">
        <f ca="1">IFERROR(__xludf.DUMMYFUNCTION("""COMPUTED_VALUE"""),"Magic")</f>
        <v>Magic</v>
      </c>
      <c r="D233" s="80">
        <f ca="1">IFERROR(__xludf.DUMMYFUNCTION("""COMPUTED_VALUE"""),3065)</f>
        <v>3065</v>
      </c>
    </row>
    <row r="234" spans="1:4" ht="13.2">
      <c r="A234" s="5">
        <f ca="1">IFERROR(__xludf.DUMMYFUNCTION("""COMPUTED_VALUE"""),67)</f>
        <v>67</v>
      </c>
      <c r="B234" t="str">
        <f ca="1">IFERROR(__xludf.DUMMYFUNCTION("""COMPUTED_VALUE"""),"Demon armor")</f>
        <v>Demon armor</v>
      </c>
      <c r="C234" s="5" t="str">
        <f ca="1">IFERROR(__xludf.DUMMYFUNCTION("""COMPUTED_VALUE"""),"Magic")</f>
        <v>Magic</v>
      </c>
      <c r="D234" s="80">
        <f ca="1">IFERROR(__xludf.DUMMYFUNCTION("""COMPUTED_VALUE"""),1572)</f>
        <v>1572</v>
      </c>
    </row>
    <row r="235" spans="1:4" ht="13.2">
      <c r="A235" s="5">
        <f ca="1">IFERROR(__xludf.DUMMYFUNCTION("""COMPUTED_VALUE"""),68)</f>
        <v>68</v>
      </c>
      <c r="B235" t="str">
        <f ca="1">IFERROR(__xludf.DUMMYFUNCTION("""COMPUTED_VALUE"""),"Dimensional shackles")</f>
        <v>Dimensional shackles</v>
      </c>
      <c r="C235" s="5" t="str">
        <f ca="1">IFERROR(__xludf.DUMMYFUNCTION("""COMPUTED_VALUE"""),"Magic")</f>
        <v>Magic</v>
      </c>
      <c r="D235" s="80">
        <f ca="1">IFERROR(__xludf.DUMMYFUNCTION("""COMPUTED_VALUE"""),952)</f>
        <v>952</v>
      </c>
    </row>
    <row r="236" spans="1:4" ht="13.2">
      <c r="A236" s="5">
        <f ca="1">IFERROR(__xludf.DUMMYFUNCTION("""COMPUTED_VALUE"""),69)</f>
        <v>69</v>
      </c>
      <c r="B236" t="str">
        <f ca="1">IFERROR(__xludf.DUMMYFUNCTION("""COMPUTED_VALUE"""),"Dragon scale mail")</f>
        <v>Dragon scale mail</v>
      </c>
      <c r="C236" s="5" t="str">
        <f ca="1">IFERROR(__xludf.DUMMYFUNCTION("""COMPUTED_VALUE"""),"Magic")</f>
        <v>Magic</v>
      </c>
      <c r="D236" s="80">
        <f ca="1">IFERROR(__xludf.DUMMYFUNCTION("""COMPUTED_VALUE"""),1572)</f>
        <v>1572</v>
      </c>
    </row>
    <row r="237" spans="1:4" ht="13.2">
      <c r="A237" s="5">
        <f ca="1">IFERROR(__xludf.DUMMYFUNCTION("""COMPUTED_VALUE"""),70)</f>
        <v>70</v>
      </c>
      <c r="B237" t="str">
        <f ca="1">IFERROR(__xludf.DUMMYFUNCTION("""COMPUTED_VALUE"""),"Dragon slayer")</f>
        <v>Dragon slayer</v>
      </c>
      <c r="C237" s="5" t="str">
        <f ca="1">IFERROR(__xludf.DUMMYFUNCTION("""COMPUTED_VALUE"""),"Magic")</f>
        <v>Magic</v>
      </c>
      <c r="D237" s="80">
        <f ca="1">IFERROR(__xludf.DUMMYFUNCTION("""COMPUTED_VALUE"""),952)</f>
        <v>952</v>
      </c>
    </row>
    <row r="238" spans="1:4" ht="13.2">
      <c r="A238" s="5">
        <f ca="1">IFERROR(__xludf.DUMMYFUNCTION("""COMPUTED_VALUE"""),71)</f>
        <v>71</v>
      </c>
      <c r="B238" t="str">
        <f ca="1">IFERROR(__xludf.DUMMYFUNCTION("""COMPUTED_VALUE"""),"Driftglobe")</f>
        <v>Driftglobe</v>
      </c>
      <c r="C238" s="5" t="str">
        <f ca="1">IFERROR(__xludf.DUMMYFUNCTION("""COMPUTED_VALUE"""),"Magic")</f>
        <v>Magic</v>
      </c>
      <c r="D238" s="80">
        <f ca="1">IFERROR(__xludf.DUMMYFUNCTION("""COMPUTED_VALUE"""),376)</f>
        <v>376</v>
      </c>
    </row>
    <row r="239" spans="1:4" ht="13.2">
      <c r="A239" s="5">
        <f ca="1">IFERROR(__xludf.DUMMYFUNCTION("""COMPUTED_VALUE"""),72)</f>
        <v>72</v>
      </c>
      <c r="B239" t="str">
        <f ca="1">IFERROR(__xludf.DUMMYFUNCTION("""COMPUTED_VALUE"""),"Dust of disappearance")</f>
        <v>Dust of disappearance</v>
      </c>
      <c r="C239" s="5" t="str">
        <f ca="1">IFERROR(__xludf.DUMMYFUNCTION("""COMPUTED_VALUE"""),"Magic")</f>
        <v>Magic</v>
      </c>
      <c r="D239" s="80">
        <f ca="1">IFERROR(__xludf.DUMMYFUNCTION("""COMPUTED_VALUE"""),388)</f>
        <v>388</v>
      </c>
    </row>
    <row r="240" spans="1:4" ht="13.2">
      <c r="A240" s="5">
        <f ca="1">IFERROR(__xludf.DUMMYFUNCTION("""COMPUTED_VALUE"""),73)</f>
        <v>73</v>
      </c>
      <c r="B240" t="str">
        <f ca="1">IFERROR(__xludf.DUMMYFUNCTION("""COMPUTED_VALUE"""),"Dust of dryness")</f>
        <v>Dust of dryness</v>
      </c>
      <c r="C240" s="5" t="str">
        <f ca="1">IFERROR(__xludf.DUMMYFUNCTION("""COMPUTED_VALUE"""),"Magic")</f>
        <v>Magic</v>
      </c>
      <c r="D240" s="80">
        <f ca="1">IFERROR(__xludf.DUMMYFUNCTION("""COMPUTED_VALUE"""),378)</f>
        <v>378</v>
      </c>
    </row>
    <row r="241" spans="1:4" ht="13.2">
      <c r="A241" s="5">
        <f ca="1">IFERROR(__xludf.DUMMYFUNCTION("""COMPUTED_VALUE"""),74)</f>
        <v>74</v>
      </c>
      <c r="B241" t="str">
        <f ca="1">IFERROR(__xludf.DUMMYFUNCTION("""COMPUTED_VALUE"""),"Dust of sneezing and choking")</f>
        <v>Dust of sneezing and choking</v>
      </c>
      <c r="C241" s="5" t="str">
        <f ca="1">IFERROR(__xludf.DUMMYFUNCTION("""COMPUTED_VALUE"""),"Magic")</f>
        <v>Magic</v>
      </c>
      <c r="D241" s="80">
        <f ca="1">IFERROR(__xludf.DUMMYFUNCTION("""COMPUTED_VALUE"""),366)</f>
        <v>366</v>
      </c>
    </row>
    <row r="242" spans="1:4" ht="13.2">
      <c r="A242" s="5">
        <f ca="1">IFERROR(__xludf.DUMMYFUNCTION("""COMPUTED_VALUE"""),75)</f>
        <v>75</v>
      </c>
      <c r="B242" t="str">
        <f ca="1">IFERROR(__xludf.DUMMYFUNCTION("""COMPUTED_VALUE"""),"Dwarven plate")</f>
        <v>Dwarven plate</v>
      </c>
      <c r="C242" s="5" t="str">
        <f ca="1">IFERROR(__xludf.DUMMYFUNCTION("""COMPUTED_VALUE"""),"Magic")</f>
        <v>Magic</v>
      </c>
      <c r="D242" s="80">
        <f ca="1">IFERROR(__xludf.DUMMYFUNCTION("""COMPUTED_VALUE"""),1576)</f>
        <v>1576</v>
      </c>
    </row>
    <row r="243" spans="1:4" ht="13.2">
      <c r="A243" s="5">
        <f ca="1">IFERROR(__xludf.DUMMYFUNCTION("""COMPUTED_VALUE"""),76)</f>
        <v>76</v>
      </c>
      <c r="B243" t="str">
        <f ca="1">IFERROR(__xludf.DUMMYFUNCTION("""COMPUTED_VALUE"""),"Dwarven thrower")</f>
        <v>Dwarven thrower</v>
      </c>
      <c r="C243" s="5" t="str">
        <f ca="1">IFERROR(__xludf.DUMMYFUNCTION("""COMPUTED_VALUE"""),"Magic")</f>
        <v>Magic</v>
      </c>
      <c r="D243" s="80">
        <f ca="1">IFERROR(__xludf.DUMMYFUNCTION("""COMPUTED_VALUE"""),1552)</f>
        <v>1552</v>
      </c>
    </row>
    <row r="244" spans="1:4" ht="13.2">
      <c r="A244" s="5">
        <f ca="1">IFERROR(__xludf.DUMMYFUNCTION("""COMPUTED_VALUE"""),77)</f>
        <v>77</v>
      </c>
      <c r="B244" t="str">
        <f ca="1">IFERROR(__xludf.DUMMYFUNCTION("""COMPUTED_VALUE"""),"Efreeti bottle")</f>
        <v>Efreeti bottle</v>
      </c>
      <c r="C244" s="5" t="str">
        <f ca="1">IFERROR(__xludf.DUMMYFUNCTION("""COMPUTED_VALUE"""),"Magic")</f>
        <v>Magic</v>
      </c>
      <c r="D244" s="80">
        <f ca="1">IFERROR(__xludf.DUMMYFUNCTION("""COMPUTED_VALUE"""),1576)</f>
        <v>1576</v>
      </c>
    </row>
    <row r="245" spans="1:4" ht="13.2">
      <c r="A245" s="5">
        <f ca="1">IFERROR(__xludf.DUMMYFUNCTION("""COMPUTED_VALUE"""),78)</f>
        <v>78</v>
      </c>
      <c r="B245" t="str">
        <f ca="1">IFERROR(__xludf.DUMMYFUNCTION("""COMPUTED_VALUE"""),"Efreeti chain")</f>
        <v>Efreeti chain</v>
      </c>
      <c r="C245" s="5" t="str">
        <f ca="1">IFERROR(__xludf.DUMMYFUNCTION("""COMPUTED_VALUE"""),"Magic")</f>
        <v>Magic</v>
      </c>
      <c r="D245" s="80">
        <f ca="1">IFERROR(__xludf.DUMMYFUNCTION("""COMPUTED_VALUE"""),3015)</f>
        <v>3015</v>
      </c>
    </row>
    <row r="246" spans="1:4" ht="13.2">
      <c r="A246" s="5">
        <f ca="1">IFERROR(__xludf.DUMMYFUNCTION("""COMPUTED_VALUE"""),79)</f>
        <v>79</v>
      </c>
      <c r="B246" t="str">
        <f ca="1">IFERROR(__xludf.DUMMYFUNCTION("""COMPUTED_VALUE"""),"Elemental gem")</f>
        <v>Elemental gem</v>
      </c>
      <c r="C246" s="5" t="str">
        <f ca="1">IFERROR(__xludf.DUMMYFUNCTION("""COMPUTED_VALUE"""),"Magic")</f>
        <v>Magic</v>
      </c>
      <c r="D246" s="80">
        <f ca="1">IFERROR(__xludf.DUMMYFUNCTION("""COMPUTED_VALUE"""),380)</f>
        <v>380</v>
      </c>
    </row>
    <row r="247" spans="1:4" ht="13.2">
      <c r="A247" s="5">
        <f ca="1">IFERROR(__xludf.DUMMYFUNCTION("""COMPUTED_VALUE"""),80)</f>
        <v>80</v>
      </c>
      <c r="B247" t="str">
        <f ca="1">IFERROR(__xludf.DUMMYFUNCTION("""COMPUTED_VALUE"""),"Elixir of health")</f>
        <v>Elixir of health</v>
      </c>
      <c r="C247" s="5" t="str">
        <f ca="1">IFERROR(__xludf.DUMMYFUNCTION("""COMPUTED_VALUE"""),"Magic")</f>
        <v>Magic</v>
      </c>
      <c r="D247" s="80">
        <f ca="1">IFERROR(__xludf.DUMMYFUNCTION("""COMPUTED_VALUE"""),922)</f>
        <v>922</v>
      </c>
    </row>
    <row r="248" spans="1:4" ht="13.2">
      <c r="A248" s="5">
        <f ca="1">IFERROR(__xludf.DUMMYFUNCTION("""COMPUTED_VALUE"""),81)</f>
        <v>81</v>
      </c>
      <c r="B248" t="str">
        <f ca="1">IFERROR(__xludf.DUMMYFUNCTION("""COMPUTED_VALUE"""),"Elven chain")</f>
        <v>Elven chain</v>
      </c>
      <c r="C248" s="5" t="str">
        <f ca="1">IFERROR(__xludf.DUMMYFUNCTION("""COMPUTED_VALUE"""),"Magic")</f>
        <v>Magic</v>
      </c>
      <c r="D248" s="80">
        <f ca="1">IFERROR(__xludf.DUMMYFUNCTION("""COMPUTED_VALUE"""),940)</f>
        <v>940</v>
      </c>
    </row>
    <row r="249" spans="1:4" ht="13.2">
      <c r="A249" s="5">
        <f ca="1">IFERROR(__xludf.DUMMYFUNCTION("""COMPUTED_VALUE"""),82)</f>
        <v>82</v>
      </c>
      <c r="B249" t="str">
        <f ca="1">IFERROR(__xludf.DUMMYFUNCTION("""COMPUTED_VALUE"""),"Eversmoking bottle")</f>
        <v>Eversmoking bottle</v>
      </c>
      <c r="C249" s="5" t="str">
        <f ca="1">IFERROR(__xludf.DUMMYFUNCTION("""COMPUTED_VALUE"""),"Magic")</f>
        <v>Magic</v>
      </c>
      <c r="D249" s="80">
        <f ca="1">IFERROR(__xludf.DUMMYFUNCTION("""COMPUTED_VALUE"""),368)</f>
        <v>368</v>
      </c>
    </row>
    <row r="250" spans="1:4" ht="13.2">
      <c r="A250" s="5">
        <f ca="1">IFERROR(__xludf.DUMMYFUNCTION("""COMPUTED_VALUE"""),83)</f>
        <v>83</v>
      </c>
      <c r="B250" t="str">
        <f ca="1">IFERROR(__xludf.DUMMYFUNCTION("""COMPUTED_VALUE"""),"Eyes of charming")</f>
        <v>Eyes of charming</v>
      </c>
      <c r="C250" s="5" t="str">
        <f ca="1">IFERROR(__xludf.DUMMYFUNCTION("""COMPUTED_VALUE"""),"Magic")</f>
        <v>Magic</v>
      </c>
      <c r="D250" s="80">
        <f ca="1">IFERROR(__xludf.DUMMYFUNCTION("""COMPUTED_VALUE"""),380)</f>
        <v>380</v>
      </c>
    </row>
    <row r="251" spans="1:4" ht="13.2">
      <c r="A251" s="5">
        <f ca="1">IFERROR(__xludf.DUMMYFUNCTION("""COMPUTED_VALUE"""),84)</f>
        <v>84</v>
      </c>
      <c r="B251" t="str">
        <f ca="1">IFERROR(__xludf.DUMMYFUNCTION("""COMPUTED_VALUE"""),"Eyes of minute seeing")</f>
        <v>Eyes of minute seeing</v>
      </c>
      <c r="C251" s="5" t="str">
        <f ca="1">IFERROR(__xludf.DUMMYFUNCTION("""COMPUTED_VALUE"""),"Magic")</f>
        <v>Magic</v>
      </c>
      <c r="D251" s="80">
        <f ca="1">IFERROR(__xludf.DUMMYFUNCTION("""COMPUTED_VALUE"""),368)</f>
        <v>368</v>
      </c>
    </row>
    <row r="252" spans="1:4" ht="13.2">
      <c r="A252" s="5">
        <f ca="1">IFERROR(__xludf.DUMMYFUNCTION("""COMPUTED_VALUE"""),85)</f>
        <v>85</v>
      </c>
      <c r="B252" t="str">
        <f ca="1">IFERROR(__xludf.DUMMYFUNCTION("""COMPUTED_VALUE"""),"Eyes of the eagle")</f>
        <v>Eyes of the eagle</v>
      </c>
      <c r="C252" s="5" t="str">
        <f ca="1">IFERROR(__xludf.DUMMYFUNCTION("""COMPUTED_VALUE"""),"Magic")</f>
        <v>Magic</v>
      </c>
      <c r="D252" s="80">
        <f ca="1">IFERROR(__xludf.DUMMYFUNCTION("""COMPUTED_VALUE"""),382)</f>
        <v>382</v>
      </c>
    </row>
    <row r="253" spans="1:4" ht="13.2">
      <c r="A253" s="5">
        <f ca="1">IFERROR(__xludf.DUMMYFUNCTION("""COMPUTED_VALUE"""),86)</f>
        <v>86</v>
      </c>
      <c r="B253" t="str">
        <f ca="1">IFERROR(__xludf.DUMMYFUNCTION("""COMPUTED_VALUE"""),"Figurine of wondrous power (bronze griffon)")</f>
        <v>Figurine of wondrous power (bronze griffon)</v>
      </c>
      <c r="C253" s="5" t="str">
        <f ca="1">IFERROR(__xludf.DUMMYFUNCTION("""COMPUTED_VALUE"""),"Magic")</f>
        <v>Magic</v>
      </c>
      <c r="D253" s="80">
        <f ca="1">IFERROR(__xludf.DUMMYFUNCTION("""COMPUTED_VALUE"""),925)</f>
        <v>925</v>
      </c>
    </row>
    <row r="254" spans="1:4" ht="13.2">
      <c r="A254" s="5">
        <f ca="1">IFERROR(__xludf.DUMMYFUNCTION("""COMPUTED_VALUE"""),87)</f>
        <v>87</v>
      </c>
      <c r="B254" t="str">
        <f ca="1">IFERROR(__xludf.DUMMYFUNCTION("""COMPUTED_VALUE"""),"Figurine of wondrous power (ebony fly)")</f>
        <v>Figurine of wondrous power (ebony fly)</v>
      </c>
      <c r="C254" s="5" t="str">
        <f ca="1">IFERROR(__xludf.DUMMYFUNCTION("""COMPUTED_VALUE"""),"Magic")</f>
        <v>Magic</v>
      </c>
      <c r="D254" s="80">
        <f ca="1">IFERROR(__xludf.DUMMYFUNCTION("""COMPUTED_VALUE"""),943)</f>
        <v>943</v>
      </c>
    </row>
    <row r="255" spans="1:4" ht="13.2">
      <c r="A255" s="5">
        <f ca="1">IFERROR(__xludf.DUMMYFUNCTION("""COMPUTED_VALUE"""),88)</f>
        <v>88</v>
      </c>
      <c r="B255" t="str">
        <f ca="1">IFERROR(__xludf.DUMMYFUNCTION("""COMPUTED_VALUE"""),"Figurine of wondrous power (golden lions)")</f>
        <v>Figurine of wondrous power (golden lions)</v>
      </c>
      <c r="C255" s="5" t="str">
        <f ca="1">IFERROR(__xludf.DUMMYFUNCTION("""COMPUTED_VALUE"""),"Magic")</f>
        <v>Magic</v>
      </c>
      <c r="D255" s="80">
        <f ca="1">IFERROR(__xludf.DUMMYFUNCTION("""COMPUTED_VALUE"""),925)</f>
        <v>925</v>
      </c>
    </row>
    <row r="256" spans="1:4" ht="13.2">
      <c r="A256" s="5">
        <f ca="1">IFERROR(__xludf.DUMMYFUNCTION("""COMPUTED_VALUE"""),89)</f>
        <v>89</v>
      </c>
      <c r="B256" t="str">
        <f ca="1">IFERROR(__xludf.DUMMYFUNCTION("""COMPUTED_VALUE"""),"Figurine of wondrous power (ivory goats)")</f>
        <v>Figurine of wondrous power (ivory goats)</v>
      </c>
      <c r="C256" s="5" t="str">
        <f ca="1">IFERROR(__xludf.DUMMYFUNCTION("""COMPUTED_VALUE"""),"Magic")</f>
        <v>Magic</v>
      </c>
      <c r="D256" s="80">
        <f ca="1">IFERROR(__xludf.DUMMYFUNCTION("""COMPUTED_VALUE"""),943)</f>
        <v>943</v>
      </c>
    </row>
    <row r="257" spans="1:4" ht="13.2">
      <c r="A257" s="5">
        <f ca="1">IFERROR(__xludf.DUMMYFUNCTION("""COMPUTED_VALUE"""),90)</f>
        <v>90</v>
      </c>
      <c r="B257" t="str">
        <f ca="1">IFERROR(__xludf.DUMMYFUNCTION("""COMPUTED_VALUE"""),"Figurine of wondrous power (marble elephant)")</f>
        <v>Figurine of wondrous power (marble elephant)</v>
      </c>
      <c r="C257" s="5" t="str">
        <f ca="1">IFERROR(__xludf.DUMMYFUNCTION("""COMPUTED_VALUE"""),"Magic")</f>
        <v>Magic</v>
      </c>
      <c r="D257" s="80">
        <f ca="1">IFERROR(__xludf.DUMMYFUNCTION("""COMPUTED_VALUE"""),925)</f>
        <v>925</v>
      </c>
    </row>
    <row r="258" spans="1:4" ht="13.2">
      <c r="A258" s="5">
        <f ca="1">IFERROR(__xludf.DUMMYFUNCTION("""COMPUTED_VALUE"""),91)</f>
        <v>91</v>
      </c>
      <c r="B258" t="str">
        <f ca="1">IFERROR(__xludf.DUMMYFUNCTION("""COMPUTED_VALUE"""),"Figurine of wondrous power (obsidian steed)")</f>
        <v>Figurine of wondrous power (obsidian steed)</v>
      </c>
      <c r="C258" s="5" t="str">
        <f ca="1">IFERROR(__xludf.DUMMYFUNCTION("""COMPUTED_VALUE"""),"Magic")</f>
        <v>Magic</v>
      </c>
      <c r="D258" s="80">
        <f ca="1">IFERROR(__xludf.DUMMYFUNCTION("""COMPUTED_VALUE"""),1588)</f>
        <v>1588</v>
      </c>
    </row>
    <row r="259" spans="1:4" ht="13.2">
      <c r="A259" s="5">
        <f ca="1">IFERROR(__xludf.DUMMYFUNCTION("""COMPUTED_VALUE"""),92)</f>
        <v>92</v>
      </c>
      <c r="B259" t="str">
        <f ca="1">IFERROR(__xludf.DUMMYFUNCTION("""COMPUTED_VALUE"""),"Figurine of wondrous power (onyx dog)")</f>
        <v>Figurine of wondrous power (onyx dog)</v>
      </c>
      <c r="C259" s="5" t="str">
        <f ca="1">IFERROR(__xludf.DUMMYFUNCTION("""COMPUTED_VALUE"""),"Magic")</f>
        <v>Magic</v>
      </c>
      <c r="D259" s="80">
        <f ca="1">IFERROR(__xludf.DUMMYFUNCTION("""COMPUTED_VALUE"""),928)</f>
        <v>928</v>
      </c>
    </row>
    <row r="260" spans="1:4" ht="13.2">
      <c r="A260" s="5">
        <f ca="1">IFERROR(__xludf.DUMMYFUNCTION("""COMPUTED_VALUE"""),93)</f>
        <v>93</v>
      </c>
      <c r="B260" t="str">
        <f ca="1">IFERROR(__xludf.DUMMYFUNCTION("""COMPUTED_VALUE"""),"Figurine of wondrous power (serpentine owl)")</f>
        <v>Figurine of wondrous power (serpentine owl)</v>
      </c>
      <c r="C260" s="5" t="str">
        <f ca="1">IFERROR(__xludf.DUMMYFUNCTION("""COMPUTED_VALUE"""),"Magic")</f>
        <v>Magic</v>
      </c>
      <c r="D260" s="80">
        <f ca="1">IFERROR(__xludf.DUMMYFUNCTION("""COMPUTED_VALUE"""),946)</f>
        <v>946</v>
      </c>
    </row>
    <row r="261" spans="1:4" ht="13.2">
      <c r="A261" s="5">
        <f ca="1">IFERROR(__xludf.DUMMYFUNCTION("""COMPUTED_VALUE"""),94)</f>
        <v>94</v>
      </c>
      <c r="B261" t="str">
        <f ca="1">IFERROR(__xludf.DUMMYFUNCTION("""COMPUTED_VALUE"""),"Figurine of wondrous power (silver raven)")</f>
        <v>Figurine of wondrous power (silver raven)</v>
      </c>
      <c r="C261" s="5" t="str">
        <f ca="1">IFERROR(__xludf.DUMMYFUNCTION("""COMPUTED_VALUE"""),"Magic")</f>
        <v>Magic</v>
      </c>
      <c r="D261" s="80">
        <f ca="1">IFERROR(__xludf.DUMMYFUNCTION("""COMPUTED_VALUE"""),372)</f>
        <v>372</v>
      </c>
    </row>
    <row r="262" spans="1:4" ht="13.2">
      <c r="A262" s="5">
        <f ca="1">IFERROR(__xludf.DUMMYFUNCTION("""COMPUTED_VALUE"""),95)</f>
        <v>95</v>
      </c>
      <c r="B262" t="str">
        <f ca="1">IFERROR(__xludf.DUMMYFUNCTION("""COMPUTED_VALUE"""),"Flame tongue")</f>
        <v>Flame tongue</v>
      </c>
      <c r="C262" s="5" t="str">
        <f ca="1">IFERROR(__xludf.DUMMYFUNCTION("""COMPUTED_VALUE"""),"Magic")</f>
        <v>Magic</v>
      </c>
      <c r="D262" s="80">
        <f ca="1">IFERROR(__xludf.DUMMYFUNCTION("""COMPUTED_VALUE"""),946)</f>
        <v>946</v>
      </c>
    </row>
    <row r="263" spans="1:4" ht="13.2">
      <c r="A263" s="5">
        <f ca="1">IFERROR(__xludf.DUMMYFUNCTION("""COMPUTED_VALUE"""),96)</f>
        <v>96</v>
      </c>
      <c r="B263" t="str">
        <f ca="1">IFERROR(__xludf.DUMMYFUNCTION("""COMPUTED_VALUE"""),"Folding boat")</f>
        <v>Folding boat</v>
      </c>
      <c r="C263" s="5" t="str">
        <f ca="1">IFERROR(__xludf.DUMMYFUNCTION("""COMPUTED_VALUE"""),"Magic")</f>
        <v>Magic</v>
      </c>
      <c r="D263" s="80">
        <f ca="1">IFERROR(__xludf.DUMMYFUNCTION("""COMPUTED_VALUE"""),928)</f>
        <v>928</v>
      </c>
    </row>
    <row r="264" spans="1:4" ht="13.2">
      <c r="A264" s="5">
        <f ca="1">IFERROR(__xludf.DUMMYFUNCTION("""COMPUTED_VALUE"""),97)</f>
        <v>97</v>
      </c>
      <c r="B264" t="str">
        <f ca="1">IFERROR(__xludf.DUMMYFUNCTION("""COMPUTED_VALUE"""),"Frost brand")</f>
        <v>Frost brand</v>
      </c>
      <c r="C264" s="5" t="str">
        <f ca="1">IFERROR(__xludf.DUMMYFUNCTION("""COMPUTED_VALUE"""),"Magic")</f>
        <v>Magic</v>
      </c>
      <c r="D264" s="80">
        <f ca="1">IFERROR(__xludf.DUMMYFUNCTION("""COMPUTED_VALUE"""),1592)</f>
        <v>1592</v>
      </c>
    </row>
    <row r="265" spans="1:4" ht="13.2">
      <c r="A265" s="5">
        <f ca="1">IFERROR(__xludf.DUMMYFUNCTION("""COMPUTED_VALUE"""),98)</f>
        <v>98</v>
      </c>
      <c r="B265" t="str">
        <f ca="1">IFERROR(__xludf.DUMMYFUNCTION("""COMPUTED_VALUE"""),"Gauntlets of ogre power")</f>
        <v>Gauntlets of ogre power</v>
      </c>
      <c r="C265" s="5" t="str">
        <f ca="1">IFERROR(__xludf.DUMMYFUNCTION("""COMPUTED_VALUE"""),"Magic")</f>
        <v>Magic</v>
      </c>
      <c r="D265" s="80">
        <f ca="1">IFERROR(__xludf.DUMMYFUNCTION("""COMPUTED_VALUE"""),374)</f>
        <v>374</v>
      </c>
    </row>
    <row r="266" spans="1:4" ht="13.2">
      <c r="A266" s="5">
        <f ca="1">IFERROR(__xludf.DUMMYFUNCTION("""COMPUTED_VALUE"""),99)</f>
        <v>99</v>
      </c>
      <c r="B266" t="str">
        <f ca="1">IFERROR(__xludf.DUMMYFUNCTION("""COMPUTED_VALUE"""),"Gem of brightness")</f>
        <v>Gem of brightness</v>
      </c>
      <c r="C266" s="5" t="str">
        <f ca="1">IFERROR(__xludf.DUMMYFUNCTION("""COMPUTED_VALUE"""),"Magic")</f>
        <v>Magic</v>
      </c>
      <c r="D266" s="80">
        <f ca="1">IFERROR(__xludf.DUMMYFUNCTION("""COMPUTED_VALUE"""),386)</f>
        <v>386</v>
      </c>
    </row>
    <row r="267" spans="1:4" ht="13.2">
      <c r="A267" s="5">
        <f ca="1">IFERROR(__xludf.DUMMYFUNCTION("""COMPUTED_VALUE"""),100)</f>
        <v>100</v>
      </c>
      <c r="B267" t="str">
        <f ca="1">IFERROR(__xludf.DUMMYFUNCTION("""COMPUTED_VALUE"""),"Gem of seeing")</f>
        <v>Gem of seeing</v>
      </c>
      <c r="C267" s="5" t="str">
        <f ca="1">IFERROR(__xludf.DUMMYFUNCTION("""COMPUTED_VALUE"""),"Magic")</f>
        <v>Magic</v>
      </c>
      <c r="D267" s="80">
        <f ca="1">IFERROR(__xludf.DUMMYFUNCTION("""COMPUTED_VALUE"""),931)</f>
        <v>931</v>
      </c>
    </row>
    <row r="268" spans="1:4" ht="13.2">
      <c r="A268" s="5">
        <f ca="1">IFERROR(__xludf.DUMMYFUNCTION("""COMPUTED_VALUE"""),101)</f>
        <v>101</v>
      </c>
      <c r="B268" t="str">
        <f ca="1">IFERROR(__xludf.DUMMYFUNCTION("""COMPUTED_VALUE"""),"Giant slayer")</f>
        <v>Giant slayer</v>
      </c>
      <c r="C268" s="5" t="str">
        <f ca="1">IFERROR(__xludf.DUMMYFUNCTION("""COMPUTED_VALUE"""),"Magic")</f>
        <v>Magic</v>
      </c>
      <c r="D268" s="80">
        <f ca="1">IFERROR(__xludf.DUMMYFUNCTION("""COMPUTED_VALUE"""),949)</f>
        <v>949</v>
      </c>
    </row>
    <row r="269" spans="1:4" ht="13.2">
      <c r="A269" s="5">
        <f ca="1">IFERROR(__xludf.DUMMYFUNCTION("""COMPUTED_VALUE"""),102)</f>
        <v>102</v>
      </c>
      <c r="B269" t="str">
        <f ca="1">IFERROR(__xludf.DUMMYFUNCTION("""COMPUTED_VALUE"""),"Glamoured studded leather")</f>
        <v>Glamoured studded leather</v>
      </c>
      <c r="C269" s="5" t="str">
        <f ca="1">IFERROR(__xludf.DUMMYFUNCTION("""COMPUTED_VALUE"""),"Magic")</f>
        <v>Magic</v>
      </c>
      <c r="D269" s="80">
        <f ca="1">IFERROR(__xludf.DUMMYFUNCTION("""COMPUTED_VALUE"""),931)</f>
        <v>931</v>
      </c>
    </row>
    <row r="270" spans="1:4" ht="13.2">
      <c r="A270" s="5">
        <f ca="1">IFERROR(__xludf.DUMMYFUNCTION("""COMPUTED_VALUE"""),103)</f>
        <v>103</v>
      </c>
      <c r="B270" t="str">
        <f ca="1">IFERROR(__xludf.DUMMYFUNCTION("""COMPUTED_VALUE"""),"Gloves of missile snaring")</f>
        <v>Gloves of missile snaring</v>
      </c>
      <c r="C270" s="5" t="str">
        <f ca="1">IFERROR(__xludf.DUMMYFUNCTION("""COMPUTED_VALUE"""),"Magic")</f>
        <v>Magic</v>
      </c>
      <c r="D270" s="80">
        <f ca="1">IFERROR(__xludf.DUMMYFUNCTION("""COMPUTED_VALUE"""),388)</f>
        <v>388</v>
      </c>
    </row>
    <row r="271" spans="1:4" ht="13.2">
      <c r="A271" s="5">
        <f ca="1">IFERROR(__xludf.DUMMYFUNCTION("""COMPUTED_VALUE"""),104)</f>
        <v>104</v>
      </c>
      <c r="B271" t="str">
        <f ca="1">IFERROR(__xludf.DUMMYFUNCTION("""COMPUTED_VALUE"""),"Gloves of swimming and climbing")</f>
        <v>Gloves of swimming and climbing</v>
      </c>
      <c r="C271" s="5" t="str">
        <f ca="1">IFERROR(__xludf.DUMMYFUNCTION("""COMPUTED_VALUE"""),"Magic")</f>
        <v>Magic</v>
      </c>
      <c r="D271" s="80">
        <f ca="1">IFERROR(__xludf.DUMMYFUNCTION("""COMPUTED_VALUE"""),376)</f>
        <v>376</v>
      </c>
    </row>
    <row r="272" spans="1:4" ht="13.2">
      <c r="A272" s="5">
        <f ca="1">IFERROR(__xludf.DUMMYFUNCTION("""COMPUTED_VALUE"""),105)</f>
        <v>105</v>
      </c>
      <c r="B272" t="str">
        <f ca="1">IFERROR(__xludf.DUMMYFUNCTION("""COMPUTED_VALUE"""),"Gloves of thievery")</f>
        <v>Gloves of thievery</v>
      </c>
      <c r="C272" s="5" t="str">
        <f ca="1">IFERROR(__xludf.DUMMYFUNCTION("""COMPUTED_VALUE"""),"Magic")</f>
        <v>Magic</v>
      </c>
      <c r="D272" s="80">
        <f ca="1">IFERROR(__xludf.DUMMYFUNCTION("""COMPUTED_VALUE"""),388)</f>
        <v>388</v>
      </c>
    </row>
    <row r="273" spans="1:4" ht="13.2">
      <c r="A273" s="5">
        <f ca="1">IFERROR(__xludf.DUMMYFUNCTION("""COMPUTED_VALUE"""),106)</f>
        <v>106</v>
      </c>
      <c r="B273" t="str">
        <f ca="1">IFERROR(__xludf.DUMMYFUNCTION("""COMPUTED_VALUE"""),"Goggles of night")</f>
        <v>Goggles of night</v>
      </c>
      <c r="C273" s="5" t="str">
        <f ca="1">IFERROR(__xludf.DUMMYFUNCTION("""COMPUTED_VALUE"""),"Magic")</f>
        <v>Magic</v>
      </c>
      <c r="D273" s="80">
        <f ca="1">IFERROR(__xludf.DUMMYFUNCTION("""COMPUTED_VALUE"""),376)</f>
        <v>376</v>
      </c>
    </row>
    <row r="274" spans="1:4" ht="13.2">
      <c r="A274" s="5">
        <f ca="1">IFERROR(__xludf.DUMMYFUNCTION("""COMPUTED_VALUE"""),107)</f>
        <v>107</v>
      </c>
      <c r="B274" t="str">
        <f ca="1">IFERROR(__xludf.DUMMYFUNCTION("""COMPUTED_VALUE"""),"Hammer of thunderbolts")</f>
        <v>Hammer of thunderbolts</v>
      </c>
      <c r="C274" s="5" t="str">
        <f ca="1">IFERROR(__xludf.DUMMYFUNCTION("""COMPUTED_VALUE"""),"Magic")</f>
        <v>Magic</v>
      </c>
      <c r="D274" s="80">
        <f ca="1">IFERROR(__xludf.DUMMYFUNCTION("""COMPUTED_VALUE"""),3070)</f>
        <v>3070</v>
      </c>
    </row>
    <row r="275" spans="1:4" ht="13.2">
      <c r="A275" s="5">
        <f ca="1">IFERROR(__xludf.DUMMYFUNCTION("""COMPUTED_VALUE"""),108)</f>
        <v>108</v>
      </c>
      <c r="B275" t="str">
        <f ca="1">IFERROR(__xludf.DUMMYFUNCTION("""COMPUTED_VALUE"""),"Hat of disguise")</f>
        <v>Hat of disguise</v>
      </c>
      <c r="C275" s="5" t="str">
        <f ca="1">IFERROR(__xludf.DUMMYFUNCTION("""COMPUTED_VALUE"""),"Magic")</f>
        <v>Magic</v>
      </c>
      <c r="D275" s="80">
        <f ca="1">IFERROR(__xludf.DUMMYFUNCTION("""COMPUTED_VALUE"""),376)</f>
        <v>376</v>
      </c>
    </row>
    <row r="276" spans="1:4" ht="13.2">
      <c r="A276" s="5">
        <f ca="1">IFERROR(__xludf.DUMMYFUNCTION("""COMPUTED_VALUE"""),109)</f>
        <v>109</v>
      </c>
      <c r="B276" t="str">
        <f ca="1">IFERROR(__xludf.DUMMYFUNCTION("""COMPUTED_VALUE"""),"Headband of intellect")</f>
        <v>Headband of intellect</v>
      </c>
      <c r="C276" s="5" t="str">
        <f ca="1">IFERROR(__xludf.DUMMYFUNCTION("""COMPUTED_VALUE"""),"Magic")</f>
        <v>Magic</v>
      </c>
      <c r="D276" s="80">
        <f ca="1">IFERROR(__xludf.DUMMYFUNCTION("""COMPUTED_VALUE"""),366)</f>
        <v>366</v>
      </c>
    </row>
    <row r="277" spans="1:4" ht="13.2">
      <c r="A277" s="5">
        <f ca="1">IFERROR(__xludf.DUMMYFUNCTION("""COMPUTED_VALUE"""),110)</f>
        <v>110</v>
      </c>
      <c r="B277" t="str">
        <f ca="1">IFERROR(__xludf.DUMMYFUNCTION("""COMPUTED_VALUE"""),"Helm of brilliance")</f>
        <v>Helm of brilliance</v>
      </c>
      <c r="C277" s="5" t="str">
        <f ca="1">IFERROR(__xludf.DUMMYFUNCTION("""COMPUTED_VALUE"""),"Magic")</f>
        <v>Magic</v>
      </c>
      <c r="D277" s="80">
        <f ca="1">IFERROR(__xludf.DUMMYFUNCTION("""COMPUTED_VALUE"""),1576)</f>
        <v>1576</v>
      </c>
    </row>
    <row r="278" spans="1:4" ht="13.2">
      <c r="A278" s="5">
        <f ca="1">IFERROR(__xludf.DUMMYFUNCTION("""COMPUTED_VALUE"""),111)</f>
        <v>111</v>
      </c>
      <c r="B278" t="str">
        <f ca="1">IFERROR(__xludf.DUMMYFUNCTION("""COMPUTED_VALUE"""),"Helm of comprehending languages")</f>
        <v>Helm of comprehending languages</v>
      </c>
      <c r="C278" s="5" t="str">
        <f ca="1">IFERROR(__xludf.DUMMYFUNCTION("""COMPUTED_VALUE"""),"Magic")</f>
        <v>Magic</v>
      </c>
      <c r="D278" s="80">
        <f ca="1">IFERROR(__xludf.DUMMYFUNCTION("""COMPUTED_VALUE"""),366)</f>
        <v>366</v>
      </c>
    </row>
    <row r="279" spans="1:4" ht="13.2">
      <c r="A279" s="5">
        <f ca="1">IFERROR(__xludf.DUMMYFUNCTION("""COMPUTED_VALUE"""),112)</f>
        <v>112</v>
      </c>
      <c r="B279" t="str">
        <f ca="1">IFERROR(__xludf.DUMMYFUNCTION("""COMPUTED_VALUE"""),"Helm of telepathy")</f>
        <v>Helm of telepathy</v>
      </c>
      <c r="C279" s="5" t="str">
        <f ca="1">IFERROR(__xludf.DUMMYFUNCTION("""COMPUTED_VALUE"""),"Magic")</f>
        <v>Magic</v>
      </c>
      <c r="D279" s="80">
        <f ca="1">IFERROR(__xludf.DUMMYFUNCTION("""COMPUTED_VALUE"""),378)</f>
        <v>378</v>
      </c>
    </row>
    <row r="280" spans="1:4" ht="13.2">
      <c r="A280" s="5">
        <f ca="1">IFERROR(__xludf.DUMMYFUNCTION("""COMPUTED_VALUE"""),113)</f>
        <v>113</v>
      </c>
      <c r="B280" t="str">
        <f ca="1">IFERROR(__xludf.DUMMYFUNCTION("""COMPUTED_VALUE"""),"Helm of teleportation")</f>
        <v>Helm of teleportation</v>
      </c>
      <c r="C280" s="5" t="str">
        <f ca="1">IFERROR(__xludf.DUMMYFUNCTION("""COMPUTED_VALUE"""),"Magic")</f>
        <v>Magic</v>
      </c>
      <c r="D280" s="80">
        <f ca="1">IFERROR(__xludf.DUMMYFUNCTION("""COMPUTED_VALUE"""),919)</f>
        <v>919</v>
      </c>
    </row>
    <row r="281" spans="1:4" ht="13.2">
      <c r="A281" s="5">
        <f ca="1">IFERROR(__xludf.DUMMYFUNCTION("""COMPUTED_VALUE"""),114)</f>
        <v>114</v>
      </c>
      <c r="B281" t="str">
        <f ca="1">IFERROR(__xludf.DUMMYFUNCTION("""COMPUTED_VALUE"""),"Heward’s handy haversack")</f>
        <v>Heward’s handy haversack</v>
      </c>
      <c r="C281" s="5" t="str">
        <f ca="1">IFERROR(__xludf.DUMMYFUNCTION("""COMPUTED_VALUE"""),"Magic")</f>
        <v>Magic</v>
      </c>
      <c r="D281" s="80">
        <f ca="1">IFERROR(__xludf.DUMMYFUNCTION("""COMPUTED_VALUE"""),937)</f>
        <v>937</v>
      </c>
    </row>
    <row r="282" spans="1:4" ht="13.2">
      <c r="A282" s="5">
        <f ca="1">IFERROR(__xludf.DUMMYFUNCTION("""COMPUTED_VALUE"""),115)</f>
        <v>115</v>
      </c>
      <c r="B282" t="str">
        <f ca="1">IFERROR(__xludf.DUMMYFUNCTION("""COMPUTED_VALUE"""),"Holy avenger")</f>
        <v>Holy avenger</v>
      </c>
      <c r="C282" s="5" t="str">
        <f ca="1">IFERROR(__xludf.DUMMYFUNCTION("""COMPUTED_VALUE"""),"Magic")</f>
        <v>Magic</v>
      </c>
      <c r="D282" s="80">
        <f ca="1">IFERROR(__xludf.DUMMYFUNCTION("""COMPUTED_VALUE"""),3020)</f>
        <v>3020</v>
      </c>
    </row>
    <row r="283" spans="1:4" ht="13.2">
      <c r="A283" s="5">
        <f ca="1">IFERROR(__xludf.DUMMYFUNCTION("""COMPUTED_VALUE"""),116)</f>
        <v>116</v>
      </c>
      <c r="B283" t="str">
        <f ca="1">IFERROR(__xludf.DUMMYFUNCTION("""COMPUTED_VALUE"""),"Horn of blasting")</f>
        <v>Horn of blasting</v>
      </c>
      <c r="C283" s="5" t="str">
        <f ca="1">IFERROR(__xludf.DUMMYFUNCTION("""COMPUTED_VALUE"""),"Magic")</f>
        <v>Magic</v>
      </c>
      <c r="D283" s="80">
        <f ca="1">IFERROR(__xludf.DUMMYFUNCTION("""COMPUTED_VALUE"""),940)</f>
        <v>940</v>
      </c>
    </row>
    <row r="284" spans="1:4" ht="13.2">
      <c r="A284" s="5">
        <f ca="1">IFERROR(__xludf.DUMMYFUNCTION("""COMPUTED_VALUE"""),117)</f>
        <v>117</v>
      </c>
      <c r="B284" t="str">
        <f ca="1">IFERROR(__xludf.DUMMYFUNCTION("""COMPUTED_VALUE"""),"Horn of valhalla (bronze)")</f>
        <v>Horn of valhalla (bronze)</v>
      </c>
      <c r="C284" s="5" t="str">
        <f ca="1">IFERROR(__xludf.DUMMYFUNCTION("""COMPUTED_VALUE"""),"Magic")</f>
        <v>Magic</v>
      </c>
      <c r="D284" s="80">
        <f ca="1">IFERROR(__xludf.DUMMYFUNCTION("""COMPUTED_VALUE"""),1556)</f>
        <v>1556</v>
      </c>
    </row>
    <row r="285" spans="1:4" ht="13.2">
      <c r="A285" s="5">
        <f ca="1">IFERROR(__xludf.DUMMYFUNCTION("""COMPUTED_VALUE"""),118)</f>
        <v>118</v>
      </c>
      <c r="B285" t="str">
        <f ca="1">IFERROR(__xludf.DUMMYFUNCTION("""COMPUTED_VALUE"""),"Horn of valhalla (iron)")</f>
        <v>Horn of valhalla (iron)</v>
      </c>
      <c r="C285" s="5" t="str">
        <f ca="1">IFERROR(__xludf.DUMMYFUNCTION("""COMPUTED_VALUE"""),"Magic")</f>
        <v>Magic</v>
      </c>
      <c r="D285" s="80">
        <f ca="1">IFERROR(__xludf.DUMMYFUNCTION("""COMPUTED_VALUE"""),3050)</f>
        <v>3050</v>
      </c>
    </row>
    <row r="286" spans="1:4" ht="13.2">
      <c r="A286" s="5">
        <f ca="1">IFERROR(__xludf.DUMMYFUNCTION("""COMPUTED_VALUE"""),119)</f>
        <v>119</v>
      </c>
      <c r="B286" t="str">
        <f ca="1">IFERROR(__xludf.DUMMYFUNCTION("""COMPUTED_VALUE"""),"Horn of valhalla (silver or brass)")</f>
        <v>Horn of valhalla (silver or brass)</v>
      </c>
      <c r="C286" s="5" t="str">
        <f ca="1">IFERROR(__xludf.DUMMYFUNCTION("""COMPUTED_VALUE"""),"Magic")</f>
        <v>Magic</v>
      </c>
      <c r="D286" s="80">
        <f ca="1">IFERROR(__xludf.DUMMYFUNCTION("""COMPUTED_VALUE"""),922)</f>
        <v>922</v>
      </c>
    </row>
    <row r="287" spans="1:4" ht="13.2">
      <c r="A287" s="5">
        <f ca="1">IFERROR(__xludf.DUMMYFUNCTION("""COMPUTED_VALUE"""),120)</f>
        <v>120</v>
      </c>
      <c r="B287" t="str">
        <f ca="1">IFERROR(__xludf.DUMMYFUNCTION("""COMPUTED_VALUE"""),"Horseshoes of a zephyr")</f>
        <v>Horseshoes of a zephyr</v>
      </c>
      <c r="C287" s="5" t="str">
        <f ca="1">IFERROR(__xludf.DUMMYFUNCTION("""COMPUTED_VALUE"""),"Magic")</f>
        <v>Magic</v>
      </c>
      <c r="D287" s="80">
        <f ca="1">IFERROR(__xludf.DUMMYFUNCTION("""COMPUTED_VALUE"""),1580)</f>
        <v>1580</v>
      </c>
    </row>
    <row r="288" spans="1:4" ht="13.2">
      <c r="A288" s="5">
        <f ca="1">IFERROR(__xludf.DUMMYFUNCTION("""COMPUTED_VALUE"""),121)</f>
        <v>121</v>
      </c>
      <c r="B288" t="str">
        <f ca="1">IFERROR(__xludf.DUMMYFUNCTION("""COMPUTED_VALUE"""),"Horseshoes of speed")</f>
        <v>Horseshoes of speed</v>
      </c>
      <c r="C288" s="5" t="str">
        <f ca="1">IFERROR(__xludf.DUMMYFUNCTION("""COMPUTED_VALUE"""),"Magic")</f>
        <v>Magic</v>
      </c>
      <c r="D288" s="80">
        <f ca="1">IFERROR(__xludf.DUMMYFUNCTION("""COMPUTED_VALUE"""),925)</f>
        <v>925</v>
      </c>
    </row>
    <row r="289" spans="1:4" ht="13.2">
      <c r="A289" s="5">
        <f ca="1">IFERROR(__xludf.DUMMYFUNCTION("""COMPUTED_VALUE"""),122)</f>
        <v>122</v>
      </c>
      <c r="B289" t="str">
        <f ca="1">IFERROR(__xludf.DUMMYFUNCTION("""COMPUTED_VALUE"""),"Immovable rod")</f>
        <v>Immovable rod</v>
      </c>
      <c r="C289" s="5" t="str">
        <f ca="1">IFERROR(__xludf.DUMMYFUNCTION("""COMPUTED_VALUE"""),"Magic")</f>
        <v>Magic</v>
      </c>
      <c r="D289" s="80">
        <f ca="1">IFERROR(__xludf.DUMMYFUNCTION("""COMPUTED_VALUE"""),382)</f>
        <v>382</v>
      </c>
    </row>
    <row r="290" spans="1:4" ht="13.2">
      <c r="A290" s="5">
        <f ca="1">IFERROR(__xludf.DUMMYFUNCTION("""COMPUTED_VALUE"""),123)</f>
        <v>123</v>
      </c>
      <c r="B290" t="str">
        <f ca="1">IFERROR(__xludf.DUMMYFUNCTION("""COMPUTED_VALUE"""),"Instrument of the bard (Anstruth harp)")</f>
        <v>Instrument of the bard (Anstruth harp)</v>
      </c>
      <c r="C290" s="5" t="str">
        <f ca="1">IFERROR(__xludf.DUMMYFUNCTION("""COMPUTED_VALUE"""),"Magic")</f>
        <v>Magic</v>
      </c>
      <c r="D290" s="80">
        <f ca="1">IFERROR(__xludf.DUMMYFUNCTION("""COMPUTED_VALUE"""),1560)</f>
        <v>1560</v>
      </c>
    </row>
    <row r="291" spans="1:4" ht="13.2">
      <c r="A291" s="5">
        <f ca="1">IFERROR(__xludf.DUMMYFUNCTION("""COMPUTED_VALUE"""),124)</f>
        <v>124</v>
      </c>
      <c r="B291" t="str">
        <f ca="1">IFERROR(__xludf.DUMMYFUNCTION("""COMPUTED_VALUE"""),"Instrument of the bard (Canaith mandolin)")</f>
        <v>Instrument of the bard (Canaith mandolin)</v>
      </c>
      <c r="C291" s="5" t="str">
        <f ca="1">IFERROR(__xludf.DUMMYFUNCTION("""COMPUTED_VALUE"""),"Magic")</f>
        <v>Magic</v>
      </c>
      <c r="D291" s="80">
        <f ca="1">IFERROR(__xludf.DUMMYFUNCTION("""COMPUTED_VALUE"""),943)</f>
        <v>943</v>
      </c>
    </row>
    <row r="292" spans="1:4" ht="13.2">
      <c r="A292" s="5">
        <f ca="1">IFERROR(__xludf.DUMMYFUNCTION("""COMPUTED_VALUE"""),125)</f>
        <v>125</v>
      </c>
      <c r="B292" t="str">
        <f ca="1">IFERROR(__xludf.DUMMYFUNCTION("""COMPUTED_VALUE"""),"Instrument of the bard (Cli lyre)")</f>
        <v>Instrument of the bard (Cli lyre)</v>
      </c>
      <c r="C292" s="5" t="str">
        <f ca="1">IFERROR(__xludf.DUMMYFUNCTION("""COMPUTED_VALUE"""),"Magic")</f>
        <v>Magic</v>
      </c>
      <c r="D292" s="80">
        <f ca="1">IFERROR(__xludf.DUMMYFUNCTION("""COMPUTED_VALUE"""),925)</f>
        <v>925</v>
      </c>
    </row>
    <row r="293" spans="1:4" ht="13.2">
      <c r="A293" s="5">
        <f ca="1">IFERROR(__xludf.DUMMYFUNCTION("""COMPUTED_VALUE"""),126)</f>
        <v>126</v>
      </c>
      <c r="B293" t="str">
        <f ca="1">IFERROR(__xludf.DUMMYFUNCTION("""COMPUTED_VALUE"""),"Instrument of the bard (Doss lute)")</f>
        <v>Instrument of the bard (Doss lute)</v>
      </c>
      <c r="C293" s="5" t="str">
        <f ca="1">IFERROR(__xludf.DUMMYFUNCTION("""COMPUTED_VALUE"""),"Magic")</f>
        <v>Magic</v>
      </c>
      <c r="D293" s="80">
        <f ca="1">IFERROR(__xludf.DUMMYFUNCTION("""COMPUTED_VALUE"""),382)</f>
        <v>382</v>
      </c>
    </row>
    <row r="294" spans="1:4" ht="13.2">
      <c r="A294" s="5">
        <f ca="1">IFERROR(__xludf.DUMMYFUNCTION("""COMPUTED_VALUE"""),127)</f>
        <v>127</v>
      </c>
      <c r="B294" t="str">
        <f ca="1">IFERROR(__xludf.DUMMYFUNCTION("""COMPUTED_VALUE"""),"Instrument of the bard (Fochlucan bandore)")</f>
        <v>Instrument of the bard (Fochlucan bandore)</v>
      </c>
      <c r="C294" s="5" t="str">
        <f ca="1">IFERROR(__xludf.DUMMYFUNCTION("""COMPUTED_VALUE"""),"Magic")</f>
        <v>Magic</v>
      </c>
      <c r="D294" s="80">
        <f ca="1">IFERROR(__xludf.DUMMYFUNCTION("""COMPUTED_VALUE"""),372)</f>
        <v>372</v>
      </c>
    </row>
    <row r="295" spans="1:4" ht="13.2">
      <c r="A295" s="5">
        <f ca="1">IFERROR(__xludf.DUMMYFUNCTION("""COMPUTED_VALUE"""),128)</f>
        <v>128</v>
      </c>
      <c r="B295" t="str">
        <f ca="1">IFERROR(__xludf.DUMMYFUNCTION("""COMPUTED_VALUE"""),"Instrument of the bard (Mac-Fuirmidh cittern)")</f>
        <v>Instrument of the bard (Mac-Fuirmidh cittern)</v>
      </c>
      <c r="C295" s="5" t="str">
        <f ca="1">IFERROR(__xludf.DUMMYFUNCTION("""COMPUTED_VALUE"""),"Magic")</f>
        <v>Magic</v>
      </c>
      <c r="D295" s="80">
        <f ca="1">IFERROR(__xludf.DUMMYFUNCTION("""COMPUTED_VALUE"""),384)</f>
        <v>384</v>
      </c>
    </row>
    <row r="296" spans="1:4" ht="13.2">
      <c r="A296" s="5">
        <f ca="1">IFERROR(__xludf.DUMMYFUNCTION("""COMPUTED_VALUE"""),129)</f>
        <v>129</v>
      </c>
      <c r="B296" t="str">
        <f ca="1">IFERROR(__xludf.DUMMYFUNCTION("""COMPUTED_VALUE"""),"Instrument of the bard (Ollamh harp)")</f>
        <v>Instrument of the bard (Ollamh harp)</v>
      </c>
      <c r="C296" s="5" t="str">
        <f ca="1">IFERROR(__xludf.DUMMYFUNCTION("""COMPUTED_VALUE"""),"Magic")</f>
        <v>Magic</v>
      </c>
      <c r="D296" s="80">
        <f ca="1">IFERROR(__xludf.DUMMYFUNCTION("""COMPUTED_VALUE"""),3030)</f>
        <v>3030</v>
      </c>
    </row>
    <row r="297" spans="1:4" ht="13.2">
      <c r="A297" s="5">
        <f ca="1">IFERROR(__xludf.DUMMYFUNCTION("""COMPUTED_VALUE"""),130)</f>
        <v>130</v>
      </c>
      <c r="B297" t="str">
        <f ca="1">IFERROR(__xludf.DUMMYFUNCTION("""COMPUTED_VALUE"""),"Ioun stone (absorption)")</f>
        <v>Ioun stone (absorption)</v>
      </c>
      <c r="C297" s="5" t="str">
        <f ca="1">IFERROR(__xludf.DUMMYFUNCTION("""COMPUTED_VALUE"""),"Magic")</f>
        <v>Magic</v>
      </c>
      <c r="D297" s="80">
        <f ca="1">IFERROR(__xludf.DUMMYFUNCTION("""COMPUTED_VALUE"""),1588)</f>
        <v>1588</v>
      </c>
    </row>
    <row r="298" spans="1:4" ht="13.2">
      <c r="A298" s="5">
        <f ca="1">IFERROR(__xludf.DUMMYFUNCTION("""COMPUTED_VALUE"""),131)</f>
        <v>131</v>
      </c>
      <c r="B298" t="str">
        <f ca="1">IFERROR(__xludf.DUMMYFUNCTION("""COMPUTED_VALUE"""),"Ioun stone (agility)")</f>
        <v>Ioun stone (agility)</v>
      </c>
      <c r="C298" s="5" t="str">
        <f ca="1">IFERROR(__xludf.DUMMYFUNCTION("""COMPUTED_VALUE"""),"Magic")</f>
        <v>Magic</v>
      </c>
      <c r="D298" s="80">
        <f ca="1">IFERROR(__xludf.DUMMYFUNCTION("""COMPUTED_VALUE"""),1564)</f>
        <v>1564</v>
      </c>
    </row>
    <row r="299" spans="1:4" ht="13.2">
      <c r="A299" s="5">
        <f ca="1">IFERROR(__xludf.DUMMYFUNCTION("""COMPUTED_VALUE"""),132)</f>
        <v>132</v>
      </c>
      <c r="B299" t="str">
        <f ca="1">IFERROR(__xludf.DUMMYFUNCTION("""COMPUTED_VALUE"""),"Ioun stone (awareness)")</f>
        <v>Ioun stone (awareness)</v>
      </c>
      <c r="C299" s="5" t="str">
        <f ca="1">IFERROR(__xludf.DUMMYFUNCTION("""COMPUTED_VALUE"""),"Magic")</f>
        <v>Magic</v>
      </c>
      <c r="D299" s="80">
        <f ca="1">IFERROR(__xludf.DUMMYFUNCTION("""COMPUTED_VALUE"""),946)</f>
        <v>946</v>
      </c>
    </row>
    <row r="300" spans="1:4" ht="13.2">
      <c r="A300" s="5">
        <f ca="1">IFERROR(__xludf.DUMMYFUNCTION("""COMPUTED_VALUE"""),133)</f>
        <v>133</v>
      </c>
      <c r="B300" t="str">
        <f ca="1">IFERROR(__xludf.DUMMYFUNCTION("""COMPUTED_VALUE"""),"Ioun stone (fortitude)")</f>
        <v>Ioun stone (fortitude)</v>
      </c>
      <c r="C300" s="5" t="str">
        <f ca="1">IFERROR(__xludf.DUMMYFUNCTION("""COMPUTED_VALUE"""),"Magic")</f>
        <v>Magic</v>
      </c>
      <c r="D300" s="80">
        <f ca="1">IFERROR(__xludf.DUMMYFUNCTION("""COMPUTED_VALUE"""),1568)</f>
        <v>1568</v>
      </c>
    </row>
    <row r="301" spans="1:4" ht="13.2">
      <c r="A301" s="5">
        <f ca="1">IFERROR(__xludf.DUMMYFUNCTION("""COMPUTED_VALUE"""),134)</f>
        <v>134</v>
      </c>
      <c r="B301" t="str">
        <f ca="1">IFERROR(__xludf.DUMMYFUNCTION("""COMPUTED_VALUE"""),"Ioun stone (greater absorption)")</f>
        <v>Ioun stone (greater absorption)</v>
      </c>
      <c r="C301" s="5" t="str">
        <f ca="1">IFERROR(__xludf.DUMMYFUNCTION("""COMPUTED_VALUE"""),"Magic")</f>
        <v>Magic</v>
      </c>
      <c r="D301" s="80">
        <f ca="1">IFERROR(__xludf.DUMMYFUNCTION("""COMPUTED_VALUE"""),3065)</f>
        <v>3065</v>
      </c>
    </row>
    <row r="302" spans="1:4" ht="13.2">
      <c r="A302" s="5">
        <f ca="1">IFERROR(__xludf.DUMMYFUNCTION("""COMPUTED_VALUE"""),135)</f>
        <v>135</v>
      </c>
      <c r="B302" t="str">
        <f ca="1">IFERROR(__xludf.DUMMYFUNCTION("""COMPUTED_VALUE"""),"Ioun stone (insight)")</f>
        <v>Ioun stone (insight)</v>
      </c>
      <c r="C302" s="5" t="str">
        <f ca="1">IFERROR(__xludf.DUMMYFUNCTION("""COMPUTED_VALUE"""),"Magic")</f>
        <v>Magic</v>
      </c>
      <c r="D302" s="80">
        <f ca="1">IFERROR(__xludf.DUMMYFUNCTION("""COMPUTED_VALUE"""),1568)</f>
        <v>1568</v>
      </c>
    </row>
    <row r="303" spans="1:4" ht="13.2">
      <c r="A303" s="5">
        <f ca="1">IFERROR(__xludf.DUMMYFUNCTION("""COMPUTED_VALUE"""),136)</f>
        <v>136</v>
      </c>
      <c r="B303" t="str">
        <f ca="1">IFERROR(__xludf.DUMMYFUNCTION("""COMPUTED_VALUE"""),"Ioun stone (intellect)")</f>
        <v>Ioun stone (intellect)</v>
      </c>
      <c r="C303" s="5" t="str">
        <f ca="1">IFERROR(__xludf.DUMMYFUNCTION("""COMPUTED_VALUE"""),"Magic")</f>
        <v>Magic</v>
      </c>
      <c r="D303" s="80">
        <f ca="1">IFERROR(__xludf.DUMMYFUNCTION("""COMPUTED_VALUE"""),1592)</f>
        <v>1592</v>
      </c>
    </row>
    <row r="304" spans="1:4" ht="13.2">
      <c r="A304" s="5">
        <f ca="1">IFERROR(__xludf.DUMMYFUNCTION("""COMPUTED_VALUE"""),137)</f>
        <v>137</v>
      </c>
      <c r="B304" t="str">
        <f ca="1">IFERROR(__xludf.DUMMYFUNCTION("""COMPUTED_VALUE"""),"Ioun stone (leadership)")</f>
        <v>Ioun stone (leadership)</v>
      </c>
      <c r="C304" s="5" t="str">
        <f ca="1">IFERROR(__xludf.DUMMYFUNCTION("""COMPUTED_VALUE"""),"Magic")</f>
        <v>Magic</v>
      </c>
      <c r="D304" s="80">
        <f ca="1">IFERROR(__xludf.DUMMYFUNCTION("""COMPUTED_VALUE"""),1568)</f>
        <v>1568</v>
      </c>
    </row>
    <row r="305" spans="1:4" ht="13.2">
      <c r="A305" s="5">
        <f ca="1">IFERROR(__xludf.DUMMYFUNCTION("""COMPUTED_VALUE"""),138)</f>
        <v>138</v>
      </c>
      <c r="B305" t="str">
        <f ca="1">IFERROR(__xludf.DUMMYFUNCTION("""COMPUTED_VALUE"""),"Ioun stone (mastery)")</f>
        <v>Ioun stone (mastery)</v>
      </c>
      <c r="C305" s="5" t="str">
        <f ca="1">IFERROR(__xludf.DUMMYFUNCTION("""COMPUTED_VALUE"""),"Magic")</f>
        <v>Magic</v>
      </c>
      <c r="D305" s="80">
        <f ca="1">IFERROR(__xludf.DUMMYFUNCTION("""COMPUTED_VALUE"""),3065)</f>
        <v>3065</v>
      </c>
    </row>
    <row r="306" spans="1:4" ht="13.2">
      <c r="A306" s="5">
        <f ca="1">IFERROR(__xludf.DUMMYFUNCTION("""COMPUTED_VALUE"""),139)</f>
        <v>139</v>
      </c>
      <c r="B306" t="str">
        <f ca="1">IFERROR(__xludf.DUMMYFUNCTION("""COMPUTED_VALUE"""),"Ioun stone (protection)")</f>
        <v>Ioun stone (protection)</v>
      </c>
      <c r="C306" s="5" t="str">
        <f ca="1">IFERROR(__xludf.DUMMYFUNCTION("""COMPUTED_VALUE"""),"Magic")</f>
        <v>Magic</v>
      </c>
      <c r="D306" s="80">
        <f ca="1">IFERROR(__xludf.DUMMYFUNCTION("""COMPUTED_VALUE"""),934)</f>
        <v>934</v>
      </c>
    </row>
    <row r="307" spans="1:4" ht="13.2">
      <c r="A307" s="5">
        <f ca="1">IFERROR(__xludf.DUMMYFUNCTION("""COMPUTED_VALUE"""),140)</f>
        <v>140</v>
      </c>
      <c r="B307" t="str">
        <f ca="1">IFERROR(__xludf.DUMMYFUNCTION("""COMPUTED_VALUE"""),"Ioun stone (regeneration)")</f>
        <v>Ioun stone (regeneration)</v>
      </c>
      <c r="C307" s="5" t="str">
        <f ca="1">IFERROR(__xludf.DUMMYFUNCTION("""COMPUTED_VALUE"""),"Magic")</f>
        <v>Magic</v>
      </c>
      <c r="D307" s="80">
        <f ca="1">IFERROR(__xludf.DUMMYFUNCTION("""COMPUTED_VALUE"""),3070)</f>
        <v>3070</v>
      </c>
    </row>
    <row r="308" spans="1:4" ht="13.2">
      <c r="A308" s="5">
        <f ca="1">IFERROR(__xludf.DUMMYFUNCTION("""COMPUTED_VALUE"""),141)</f>
        <v>141</v>
      </c>
      <c r="B308" t="str">
        <f ca="1">IFERROR(__xludf.DUMMYFUNCTION("""COMPUTED_VALUE"""),"Ioun stone (reserve)")</f>
        <v>Ioun stone (reserve)</v>
      </c>
      <c r="C308" s="5" t="str">
        <f ca="1">IFERROR(__xludf.DUMMYFUNCTION("""COMPUTED_VALUE"""),"Magic")</f>
        <v>Magic</v>
      </c>
      <c r="D308" s="80">
        <f ca="1">IFERROR(__xludf.DUMMYFUNCTION("""COMPUTED_VALUE"""),934)</f>
        <v>934</v>
      </c>
    </row>
    <row r="309" spans="1:4" ht="13.2">
      <c r="A309" s="5">
        <f ca="1">IFERROR(__xludf.DUMMYFUNCTION("""COMPUTED_VALUE"""),142)</f>
        <v>142</v>
      </c>
      <c r="B309" t="str">
        <f ca="1">IFERROR(__xludf.DUMMYFUNCTION("""COMPUTED_VALUE"""),"Ioun stone (strength)")</f>
        <v>Ioun stone (strength)</v>
      </c>
      <c r="C309" s="5" t="str">
        <f ca="1">IFERROR(__xludf.DUMMYFUNCTION("""COMPUTED_VALUE"""),"Magic")</f>
        <v>Magic</v>
      </c>
      <c r="D309" s="80">
        <f ca="1">IFERROR(__xludf.DUMMYFUNCTION("""COMPUTED_VALUE"""),1596)</f>
        <v>1596</v>
      </c>
    </row>
    <row r="310" spans="1:4" ht="13.2">
      <c r="A310" s="5">
        <f ca="1">IFERROR(__xludf.DUMMYFUNCTION("""COMPUTED_VALUE"""),143)</f>
        <v>143</v>
      </c>
      <c r="B310" t="str">
        <f ca="1">IFERROR(__xludf.DUMMYFUNCTION("""COMPUTED_VALUE"""),"Ioun stone (sustenance)")</f>
        <v>Ioun stone (sustenance)</v>
      </c>
      <c r="C310" s="5" t="str">
        <f ca="1">IFERROR(__xludf.DUMMYFUNCTION("""COMPUTED_VALUE"""),"Magic")</f>
        <v>Magic</v>
      </c>
      <c r="D310" s="80">
        <f ca="1">IFERROR(__xludf.DUMMYFUNCTION("""COMPUTED_VALUE"""),934)</f>
        <v>934</v>
      </c>
    </row>
    <row r="311" spans="1:4" ht="13.2">
      <c r="A311" s="5">
        <f ca="1">IFERROR(__xludf.DUMMYFUNCTION("""COMPUTED_VALUE"""),144)</f>
        <v>144</v>
      </c>
      <c r="B311" t="str">
        <f ca="1">IFERROR(__xludf.DUMMYFUNCTION("""COMPUTED_VALUE"""),"Iron bands of bilarro")</f>
        <v>Iron bands of bilarro</v>
      </c>
      <c r="C311" s="5" t="str">
        <f ca="1">IFERROR(__xludf.DUMMYFUNCTION("""COMPUTED_VALUE"""),"Magic")</f>
        <v>Magic</v>
      </c>
      <c r="D311" s="80">
        <f ca="1">IFERROR(__xludf.DUMMYFUNCTION("""COMPUTED_VALUE"""),952)</f>
        <v>952</v>
      </c>
    </row>
    <row r="312" spans="1:4" ht="13.2">
      <c r="A312" s="5">
        <f ca="1">IFERROR(__xludf.DUMMYFUNCTION("""COMPUTED_VALUE"""),145)</f>
        <v>145</v>
      </c>
      <c r="B312" t="str">
        <f ca="1">IFERROR(__xludf.DUMMYFUNCTION("""COMPUTED_VALUE"""),"Iron flask")</f>
        <v>Iron flask</v>
      </c>
      <c r="C312" s="5" t="str">
        <f ca="1">IFERROR(__xludf.DUMMYFUNCTION("""COMPUTED_VALUE"""),"Magic")</f>
        <v>Magic</v>
      </c>
      <c r="D312" s="80">
        <f ca="1">IFERROR(__xludf.DUMMYFUNCTION("""COMPUTED_VALUE"""),3045)</f>
        <v>3045</v>
      </c>
    </row>
    <row r="313" spans="1:4" ht="13.2">
      <c r="A313" s="5">
        <f ca="1">IFERROR(__xludf.DUMMYFUNCTION("""COMPUTED_VALUE"""),146)</f>
        <v>146</v>
      </c>
      <c r="B313" t="str">
        <f ca="1">IFERROR(__xludf.DUMMYFUNCTION("""COMPUTED_VALUE"""),"Javelin of lightning")</f>
        <v>Javelin of lightning</v>
      </c>
      <c r="C313" s="5" t="str">
        <f ca="1">IFERROR(__xludf.DUMMYFUNCTION("""COMPUTED_VALUE"""),"Magic")</f>
        <v>Magic</v>
      </c>
      <c r="D313" s="80">
        <f ca="1">IFERROR(__xludf.DUMMYFUNCTION("""COMPUTED_VALUE"""),366)</f>
        <v>366</v>
      </c>
    </row>
    <row r="314" spans="1:4" ht="13.2">
      <c r="A314" s="5">
        <f ca="1">IFERROR(__xludf.DUMMYFUNCTION("""COMPUTED_VALUE"""),147)</f>
        <v>147</v>
      </c>
      <c r="B314" t="str">
        <f ca="1">IFERROR(__xludf.DUMMYFUNCTION("""COMPUTED_VALUE"""),"Keoghtom’s ointment")</f>
        <v>Keoghtom’s ointment</v>
      </c>
      <c r="C314" s="5" t="str">
        <f ca="1">IFERROR(__xludf.DUMMYFUNCTION("""COMPUTED_VALUE"""),"Magic")</f>
        <v>Magic</v>
      </c>
      <c r="D314" s="80">
        <f ca="1">IFERROR(__xludf.DUMMYFUNCTION("""COMPUTED_VALUE"""),378)</f>
        <v>378</v>
      </c>
    </row>
    <row r="315" spans="1:4" ht="13.2">
      <c r="A315" s="5">
        <f ca="1">IFERROR(__xludf.DUMMYFUNCTION("""COMPUTED_VALUE"""),148)</f>
        <v>148</v>
      </c>
      <c r="B315" t="str">
        <f ca="1">IFERROR(__xludf.DUMMYFUNCTION("""COMPUTED_VALUE"""),"Lantern of revealing")</f>
        <v>Lantern of revealing</v>
      </c>
      <c r="C315" s="5" t="str">
        <f ca="1">IFERROR(__xludf.DUMMYFUNCTION("""COMPUTED_VALUE"""),"Magic")</f>
        <v>Magic</v>
      </c>
      <c r="D315" s="80">
        <f ca="1">IFERROR(__xludf.DUMMYFUNCTION("""COMPUTED_VALUE"""),366)</f>
        <v>366</v>
      </c>
    </row>
    <row r="316" spans="1:4" ht="13.2">
      <c r="A316" s="5">
        <f ca="1">IFERROR(__xludf.DUMMYFUNCTION("""COMPUTED_VALUE"""),149)</f>
        <v>149</v>
      </c>
      <c r="B316" t="str">
        <f ca="1">IFERROR(__xludf.DUMMYFUNCTION("""COMPUTED_VALUE"""),"Luck blade")</f>
        <v>Luck blade</v>
      </c>
      <c r="C316" s="5" t="str">
        <f ca="1">IFERROR(__xludf.DUMMYFUNCTION("""COMPUTED_VALUE"""),"Magic")</f>
        <v>Magic</v>
      </c>
      <c r="D316" s="80">
        <f ca="1">IFERROR(__xludf.DUMMYFUNCTION("""COMPUTED_VALUE"""),3045)</f>
        <v>3045</v>
      </c>
    </row>
    <row r="317" spans="1:4" ht="13.2">
      <c r="A317" s="5">
        <f ca="1">IFERROR(__xludf.DUMMYFUNCTION("""COMPUTED_VALUE"""),150)</f>
        <v>150</v>
      </c>
      <c r="B317" t="str">
        <f ca="1">IFERROR(__xludf.DUMMYFUNCTION("""COMPUTED_VALUE"""),"Mace of disruption")</f>
        <v>Mace of disruption</v>
      </c>
      <c r="C317" s="5" t="str">
        <f ca="1">IFERROR(__xludf.DUMMYFUNCTION("""COMPUTED_VALUE"""),"Magic")</f>
        <v>Magic</v>
      </c>
      <c r="D317" s="80">
        <f ca="1">IFERROR(__xludf.DUMMYFUNCTION("""COMPUTED_VALUE"""),919)</f>
        <v>919</v>
      </c>
    </row>
    <row r="318" spans="1:4" ht="13.2">
      <c r="A318" s="5">
        <f ca="1">IFERROR(__xludf.DUMMYFUNCTION("""COMPUTED_VALUE"""),151)</f>
        <v>151</v>
      </c>
      <c r="B318" t="str">
        <f ca="1">IFERROR(__xludf.DUMMYFUNCTION("""COMPUTED_VALUE"""),"Mace of smiting")</f>
        <v>Mace of smiting</v>
      </c>
      <c r="C318" s="5" t="str">
        <f ca="1">IFERROR(__xludf.DUMMYFUNCTION("""COMPUTED_VALUE"""),"Magic")</f>
        <v>Magic</v>
      </c>
      <c r="D318" s="80">
        <f ca="1">IFERROR(__xludf.DUMMYFUNCTION("""COMPUTED_VALUE"""),940)</f>
        <v>940</v>
      </c>
    </row>
    <row r="319" spans="1:4" ht="13.2">
      <c r="A319" s="5">
        <f ca="1">IFERROR(__xludf.DUMMYFUNCTION("""COMPUTED_VALUE"""),152)</f>
        <v>152</v>
      </c>
      <c r="B319" t="str">
        <f ca="1">IFERROR(__xludf.DUMMYFUNCTION("""COMPUTED_VALUE"""),"Mace of terror")</f>
        <v>Mace of terror</v>
      </c>
      <c r="C319" s="5" t="str">
        <f ca="1">IFERROR(__xludf.DUMMYFUNCTION("""COMPUTED_VALUE"""),"Magic")</f>
        <v>Magic</v>
      </c>
      <c r="D319" s="80">
        <f ca="1">IFERROR(__xludf.DUMMYFUNCTION("""COMPUTED_VALUE"""),922)</f>
        <v>922</v>
      </c>
    </row>
    <row r="320" spans="1:4" ht="13.2">
      <c r="A320" s="5">
        <f ca="1">IFERROR(__xludf.DUMMYFUNCTION("""COMPUTED_VALUE"""),153)</f>
        <v>153</v>
      </c>
      <c r="B320" t="str">
        <f ca="1">IFERROR(__xludf.DUMMYFUNCTION("""COMPUTED_VALUE"""),"Mantle of spell resistance")</f>
        <v>Mantle of spell resistance</v>
      </c>
      <c r="C320" s="5" t="str">
        <f ca="1">IFERROR(__xludf.DUMMYFUNCTION("""COMPUTED_VALUE"""),"Magic")</f>
        <v>Magic</v>
      </c>
      <c r="D320" s="80">
        <f ca="1">IFERROR(__xludf.DUMMYFUNCTION("""COMPUTED_VALUE"""),940)</f>
        <v>940</v>
      </c>
    </row>
    <row r="321" spans="1:4" ht="13.2">
      <c r="A321" s="5">
        <f ca="1">IFERROR(__xludf.DUMMYFUNCTION("""COMPUTED_VALUE"""),154)</f>
        <v>154</v>
      </c>
      <c r="B321" t="str">
        <f ca="1">IFERROR(__xludf.DUMMYFUNCTION("""COMPUTED_VALUE"""),"Manual of bodily health")</f>
        <v>Manual of bodily health</v>
      </c>
      <c r="C321" s="5" t="str">
        <f ca="1">IFERROR(__xludf.DUMMYFUNCTION("""COMPUTED_VALUE"""),"Magic")</f>
        <v>Magic</v>
      </c>
      <c r="D321" s="80">
        <f ca="1">IFERROR(__xludf.DUMMYFUNCTION("""COMPUTED_VALUE"""),1556)</f>
        <v>1556</v>
      </c>
    </row>
    <row r="322" spans="1:4" ht="13.2">
      <c r="A322" s="5">
        <f ca="1">IFERROR(__xludf.DUMMYFUNCTION("""COMPUTED_VALUE"""),155)</f>
        <v>155</v>
      </c>
      <c r="B322" t="str">
        <f ca="1">IFERROR(__xludf.DUMMYFUNCTION("""COMPUTED_VALUE"""),"Manual of gainful exercise")</f>
        <v>Manual of gainful exercise</v>
      </c>
      <c r="C322" s="5" t="str">
        <f ca="1">IFERROR(__xludf.DUMMYFUNCTION("""COMPUTED_VALUE"""),"Magic")</f>
        <v>Magic</v>
      </c>
      <c r="D322" s="80">
        <f ca="1">IFERROR(__xludf.DUMMYFUNCTION("""COMPUTED_VALUE"""),1580)</f>
        <v>1580</v>
      </c>
    </row>
    <row r="323" spans="1:4" ht="13.2">
      <c r="A323" s="5">
        <f ca="1">IFERROR(__xludf.DUMMYFUNCTION("""COMPUTED_VALUE"""),156)</f>
        <v>156</v>
      </c>
      <c r="B323" t="str">
        <f ca="1">IFERROR(__xludf.DUMMYFUNCTION("""COMPUTED_VALUE"""),"Manual of golems")</f>
        <v>Manual of golems</v>
      </c>
      <c r="C323" s="5" t="str">
        <f ca="1">IFERROR(__xludf.DUMMYFUNCTION("""COMPUTED_VALUE"""),"Magic")</f>
        <v>Magic</v>
      </c>
      <c r="D323" s="80">
        <f ca="1">IFERROR(__xludf.DUMMYFUNCTION("""COMPUTED_VALUE"""),1556)</f>
        <v>1556</v>
      </c>
    </row>
    <row r="324" spans="1:4" ht="13.2">
      <c r="A324" s="5">
        <f ca="1">IFERROR(__xludf.DUMMYFUNCTION("""COMPUTED_VALUE"""),157)</f>
        <v>157</v>
      </c>
      <c r="B324" t="str">
        <f ca="1">IFERROR(__xludf.DUMMYFUNCTION("""COMPUTED_VALUE"""),"Manual of quickness of action")</f>
        <v>Manual of quickness of action</v>
      </c>
      <c r="C324" s="5" t="str">
        <f ca="1">IFERROR(__xludf.DUMMYFUNCTION("""COMPUTED_VALUE"""),"Magic")</f>
        <v>Magic</v>
      </c>
      <c r="D324" s="80">
        <f ca="1">IFERROR(__xludf.DUMMYFUNCTION("""COMPUTED_VALUE"""),1584)</f>
        <v>1584</v>
      </c>
    </row>
    <row r="325" spans="1:4" ht="13.2">
      <c r="A325" s="5">
        <f ca="1">IFERROR(__xludf.DUMMYFUNCTION("""COMPUTED_VALUE"""),158)</f>
        <v>158</v>
      </c>
      <c r="B325" t="str">
        <f ca="1">IFERROR(__xludf.DUMMYFUNCTION("""COMPUTED_VALUE"""),"Mariner’s armor")</f>
        <v>Mariner’s armor</v>
      </c>
      <c r="C325" s="5" t="str">
        <f ca="1">IFERROR(__xludf.DUMMYFUNCTION("""COMPUTED_VALUE"""),"Magic")</f>
        <v>Magic</v>
      </c>
      <c r="D325" s="80">
        <f ca="1">IFERROR(__xludf.DUMMYFUNCTION("""COMPUTED_VALUE"""),370)</f>
        <v>370</v>
      </c>
    </row>
    <row r="326" spans="1:4" ht="13.2">
      <c r="A326" s="5">
        <f ca="1">IFERROR(__xludf.DUMMYFUNCTION("""COMPUTED_VALUE"""),159)</f>
        <v>159</v>
      </c>
      <c r="B326" t="str">
        <f ca="1">IFERROR(__xludf.DUMMYFUNCTION("""COMPUTED_VALUE"""),"Medallion of thoughts")</f>
        <v>Medallion of thoughts</v>
      </c>
      <c r="C326" s="5" t="str">
        <f ca="1">IFERROR(__xludf.DUMMYFUNCTION("""COMPUTED_VALUE"""),"Magic")</f>
        <v>Magic</v>
      </c>
      <c r="D326" s="80">
        <f ca="1">IFERROR(__xludf.DUMMYFUNCTION("""COMPUTED_VALUE"""),382)</f>
        <v>382</v>
      </c>
    </row>
    <row r="327" spans="1:4" ht="13.2">
      <c r="A327" s="5">
        <f ca="1">IFERROR(__xludf.DUMMYFUNCTION("""COMPUTED_VALUE"""),160)</f>
        <v>160</v>
      </c>
      <c r="B327" t="str">
        <f ca="1">IFERROR(__xludf.DUMMYFUNCTION("""COMPUTED_VALUE"""),"Mirror of life trapping")</f>
        <v>Mirror of life trapping</v>
      </c>
      <c r="C327" s="5" t="str">
        <f ca="1">IFERROR(__xludf.DUMMYFUNCTION("""COMPUTED_VALUE"""),"Magic")</f>
        <v>Magic</v>
      </c>
      <c r="D327" s="80">
        <f ca="1">IFERROR(__xludf.DUMMYFUNCTION("""COMPUTED_VALUE"""),1560)</f>
        <v>1560</v>
      </c>
    </row>
    <row r="328" spans="1:4" ht="13.2">
      <c r="A328" s="5">
        <f ca="1">IFERROR(__xludf.DUMMYFUNCTION("""COMPUTED_VALUE"""),161)</f>
        <v>161</v>
      </c>
      <c r="B328" t="str">
        <f ca="1">IFERROR(__xludf.DUMMYFUNCTION("""COMPUTED_VALUE"""),"Mithral armor")</f>
        <v>Mithral armor</v>
      </c>
      <c r="C328" s="5" t="str">
        <f ca="1">IFERROR(__xludf.DUMMYFUNCTION("""COMPUTED_VALUE"""),"Magic")</f>
        <v>Magic</v>
      </c>
      <c r="D328" s="80">
        <f ca="1">IFERROR(__xludf.DUMMYFUNCTION("""COMPUTED_VALUE"""),382)</f>
        <v>382</v>
      </c>
    </row>
    <row r="329" spans="1:4" ht="13.2">
      <c r="A329" s="5">
        <f ca="1">IFERROR(__xludf.DUMMYFUNCTION("""COMPUTED_VALUE"""),162)</f>
        <v>162</v>
      </c>
      <c r="B329" t="str">
        <f ca="1">IFERROR(__xludf.DUMMYFUNCTION("""COMPUTED_VALUE"""),"Necklace of adaptation")</f>
        <v>Necklace of adaptation</v>
      </c>
      <c r="C329" s="5" t="str">
        <f ca="1">IFERROR(__xludf.DUMMYFUNCTION("""COMPUTED_VALUE"""),"Magic")</f>
        <v>Magic</v>
      </c>
      <c r="D329" s="80">
        <f ca="1">IFERROR(__xludf.DUMMYFUNCTION("""COMPUTED_VALUE"""),370)</f>
        <v>370</v>
      </c>
    </row>
    <row r="330" spans="1:4" ht="13.2">
      <c r="A330" s="5">
        <f ca="1">IFERROR(__xludf.DUMMYFUNCTION("""COMPUTED_VALUE"""),163)</f>
        <v>163</v>
      </c>
      <c r="B330" t="str">
        <f ca="1">IFERROR(__xludf.DUMMYFUNCTION("""COMPUTED_VALUE"""),"Necklace of fireballs")</f>
        <v>Necklace of fireballs</v>
      </c>
      <c r="C330" s="5" t="str">
        <f ca="1">IFERROR(__xludf.DUMMYFUNCTION("""COMPUTED_VALUE"""),"Magic")</f>
        <v>Magic</v>
      </c>
      <c r="D330" s="80">
        <f ca="1">IFERROR(__xludf.DUMMYFUNCTION("""COMPUTED_VALUE"""),946)</f>
        <v>946</v>
      </c>
    </row>
    <row r="331" spans="1:4" ht="13.2">
      <c r="A331" s="5">
        <f ca="1">IFERROR(__xludf.DUMMYFUNCTION("""COMPUTED_VALUE"""),164)</f>
        <v>164</v>
      </c>
      <c r="B331" t="str">
        <f ca="1">IFERROR(__xludf.DUMMYFUNCTION("""COMPUTED_VALUE"""),"Necklace of prayer beads")</f>
        <v>Necklace of prayer beads</v>
      </c>
      <c r="C331" s="5" t="str">
        <f ca="1">IFERROR(__xludf.DUMMYFUNCTION("""COMPUTED_VALUE"""),"Magic")</f>
        <v>Magic</v>
      </c>
      <c r="D331" s="80">
        <f ca="1">IFERROR(__xludf.DUMMYFUNCTION("""COMPUTED_VALUE"""),928)</f>
        <v>928</v>
      </c>
    </row>
    <row r="332" spans="1:4" ht="13.2">
      <c r="A332" s="5">
        <f ca="1">IFERROR(__xludf.DUMMYFUNCTION("""COMPUTED_VALUE"""),165)</f>
        <v>165</v>
      </c>
      <c r="B332" t="str">
        <f ca="1">IFERROR(__xludf.DUMMYFUNCTION("""COMPUTED_VALUE"""),"Nine lives stealer")</f>
        <v>Nine lives stealer</v>
      </c>
      <c r="C332" s="5" t="str">
        <f ca="1">IFERROR(__xludf.DUMMYFUNCTION("""COMPUTED_VALUE"""),"Magic")</f>
        <v>Magic</v>
      </c>
      <c r="D332" s="80">
        <f ca="1">IFERROR(__xludf.DUMMYFUNCTION("""COMPUTED_VALUE"""),1588)</f>
        <v>1588</v>
      </c>
    </row>
    <row r="333" spans="1:4" ht="13.2">
      <c r="A333" s="5">
        <f ca="1">IFERROR(__xludf.DUMMYFUNCTION("""COMPUTED_VALUE"""),166)</f>
        <v>166</v>
      </c>
      <c r="B333" t="str">
        <f ca="1">IFERROR(__xludf.DUMMYFUNCTION("""COMPUTED_VALUE"""),"Nolzur’s marvelous pigments")</f>
        <v>Nolzur’s marvelous pigments</v>
      </c>
      <c r="C333" s="5" t="str">
        <f ca="1">IFERROR(__xludf.DUMMYFUNCTION("""COMPUTED_VALUE"""),"Magic")</f>
        <v>Magic</v>
      </c>
      <c r="D333" s="80">
        <f ca="1">IFERROR(__xludf.DUMMYFUNCTION("""COMPUTED_VALUE"""),1564)</f>
        <v>1564</v>
      </c>
    </row>
    <row r="334" spans="1:4" ht="13.2">
      <c r="A334" s="5">
        <f ca="1">IFERROR(__xludf.DUMMYFUNCTION("""COMPUTED_VALUE"""),167)</f>
        <v>167</v>
      </c>
      <c r="B334" t="str">
        <f ca="1">IFERROR(__xludf.DUMMYFUNCTION("""COMPUTED_VALUE"""),"Oathbow")</f>
        <v>Oathbow</v>
      </c>
      <c r="C334" s="5" t="str">
        <f ca="1">IFERROR(__xludf.DUMMYFUNCTION("""COMPUTED_VALUE"""),"Magic")</f>
        <v>Magic</v>
      </c>
      <c r="D334" s="80">
        <f ca="1">IFERROR(__xludf.DUMMYFUNCTION("""COMPUTED_VALUE"""),1588)</f>
        <v>1588</v>
      </c>
    </row>
    <row r="335" spans="1:4" ht="13.2">
      <c r="A335" s="5">
        <f ca="1">IFERROR(__xludf.DUMMYFUNCTION("""COMPUTED_VALUE"""),168)</f>
        <v>168</v>
      </c>
      <c r="B335" t="str">
        <f ca="1">IFERROR(__xludf.DUMMYFUNCTION("""COMPUTED_VALUE"""),"Oil of etherealness")</f>
        <v>Oil of etherealness</v>
      </c>
      <c r="C335" s="5" t="str">
        <f ca="1">IFERROR(__xludf.DUMMYFUNCTION("""COMPUTED_VALUE"""),"Magic")</f>
        <v>Magic</v>
      </c>
      <c r="D335" s="80">
        <f ca="1">IFERROR(__xludf.DUMMYFUNCTION("""COMPUTED_VALUE"""),928)</f>
        <v>928</v>
      </c>
    </row>
    <row r="336" spans="1:4" ht="13.2">
      <c r="A336" s="5">
        <f ca="1">IFERROR(__xludf.DUMMYFUNCTION("""COMPUTED_VALUE"""),169)</f>
        <v>169</v>
      </c>
      <c r="B336" t="str">
        <f ca="1">IFERROR(__xludf.DUMMYFUNCTION("""COMPUTED_VALUE"""),"Oil of sharpness")</f>
        <v>Oil of sharpness</v>
      </c>
      <c r="C336" s="5" t="str">
        <f ca="1">IFERROR(__xludf.DUMMYFUNCTION("""COMPUTED_VALUE"""),"Magic")</f>
        <v>Magic</v>
      </c>
      <c r="D336" s="80">
        <f ca="1">IFERROR(__xludf.DUMMYFUNCTION("""COMPUTED_VALUE"""),1592)</f>
        <v>1592</v>
      </c>
    </row>
    <row r="337" spans="1:4" ht="13.2">
      <c r="A337" s="5">
        <f ca="1">IFERROR(__xludf.DUMMYFUNCTION("""COMPUTED_VALUE"""),170)</f>
        <v>170</v>
      </c>
      <c r="B337" t="str">
        <f ca="1">IFERROR(__xludf.DUMMYFUNCTION("""COMPUTED_VALUE"""),"Oil of slipperiness")</f>
        <v>Oil of slipperiness</v>
      </c>
      <c r="C337" s="5" t="str">
        <f ca="1">IFERROR(__xludf.DUMMYFUNCTION("""COMPUTED_VALUE"""),"Magic")</f>
        <v>Magic</v>
      </c>
      <c r="D337" s="80">
        <f ca="1">IFERROR(__xludf.DUMMYFUNCTION("""COMPUTED_VALUE"""),374)</f>
        <v>374</v>
      </c>
    </row>
    <row r="338" spans="1:4" ht="13.2">
      <c r="A338" s="5">
        <f ca="1">IFERROR(__xludf.DUMMYFUNCTION("""COMPUTED_VALUE"""),171)</f>
        <v>171</v>
      </c>
      <c r="B338" t="str">
        <f ca="1">IFERROR(__xludf.DUMMYFUNCTION("""COMPUTED_VALUE"""),"Pearl of power")</f>
        <v>Pearl of power</v>
      </c>
      <c r="C338" s="5" t="str">
        <f ca="1">IFERROR(__xludf.DUMMYFUNCTION("""COMPUTED_VALUE"""),"Magic")</f>
        <v>Magic</v>
      </c>
      <c r="D338" s="80">
        <f ca="1">IFERROR(__xludf.DUMMYFUNCTION("""COMPUTED_VALUE"""),386)</f>
        <v>386</v>
      </c>
    </row>
    <row r="339" spans="1:4" ht="13.2">
      <c r="A339" s="5">
        <f ca="1">IFERROR(__xludf.DUMMYFUNCTION("""COMPUTED_VALUE"""),172)</f>
        <v>172</v>
      </c>
      <c r="B339" t="str">
        <f ca="1">IFERROR(__xludf.DUMMYFUNCTION("""COMPUTED_VALUE"""),"Periapt of health")</f>
        <v>Periapt of health</v>
      </c>
      <c r="C339" s="5" t="str">
        <f ca="1">IFERROR(__xludf.DUMMYFUNCTION("""COMPUTED_VALUE"""),"Magic")</f>
        <v>Magic</v>
      </c>
      <c r="D339" s="80">
        <f ca="1">IFERROR(__xludf.DUMMYFUNCTION("""COMPUTED_VALUE"""),374)</f>
        <v>374</v>
      </c>
    </row>
    <row r="340" spans="1:4" ht="13.2">
      <c r="A340" s="5">
        <f ca="1">IFERROR(__xludf.DUMMYFUNCTION("""COMPUTED_VALUE"""),173)</f>
        <v>173</v>
      </c>
      <c r="B340" t="str">
        <f ca="1">IFERROR(__xludf.DUMMYFUNCTION("""COMPUTED_VALUE"""),"Periapt of proof against poison")</f>
        <v>Periapt of proof against poison</v>
      </c>
      <c r="C340" s="5" t="str">
        <f ca="1">IFERROR(__xludf.DUMMYFUNCTION("""COMPUTED_VALUE"""),"Magic")</f>
        <v>Magic</v>
      </c>
      <c r="D340" s="80">
        <f ca="1">IFERROR(__xludf.DUMMYFUNCTION("""COMPUTED_VALUE"""),949)</f>
        <v>949</v>
      </c>
    </row>
    <row r="341" spans="1:4" ht="13.2">
      <c r="A341" s="5">
        <f ca="1">IFERROR(__xludf.DUMMYFUNCTION("""COMPUTED_VALUE"""),174)</f>
        <v>174</v>
      </c>
      <c r="B341" t="str">
        <f ca="1">IFERROR(__xludf.DUMMYFUNCTION("""COMPUTED_VALUE"""),"Periapt of wound closure")</f>
        <v>Periapt of wound closure</v>
      </c>
      <c r="C341" s="5" t="str">
        <f ca="1">IFERROR(__xludf.DUMMYFUNCTION("""COMPUTED_VALUE"""),"Magic")</f>
        <v>Magic</v>
      </c>
      <c r="D341" s="80">
        <f ca="1">IFERROR(__xludf.DUMMYFUNCTION("""COMPUTED_VALUE"""),374)</f>
        <v>374</v>
      </c>
    </row>
    <row r="342" spans="1:4" ht="13.2">
      <c r="A342" s="5">
        <f ca="1">IFERROR(__xludf.DUMMYFUNCTION("""COMPUTED_VALUE"""),175)</f>
        <v>175</v>
      </c>
      <c r="B342" t="str">
        <f ca="1">IFERROR(__xludf.DUMMYFUNCTION("""COMPUTED_VALUE"""),"Philter of love")</f>
        <v>Philter of love</v>
      </c>
      <c r="C342" s="5" t="str">
        <f ca="1">IFERROR(__xludf.DUMMYFUNCTION("""COMPUTED_VALUE"""),"Magic")</f>
        <v>Magic</v>
      </c>
      <c r="D342" s="80">
        <f ca="1">IFERROR(__xludf.DUMMYFUNCTION("""COMPUTED_VALUE"""),388)</f>
        <v>388</v>
      </c>
    </row>
    <row r="343" spans="1:4" ht="13.2">
      <c r="A343" s="5">
        <f ca="1">IFERROR(__xludf.DUMMYFUNCTION("""COMPUTED_VALUE"""),176)</f>
        <v>176</v>
      </c>
      <c r="B343" t="str">
        <f ca="1">IFERROR(__xludf.DUMMYFUNCTION("""COMPUTED_VALUE"""),"Pipes of haunting")</f>
        <v>Pipes of haunting</v>
      </c>
      <c r="C343" s="5" t="str">
        <f ca="1">IFERROR(__xludf.DUMMYFUNCTION("""COMPUTED_VALUE"""),"Magic")</f>
        <v>Magic</v>
      </c>
      <c r="D343" s="80">
        <f ca="1">IFERROR(__xludf.DUMMYFUNCTION("""COMPUTED_VALUE"""),376)</f>
        <v>376</v>
      </c>
    </row>
    <row r="344" spans="1:4" ht="13.2">
      <c r="A344" s="5">
        <f ca="1">IFERROR(__xludf.DUMMYFUNCTION("""COMPUTED_VALUE"""),177)</f>
        <v>177</v>
      </c>
      <c r="B344" t="str">
        <f ca="1">IFERROR(__xludf.DUMMYFUNCTION("""COMPUTED_VALUE"""),"Pipes of the sewers")</f>
        <v>Pipes of the sewers</v>
      </c>
      <c r="C344" s="5" t="str">
        <f ca="1">IFERROR(__xludf.DUMMYFUNCTION("""COMPUTED_VALUE"""),"Magic")</f>
        <v>Magic</v>
      </c>
      <c r="D344" s="80">
        <f ca="1">IFERROR(__xludf.DUMMYFUNCTION("""COMPUTED_VALUE"""),388)</f>
        <v>388</v>
      </c>
    </row>
    <row r="345" spans="1:4" ht="13.2">
      <c r="A345" s="5">
        <f ca="1">IFERROR(__xludf.DUMMYFUNCTION("""COMPUTED_VALUE"""),178)</f>
        <v>178</v>
      </c>
      <c r="B345" t="str">
        <f ca="1">IFERROR(__xludf.DUMMYFUNCTION("""COMPUTED_VALUE"""),"Plate armor of etherealness")</f>
        <v>Plate armor of etherealness</v>
      </c>
      <c r="C345" s="5" t="str">
        <f ca="1">IFERROR(__xludf.DUMMYFUNCTION("""COMPUTED_VALUE"""),"Magic")</f>
        <v>Magic</v>
      </c>
      <c r="D345" s="80">
        <f ca="1">IFERROR(__xludf.DUMMYFUNCTION("""COMPUTED_VALUE"""),3040)</f>
        <v>3040</v>
      </c>
    </row>
    <row r="346" spans="1:4" ht="13.2">
      <c r="A346" s="5">
        <f ca="1">IFERROR(__xludf.DUMMYFUNCTION("""COMPUTED_VALUE"""),179)</f>
        <v>179</v>
      </c>
      <c r="B346" t="str">
        <f ca="1">IFERROR(__xludf.DUMMYFUNCTION("""COMPUTED_VALUE"""),"Portable hole")</f>
        <v>Portable hole</v>
      </c>
      <c r="C346" s="5" t="str">
        <f ca="1">IFERROR(__xludf.DUMMYFUNCTION("""COMPUTED_VALUE"""),"Magic")</f>
        <v>Magic</v>
      </c>
      <c r="D346" s="80">
        <f ca="1">IFERROR(__xludf.DUMMYFUNCTION("""COMPUTED_VALUE"""),952)</f>
        <v>952</v>
      </c>
    </row>
    <row r="347" spans="1:4" ht="13.2">
      <c r="A347" s="5">
        <f ca="1">IFERROR(__xludf.DUMMYFUNCTION("""COMPUTED_VALUE"""),180)</f>
        <v>180</v>
      </c>
      <c r="B347" t="str">
        <f ca="1">IFERROR(__xludf.DUMMYFUNCTION("""COMPUTED_VALUE"""),"Potion of animal friendship")</f>
        <v>Potion of animal friendship</v>
      </c>
      <c r="C347" s="5" t="str">
        <f ca="1">IFERROR(__xludf.DUMMYFUNCTION("""COMPUTED_VALUE"""),"Magic")</f>
        <v>Magic</v>
      </c>
      <c r="D347" s="80">
        <f ca="1">IFERROR(__xludf.DUMMYFUNCTION("""COMPUTED_VALUE"""),376)</f>
        <v>376</v>
      </c>
    </row>
    <row r="348" spans="1:4" ht="13.2">
      <c r="A348" s="5">
        <f ca="1">IFERROR(__xludf.DUMMYFUNCTION("""COMPUTED_VALUE"""),181)</f>
        <v>181</v>
      </c>
      <c r="B348" t="str">
        <f ca="1">IFERROR(__xludf.DUMMYFUNCTION("""COMPUTED_VALUE"""),"Potion of clairvoyance")</f>
        <v>Potion of clairvoyance</v>
      </c>
      <c r="C348" s="5" t="str">
        <f ca="1">IFERROR(__xludf.DUMMYFUNCTION("""COMPUTED_VALUE"""),"Magic")</f>
        <v>Magic</v>
      </c>
      <c r="D348" s="80">
        <f ca="1">IFERROR(__xludf.DUMMYFUNCTION("""COMPUTED_VALUE"""),919)</f>
        <v>919</v>
      </c>
    </row>
    <row r="349" spans="1:4" ht="13.2">
      <c r="A349" s="5">
        <f ca="1">IFERROR(__xludf.DUMMYFUNCTION("""COMPUTED_VALUE"""),182)</f>
        <v>182</v>
      </c>
      <c r="B349" t="str">
        <f ca="1">IFERROR(__xludf.DUMMYFUNCTION("""COMPUTED_VALUE"""),"Potion of climbing")</f>
        <v>Potion of climbing</v>
      </c>
      <c r="C349" s="5" t="str">
        <f ca="1">IFERROR(__xludf.DUMMYFUNCTION("""COMPUTED_VALUE"""),"Magic")</f>
        <v>Magic</v>
      </c>
      <c r="D349" s="80">
        <f ca="1">IFERROR(__xludf.DUMMYFUNCTION("""COMPUTED_VALUE"""),119)</f>
        <v>119</v>
      </c>
    </row>
    <row r="350" spans="1:4" ht="13.2">
      <c r="A350" s="5">
        <f ca="1">IFERROR(__xludf.DUMMYFUNCTION("""COMPUTED_VALUE"""),183)</f>
        <v>183</v>
      </c>
      <c r="B350" t="str">
        <f ca="1">IFERROR(__xludf.DUMMYFUNCTION("""COMPUTED_VALUE"""),"Potion of diminution")</f>
        <v>Potion of diminution</v>
      </c>
      <c r="C350" s="5" t="str">
        <f ca="1">IFERROR(__xludf.DUMMYFUNCTION("""COMPUTED_VALUE"""),"Magic")</f>
        <v>Magic</v>
      </c>
      <c r="D350" s="80">
        <f ca="1">IFERROR(__xludf.DUMMYFUNCTION("""COMPUTED_VALUE"""),919)</f>
        <v>919</v>
      </c>
    </row>
    <row r="351" spans="1:4" ht="13.2">
      <c r="A351" s="5">
        <f ca="1">IFERROR(__xludf.DUMMYFUNCTION("""COMPUTED_VALUE"""),184)</f>
        <v>184</v>
      </c>
      <c r="B351" t="str">
        <f ca="1">IFERROR(__xludf.DUMMYFUNCTION("""COMPUTED_VALUE"""),"Potion of fire breath")</f>
        <v>Potion of fire breath</v>
      </c>
      <c r="C351" s="5" t="str">
        <f ca="1">IFERROR(__xludf.DUMMYFUNCTION("""COMPUTED_VALUE"""),"Magic")</f>
        <v>Magic</v>
      </c>
      <c r="D351" s="80">
        <f ca="1">IFERROR(__xludf.DUMMYFUNCTION("""COMPUTED_VALUE"""),378)</f>
        <v>378</v>
      </c>
    </row>
    <row r="352" spans="1:4" ht="13.2">
      <c r="A352" s="5">
        <f ca="1">IFERROR(__xludf.DUMMYFUNCTION("""COMPUTED_VALUE"""),185)</f>
        <v>185</v>
      </c>
      <c r="B352" t="str">
        <f ca="1">IFERROR(__xludf.DUMMYFUNCTION("""COMPUTED_VALUE"""),"Potion of flying")</f>
        <v>Potion of flying</v>
      </c>
      <c r="C352" s="5" t="str">
        <f ca="1">IFERROR(__xludf.DUMMYFUNCTION("""COMPUTED_VALUE"""),"Magic")</f>
        <v>Magic</v>
      </c>
      <c r="D352" s="80">
        <f ca="1">IFERROR(__xludf.DUMMYFUNCTION("""COMPUTED_VALUE"""),1552)</f>
        <v>1552</v>
      </c>
    </row>
    <row r="353" spans="1:4" ht="13.2">
      <c r="A353" s="5">
        <f ca="1">IFERROR(__xludf.DUMMYFUNCTION("""COMPUTED_VALUE"""),186)</f>
        <v>186</v>
      </c>
      <c r="B353" t="str">
        <f ca="1">IFERROR(__xludf.DUMMYFUNCTION("""COMPUTED_VALUE"""),"Potion of gaseous form")</f>
        <v>Potion of gaseous form</v>
      </c>
      <c r="C353" s="5" t="str">
        <f ca="1">IFERROR(__xludf.DUMMYFUNCTION("""COMPUTED_VALUE"""),"Magic")</f>
        <v>Magic</v>
      </c>
      <c r="D353" s="80">
        <f ca="1">IFERROR(__xludf.DUMMYFUNCTION("""COMPUTED_VALUE"""),937)</f>
        <v>937</v>
      </c>
    </row>
    <row r="354" spans="1:4" ht="13.2">
      <c r="A354" s="5">
        <f ca="1">IFERROR(__xludf.DUMMYFUNCTION("""COMPUTED_VALUE"""),187)</f>
        <v>187</v>
      </c>
      <c r="B354" t="str">
        <f ca="1">IFERROR(__xludf.DUMMYFUNCTION("""COMPUTED_VALUE"""),"Potion of giant strength (cloud giant)")</f>
        <v>Potion of giant strength (cloud giant)</v>
      </c>
      <c r="C354" s="5" t="str">
        <f ca="1">IFERROR(__xludf.DUMMYFUNCTION("""COMPUTED_VALUE"""),"Magic")</f>
        <v>Magic</v>
      </c>
      <c r="D354" s="80">
        <f ca="1">IFERROR(__xludf.DUMMYFUNCTION("""COMPUTED_VALUE"""),1556)</f>
        <v>1556</v>
      </c>
    </row>
    <row r="355" spans="1:4" ht="13.2">
      <c r="A355" s="5">
        <f ca="1">IFERROR(__xludf.DUMMYFUNCTION("""COMPUTED_VALUE"""),188)</f>
        <v>188</v>
      </c>
      <c r="B355" t="str">
        <f ca="1">IFERROR(__xludf.DUMMYFUNCTION("""COMPUTED_VALUE"""),"Potion of giant strength (fire giant)")</f>
        <v>Potion of giant strength (fire giant)</v>
      </c>
      <c r="C355" s="5" t="str">
        <f ca="1">IFERROR(__xludf.DUMMYFUNCTION("""COMPUTED_VALUE"""),"Magic")</f>
        <v>Magic</v>
      </c>
      <c r="D355" s="80">
        <f ca="1">IFERROR(__xludf.DUMMYFUNCTION("""COMPUTED_VALUE"""),940)</f>
        <v>940</v>
      </c>
    </row>
    <row r="356" spans="1:4" ht="13.2">
      <c r="A356" s="5">
        <f ca="1">IFERROR(__xludf.DUMMYFUNCTION("""COMPUTED_VALUE"""),189)</f>
        <v>189</v>
      </c>
      <c r="B356" t="str">
        <f ca="1">IFERROR(__xludf.DUMMYFUNCTION("""COMPUTED_VALUE"""),"Potion of giant strength (frost or stone giant)")</f>
        <v>Potion of giant strength (frost or stone giant)</v>
      </c>
      <c r="C356" s="5" t="str">
        <f ca="1">IFERROR(__xludf.DUMMYFUNCTION("""COMPUTED_VALUE"""),"Magic")</f>
        <v>Magic</v>
      </c>
      <c r="D356" s="80">
        <f ca="1">IFERROR(__xludf.DUMMYFUNCTION("""COMPUTED_VALUE"""),922)</f>
        <v>922</v>
      </c>
    </row>
    <row r="357" spans="1:4" ht="13.2">
      <c r="A357" s="5">
        <f ca="1">IFERROR(__xludf.DUMMYFUNCTION("""COMPUTED_VALUE"""),190)</f>
        <v>190</v>
      </c>
      <c r="B357" t="str">
        <f ca="1">IFERROR(__xludf.DUMMYFUNCTION("""COMPUTED_VALUE"""),"Potion of giant strength (hill giant)")</f>
        <v>Potion of giant strength (hill giant)</v>
      </c>
      <c r="C357" s="5" t="str">
        <f ca="1">IFERROR(__xludf.DUMMYFUNCTION("""COMPUTED_VALUE"""),"Magic")</f>
        <v>Magic</v>
      </c>
      <c r="D357" s="80">
        <f ca="1">IFERROR(__xludf.DUMMYFUNCTION("""COMPUTED_VALUE"""),380)</f>
        <v>380</v>
      </c>
    </row>
    <row r="358" spans="1:4" ht="13.2">
      <c r="A358" s="5">
        <f ca="1">IFERROR(__xludf.DUMMYFUNCTION("""COMPUTED_VALUE"""),191)</f>
        <v>191</v>
      </c>
      <c r="B358" t="str">
        <f ca="1">IFERROR(__xludf.DUMMYFUNCTION("""COMPUTED_VALUE"""),"Potion of giant strength (storm giant)")</f>
        <v>Potion of giant strength (storm giant)</v>
      </c>
      <c r="C358" s="5" t="str">
        <f ca="1">IFERROR(__xludf.DUMMYFUNCTION("""COMPUTED_VALUE"""),"Magic")</f>
        <v>Magic</v>
      </c>
      <c r="D358" s="80">
        <f ca="1">IFERROR(__xludf.DUMMYFUNCTION("""COMPUTED_VALUE"""),3020)</f>
        <v>3020</v>
      </c>
    </row>
    <row r="359" spans="1:4" ht="13.2">
      <c r="A359" s="5">
        <f ca="1">IFERROR(__xludf.DUMMYFUNCTION("""COMPUTED_VALUE"""),192)</f>
        <v>192</v>
      </c>
      <c r="B359" t="str">
        <f ca="1">IFERROR(__xludf.DUMMYFUNCTION("""COMPUTED_VALUE"""),"Potion of greater healing")</f>
        <v>Potion of greater healing</v>
      </c>
      <c r="C359" s="5" t="str">
        <f ca="1">IFERROR(__xludf.DUMMYFUNCTION("""COMPUTED_VALUE"""),"Magic")</f>
        <v>Magic</v>
      </c>
      <c r="D359" s="80">
        <f ca="1">IFERROR(__xludf.DUMMYFUNCTION("""COMPUTED_VALUE"""),380)</f>
        <v>380</v>
      </c>
    </row>
    <row r="360" spans="1:4" ht="13.2">
      <c r="A360" s="5">
        <f ca="1">IFERROR(__xludf.DUMMYFUNCTION("""COMPUTED_VALUE"""),193)</f>
        <v>193</v>
      </c>
      <c r="B360" t="str">
        <f ca="1">IFERROR(__xludf.DUMMYFUNCTION("""COMPUTED_VALUE"""),"Potion of growth")</f>
        <v>Potion of growth</v>
      </c>
      <c r="C360" s="5" t="str">
        <f ca="1">IFERROR(__xludf.DUMMYFUNCTION("""COMPUTED_VALUE"""),"Magic")</f>
        <v>Magic</v>
      </c>
      <c r="D360" s="80">
        <f ca="1">IFERROR(__xludf.DUMMYFUNCTION("""COMPUTED_VALUE"""),370)</f>
        <v>370</v>
      </c>
    </row>
    <row r="361" spans="1:4" ht="13.2">
      <c r="A361" s="5">
        <f ca="1">IFERROR(__xludf.DUMMYFUNCTION("""COMPUTED_VALUE"""),194)</f>
        <v>194</v>
      </c>
      <c r="B361" t="str">
        <f ca="1">IFERROR(__xludf.DUMMYFUNCTION("""COMPUTED_VALUE"""),"Potion of healing")</f>
        <v>Potion of healing</v>
      </c>
      <c r="C361" s="5" t="str">
        <f ca="1">IFERROR(__xludf.DUMMYFUNCTION("""COMPUTED_VALUE"""),"Magic")</f>
        <v>Magic</v>
      </c>
      <c r="D361" s="80">
        <f ca="1">IFERROR(__xludf.DUMMYFUNCTION("""COMPUTED_VALUE"""),121)</f>
        <v>121</v>
      </c>
    </row>
    <row r="362" spans="1:4" ht="13.2">
      <c r="A362" s="5">
        <f ca="1">IFERROR(__xludf.DUMMYFUNCTION("""COMPUTED_VALUE"""),195)</f>
        <v>195</v>
      </c>
      <c r="B362" t="str">
        <f ca="1">IFERROR(__xludf.DUMMYFUNCTION("""COMPUTED_VALUE"""),"Potion of superior healing")</f>
        <v>Potion of superior healing</v>
      </c>
      <c r="C362" s="5" t="str">
        <f ca="1">IFERROR(__xludf.DUMMYFUNCTION("""COMPUTED_VALUE"""),"Magic")</f>
        <v>Magic</v>
      </c>
      <c r="D362" s="80">
        <f ca="1">IFERROR(__xludf.DUMMYFUNCTION("""COMPUTED_VALUE"""),925)</f>
        <v>925</v>
      </c>
    </row>
    <row r="363" spans="1:4" ht="13.2">
      <c r="A363" s="5">
        <f ca="1">IFERROR(__xludf.DUMMYFUNCTION("""COMPUTED_VALUE"""),196)</f>
        <v>196</v>
      </c>
      <c r="B363" t="str">
        <f ca="1">IFERROR(__xludf.DUMMYFUNCTION("""COMPUTED_VALUE"""),"Potion of supreme healing")</f>
        <v>Potion of supreme healing</v>
      </c>
      <c r="C363" s="5" t="str">
        <f ca="1">IFERROR(__xludf.DUMMYFUNCTION("""COMPUTED_VALUE"""),"Magic")</f>
        <v>Magic</v>
      </c>
      <c r="D363" s="80">
        <f ca="1">IFERROR(__xludf.DUMMYFUNCTION("""COMPUTED_VALUE"""),1584)</f>
        <v>1584</v>
      </c>
    </row>
    <row r="364" spans="1:4" ht="13.2">
      <c r="A364" s="5">
        <f ca="1">IFERROR(__xludf.DUMMYFUNCTION("""COMPUTED_VALUE"""),197)</f>
        <v>197</v>
      </c>
      <c r="B364" t="str">
        <f ca="1">IFERROR(__xludf.DUMMYFUNCTION("""COMPUTED_VALUE"""),"Potion of heroism")</f>
        <v>Potion of heroism</v>
      </c>
      <c r="C364" s="5" t="str">
        <f ca="1">IFERROR(__xludf.DUMMYFUNCTION("""COMPUTED_VALUE"""),"Magic")</f>
        <v>Magic</v>
      </c>
      <c r="D364" s="80">
        <f ca="1">IFERROR(__xludf.DUMMYFUNCTION("""COMPUTED_VALUE"""),925)</f>
        <v>925</v>
      </c>
    </row>
    <row r="365" spans="1:4" ht="13.2">
      <c r="A365" s="5">
        <f ca="1">IFERROR(__xludf.DUMMYFUNCTION("""COMPUTED_VALUE"""),198)</f>
        <v>198</v>
      </c>
      <c r="B365" t="str">
        <f ca="1">IFERROR(__xludf.DUMMYFUNCTION("""COMPUTED_VALUE"""),"Potion of invisibility")</f>
        <v>Potion of invisibility</v>
      </c>
      <c r="C365" s="5" t="str">
        <f ca="1">IFERROR(__xludf.DUMMYFUNCTION("""COMPUTED_VALUE"""),"Magic")</f>
        <v>Magic</v>
      </c>
      <c r="D365" s="80">
        <f ca="1">IFERROR(__xludf.DUMMYFUNCTION("""COMPUTED_VALUE"""),1584)</f>
        <v>1584</v>
      </c>
    </row>
    <row r="366" spans="1:4" ht="13.2">
      <c r="A366" s="5">
        <f ca="1">IFERROR(__xludf.DUMMYFUNCTION("""COMPUTED_VALUE"""),199)</f>
        <v>199</v>
      </c>
      <c r="B366" t="str">
        <f ca="1">IFERROR(__xludf.DUMMYFUNCTION("""COMPUTED_VALUE"""),"Potion of invulnerability")</f>
        <v>Potion of invulnerability</v>
      </c>
      <c r="C366" s="5" t="str">
        <f ca="1">IFERROR(__xludf.DUMMYFUNCTION("""COMPUTED_VALUE"""),"Magic")</f>
        <v>Magic</v>
      </c>
      <c r="D366" s="80">
        <f ca="1">IFERROR(__xludf.DUMMYFUNCTION("""COMPUTED_VALUE"""),928)</f>
        <v>928</v>
      </c>
    </row>
    <row r="367" spans="1:4" ht="13.2">
      <c r="A367" s="5">
        <f ca="1">IFERROR(__xludf.DUMMYFUNCTION("""COMPUTED_VALUE"""),200)</f>
        <v>200</v>
      </c>
      <c r="B367" t="str">
        <f ca="1">IFERROR(__xludf.DUMMYFUNCTION("""COMPUTED_VALUE"""),"Potion of longevity")</f>
        <v>Potion of longevity</v>
      </c>
      <c r="C367" s="5" t="str">
        <f ca="1">IFERROR(__xludf.DUMMYFUNCTION("""COMPUTED_VALUE"""),"Magic")</f>
        <v>Magic</v>
      </c>
      <c r="D367" s="80">
        <f ca="1">IFERROR(__xludf.DUMMYFUNCTION("""COMPUTED_VALUE"""),1588)</f>
        <v>1588</v>
      </c>
    </row>
    <row r="368" spans="1:4" ht="13.2">
      <c r="A368" s="5">
        <f ca="1">IFERROR(__xludf.DUMMYFUNCTION("""COMPUTED_VALUE"""),201)</f>
        <v>201</v>
      </c>
      <c r="B368" t="str">
        <f ca="1">IFERROR(__xludf.DUMMYFUNCTION("""COMPUTED_VALUE"""),"Potion of mind reading")</f>
        <v>Potion of mind reading</v>
      </c>
      <c r="C368" s="5" t="str">
        <f ca="1">IFERROR(__xludf.DUMMYFUNCTION("""COMPUTED_VALUE"""),"Magic")</f>
        <v>Magic</v>
      </c>
      <c r="D368" s="80">
        <f ca="1">IFERROR(__xludf.DUMMYFUNCTION("""COMPUTED_VALUE"""),928)</f>
        <v>928</v>
      </c>
    </row>
    <row r="369" spans="1:4" ht="13.2">
      <c r="A369" s="5">
        <f ca="1">IFERROR(__xludf.DUMMYFUNCTION("""COMPUTED_VALUE"""),202)</f>
        <v>202</v>
      </c>
      <c r="B369" t="str">
        <f ca="1">IFERROR(__xludf.DUMMYFUNCTION("""COMPUTED_VALUE"""),"Potion of poison")</f>
        <v>Potion of poison</v>
      </c>
      <c r="C369" s="5" t="str">
        <f ca="1">IFERROR(__xludf.DUMMYFUNCTION("""COMPUTED_VALUE"""),"Magic")</f>
        <v>Magic</v>
      </c>
      <c r="D369" s="80">
        <f ca="1">IFERROR(__xludf.DUMMYFUNCTION("""COMPUTED_VALUE"""),384)</f>
        <v>384</v>
      </c>
    </row>
    <row r="370" spans="1:4" ht="13.2">
      <c r="A370" s="5">
        <f ca="1">IFERROR(__xludf.DUMMYFUNCTION("""COMPUTED_VALUE"""),203)</f>
        <v>203</v>
      </c>
      <c r="B370" t="str">
        <f ca="1">IFERROR(__xludf.DUMMYFUNCTION("""COMPUTED_VALUE"""),"Potion of resistance")</f>
        <v>Potion of resistance</v>
      </c>
      <c r="C370" s="5" t="str">
        <f ca="1">IFERROR(__xludf.DUMMYFUNCTION("""COMPUTED_VALUE"""),"Magic")</f>
        <v>Magic</v>
      </c>
      <c r="D370" s="80">
        <f ca="1">IFERROR(__xludf.DUMMYFUNCTION("""COMPUTED_VALUE"""),372)</f>
        <v>372</v>
      </c>
    </row>
    <row r="371" spans="1:4" ht="13.2">
      <c r="A371" s="5">
        <f ca="1">IFERROR(__xludf.DUMMYFUNCTION("""COMPUTED_VALUE"""),204)</f>
        <v>204</v>
      </c>
      <c r="B371" t="str">
        <f ca="1">IFERROR(__xludf.DUMMYFUNCTION("""COMPUTED_VALUE"""),"Potion of speed")</f>
        <v>Potion of speed</v>
      </c>
      <c r="C371" s="5" t="str">
        <f ca="1">IFERROR(__xludf.DUMMYFUNCTION("""COMPUTED_VALUE"""),"Magic")</f>
        <v>Magic</v>
      </c>
      <c r="D371" s="80">
        <f ca="1">IFERROR(__xludf.DUMMYFUNCTION("""COMPUTED_VALUE"""),1588)</f>
        <v>1588</v>
      </c>
    </row>
    <row r="372" spans="1:4" ht="13.2">
      <c r="A372" s="5">
        <f ca="1">IFERROR(__xludf.DUMMYFUNCTION("""COMPUTED_VALUE"""),205)</f>
        <v>205</v>
      </c>
      <c r="B372" t="str">
        <f ca="1">IFERROR(__xludf.DUMMYFUNCTION("""COMPUTED_VALUE"""),"Potion of vitality")</f>
        <v>Potion of vitality</v>
      </c>
      <c r="C372" s="5" t="str">
        <f ca="1">IFERROR(__xludf.DUMMYFUNCTION("""COMPUTED_VALUE"""),"Magic")</f>
        <v>Magic</v>
      </c>
      <c r="D372" s="80">
        <f ca="1">IFERROR(__xludf.DUMMYFUNCTION("""COMPUTED_VALUE"""),1568)</f>
        <v>1568</v>
      </c>
    </row>
    <row r="373" spans="1:4" ht="13.2">
      <c r="A373" s="5">
        <f ca="1">IFERROR(__xludf.DUMMYFUNCTION("""COMPUTED_VALUE"""),206)</f>
        <v>206</v>
      </c>
      <c r="B373" t="str">
        <f ca="1">IFERROR(__xludf.DUMMYFUNCTION("""COMPUTED_VALUE"""),"Potion of water breathing")</f>
        <v>Potion of water breathing</v>
      </c>
      <c r="C373" s="5" t="str">
        <f ca="1">IFERROR(__xludf.DUMMYFUNCTION("""COMPUTED_VALUE"""),"Magic")</f>
        <v>Magic</v>
      </c>
      <c r="D373" s="80">
        <f ca="1">IFERROR(__xludf.DUMMYFUNCTION("""COMPUTED_VALUE"""),386)</f>
        <v>386</v>
      </c>
    </row>
    <row r="374" spans="1:4" ht="13.2">
      <c r="A374" s="5">
        <f ca="1">IFERROR(__xludf.DUMMYFUNCTION("""COMPUTED_VALUE"""),207)</f>
        <v>207</v>
      </c>
      <c r="B374" t="str">
        <f ca="1">IFERROR(__xludf.DUMMYFUNCTION("""COMPUTED_VALUE"""),"Quaal’s feather token")</f>
        <v>Quaal’s feather token</v>
      </c>
      <c r="C374" s="5" t="str">
        <f ca="1">IFERROR(__xludf.DUMMYFUNCTION("""COMPUTED_VALUE"""),"Magic")</f>
        <v>Magic</v>
      </c>
      <c r="D374" s="80">
        <f ca="1">IFERROR(__xludf.DUMMYFUNCTION("""COMPUTED_VALUE"""),931)</f>
        <v>931</v>
      </c>
    </row>
    <row r="375" spans="1:4" ht="13.2">
      <c r="A375" s="5">
        <f ca="1">IFERROR(__xludf.DUMMYFUNCTION("""COMPUTED_VALUE"""),208)</f>
        <v>208</v>
      </c>
      <c r="B375" t="str">
        <f ca="1">IFERROR(__xludf.DUMMYFUNCTION("""COMPUTED_VALUE"""),"Quiver of Ehlonna")</f>
        <v>Quiver of Ehlonna</v>
      </c>
      <c r="C375" s="5" t="str">
        <f ca="1">IFERROR(__xludf.DUMMYFUNCTION("""COMPUTED_VALUE"""),"Magic")</f>
        <v>Magic</v>
      </c>
      <c r="D375" s="80">
        <f ca="1">IFERROR(__xludf.DUMMYFUNCTION("""COMPUTED_VALUE"""),386)</f>
        <v>386</v>
      </c>
    </row>
    <row r="376" spans="1:4" ht="13.2">
      <c r="A376" s="5">
        <f ca="1">IFERROR(__xludf.DUMMYFUNCTION("""COMPUTED_VALUE"""),209)</f>
        <v>209</v>
      </c>
      <c r="B376" t="str">
        <f ca="1">IFERROR(__xludf.DUMMYFUNCTION("""COMPUTED_VALUE"""),"Ring of animal influence")</f>
        <v>Ring of animal influence</v>
      </c>
      <c r="C376" s="5" t="str">
        <f ca="1">IFERROR(__xludf.DUMMYFUNCTION("""COMPUTED_VALUE"""),"Magic")</f>
        <v>Magic</v>
      </c>
      <c r="D376" s="80">
        <f ca="1">IFERROR(__xludf.DUMMYFUNCTION("""COMPUTED_VALUE"""),931)</f>
        <v>931</v>
      </c>
    </row>
    <row r="377" spans="1:4" ht="13.2">
      <c r="A377" s="5">
        <f ca="1">IFERROR(__xludf.DUMMYFUNCTION("""COMPUTED_VALUE"""),210)</f>
        <v>210</v>
      </c>
      <c r="B377" t="str">
        <f ca="1">IFERROR(__xludf.DUMMYFUNCTION("""COMPUTED_VALUE"""),"Ring of djinni summoning")</f>
        <v>Ring of djinni summoning</v>
      </c>
      <c r="C377" s="5" t="str">
        <f ca="1">IFERROR(__xludf.DUMMYFUNCTION("""COMPUTED_VALUE"""),"Magic")</f>
        <v>Magic</v>
      </c>
      <c r="D377" s="80">
        <f ca="1">IFERROR(__xludf.DUMMYFUNCTION("""COMPUTED_VALUE"""),3065)</f>
        <v>3065</v>
      </c>
    </row>
    <row r="378" spans="1:4" ht="13.2">
      <c r="A378" s="5">
        <f ca="1">IFERROR(__xludf.DUMMYFUNCTION("""COMPUTED_VALUE"""),211)</f>
        <v>211</v>
      </c>
      <c r="B378" t="str">
        <f ca="1">IFERROR(__xludf.DUMMYFUNCTION("""COMPUTED_VALUE"""),"Ring of elemental command")</f>
        <v>Ring of elemental command</v>
      </c>
      <c r="C378" s="5" t="str">
        <f ca="1">IFERROR(__xludf.DUMMYFUNCTION("""COMPUTED_VALUE"""),"Magic")</f>
        <v>Magic</v>
      </c>
      <c r="D378" s="80">
        <f ca="1">IFERROR(__xludf.DUMMYFUNCTION("""COMPUTED_VALUE"""),3040)</f>
        <v>3040</v>
      </c>
    </row>
    <row r="379" spans="1:4" ht="13.2">
      <c r="A379" s="5">
        <f ca="1">IFERROR(__xludf.DUMMYFUNCTION("""COMPUTED_VALUE"""),212)</f>
        <v>212</v>
      </c>
      <c r="B379" t="str">
        <f ca="1">IFERROR(__xludf.DUMMYFUNCTION("""COMPUTED_VALUE"""),"Ring of evasion")</f>
        <v>Ring of evasion</v>
      </c>
      <c r="C379" s="5" t="str">
        <f ca="1">IFERROR(__xludf.DUMMYFUNCTION("""COMPUTED_VALUE"""),"Magic")</f>
        <v>Magic</v>
      </c>
      <c r="D379" s="80">
        <f ca="1">IFERROR(__xludf.DUMMYFUNCTION("""COMPUTED_VALUE"""),952)</f>
        <v>952</v>
      </c>
    </row>
    <row r="380" spans="1:4" ht="13.2">
      <c r="A380" s="5">
        <f ca="1">IFERROR(__xludf.DUMMYFUNCTION("""COMPUTED_VALUE"""),213)</f>
        <v>213</v>
      </c>
      <c r="B380" t="str">
        <f ca="1">IFERROR(__xludf.DUMMYFUNCTION("""COMPUTED_VALUE"""),"Ring of feather falling")</f>
        <v>Ring of feather falling</v>
      </c>
      <c r="C380" s="5" t="str">
        <f ca="1">IFERROR(__xludf.DUMMYFUNCTION("""COMPUTED_VALUE"""),"Magic")</f>
        <v>Magic</v>
      </c>
      <c r="D380" s="80">
        <f ca="1">IFERROR(__xludf.DUMMYFUNCTION("""COMPUTED_VALUE"""),934)</f>
        <v>934</v>
      </c>
    </row>
    <row r="381" spans="1:4" ht="13.2">
      <c r="A381" s="5">
        <f ca="1">IFERROR(__xludf.DUMMYFUNCTION("""COMPUTED_VALUE"""),214)</f>
        <v>214</v>
      </c>
      <c r="B381" t="str">
        <f ca="1">IFERROR(__xludf.DUMMYFUNCTION("""COMPUTED_VALUE"""),"Ring of free action")</f>
        <v>Ring of free action</v>
      </c>
      <c r="C381" s="5" t="str">
        <f ca="1">IFERROR(__xludf.DUMMYFUNCTION("""COMPUTED_VALUE"""),"Magic")</f>
        <v>Magic</v>
      </c>
      <c r="D381" s="80">
        <f ca="1">IFERROR(__xludf.DUMMYFUNCTION("""COMPUTED_VALUE"""),952)</f>
        <v>952</v>
      </c>
    </row>
    <row r="382" spans="1:4" ht="13.2">
      <c r="A382" s="5">
        <f ca="1">IFERROR(__xludf.DUMMYFUNCTION("""COMPUTED_VALUE"""),215)</f>
        <v>215</v>
      </c>
      <c r="B382" t="str">
        <f ca="1">IFERROR(__xludf.DUMMYFUNCTION("""COMPUTED_VALUE"""),"Ring of invisibility")</f>
        <v>Ring of invisibility</v>
      </c>
      <c r="C382" s="5" t="str">
        <f ca="1">IFERROR(__xludf.DUMMYFUNCTION("""COMPUTED_VALUE"""),"Magic")</f>
        <v>Magic</v>
      </c>
      <c r="D382" s="80">
        <f ca="1">IFERROR(__xludf.DUMMYFUNCTION("""COMPUTED_VALUE"""),3040)</f>
        <v>3040</v>
      </c>
    </row>
    <row r="383" spans="1:4" ht="13.2">
      <c r="A383" s="5">
        <f ca="1">IFERROR(__xludf.DUMMYFUNCTION("""COMPUTED_VALUE"""),216)</f>
        <v>216</v>
      </c>
      <c r="B383" t="str">
        <f ca="1">IFERROR(__xludf.DUMMYFUNCTION("""COMPUTED_VALUE"""),"Ring of jumping")</f>
        <v>Ring of jumping</v>
      </c>
      <c r="C383" s="5" t="str">
        <f ca="1">IFERROR(__xludf.DUMMYFUNCTION("""COMPUTED_VALUE"""),"Magic")</f>
        <v>Magic</v>
      </c>
      <c r="D383" s="80">
        <f ca="1">IFERROR(__xludf.DUMMYFUNCTION("""COMPUTED_VALUE"""),388)</f>
        <v>388</v>
      </c>
    </row>
    <row r="384" spans="1:4" ht="13.2">
      <c r="A384" s="5">
        <f ca="1">IFERROR(__xludf.DUMMYFUNCTION("""COMPUTED_VALUE"""),217)</f>
        <v>217</v>
      </c>
      <c r="B384" t="str">
        <f ca="1">IFERROR(__xludf.DUMMYFUNCTION("""COMPUTED_VALUE"""),"Ring of mind shielding")</f>
        <v>Ring of mind shielding</v>
      </c>
      <c r="C384" s="5" t="str">
        <f ca="1">IFERROR(__xludf.DUMMYFUNCTION("""COMPUTED_VALUE"""),"Magic")</f>
        <v>Magic</v>
      </c>
      <c r="D384" s="80">
        <f ca="1">IFERROR(__xludf.DUMMYFUNCTION("""COMPUTED_VALUE"""),378)</f>
        <v>378</v>
      </c>
    </row>
    <row r="385" spans="1:4" ht="13.2">
      <c r="A385" s="5">
        <f ca="1">IFERROR(__xludf.DUMMYFUNCTION("""COMPUTED_VALUE"""),218)</f>
        <v>218</v>
      </c>
      <c r="B385" t="str">
        <f ca="1">IFERROR(__xludf.DUMMYFUNCTION("""COMPUTED_VALUE"""),"Ring of protection")</f>
        <v>Ring of protection</v>
      </c>
      <c r="C385" s="5" t="str">
        <f ca="1">IFERROR(__xludf.DUMMYFUNCTION("""COMPUTED_VALUE"""),"Magic")</f>
        <v>Magic</v>
      </c>
      <c r="D385" s="80">
        <f ca="1">IFERROR(__xludf.DUMMYFUNCTION("""COMPUTED_VALUE"""),919)</f>
        <v>919</v>
      </c>
    </row>
    <row r="386" spans="1:4" ht="13.2">
      <c r="A386" s="5">
        <f ca="1">IFERROR(__xludf.DUMMYFUNCTION("""COMPUTED_VALUE"""),219)</f>
        <v>219</v>
      </c>
      <c r="B386" t="str">
        <f ca="1">IFERROR(__xludf.DUMMYFUNCTION("""COMPUTED_VALUE"""),"Ring of regeneration")</f>
        <v>Ring of regeneration</v>
      </c>
      <c r="C386" s="5" t="str">
        <f ca="1">IFERROR(__xludf.DUMMYFUNCTION("""COMPUTED_VALUE"""),"Magic")</f>
        <v>Magic</v>
      </c>
      <c r="D386" s="80">
        <f ca="1">IFERROR(__xludf.DUMMYFUNCTION("""COMPUTED_VALUE"""),1576)</f>
        <v>1576</v>
      </c>
    </row>
    <row r="387" spans="1:4" ht="13.2">
      <c r="A387" s="5">
        <f ca="1">IFERROR(__xludf.DUMMYFUNCTION("""COMPUTED_VALUE"""),220)</f>
        <v>220</v>
      </c>
      <c r="B387" t="str">
        <f ca="1">IFERROR(__xludf.DUMMYFUNCTION("""COMPUTED_VALUE"""),"Ring of resistance")</f>
        <v>Ring of resistance</v>
      </c>
      <c r="C387" s="5" t="str">
        <f ca="1">IFERROR(__xludf.DUMMYFUNCTION("""COMPUTED_VALUE"""),"Magic")</f>
        <v>Magic</v>
      </c>
      <c r="D387" s="80">
        <f ca="1">IFERROR(__xludf.DUMMYFUNCTION("""COMPUTED_VALUE"""),919)</f>
        <v>919</v>
      </c>
    </row>
    <row r="388" spans="1:4" ht="13.2">
      <c r="A388" s="5">
        <f ca="1">IFERROR(__xludf.DUMMYFUNCTION("""COMPUTED_VALUE"""),221)</f>
        <v>221</v>
      </c>
      <c r="B388" t="str">
        <f ca="1">IFERROR(__xludf.DUMMYFUNCTION("""COMPUTED_VALUE"""),"Ring of shooting stars")</f>
        <v>Ring of shooting stars</v>
      </c>
      <c r="C388" s="5" t="str">
        <f ca="1">IFERROR(__xludf.DUMMYFUNCTION("""COMPUTED_VALUE"""),"Magic")</f>
        <v>Magic</v>
      </c>
      <c r="D388" s="80">
        <f ca="1">IFERROR(__xludf.DUMMYFUNCTION("""COMPUTED_VALUE"""),1576)</f>
        <v>1576</v>
      </c>
    </row>
    <row r="389" spans="1:4" ht="13.2">
      <c r="A389" s="5">
        <f ca="1">IFERROR(__xludf.DUMMYFUNCTION("""COMPUTED_VALUE"""),222)</f>
        <v>222</v>
      </c>
      <c r="B389" t="str">
        <f ca="1">IFERROR(__xludf.DUMMYFUNCTION("""COMPUTED_VALUE"""),"Ring of spell storing")</f>
        <v>Ring of spell storing</v>
      </c>
      <c r="C389" s="5" t="str">
        <f ca="1">IFERROR(__xludf.DUMMYFUNCTION("""COMPUTED_VALUE"""),"Magic")</f>
        <v>Magic</v>
      </c>
      <c r="D389" s="80">
        <f ca="1">IFERROR(__xludf.DUMMYFUNCTION("""COMPUTED_VALUE"""),919)</f>
        <v>919</v>
      </c>
    </row>
    <row r="390" spans="1:4" ht="13.2">
      <c r="A390" s="5">
        <f ca="1">IFERROR(__xludf.DUMMYFUNCTION("""COMPUTED_VALUE"""),223)</f>
        <v>223</v>
      </c>
      <c r="B390" t="str">
        <f ca="1">IFERROR(__xludf.DUMMYFUNCTION("""COMPUTED_VALUE"""),"Ring of spell turning")</f>
        <v>Ring of spell turning</v>
      </c>
      <c r="C390" s="5" t="str">
        <f ca="1">IFERROR(__xludf.DUMMYFUNCTION("""COMPUTED_VALUE"""),"Magic")</f>
        <v>Magic</v>
      </c>
      <c r="D390" s="80">
        <f ca="1">IFERROR(__xludf.DUMMYFUNCTION("""COMPUTED_VALUE"""),3050)</f>
        <v>3050</v>
      </c>
    </row>
    <row r="391" spans="1:4" ht="13.2">
      <c r="A391" s="5">
        <f ca="1">IFERROR(__xludf.DUMMYFUNCTION("""COMPUTED_VALUE"""),224)</f>
        <v>224</v>
      </c>
      <c r="B391" t="str">
        <f ca="1">IFERROR(__xludf.DUMMYFUNCTION("""COMPUTED_VALUE"""),"Ring of swimming")</f>
        <v>Ring of swimming</v>
      </c>
      <c r="C391" s="5" t="str">
        <f ca="1">IFERROR(__xludf.DUMMYFUNCTION("""COMPUTED_VALUE"""),"Magic")</f>
        <v>Magic</v>
      </c>
      <c r="D391" s="80">
        <f ca="1">IFERROR(__xludf.DUMMYFUNCTION("""COMPUTED_VALUE"""),368)</f>
        <v>368</v>
      </c>
    </row>
    <row r="392" spans="1:4" ht="13.2">
      <c r="A392" s="5">
        <f ca="1">IFERROR(__xludf.DUMMYFUNCTION("""COMPUTED_VALUE"""),225)</f>
        <v>225</v>
      </c>
      <c r="B392" t="str">
        <f ca="1">IFERROR(__xludf.DUMMYFUNCTION("""COMPUTED_VALUE"""),"Ring of telekinesis")</f>
        <v>Ring of telekinesis</v>
      </c>
      <c r="C392" s="5" t="str">
        <f ca="1">IFERROR(__xludf.DUMMYFUNCTION("""COMPUTED_VALUE"""),"Magic")</f>
        <v>Magic</v>
      </c>
      <c r="D392" s="80">
        <f ca="1">IFERROR(__xludf.DUMMYFUNCTION("""COMPUTED_VALUE"""),1580)</f>
        <v>1580</v>
      </c>
    </row>
    <row r="393" spans="1:4" ht="13.2">
      <c r="A393" s="5">
        <f ca="1">IFERROR(__xludf.DUMMYFUNCTION("""COMPUTED_VALUE"""),226)</f>
        <v>226</v>
      </c>
      <c r="B393" t="str">
        <f ca="1">IFERROR(__xludf.DUMMYFUNCTION("""COMPUTED_VALUE"""),"Ring of the ram")</f>
        <v>Ring of the ram</v>
      </c>
      <c r="C393" s="5" t="str">
        <f ca="1">IFERROR(__xludf.DUMMYFUNCTION("""COMPUTED_VALUE"""),"Magic")</f>
        <v>Magic</v>
      </c>
      <c r="D393" s="80">
        <f ca="1">IFERROR(__xludf.DUMMYFUNCTION("""COMPUTED_VALUE"""),922)</f>
        <v>922</v>
      </c>
    </row>
    <row r="394" spans="1:4" ht="13.2">
      <c r="A394" s="5">
        <f ca="1">IFERROR(__xludf.DUMMYFUNCTION("""COMPUTED_VALUE"""),227)</f>
        <v>227</v>
      </c>
      <c r="B394" t="str">
        <f ca="1">IFERROR(__xludf.DUMMYFUNCTION("""COMPUTED_VALUE"""),"Ring of three wishes")</f>
        <v>Ring of three wishes</v>
      </c>
      <c r="C394" s="5" t="str">
        <f ca="1">IFERROR(__xludf.DUMMYFUNCTION("""COMPUTED_VALUE"""),"Magic")</f>
        <v>Magic</v>
      </c>
      <c r="D394" s="80">
        <f ca="1">IFERROR(__xludf.DUMMYFUNCTION("""COMPUTED_VALUE"""),3050)</f>
        <v>3050</v>
      </c>
    </row>
    <row r="395" spans="1:4" ht="13.2">
      <c r="A395" s="5">
        <f ca="1">IFERROR(__xludf.DUMMYFUNCTION("""COMPUTED_VALUE"""),228)</f>
        <v>228</v>
      </c>
      <c r="B395" t="str">
        <f ca="1">IFERROR(__xludf.DUMMYFUNCTION("""COMPUTED_VALUE"""),"Ring of warmth")</f>
        <v>Ring of warmth</v>
      </c>
      <c r="C395" s="5" t="str">
        <f ca="1">IFERROR(__xludf.DUMMYFUNCTION("""COMPUTED_VALUE"""),"Magic")</f>
        <v>Magic</v>
      </c>
      <c r="D395" s="80">
        <f ca="1">IFERROR(__xludf.DUMMYFUNCTION("""COMPUTED_VALUE"""),368)</f>
        <v>368</v>
      </c>
    </row>
    <row r="396" spans="1:4" ht="13.2">
      <c r="A396" s="5">
        <f ca="1">IFERROR(__xludf.DUMMYFUNCTION("""COMPUTED_VALUE"""),229)</f>
        <v>229</v>
      </c>
      <c r="B396" t="str">
        <f ca="1">IFERROR(__xludf.DUMMYFUNCTION("""COMPUTED_VALUE"""),"Ring of water walking")</f>
        <v>Ring of water walking</v>
      </c>
      <c r="C396" s="5" t="str">
        <f ca="1">IFERROR(__xludf.DUMMYFUNCTION("""COMPUTED_VALUE"""),"Magic")</f>
        <v>Magic</v>
      </c>
      <c r="D396" s="80">
        <f ca="1">IFERROR(__xludf.DUMMYFUNCTION("""COMPUTED_VALUE"""),382)</f>
        <v>382</v>
      </c>
    </row>
    <row r="397" spans="1:4" ht="13.2">
      <c r="A397" s="5">
        <f ca="1">IFERROR(__xludf.DUMMYFUNCTION("""COMPUTED_VALUE"""),230)</f>
        <v>230</v>
      </c>
      <c r="B397" t="str">
        <f ca="1">IFERROR(__xludf.DUMMYFUNCTION("""COMPUTED_VALUE"""),"Ring of x-ray vision")</f>
        <v>Ring of x-ray vision</v>
      </c>
      <c r="C397" s="5" t="str">
        <f ca="1">IFERROR(__xludf.DUMMYFUNCTION("""COMPUTED_VALUE"""),"Magic")</f>
        <v>Magic</v>
      </c>
      <c r="D397" s="80">
        <f ca="1">IFERROR(__xludf.DUMMYFUNCTION("""COMPUTED_VALUE"""),925)</f>
        <v>925</v>
      </c>
    </row>
    <row r="398" spans="1:4" ht="13.2">
      <c r="A398" s="5">
        <f ca="1">IFERROR(__xludf.DUMMYFUNCTION("""COMPUTED_VALUE"""),231)</f>
        <v>231</v>
      </c>
      <c r="B398" t="str">
        <f ca="1">IFERROR(__xludf.DUMMYFUNCTION("""COMPUTED_VALUE"""),"Robe of eyes")</f>
        <v>Robe of eyes</v>
      </c>
      <c r="C398" s="5" t="str">
        <f ca="1">IFERROR(__xludf.DUMMYFUNCTION("""COMPUTED_VALUE"""),"Magic")</f>
        <v>Magic</v>
      </c>
      <c r="D398" s="80">
        <f ca="1">IFERROR(__xludf.DUMMYFUNCTION("""COMPUTED_VALUE"""),943)</f>
        <v>943</v>
      </c>
    </row>
    <row r="399" spans="1:4" ht="13.2">
      <c r="A399" s="5">
        <f ca="1">IFERROR(__xludf.DUMMYFUNCTION("""COMPUTED_VALUE"""),232)</f>
        <v>232</v>
      </c>
      <c r="B399" t="str">
        <f ca="1">IFERROR(__xludf.DUMMYFUNCTION("""COMPUTED_VALUE"""),"Robe of scintillating colors")</f>
        <v>Robe of scintillating colors</v>
      </c>
      <c r="C399" s="5" t="str">
        <f ca="1">IFERROR(__xludf.DUMMYFUNCTION("""COMPUTED_VALUE"""),"Magic")</f>
        <v>Magic</v>
      </c>
      <c r="D399" s="80">
        <f ca="1">IFERROR(__xludf.DUMMYFUNCTION("""COMPUTED_VALUE"""),1560)</f>
        <v>1560</v>
      </c>
    </row>
    <row r="400" spans="1:4" ht="13.2">
      <c r="A400" s="5">
        <f ca="1">IFERROR(__xludf.DUMMYFUNCTION("""COMPUTED_VALUE"""),233)</f>
        <v>233</v>
      </c>
      <c r="B400" t="str">
        <f ca="1">IFERROR(__xludf.DUMMYFUNCTION("""COMPUTED_VALUE"""),"Robe of stars")</f>
        <v>Robe of stars</v>
      </c>
      <c r="C400" s="5" t="str">
        <f ca="1">IFERROR(__xludf.DUMMYFUNCTION("""COMPUTED_VALUE"""),"Magic")</f>
        <v>Magic</v>
      </c>
      <c r="D400" s="80">
        <f ca="1">IFERROR(__xludf.DUMMYFUNCTION("""COMPUTED_VALUE"""),1584)</f>
        <v>1584</v>
      </c>
    </row>
    <row r="401" spans="1:4" ht="13.2">
      <c r="A401" s="5">
        <f ca="1">IFERROR(__xludf.DUMMYFUNCTION("""COMPUTED_VALUE"""),234)</f>
        <v>234</v>
      </c>
      <c r="B401" t="str">
        <f ca="1">IFERROR(__xludf.DUMMYFUNCTION("""COMPUTED_VALUE"""),"Robe of the archmagi")</f>
        <v>Robe of the archmagi</v>
      </c>
      <c r="C401" s="5" t="str">
        <f ca="1">IFERROR(__xludf.DUMMYFUNCTION("""COMPUTED_VALUE"""),"Magic")</f>
        <v>Magic</v>
      </c>
      <c r="D401" s="80">
        <f ca="1">IFERROR(__xludf.DUMMYFUNCTION("""COMPUTED_VALUE"""),3025)</f>
        <v>3025</v>
      </c>
    </row>
    <row r="402" spans="1:4" ht="13.2">
      <c r="A402" s="5">
        <f ca="1">IFERROR(__xludf.DUMMYFUNCTION("""COMPUTED_VALUE"""),235)</f>
        <v>235</v>
      </c>
      <c r="B402" t="str">
        <f ca="1">IFERROR(__xludf.DUMMYFUNCTION("""COMPUTED_VALUE"""),"Robe of useful items")</f>
        <v>Robe of useful items</v>
      </c>
      <c r="C402" s="5" t="str">
        <f ca="1">IFERROR(__xludf.DUMMYFUNCTION("""COMPUTED_VALUE"""),"Magic")</f>
        <v>Magic</v>
      </c>
      <c r="D402" s="80">
        <f ca="1">IFERROR(__xludf.DUMMYFUNCTION("""COMPUTED_VALUE"""),384)</f>
        <v>384</v>
      </c>
    </row>
    <row r="403" spans="1:4" ht="13.2">
      <c r="A403" s="5">
        <f ca="1">IFERROR(__xludf.DUMMYFUNCTION("""COMPUTED_VALUE"""),236)</f>
        <v>236</v>
      </c>
      <c r="B403" t="str">
        <f ca="1">IFERROR(__xludf.DUMMYFUNCTION("""COMPUTED_VALUE"""),"Rod of absorption")</f>
        <v>Rod of absorption</v>
      </c>
      <c r="C403" s="5" t="str">
        <f ca="1">IFERROR(__xludf.DUMMYFUNCTION("""COMPUTED_VALUE"""),"Magic")</f>
        <v>Magic</v>
      </c>
      <c r="D403" s="80">
        <f ca="1">IFERROR(__xludf.DUMMYFUNCTION("""COMPUTED_VALUE"""),1564)</f>
        <v>1564</v>
      </c>
    </row>
    <row r="404" spans="1:4" ht="13.2">
      <c r="A404" s="5">
        <f ca="1">IFERROR(__xludf.DUMMYFUNCTION("""COMPUTED_VALUE"""),237)</f>
        <v>237</v>
      </c>
      <c r="B404" t="str">
        <f ca="1">IFERROR(__xludf.DUMMYFUNCTION("""COMPUTED_VALUE"""),"Rod of alertness")</f>
        <v>Rod of alertness</v>
      </c>
      <c r="C404" s="5" t="str">
        <f ca="1">IFERROR(__xludf.DUMMYFUNCTION("""COMPUTED_VALUE"""),"Magic")</f>
        <v>Magic</v>
      </c>
      <c r="D404" s="80">
        <f ca="1">IFERROR(__xludf.DUMMYFUNCTION("""COMPUTED_VALUE"""),1588)</f>
        <v>1588</v>
      </c>
    </row>
    <row r="405" spans="1:4" ht="13.2">
      <c r="A405" s="5">
        <f ca="1">IFERROR(__xludf.DUMMYFUNCTION("""COMPUTED_VALUE"""),238)</f>
        <v>238</v>
      </c>
      <c r="B405" t="str">
        <f ca="1">IFERROR(__xludf.DUMMYFUNCTION("""COMPUTED_VALUE"""),"Rod of lordly might")</f>
        <v>Rod of lordly might</v>
      </c>
      <c r="C405" s="5" t="str">
        <f ca="1">IFERROR(__xludf.DUMMYFUNCTION("""COMPUTED_VALUE"""),"Magic")</f>
        <v>Magic</v>
      </c>
      <c r="D405" s="80">
        <f ca="1">IFERROR(__xludf.DUMMYFUNCTION("""COMPUTED_VALUE"""),3030)</f>
        <v>3030</v>
      </c>
    </row>
    <row r="406" spans="1:4" ht="13.2">
      <c r="A406" s="5">
        <f ca="1">IFERROR(__xludf.DUMMYFUNCTION("""COMPUTED_VALUE"""),239)</f>
        <v>239</v>
      </c>
      <c r="B406" t="str">
        <f ca="1">IFERROR(__xludf.DUMMYFUNCTION("""COMPUTED_VALUE"""),"Rod of resurrection")</f>
        <v>Rod of resurrection</v>
      </c>
      <c r="C406" s="5" t="str">
        <f ca="1">IFERROR(__xludf.DUMMYFUNCTION("""COMPUTED_VALUE"""),"Magic")</f>
        <v>Magic</v>
      </c>
      <c r="D406" s="80">
        <f ca="1">IFERROR(__xludf.DUMMYFUNCTION("""COMPUTED_VALUE"""),3060)</f>
        <v>3060</v>
      </c>
    </row>
    <row r="407" spans="1:4" ht="13.2">
      <c r="A407" s="5">
        <f ca="1">IFERROR(__xludf.DUMMYFUNCTION("""COMPUTED_VALUE"""),240)</f>
        <v>240</v>
      </c>
      <c r="B407" t="str">
        <f ca="1">IFERROR(__xludf.DUMMYFUNCTION("""COMPUTED_VALUE"""),"Rod of rulership")</f>
        <v>Rod of rulership</v>
      </c>
      <c r="C407" s="5" t="str">
        <f ca="1">IFERROR(__xludf.DUMMYFUNCTION("""COMPUTED_VALUE"""),"Magic")</f>
        <v>Magic</v>
      </c>
      <c r="D407" s="80">
        <f ca="1">IFERROR(__xludf.DUMMYFUNCTION("""COMPUTED_VALUE"""),928)</f>
        <v>928</v>
      </c>
    </row>
    <row r="408" spans="1:4" ht="13.2">
      <c r="A408" s="5">
        <f ca="1">IFERROR(__xludf.DUMMYFUNCTION("""COMPUTED_VALUE"""),241)</f>
        <v>241</v>
      </c>
      <c r="B408" t="str">
        <f ca="1">IFERROR(__xludf.DUMMYFUNCTION("""COMPUTED_VALUE"""),"Rod of security")</f>
        <v>Rod of security</v>
      </c>
      <c r="C408" s="5" t="str">
        <f ca="1">IFERROR(__xludf.DUMMYFUNCTION("""COMPUTED_VALUE"""),"Magic")</f>
        <v>Magic</v>
      </c>
      <c r="D408" s="80">
        <f ca="1">IFERROR(__xludf.DUMMYFUNCTION("""COMPUTED_VALUE"""),1592)</f>
        <v>1592</v>
      </c>
    </row>
    <row r="409" spans="1:4" ht="13.2">
      <c r="A409" s="5">
        <f ca="1">IFERROR(__xludf.DUMMYFUNCTION("""COMPUTED_VALUE"""),242)</f>
        <v>242</v>
      </c>
      <c r="B409" t="str">
        <f ca="1">IFERROR(__xludf.DUMMYFUNCTION("""COMPUTED_VALUE"""),"Rod of the pact keeper +1")</f>
        <v>Rod of the pact keeper +1</v>
      </c>
      <c r="C409" s="5" t="str">
        <f ca="1">IFERROR(__xludf.DUMMYFUNCTION("""COMPUTED_VALUE"""),"Magic")</f>
        <v>Magic</v>
      </c>
      <c r="D409" s="80">
        <f ca="1">IFERROR(__xludf.DUMMYFUNCTION("""COMPUTED_VALUE"""),374)</f>
        <v>374</v>
      </c>
    </row>
    <row r="410" spans="1:4" ht="13.2">
      <c r="A410" s="5">
        <f ca="1">IFERROR(__xludf.DUMMYFUNCTION("""COMPUTED_VALUE"""),243)</f>
        <v>243</v>
      </c>
      <c r="B410" t="str">
        <f ca="1">IFERROR(__xludf.DUMMYFUNCTION("""COMPUTED_VALUE"""),"Rod of the pact keeper +2")</f>
        <v>Rod of the pact keeper +2</v>
      </c>
      <c r="C410" s="5" t="str">
        <f ca="1">IFERROR(__xludf.DUMMYFUNCTION("""COMPUTED_VALUE"""),"Magic")</f>
        <v>Magic</v>
      </c>
      <c r="D410" s="80">
        <f ca="1">IFERROR(__xludf.DUMMYFUNCTION("""COMPUTED_VALUE"""),949)</f>
        <v>949</v>
      </c>
    </row>
    <row r="411" spans="1:4" ht="13.2">
      <c r="A411" s="5">
        <f ca="1">IFERROR(__xludf.DUMMYFUNCTION("""COMPUTED_VALUE"""),244)</f>
        <v>244</v>
      </c>
      <c r="B411" t="str">
        <f ca="1">IFERROR(__xludf.DUMMYFUNCTION("""COMPUTED_VALUE"""),"Rod of the pact keeper +3")</f>
        <v>Rod of the pact keeper +3</v>
      </c>
      <c r="C411" s="5" t="str">
        <f ca="1">IFERROR(__xludf.DUMMYFUNCTION("""COMPUTED_VALUE"""),"Magic")</f>
        <v>Magic</v>
      </c>
      <c r="D411" s="80">
        <f ca="1">IFERROR(__xludf.DUMMYFUNCTION("""COMPUTED_VALUE"""),1568)</f>
        <v>1568</v>
      </c>
    </row>
    <row r="412" spans="1:4" ht="13.2">
      <c r="A412" s="5">
        <f ca="1">IFERROR(__xludf.DUMMYFUNCTION("""COMPUTED_VALUE"""),245)</f>
        <v>245</v>
      </c>
      <c r="B412" t="str">
        <f ca="1">IFERROR(__xludf.DUMMYFUNCTION("""COMPUTED_VALUE"""),"Rope of climbing")</f>
        <v>Rope of climbing</v>
      </c>
      <c r="C412" s="5" t="str">
        <f ca="1">IFERROR(__xludf.DUMMYFUNCTION("""COMPUTED_VALUE"""),"Magic")</f>
        <v>Magic</v>
      </c>
      <c r="D412" s="80">
        <f ca="1">IFERROR(__xludf.DUMMYFUNCTION("""COMPUTED_VALUE"""),386)</f>
        <v>386</v>
      </c>
    </row>
    <row r="413" spans="1:4" ht="13.2">
      <c r="A413" s="5">
        <f ca="1">IFERROR(__xludf.DUMMYFUNCTION("""COMPUTED_VALUE"""),246)</f>
        <v>246</v>
      </c>
      <c r="B413" t="str">
        <f ca="1">IFERROR(__xludf.DUMMYFUNCTION("""COMPUTED_VALUE"""),"Rope of entanglement")</f>
        <v>Rope of entanglement</v>
      </c>
      <c r="C413" s="5" t="str">
        <f ca="1">IFERROR(__xludf.DUMMYFUNCTION("""COMPUTED_VALUE"""),"Magic")</f>
        <v>Magic</v>
      </c>
      <c r="D413" s="80">
        <f ca="1">IFERROR(__xludf.DUMMYFUNCTION("""COMPUTED_VALUE"""),931)</f>
        <v>931</v>
      </c>
    </row>
    <row r="414" spans="1:4" ht="13.2">
      <c r="A414" s="5">
        <f ca="1">IFERROR(__xludf.DUMMYFUNCTION("""COMPUTED_VALUE"""),247)</f>
        <v>247</v>
      </c>
      <c r="B414" t="str">
        <f ca="1">IFERROR(__xludf.DUMMYFUNCTION("""COMPUTED_VALUE"""),"Saddle of the cavalier")</f>
        <v>Saddle of the cavalier</v>
      </c>
      <c r="C414" s="5" t="str">
        <f ca="1">IFERROR(__xludf.DUMMYFUNCTION("""COMPUTED_VALUE"""),"Magic")</f>
        <v>Magic</v>
      </c>
      <c r="D414" s="80">
        <f ca="1">IFERROR(__xludf.DUMMYFUNCTION("""COMPUTED_VALUE"""),388)</f>
        <v>388</v>
      </c>
    </row>
    <row r="415" spans="1:4" ht="13.2">
      <c r="A415" s="5">
        <f ca="1">IFERROR(__xludf.DUMMYFUNCTION("""COMPUTED_VALUE"""),248)</f>
        <v>248</v>
      </c>
      <c r="B415" t="str">
        <f ca="1">IFERROR(__xludf.DUMMYFUNCTION("""COMPUTED_VALUE"""),"Scarab of protection")</f>
        <v>Scarab of protection</v>
      </c>
      <c r="C415" s="5" t="str">
        <f ca="1">IFERROR(__xludf.DUMMYFUNCTION("""COMPUTED_VALUE"""),"Magic")</f>
        <v>Magic</v>
      </c>
      <c r="D415" s="80">
        <f ca="1">IFERROR(__xludf.DUMMYFUNCTION("""COMPUTED_VALUE"""),3040)</f>
        <v>3040</v>
      </c>
    </row>
    <row r="416" spans="1:4" ht="13.2">
      <c r="A416" s="5">
        <f ca="1">IFERROR(__xludf.DUMMYFUNCTION("""COMPUTED_VALUE"""),249)</f>
        <v>249</v>
      </c>
      <c r="B416" t="str">
        <f ca="1">IFERROR(__xludf.DUMMYFUNCTION("""COMPUTED_VALUE"""),"Scimitar of speed")</f>
        <v>Scimitar of speed</v>
      </c>
      <c r="C416" s="5" t="str">
        <f ca="1">IFERROR(__xludf.DUMMYFUNCTION("""COMPUTED_VALUE"""),"Magic")</f>
        <v>Magic</v>
      </c>
      <c r="D416" s="80">
        <f ca="1">IFERROR(__xludf.DUMMYFUNCTION("""COMPUTED_VALUE"""),1596)</f>
        <v>1596</v>
      </c>
    </row>
    <row r="417" spans="1:4" ht="13.2">
      <c r="A417" s="5">
        <f ca="1">IFERROR(__xludf.DUMMYFUNCTION("""COMPUTED_VALUE"""),250)</f>
        <v>250</v>
      </c>
      <c r="B417" t="str">
        <f ca="1">IFERROR(__xludf.DUMMYFUNCTION("""COMPUTED_VALUE"""),"Scroll of protection")</f>
        <v>Scroll of protection</v>
      </c>
      <c r="C417" s="5" t="str">
        <f ca="1">IFERROR(__xludf.DUMMYFUNCTION("""COMPUTED_VALUE"""),"Magic")</f>
        <v>Magic</v>
      </c>
      <c r="D417" s="80">
        <f ca="1">IFERROR(__xludf.DUMMYFUNCTION("""COMPUTED_VALUE"""),934)</f>
        <v>934</v>
      </c>
    </row>
    <row r="418" spans="1:4" ht="13.2">
      <c r="A418" s="5">
        <f ca="1">IFERROR(__xludf.DUMMYFUNCTION("""COMPUTED_VALUE"""),251)</f>
        <v>251</v>
      </c>
      <c r="B418" t="str">
        <f ca="1">IFERROR(__xludf.DUMMYFUNCTION("""COMPUTED_VALUE"""),"Sending stones")</f>
        <v>Sending stones</v>
      </c>
      <c r="C418" s="5" t="str">
        <f ca="1">IFERROR(__xludf.DUMMYFUNCTION("""COMPUTED_VALUE"""),"Magic")</f>
        <v>Magic</v>
      </c>
      <c r="D418" s="80">
        <f ca="1">IFERROR(__xludf.DUMMYFUNCTION("""COMPUTED_VALUE"""),388)</f>
        <v>388</v>
      </c>
    </row>
    <row r="419" spans="1:4" ht="13.2">
      <c r="A419" s="5">
        <f ca="1">IFERROR(__xludf.DUMMYFUNCTION("""COMPUTED_VALUE"""),252)</f>
        <v>252</v>
      </c>
      <c r="B419" t="str">
        <f ca="1">IFERROR(__xludf.DUMMYFUNCTION("""COMPUTED_VALUE"""),"Sentinel shield")</f>
        <v>Sentinel shield</v>
      </c>
      <c r="C419" s="5" t="str">
        <f ca="1">IFERROR(__xludf.DUMMYFUNCTION("""COMPUTED_VALUE"""),"Magic")</f>
        <v>Magic</v>
      </c>
      <c r="D419" s="80">
        <f ca="1">IFERROR(__xludf.DUMMYFUNCTION("""COMPUTED_VALUE"""),376)</f>
        <v>376</v>
      </c>
    </row>
    <row r="420" spans="1:4" ht="13.2">
      <c r="A420" s="5">
        <f ca="1">IFERROR(__xludf.DUMMYFUNCTION("""COMPUTED_VALUE"""),253)</f>
        <v>253</v>
      </c>
      <c r="B420" t="str">
        <f ca="1">IFERROR(__xludf.DUMMYFUNCTION("""COMPUTED_VALUE"""),"Shield +1")</f>
        <v>Shield +1</v>
      </c>
      <c r="C420" s="5" t="str">
        <f ca="1">IFERROR(__xludf.DUMMYFUNCTION("""COMPUTED_VALUE"""),"Magic")</f>
        <v>Magic</v>
      </c>
      <c r="D420" s="80">
        <f ca="1">IFERROR(__xludf.DUMMYFUNCTION("""COMPUTED_VALUE"""),366)</f>
        <v>366</v>
      </c>
    </row>
    <row r="421" spans="1:4" ht="13.2">
      <c r="A421" s="5">
        <f ca="1">IFERROR(__xludf.DUMMYFUNCTION("""COMPUTED_VALUE"""),254)</f>
        <v>254</v>
      </c>
      <c r="B421" t="str">
        <f ca="1">IFERROR(__xludf.DUMMYFUNCTION("""COMPUTED_VALUE"""),"Shield +2")</f>
        <v>Shield +2</v>
      </c>
      <c r="C421" s="5" t="str">
        <f ca="1">IFERROR(__xludf.DUMMYFUNCTION("""COMPUTED_VALUE"""),"Magic")</f>
        <v>Magic</v>
      </c>
      <c r="D421" s="80">
        <f ca="1">IFERROR(__xludf.DUMMYFUNCTION("""COMPUTED_VALUE"""),937)</f>
        <v>937</v>
      </c>
    </row>
    <row r="422" spans="1:4" ht="13.2">
      <c r="A422" s="5">
        <f ca="1">IFERROR(__xludf.DUMMYFUNCTION("""COMPUTED_VALUE"""),255)</f>
        <v>255</v>
      </c>
      <c r="B422" t="str">
        <f ca="1">IFERROR(__xludf.DUMMYFUNCTION("""COMPUTED_VALUE"""),"Shield +3")</f>
        <v>Shield +3</v>
      </c>
      <c r="C422" s="5" t="str">
        <f ca="1">IFERROR(__xludf.DUMMYFUNCTION("""COMPUTED_VALUE"""),"Magic")</f>
        <v>Magic</v>
      </c>
      <c r="D422" s="80">
        <f ca="1">IFERROR(__xludf.DUMMYFUNCTION("""COMPUTED_VALUE"""),1552)</f>
        <v>1552</v>
      </c>
    </row>
    <row r="423" spans="1:4" ht="13.2">
      <c r="A423" s="5">
        <f ca="1">IFERROR(__xludf.DUMMYFUNCTION("""COMPUTED_VALUE"""),256)</f>
        <v>256</v>
      </c>
      <c r="B423" t="str">
        <f ca="1">IFERROR(__xludf.DUMMYFUNCTION("""COMPUTED_VALUE"""),"Shield of missile attraction")</f>
        <v>Shield of missile attraction</v>
      </c>
      <c r="C423" s="5" t="str">
        <f ca="1">IFERROR(__xludf.DUMMYFUNCTION("""COMPUTED_VALUE"""),"Magic")</f>
        <v>Magic</v>
      </c>
      <c r="D423" s="80">
        <f ca="1">IFERROR(__xludf.DUMMYFUNCTION("""COMPUTED_VALUE"""),937)</f>
        <v>937</v>
      </c>
    </row>
    <row r="424" spans="1:4" ht="13.2">
      <c r="A424" s="5">
        <f ca="1">IFERROR(__xludf.DUMMYFUNCTION("""COMPUTED_VALUE"""),257)</f>
        <v>257</v>
      </c>
      <c r="B424" t="str">
        <f ca="1">IFERROR(__xludf.DUMMYFUNCTION("""COMPUTED_VALUE"""),"Slippers of spider climbing")</f>
        <v>Slippers of spider climbing</v>
      </c>
      <c r="C424" s="5" t="str">
        <f ca="1">IFERROR(__xludf.DUMMYFUNCTION("""COMPUTED_VALUE"""),"Magic")</f>
        <v>Magic</v>
      </c>
      <c r="D424" s="80">
        <f ca="1">IFERROR(__xludf.DUMMYFUNCTION("""COMPUTED_VALUE"""),366)</f>
        <v>366</v>
      </c>
    </row>
    <row r="425" spans="1:4" ht="13.2">
      <c r="A425" s="5">
        <f ca="1">IFERROR(__xludf.DUMMYFUNCTION("""COMPUTED_VALUE"""),258)</f>
        <v>258</v>
      </c>
      <c r="B425" t="str">
        <f ca="1">IFERROR(__xludf.DUMMYFUNCTION("""COMPUTED_VALUE"""),"Sovereign glue")</f>
        <v>Sovereign glue</v>
      </c>
      <c r="C425" s="5" t="str">
        <f ca="1">IFERROR(__xludf.DUMMYFUNCTION("""COMPUTED_VALUE"""),"Magic")</f>
        <v>Magic</v>
      </c>
      <c r="D425" s="80">
        <f ca="1">IFERROR(__xludf.DUMMYFUNCTION("""COMPUTED_VALUE"""),3045)</f>
        <v>3045</v>
      </c>
    </row>
    <row r="426" spans="1:4" ht="13.2">
      <c r="A426" s="5">
        <f ca="1">IFERROR(__xludf.DUMMYFUNCTION("""COMPUTED_VALUE"""),259)</f>
        <v>259</v>
      </c>
      <c r="B426" t="str">
        <f ca="1">IFERROR(__xludf.DUMMYFUNCTION("""COMPUTED_VALUE"""),"Spell scroll (1st level)")</f>
        <v>Spell scroll (1st level)</v>
      </c>
      <c r="C426" s="5" t="str">
        <f ca="1">IFERROR(__xludf.DUMMYFUNCTION("""COMPUTED_VALUE"""),"Magic")</f>
        <v>Magic</v>
      </c>
      <c r="D426" s="80">
        <f ca="1">IFERROR(__xludf.DUMMYFUNCTION("""COMPUTED_VALUE"""),114)</f>
        <v>114</v>
      </c>
    </row>
    <row r="427" spans="1:4" ht="13.2">
      <c r="A427" s="5">
        <f ca="1">IFERROR(__xludf.DUMMYFUNCTION("""COMPUTED_VALUE"""),260)</f>
        <v>260</v>
      </c>
      <c r="B427" t="str">
        <f ca="1">IFERROR(__xludf.DUMMYFUNCTION("""COMPUTED_VALUE"""),"Spell scroll (2nd level)")</f>
        <v>Spell scroll (2nd level)</v>
      </c>
      <c r="C427" s="5" t="str">
        <f ca="1">IFERROR(__xludf.DUMMYFUNCTION("""COMPUTED_VALUE"""),"Magic")</f>
        <v>Magic</v>
      </c>
      <c r="D427" s="80">
        <f ca="1">IFERROR(__xludf.DUMMYFUNCTION("""COMPUTED_VALUE"""),380)</f>
        <v>380</v>
      </c>
    </row>
    <row r="428" spans="1:4" ht="13.2">
      <c r="A428" s="5">
        <f ca="1">IFERROR(__xludf.DUMMYFUNCTION("""COMPUTED_VALUE"""),261)</f>
        <v>261</v>
      </c>
      <c r="B428" t="str">
        <f ca="1">IFERROR(__xludf.DUMMYFUNCTION("""COMPUTED_VALUE"""),"Spell scroll (3rd level)")</f>
        <v>Spell scroll (3rd level)</v>
      </c>
      <c r="C428" s="5" t="str">
        <f ca="1">IFERROR(__xludf.DUMMYFUNCTION("""COMPUTED_VALUE"""),"Magic")</f>
        <v>Magic</v>
      </c>
      <c r="D428" s="80">
        <f ca="1">IFERROR(__xludf.DUMMYFUNCTION("""COMPUTED_VALUE"""),368)</f>
        <v>368</v>
      </c>
    </row>
    <row r="429" spans="1:4" ht="13.2">
      <c r="A429" s="5">
        <f ca="1">IFERROR(__xludf.DUMMYFUNCTION("""COMPUTED_VALUE"""),262)</f>
        <v>262</v>
      </c>
      <c r="B429" t="str">
        <f ca="1">IFERROR(__xludf.DUMMYFUNCTION("""COMPUTED_VALUE"""),"Spell scroll (4th level)")</f>
        <v>Spell scroll (4th level)</v>
      </c>
      <c r="C429" s="5" t="str">
        <f ca="1">IFERROR(__xludf.DUMMYFUNCTION("""COMPUTED_VALUE"""),"Magic")</f>
        <v>Magic</v>
      </c>
      <c r="D429" s="80">
        <f ca="1">IFERROR(__xludf.DUMMYFUNCTION("""COMPUTED_VALUE"""),940)</f>
        <v>940</v>
      </c>
    </row>
    <row r="430" spans="1:4" ht="13.2">
      <c r="A430" s="5">
        <f ca="1">IFERROR(__xludf.DUMMYFUNCTION("""COMPUTED_VALUE"""),263)</f>
        <v>263</v>
      </c>
      <c r="B430" t="str">
        <f ca="1">IFERROR(__xludf.DUMMYFUNCTION("""COMPUTED_VALUE"""),"Spell scroll (5th level)")</f>
        <v>Spell scroll (5th level)</v>
      </c>
      <c r="C430" s="5" t="str">
        <f ca="1">IFERROR(__xludf.DUMMYFUNCTION("""COMPUTED_VALUE"""),"Magic")</f>
        <v>Magic</v>
      </c>
      <c r="D430" s="80">
        <f ca="1">IFERROR(__xludf.DUMMYFUNCTION("""COMPUTED_VALUE"""),922)</f>
        <v>922</v>
      </c>
    </row>
    <row r="431" spans="1:4" ht="13.2">
      <c r="A431" s="5">
        <f ca="1">IFERROR(__xludf.DUMMYFUNCTION("""COMPUTED_VALUE"""),264)</f>
        <v>264</v>
      </c>
      <c r="B431" t="str">
        <f ca="1">IFERROR(__xludf.DUMMYFUNCTION("""COMPUTED_VALUE"""),"Spell scroll (6th level)")</f>
        <v>Spell scroll (6th level)</v>
      </c>
      <c r="C431" s="5" t="str">
        <f ca="1">IFERROR(__xludf.DUMMYFUNCTION("""COMPUTED_VALUE"""),"Magic")</f>
        <v>Magic</v>
      </c>
      <c r="D431" s="80">
        <f ca="1">IFERROR(__xludf.DUMMYFUNCTION("""COMPUTED_VALUE"""),1580)</f>
        <v>1580</v>
      </c>
    </row>
    <row r="432" spans="1:4" ht="13.2">
      <c r="A432" s="5">
        <f ca="1">IFERROR(__xludf.DUMMYFUNCTION("""COMPUTED_VALUE"""),265)</f>
        <v>265</v>
      </c>
      <c r="B432" t="str">
        <f ca="1">IFERROR(__xludf.DUMMYFUNCTION("""COMPUTED_VALUE"""),"Spell scroll (7th level)")</f>
        <v>Spell scroll (7th level)</v>
      </c>
      <c r="C432" s="5" t="str">
        <f ca="1">IFERROR(__xludf.DUMMYFUNCTION("""COMPUTED_VALUE"""),"Magic")</f>
        <v>Magic</v>
      </c>
      <c r="D432" s="80">
        <f ca="1">IFERROR(__xludf.DUMMYFUNCTION("""COMPUTED_VALUE"""),1560)</f>
        <v>1560</v>
      </c>
    </row>
    <row r="433" spans="1:4" ht="13.2">
      <c r="A433" s="5">
        <f ca="1">IFERROR(__xludf.DUMMYFUNCTION("""COMPUTED_VALUE"""),266)</f>
        <v>266</v>
      </c>
      <c r="B433" t="str">
        <f ca="1">IFERROR(__xludf.DUMMYFUNCTION("""COMPUTED_VALUE"""),"Spell scroll (8th level)")</f>
        <v>Spell scroll (8th level)</v>
      </c>
      <c r="C433" s="5" t="str">
        <f ca="1">IFERROR(__xludf.DUMMYFUNCTION("""COMPUTED_VALUE"""),"Magic")</f>
        <v>Magic</v>
      </c>
      <c r="D433" s="80">
        <f ca="1">IFERROR(__xludf.DUMMYFUNCTION("""COMPUTED_VALUE"""),1584)</f>
        <v>1584</v>
      </c>
    </row>
    <row r="434" spans="1:4" ht="13.2">
      <c r="A434" s="5">
        <f ca="1">IFERROR(__xludf.DUMMYFUNCTION("""COMPUTED_VALUE"""),267)</f>
        <v>267</v>
      </c>
      <c r="B434" t="str">
        <f ca="1">IFERROR(__xludf.DUMMYFUNCTION("""COMPUTED_VALUE"""),"Spell scroll (9th level)")</f>
        <v>Spell scroll (9th level)</v>
      </c>
      <c r="C434" s="5" t="str">
        <f ca="1">IFERROR(__xludf.DUMMYFUNCTION("""COMPUTED_VALUE"""),"Magic")</f>
        <v>Magic</v>
      </c>
      <c r="D434" s="80">
        <f ca="1">IFERROR(__xludf.DUMMYFUNCTION("""COMPUTED_VALUE"""),3025)</f>
        <v>3025</v>
      </c>
    </row>
    <row r="435" spans="1:4" ht="13.2">
      <c r="A435" s="5">
        <f ca="1">IFERROR(__xludf.DUMMYFUNCTION("""COMPUTED_VALUE"""),268)</f>
        <v>268</v>
      </c>
      <c r="B435" t="str">
        <f ca="1">IFERROR(__xludf.DUMMYFUNCTION("""COMPUTED_VALUE"""),"Spell scroll (cantrip)")</f>
        <v>Spell scroll (cantrip)</v>
      </c>
      <c r="C435" s="5" t="str">
        <f ca="1">IFERROR(__xludf.DUMMYFUNCTION("""COMPUTED_VALUE"""),"Magic")</f>
        <v>Magic</v>
      </c>
      <c r="D435" s="80">
        <f ca="1">IFERROR(__xludf.DUMMYFUNCTION("""COMPUTED_VALUE"""),121)</f>
        <v>121</v>
      </c>
    </row>
    <row r="436" spans="1:4" ht="13.2">
      <c r="A436" s="5">
        <f ca="1">IFERROR(__xludf.DUMMYFUNCTION("""COMPUTED_VALUE"""),269)</f>
        <v>269</v>
      </c>
      <c r="B436" t="str">
        <f ca="1">IFERROR(__xludf.DUMMYFUNCTION("""COMPUTED_VALUE"""),"Spellguard shield")</f>
        <v>Spellguard shield</v>
      </c>
      <c r="C436" s="5" t="str">
        <f ca="1">IFERROR(__xludf.DUMMYFUNCTION("""COMPUTED_VALUE"""),"Magic")</f>
        <v>Magic</v>
      </c>
      <c r="D436" s="80">
        <f ca="1">IFERROR(__xludf.DUMMYFUNCTION("""COMPUTED_VALUE"""),1560)</f>
        <v>1560</v>
      </c>
    </row>
    <row r="437" spans="1:4" ht="13.2">
      <c r="A437" s="5">
        <f ca="1">IFERROR(__xludf.DUMMYFUNCTION("""COMPUTED_VALUE"""),270)</f>
        <v>270</v>
      </c>
      <c r="B437" t="str">
        <f ca="1">IFERROR(__xludf.DUMMYFUNCTION("""COMPUTED_VALUE"""),"Sphere of annihilation")</f>
        <v>Sphere of annihilation</v>
      </c>
      <c r="C437" s="5" t="str">
        <f ca="1">IFERROR(__xludf.DUMMYFUNCTION("""COMPUTED_VALUE"""),"Magic")</f>
        <v>Magic</v>
      </c>
      <c r="D437" s="80">
        <f ca="1">IFERROR(__xludf.DUMMYFUNCTION("""COMPUTED_VALUE"""),3055)</f>
        <v>3055</v>
      </c>
    </row>
    <row r="438" spans="1:4" ht="13.2">
      <c r="A438" s="5">
        <f ca="1">IFERROR(__xludf.DUMMYFUNCTION("""COMPUTED_VALUE"""),271)</f>
        <v>271</v>
      </c>
      <c r="B438" t="str">
        <f ca="1">IFERROR(__xludf.DUMMYFUNCTION("""COMPUTED_VALUE"""),"Staff of charming")</f>
        <v>Staff of charming</v>
      </c>
      <c r="C438" s="5" t="str">
        <f ca="1">IFERROR(__xludf.DUMMYFUNCTION("""COMPUTED_VALUE"""),"Magic")</f>
        <v>Magic</v>
      </c>
      <c r="D438" s="80">
        <f ca="1">IFERROR(__xludf.DUMMYFUNCTION("""COMPUTED_VALUE"""),928)</f>
        <v>928</v>
      </c>
    </row>
    <row r="439" spans="1:4" ht="13.2">
      <c r="A439" s="5">
        <f ca="1">IFERROR(__xludf.DUMMYFUNCTION("""COMPUTED_VALUE"""),272)</f>
        <v>272</v>
      </c>
      <c r="B439" t="str">
        <f ca="1">IFERROR(__xludf.DUMMYFUNCTION("""COMPUTED_VALUE"""),"Staff of fire")</f>
        <v>Staff of fire</v>
      </c>
      <c r="C439" s="5" t="str">
        <f ca="1">IFERROR(__xludf.DUMMYFUNCTION("""COMPUTED_VALUE"""),"Magic")</f>
        <v>Magic</v>
      </c>
      <c r="D439" s="80">
        <f ca="1">IFERROR(__xludf.DUMMYFUNCTION("""COMPUTED_VALUE"""),1588)</f>
        <v>1588</v>
      </c>
    </row>
    <row r="440" spans="1:4" ht="13.2">
      <c r="A440" s="5">
        <f ca="1">IFERROR(__xludf.DUMMYFUNCTION("""COMPUTED_VALUE"""),273)</f>
        <v>273</v>
      </c>
      <c r="B440" t="str">
        <f ca="1">IFERROR(__xludf.DUMMYFUNCTION("""COMPUTED_VALUE"""),"Staff of frost")</f>
        <v>Staff of frost</v>
      </c>
      <c r="C440" s="5" t="str">
        <f ca="1">IFERROR(__xludf.DUMMYFUNCTION("""COMPUTED_VALUE"""),"Magic")</f>
        <v>Magic</v>
      </c>
      <c r="D440" s="80">
        <f ca="1">IFERROR(__xludf.DUMMYFUNCTION("""COMPUTED_VALUE"""),1564)</f>
        <v>1564</v>
      </c>
    </row>
    <row r="441" spans="1:4" ht="13.2">
      <c r="A441" s="5">
        <f ca="1">IFERROR(__xludf.DUMMYFUNCTION("""COMPUTED_VALUE"""),274)</f>
        <v>274</v>
      </c>
      <c r="B441" t="str">
        <f ca="1">IFERROR(__xludf.DUMMYFUNCTION("""COMPUTED_VALUE"""),"Staff of healing")</f>
        <v>Staff of healing</v>
      </c>
      <c r="C441" s="5" t="str">
        <f ca="1">IFERROR(__xludf.DUMMYFUNCTION("""COMPUTED_VALUE"""),"Magic")</f>
        <v>Magic</v>
      </c>
      <c r="D441" s="80">
        <f ca="1">IFERROR(__xludf.DUMMYFUNCTION("""COMPUTED_VALUE"""),946)</f>
        <v>946</v>
      </c>
    </row>
    <row r="442" spans="1:4" ht="13.2">
      <c r="A442" s="5">
        <f ca="1">IFERROR(__xludf.DUMMYFUNCTION("""COMPUTED_VALUE"""),275)</f>
        <v>275</v>
      </c>
      <c r="B442" t="str">
        <f ca="1">IFERROR(__xludf.DUMMYFUNCTION("""COMPUTED_VALUE"""),"Staff of power")</f>
        <v>Staff of power</v>
      </c>
      <c r="C442" s="5" t="str">
        <f ca="1">IFERROR(__xludf.DUMMYFUNCTION("""COMPUTED_VALUE"""),"Magic")</f>
        <v>Magic</v>
      </c>
      <c r="D442" s="80">
        <f ca="1">IFERROR(__xludf.DUMMYFUNCTION("""COMPUTED_VALUE"""),1564)</f>
        <v>1564</v>
      </c>
    </row>
    <row r="443" spans="1:4" ht="13.2">
      <c r="A443" s="5">
        <f ca="1">IFERROR(__xludf.DUMMYFUNCTION("""COMPUTED_VALUE"""),276)</f>
        <v>276</v>
      </c>
      <c r="B443" t="str">
        <f ca="1">IFERROR(__xludf.DUMMYFUNCTION("""COMPUTED_VALUE"""),"Staff of striking")</f>
        <v>Staff of striking</v>
      </c>
      <c r="C443" s="5" t="str">
        <f ca="1">IFERROR(__xludf.DUMMYFUNCTION("""COMPUTED_VALUE"""),"Magic")</f>
        <v>Magic</v>
      </c>
      <c r="D443" s="80">
        <f ca="1">IFERROR(__xludf.DUMMYFUNCTION("""COMPUTED_VALUE"""),1588)</f>
        <v>1588</v>
      </c>
    </row>
    <row r="444" spans="1:4" ht="13.2">
      <c r="A444" s="5">
        <f ca="1">IFERROR(__xludf.DUMMYFUNCTION("""COMPUTED_VALUE"""),277)</f>
        <v>277</v>
      </c>
      <c r="B444" t="str">
        <f ca="1">IFERROR(__xludf.DUMMYFUNCTION("""COMPUTED_VALUE"""),"Staff of swarming insects")</f>
        <v>Staff of swarming insects</v>
      </c>
      <c r="C444" s="5" t="str">
        <f ca="1">IFERROR(__xludf.DUMMYFUNCTION("""COMPUTED_VALUE"""),"Magic")</f>
        <v>Magic</v>
      </c>
      <c r="D444" s="80">
        <f ca="1">IFERROR(__xludf.DUMMYFUNCTION("""COMPUTED_VALUE"""),931)</f>
        <v>931</v>
      </c>
    </row>
    <row r="445" spans="1:4" ht="13.2">
      <c r="A445" s="5">
        <f ca="1">IFERROR(__xludf.DUMMYFUNCTION("""COMPUTED_VALUE"""),278)</f>
        <v>278</v>
      </c>
      <c r="B445" t="str">
        <f ca="1">IFERROR(__xludf.DUMMYFUNCTION("""COMPUTED_VALUE"""),"Staff of the adder")</f>
        <v>Staff of the adder</v>
      </c>
      <c r="C445" s="5" t="str">
        <f ca="1">IFERROR(__xludf.DUMMYFUNCTION("""COMPUTED_VALUE"""),"Magic")</f>
        <v>Magic</v>
      </c>
      <c r="D445" s="80">
        <f ca="1">IFERROR(__xludf.DUMMYFUNCTION("""COMPUTED_VALUE"""),386)</f>
        <v>386</v>
      </c>
    </row>
    <row r="446" spans="1:4" ht="13.2">
      <c r="A446" s="5">
        <f ca="1">IFERROR(__xludf.DUMMYFUNCTION("""COMPUTED_VALUE"""),279)</f>
        <v>279</v>
      </c>
      <c r="B446" t="str">
        <f ca="1">IFERROR(__xludf.DUMMYFUNCTION("""COMPUTED_VALUE"""),"Staff of the magi")</f>
        <v>Staff of the magi</v>
      </c>
      <c r="C446" s="5" t="str">
        <f ca="1">IFERROR(__xludf.DUMMYFUNCTION("""COMPUTED_VALUE"""),"Magic")</f>
        <v>Magic</v>
      </c>
      <c r="D446" s="80">
        <f ca="1">IFERROR(__xludf.DUMMYFUNCTION("""COMPUTED_VALUE"""),3035)</f>
        <v>3035</v>
      </c>
    </row>
    <row r="447" spans="1:4" ht="13.2">
      <c r="A447" s="5">
        <f ca="1">IFERROR(__xludf.DUMMYFUNCTION("""COMPUTED_VALUE"""),280)</f>
        <v>280</v>
      </c>
      <c r="B447" t="str">
        <f ca="1">IFERROR(__xludf.DUMMYFUNCTION("""COMPUTED_VALUE"""),"Staff of the python")</f>
        <v>Staff of the python</v>
      </c>
      <c r="C447" s="5" t="str">
        <f ca="1">IFERROR(__xludf.DUMMYFUNCTION("""COMPUTED_VALUE"""),"Magic")</f>
        <v>Magic</v>
      </c>
      <c r="D447" s="80">
        <f ca="1">IFERROR(__xludf.DUMMYFUNCTION("""COMPUTED_VALUE"""),386)</f>
        <v>386</v>
      </c>
    </row>
    <row r="448" spans="1:4" ht="13.2">
      <c r="A448" s="5">
        <f ca="1">IFERROR(__xludf.DUMMYFUNCTION("""COMPUTED_VALUE"""),281)</f>
        <v>281</v>
      </c>
      <c r="B448" t="str">
        <f ca="1">IFERROR(__xludf.DUMMYFUNCTION("""COMPUTED_VALUE"""),"Staff of the woodlands")</f>
        <v>Staff of the woodlands</v>
      </c>
      <c r="C448" s="5" t="str">
        <f ca="1">IFERROR(__xludf.DUMMYFUNCTION("""COMPUTED_VALUE"""),"Magic")</f>
        <v>Magic</v>
      </c>
      <c r="D448" s="80">
        <f ca="1">IFERROR(__xludf.DUMMYFUNCTION("""COMPUTED_VALUE"""),931)</f>
        <v>931</v>
      </c>
    </row>
    <row r="449" spans="1:4" ht="13.2">
      <c r="A449" s="5">
        <f ca="1">IFERROR(__xludf.DUMMYFUNCTION("""COMPUTED_VALUE"""),282)</f>
        <v>282</v>
      </c>
      <c r="B449" t="str">
        <f ca="1">IFERROR(__xludf.DUMMYFUNCTION("""COMPUTED_VALUE"""),"Staff of thunder and lightning")</f>
        <v>Staff of thunder and lightning</v>
      </c>
      <c r="C449" s="5" t="str">
        <f ca="1">IFERROR(__xludf.DUMMYFUNCTION("""COMPUTED_VALUE"""),"Magic")</f>
        <v>Magic</v>
      </c>
      <c r="D449" s="80">
        <f ca="1">IFERROR(__xludf.DUMMYFUNCTION("""COMPUTED_VALUE"""),1592)</f>
        <v>1592</v>
      </c>
    </row>
    <row r="450" spans="1:4" ht="13.2">
      <c r="A450" s="5">
        <f ca="1">IFERROR(__xludf.DUMMYFUNCTION("""COMPUTED_VALUE"""),283)</f>
        <v>283</v>
      </c>
      <c r="B450" t="str">
        <f ca="1">IFERROR(__xludf.DUMMYFUNCTION("""COMPUTED_VALUE"""),"Staff of withering")</f>
        <v>Staff of withering</v>
      </c>
      <c r="C450" s="5" t="str">
        <f ca="1">IFERROR(__xludf.DUMMYFUNCTION("""COMPUTED_VALUE"""),"Magic")</f>
        <v>Magic</v>
      </c>
      <c r="D450" s="80">
        <f ca="1">IFERROR(__xludf.DUMMYFUNCTION("""COMPUTED_VALUE"""),934)</f>
        <v>934</v>
      </c>
    </row>
    <row r="451" spans="1:4" ht="13.2">
      <c r="A451" s="5">
        <f ca="1">IFERROR(__xludf.DUMMYFUNCTION("""COMPUTED_VALUE"""),284)</f>
        <v>284</v>
      </c>
      <c r="B451" t="str">
        <f ca="1">IFERROR(__xludf.DUMMYFUNCTION("""COMPUTED_VALUE"""),"Stone of controlling earth elementals")</f>
        <v>Stone of controlling earth elementals</v>
      </c>
      <c r="C451" s="5" t="str">
        <f ca="1">IFERROR(__xludf.DUMMYFUNCTION("""COMPUTED_VALUE"""),"Magic")</f>
        <v>Magic</v>
      </c>
      <c r="D451" s="80">
        <f ca="1">IFERROR(__xludf.DUMMYFUNCTION("""COMPUTED_VALUE"""),952)</f>
        <v>952</v>
      </c>
    </row>
    <row r="452" spans="1:4" ht="13.2">
      <c r="A452" s="5">
        <f ca="1">IFERROR(__xludf.DUMMYFUNCTION("""COMPUTED_VALUE"""),285)</f>
        <v>285</v>
      </c>
      <c r="B452" t="str">
        <f ca="1">IFERROR(__xludf.DUMMYFUNCTION("""COMPUTED_VALUE"""),"Stone of good luck (luckstone)")</f>
        <v>Stone of good luck (luckstone)</v>
      </c>
      <c r="C452" s="5" t="str">
        <f ca="1">IFERROR(__xludf.DUMMYFUNCTION("""COMPUTED_VALUE"""),"Magic")</f>
        <v>Magic</v>
      </c>
      <c r="D452" s="80">
        <f ca="1">IFERROR(__xludf.DUMMYFUNCTION("""COMPUTED_VALUE"""),376)</f>
        <v>376</v>
      </c>
    </row>
    <row r="453" spans="1:4" ht="13.2">
      <c r="A453" s="5">
        <f ca="1">IFERROR(__xludf.DUMMYFUNCTION("""COMPUTED_VALUE"""),286)</f>
        <v>286</v>
      </c>
      <c r="B453" t="str">
        <f ca="1">IFERROR(__xludf.DUMMYFUNCTION("""COMPUTED_VALUE"""),"Sun blade")</f>
        <v>Sun blade</v>
      </c>
      <c r="C453" s="5" t="str">
        <f ca="1">IFERROR(__xludf.DUMMYFUNCTION("""COMPUTED_VALUE"""),"Magic")</f>
        <v>Magic</v>
      </c>
      <c r="D453" s="80">
        <f ca="1">IFERROR(__xludf.DUMMYFUNCTION("""COMPUTED_VALUE"""),952)</f>
        <v>952</v>
      </c>
    </row>
    <row r="454" spans="1:4" ht="13.2">
      <c r="A454" s="5">
        <f ca="1">IFERROR(__xludf.DUMMYFUNCTION("""COMPUTED_VALUE"""),287)</f>
        <v>287</v>
      </c>
      <c r="B454" t="str">
        <f ca="1">IFERROR(__xludf.DUMMYFUNCTION("""COMPUTED_VALUE"""),"Sword of answering")</f>
        <v>Sword of answering</v>
      </c>
      <c r="C454" s="5" t="str">
        <f ca="1">IFERROR(__xludf.DUMMYFUNCTION("""COMPUTED_VALUE"""),"Magic")</f>
        <v>Magic</v>
      </c>
      <c r="D454" s="80">
        <f ca="1">IFERROR(__xludf.DUMMYFUNCTION("""COMPUTED_VALUE"""),3040)</f>
        <v>3040</v>
      </c>
    </row>
    <row r="455" spans="1:4" ht="13.2">
      <c r="A455" s="5">
        <f ca="1">IFERROR(__xludf.DUMMYFUNCTION("""COMPUTED_VALUE"""),288)</f>
        <v>288</v>
      </c>
      <c r="B455" t="str">
        <f ca="1">IFERROR(__xludf.DUMMYFUNCTION("""COMPUTED_VALUE"""),"Sword of life stealing")</f>
        <v>Sword of life stealing</v>
      </c>
      <c r="C455" s="5" t="str">
        <f ca="1">IFERROR(__xludf.DUMMYFUNCTION("""COMPUTED_VALUE"""),"Magic")</f>
        <v>Magic</v>
      </c>
      <c r="D455" s="80">
        <f ca="1">IFERROR(__xludf.DUMMYFUNCTION("""COMPUTED_VALUE"""),952)</f>
        <v>952</v>
      </c>
    </row>
    <row r="456" spans="1:4" ht="13.2">
      <c r="A456" s="5">
        <f ca="1">IFERROR(__xludf.DUMMYFUNCTION("""COMPUTED_VALUE"""),289)</f>
        <v>289</v>
      </c>
      <c r="B456" t="str">
        <f ca="1">IFERROR(__xludf.DUMMYFUNCTION("""COMPUTED_VALUE"""),"Sword of sharpness")</f>
        <v>Sword of sharpness</v>
      </c>
      <c r="C456" s="5" t="str">
        <f ca="1">IFERROR(__xludf.DUMMYFUNCTION("""COMPUTED_VALUE"""),"Magic")</f>
        <v>Magic</v>
      </c>
      <c r="D456" s="80">
        <f ca="1">IFERROR(__xludf.DUMMYFUNCTION("""COMPUTED_VALUE"""),1576)</f>
        <v>1576</v>
      </c>
    </row>
    <row r="457" spans="1:4" ht="13.2">
      <c r="A457" s="5">
        <f ca="1">IFERROR(__xludf.DUMMYFUNCTION("""COMPUTED_VALUE"""),290)</f>
        <v>290</v>
      </c>
      <c r="B457" t="str">
        <f ca="1">IFERROR(__xludf.DUMMYFUNCTION("""COMPUTED_VALUE"""),"Sword of vengeance")</f>
        <v>Sword of vengeance</v>
      </c>
      <c r="C457" s="5" t="str">
        <f ca="1">IFERROR(__xludf.DUMMYFUNCTION("""COMPUTED_VALUE"""),"Magic")</f>
        <v>Magic</v>
      </c>
      <c r="D457" s="80">
        <f ca="1">IFERROR(__xludf.DUMMYFUNCTION("""COMPUTED_VALUE"""),366)</f>
        <v>366</v>
      </c>
    </row>
    <row r="458" spans="1:4" ht="13.2">
      <c r="A458" s="5">
        <f ca="1">IFERROR(__xludf.DUMMYFUNCTION("""COMPUTED_VALUE"""),291)</f>
        <v>291</v>
      </c>
      <c r="B458" t="str">
        <f ca="1">IFERROR(__xludf.DUMMYFUNCTION("""COMPUTED_VALUE"""),"Sword of wounding")</f>
        <v>Sword of wounding</v>
      </c>
      <c r="C458" s="5" t="str">
        <f ca="1">IFERROR(__xludf.DUMMYFUNCTION("""COMPUTED_VALUE"""),"Magic")</f>
        <v>Magic</v>
      </c>
      <c r="D458" s="80">
        <f ca="1">IFERROR(__xludf.DUMMYFUNCTION("""COMPUTED_VALUE"""),937)</f>
        <v>937</v>
      </c>
    </row>
    <row r="459" spans="1:4" ht="13.2">
      <c r="A459" s="5">
        <f ca="1">IFERROR(__xludf.DUMMYFUNCTION("""COMPUTED_VALUE"""),292)</f>
        <v>292</v>
      </c>
      <c r="B459" t="str">
        <f ca="1">IFERROR(__xludf.DUMMYFUNCTION("""COMPUTED_VALUE"""),"Talisman of pure good")</f>
        <v>Talisman of pure good</v>
      </c>
      <c r="C459" s="5" t="str">
        <f ca="1">IFERROR(__xludf.DUMMYFUNCTION("""COMPUTED_VALUE"""),"Magic")</f>
        <v>Magic</v>
      </c>
      <c r="D459" s="80">
        <f ca="1">IFERROR(__xludf.DUMMYFUNCTION("""COMPUTED_VALUE"""),3015)</f>
        <v>3015</v>
      </c>
    </row>
    <row r="460" spans="1:4" ht="13.2">
      <c r="A460" s="5">
        <f ca="1">IFERROR(__xludf.DUMMYFUNCTION("""COMPUTED_VALUE"""),293)</f>
        <v>293</v>
      </c>
      <c r="B460" t="str">
        <f ca="1">IFERROR(__xludf.DUMMYFUNCTION("""COMPUTED_VALUE"""),"Talisman of the sphere")</f>
        <v>Talisman of the sphere</v>
      </c>
      <c r="C460" s="5" t="str">
        <f ca="1">IFERROR(__xludf.DUMMYFUNCTION("""COMPUTED_VALUE"""),"Magic")</f>
        <v>Magic</v>
      </c>
      <c r="D460" s="80">
        <f ca="1">IFERROR(__xludf.DUMMYFUNCTION("""COMPUTED_VALUE"""),3045)</f>
        <v>3045</v>
      </c>
    </row>
    <row r="461" spans="1:4" ht="13.2">
      <c r="A461" s="5">
        <f ca="1">IFERROR(__xludf.DUMMYFUNCTION("""COMPUTED_VALUE"""),294)</f>
        <v>294</v>
      </c>
      <c r="B461" t="str">
        <f ca="1">IFERROR(__xludf.DUMMYFUNCTION("""COMPUTED_VALUE"""),"Talisman of ultimate evil")</f>
        <v>Talisman of ultimate evil</v>
      </c>
      <c r="C461" s="5" t="str">
        <f ca="1">IFERROR(__xludf.DUMMYFUNCTION("""COMPUTED_VALUE"""),"Magic")</f>
        <v>Magic</v>
      </c>
      <c r="D461" s="80">
        <f ca="1">IFERROR(__xludf.DUMMYFUNCTION("""COMPUTED_VALUE"""),3015)</f>
        <v>3015</v>
      </c>
    </row>
    <row r="462" spans="1:4" ht="13.2">
      <c r="A462" s="5">
        <f ca="1">IFERROR(__xludf.DUMMYFUNCTION("""COMPUTED_VALUE"""),295)</f>
        <v>295</v>
      </c>
      <c r="B462" t="str">
        <f ca="1">IFERROR(__xludf.DUMMYFUNCTION("""COMPUTED_VALUE"""),"Tentacle rod")</f>
        <v>Tentacle rod</v>
      </c>
      <c r="C462" s="5" t="str">
        <f ca="1">IFERROR(__xludf.DUMMYFUNCTION("""COMPUTED_VALUE"""),"Magic")</f>
        <v>Magic</v>
      </c>
      <c r="D462" s="80">
        <f ca="1">IFERROR(__xludf.DUMMYFUNCTION("""COMPUTED_VALUE"""),940)</f>
        <v>940</v>
      </c>
    </row>
    <row r="463" spans="1:4" ht="13.2">
      <c r="A463" s="5">
        <f ca="1">IFERROR(__xludf.DUMMYFUNCTION("""COMPUTED_VALUE"""),296)</f>
        <v>296</v>
      </c>
      <c r="B463" t="str">
        <f ca="1">IFERROR(__xludf.DUMMYFUNCTION("""COMPUTED_VALUE"""),"Tome of clear thought")</f>
        <v>Tome of clear thought</v>
      </c>
      <c r="C463" s="5" t="str">
        <f ca="1">IFERROR(__xludf.DUMMYFUNCTION("""COMPUTED_VALUE"""),"Magic")</f>
        <v>Magic</v>
      </c>
      <c r="D463" s="80">
        <f ca="1">IFERROR(__xludf.DUMMYFUNCTION("""COMPUTED_VALUE"""),1556)</f>
        <v>1556</v>
      </c>
    </row>
    <row r="464" spans="1:4" ht="13.2">
      <c r="A464" s="5">
        <f ca="1">IFERROR(__xludf.DUMMYFUNCTION("""COMPUTED_VALUE"""),297)</f>
        <v>297</v>
      </c>
      <c r="B464" t="str">
        <f ca="1">IFERROR(__xludf.DUMMYFUNCTION("""COMPUTED_VALUE"""),"Tome of leadership and influence")</f>
        <v>Tome of leadership and influence</v>
      </c>
      <c r="C464" s="5" t="str">
        <f ca="1">IFERROR(__xludf.DUMMYFUNCTION("""COMPUTED_VALUE"""),"Magic")</f>
        <v>Magic</v>
      </c>
      <c r="D464" s="80">
        <f ca="1">IFERROR(__xludf.DUMMYFUNCTION("""COMPUTED_VALUE"""),1580)</f>
        <v>1580</v>
      </c>
    </row>
    <row r="465" spans="1:4" ht="13.2">
      <c r="A465" s="5">
        <f ca="1">IFERROR(__xludf.DUMMYFUNCTION("""COMPUTED_VALUE"""),298)</f>
        <v>298</v>
      </c>
      <c r="B465" t="str">
        <f ca="1">IFERROR(__xludf.DUMMYFUNCTION("""COMPUTED_VALUE"""),"Tome of the stilled tongue")</f>
        <v>Tome of the stilled tongue</v>
      </c>
      <c r="C465" s="5" t="str">
        <f ca="1">IFERROR(__xludf.DUMMYFUNCTION("""COMPUTED_VALUE"""),"Magic")</f>
        <v>Magic</v>
      </c>
      <c r="D465" s="80">
        <f ca="1">IFERROR(__xludf.DUMMYFUNCTION("""COMPUTED_VALUE"""),3020)</f>
        <v>3020</v>
      </c>
    </row>
    <row r="466" spans="1:4" ht="13.2">
      <c r="A466" s="5">
        <f ca="1">IFERROR(__xludf.DUMMYFUNCTION("""COMPUTED_VALUE"""),299)</f>
        <v>299</v>
      </c>
      <c r="B466" t="str">
        <f ca="1">IFERROR(__xludf.DUMMYFUNCTION("""COMPUTED_VALUE"""),"Tome of understanding")</f>
        <v>Tome of understanding</v>
      </c>
      <c r="C466" s="5" t="str">
        <f ca="1">IFERROR(__xludf.DUMMYFUNCTION("""COMPUTED_VALUE"""),"Magic")</f>
        <v>Magic</v>
      </c>
      <c r="D466" s="80">
        <f ca="1">IFERROR(__xludf.DUMMYFUNCTION("""COMPUTED_VALUE"""),1580)</f>
        <v>1580</v>
      </c>
    </row>
    <row r="467" spans="1:4" ht="13.2">
      <c r="A467" s="5">
        <f ca="1">IFERROR(__xludf.DUMMYFUNCTION("""COMPUTED_VALUE"""),300)</f>
        <v>300</v>
      </c>
      <c r="B467" t="str">
        <f ca="1">IFERROR(__xludf.DUMMYFUNCTION("""COMPUTED_VALUE"""),"Trident of fish command")</f>
        <v>Trident of fish command</v>
      </c>
      <c r="C467" s="5" t="str">
        <f ca="1">IFERROR(__xludf.DUMMYFUNCTION("""COMPUTED_VALUE"""),"Magic")</f>
        <v>Magic</v>
      </c>
      <c r="D467" s="80">
        <f ca="1">IFERROR(__xludf.DUMMYFUNCTION("""COMPUTED_VALUE"""),368)</f>
        <v>368</v>
      </c>
    </row>
    <row r="468" spans="1:4" ht="13.2">
      <c r="A468" s="5">
        <f ca="1">IFERROR(__xludf.DUMMYFUNCTION("""COMPUTED_VALUE"""),301)</f>
        <v>301</v>
      </c>
      <c r="B468" t="str">
        <f ca="1">IFERROR(__xludf.DUMMYFUNCTION("""COMPUTED_VALUE"""),"Universal solvent")</f>
        <v>Universal solvent</v>
      </c>
      <c r="C468" s="5" t="str">
        <f ca="1">IFERROR(__xludf.DUMMYFUNCTION("""COMPUTED_VALUE"""),"Magic")</f>
        <v>Magic</v>
      </c>
      <c r="D468" s="80">
        <f ca="1">IFERROR(__xludf.DUMMYFUNCTION("""COMPUTED_VALUE"""),3055)</f>
        <v>3055</v>
      </c>
    </row>
    <row r="469" spans="1:4" ht="13.2">
      <c r="A469" s="5">
        <f ca="1">IFERROR(__xludf.DUMMYFUNCTION("""COMPUTED_VALUE"""),302)</f>
        <v>302</v>
      </c>
      <c r="B469" t="str">
        <f ca="1">IFERROR(__xludf.DUMMYFUNCTION("""COMPUTED_VALUE"""),"Vicious weapon")</f>
        <v>Vicious weapon</v>
      </c>
      <c r="C469" s="5" t="str">
        <f ca="1">IFERROR(__xludf.DUMMYFUNCTION("""COMPUTED_VALUE"""),"Magic")</f>
        <v>Magic</v>
      </c>
      <c r="D469" s="80">
        <f ca="1">IFERROR(__xludf.DUMMYFUNCTION("""COMPUTED_VALUE"""),925)</f>
        <v>925</v>
      </c>
    </row>
    <row r="470" spans="1:4" ht="13.2">
      <c r="A470" s="5">
        <f ca="1">IFERROR(__xludf.DUMMYFUNCTION("""COMPUTED_VALUE"""),303)</f>
        <v>303</v>
      </c>
      <c r="B470" t="str">
        <f ca="1">IFERROR(__xludf.DUMMYFUNCTION("""COMPUTED_VALUE"""),"Vorpal sword")</f>
        <v>Vorpal sword</v>
      </c>
      <c r="C470" s="5" t="str">
        <f ca="1">IFERROR(__xludf.DUMMYFUNCTION("""COMPUTED_VALUE"""),"Magic")</f>
        <v>Magic</v>
      </c>
      <c r="D470" s="80">
        <f ca="1">IFERROR(__xludf.DUMMYFUNCTION("""COMPUTED_VALUE"""),3055)</f>
        <v>3055</v>
      </c>
    </row>
    <row r="471" spans="1:4" ht="13.2">
      <c r="A471" s="5">
        <f ca="1">IFERROR(__xludf.DUMMYFUNCTION("""COMPUTED_VALUE"""),304)</f>
        <v>304</v>
      </c>
      <c r="B471" t="str">
        <f ca="1">IFERROR(__xludf.DUMMYFUNCTION("""COMPUTED_VALUE"""),"Wand of binding")</f>
        <v>Wand of binding</v>
      </c>
      <c r="C471" s="5" t="str">
        <f ca="1">IFERROR(__xludf.DUMMYFUNCTION("""COMPUTED_VALUE"""),"Magic")</f>
        <v>Magic</v>
      </c>
      <c r="D471" s="80">
        <f ca="1">IFERROR(__xludf.DUMMYFUNCTION("""COMPUTED_VALUE"""),925)</f>
        <v>925</v>
      </c>
    </row>
    <row r="472" spans="1:4" ht="13.2">
      <c r="A472" s="5">
        <f ca="1">IFERROR(__xludf.DUMMYFUNCTION("""COMPUTED_VALUE"""),305)</f>
        <v>305</v>
      </c>
      <c r="B472" t="str">
        <f ca="1">IFERROR(__xludf.DUMMYFUNCTION("""COMPUTED_VALUE"""),"Wand of enemy detection")</f>
        <v>Wand of enemy detection</v>
      </c>
      <c r="C472" s="5" t="str">
        <f ca="1">IFERROR(__xludf.DUMMYFUNCTION("""COMPUTED_VALUE"""),"Magic")</f>
        <v>Magic</v>
      </c>
      <c r="D472" s="80">
        <f ca="1">IFERROR(__xludf.DUMMYFUNCTION("""COMPUTED_VALUE"""),943)</f>
        <v>943</v>
      </c>
    </row>
    <row r="473" spans="1:4" ht="13.2">
      <c r="A473" s="5">
        <f ca="1">IFERROR(__xludf.DUMMYFUNCTION("""COMPUTED_VALUE"""),306)</f>
        <v>306</v>
      </c>
      <c r="B473" t="str">
        <f ca="1">IFERROR(__xludf.DUMMYFUNCTION("""COMPUTED_VALUE"""),"Wand of fear")</f>
        <v>Wand of fear</v>
      </c>
      <c r="C473" s="5" t="str">
        <f ca="1">IFERROR(__xludf.DUMMYFUNCTION("""COMPUTED_VALUE"""),"Magic")</f>
        <v>Magic</v>
      </c>
      <c r="D473" s="80">
        <f ca="1">IFERROR(__xludf.DUMMYFUNCTION("""COMPUTED_VALUE"""),925)</f>
        <v>925</v>
      </c>
    </row>
    <row r="474" spans="1:4" ht="13.2">
      <c r="A474" s="5">
        <f ca="1">IFERROR(__xludf.DUMMYFUNCTION("""COMPUTED_VALUE"""),307)</f>
        <v>307</v>
      </c>
      <c r="B474" t="str">
        <f ca="1">IFERROR(__xludf.DUMMYFUNCTION("""COMPUTED_VALUE"""),"Wand of fireballs")</f>
        <v>Wand of fireballs</v>
      </c>
      <c r="C474" s="5" t="str">
        <f ca="1">IFERROR(__xludf.DUMMYFUNCTION("""COMPUTED_VALUE"""),"Magic")</f>
        <v>Magic</v>
      </c>
      <c r="D474" s="80">
        <f ca="1">IFERROR(__xludf.DUMMYFUNCTION("""COMPUTED_VALUE"""),946)</f>
        <v>946</v>
      </c>
    </row>
    <row r="475" spans="1:4" ht="13.2">
      <c r="A475" s="5">
        <f ca="1">IFERROR(__xludf.DUMMYFUNCTION("""COMPUTED_VALUE"""),308)</f>
        <v>308</v>
      </c>
      <c r="B475" t="str">
        <f ca="1">IFERROR(__xludf.DUMMYFUNCTION("""COMPUTED_VALUE"""),"Wand of lightning bolts")</f>
        <v>Wand of lightning bolts</v>
      </c>
      <c r="C475" s="5" t="str">
        <f ca="1">IFERROR(__xludf.DUMMYFUNCTION("""COMPUTED_VALUE"""),"Magic")</f>
        <v>Magic</v>
      </c>
      <c r="D475" s="80">
        <f ca="1">IFERROR(__xludf.DUMMYFUNCTION("""COMPUTED_VALUE"""),928)</f>
        <v>928</v>
      </c>
    </row>
    <row r="476" spans="1:4" ht="13.2">
      <c r="A476" s="5">
        <f ca="1">IFERROR(__xludf.DUMMYFUNCTION("""COMPUTED_VALUE"""),309)</f>
        <v>309</v>
      </c>
      <c r="B476" t="str">
        <f ca="1">IFERROR(__xludf.DUMMYFUNCTION("""COMPUTED_VALUE"""),"Wand of magic detection")</f>
        <v>Wand of magic detection</v>
      </c>
      <c r="C476" s="5" t="str">
        <f ca="1">IFERROR(__xludf.DUMMYFUNCTION("""COMPUTED_VALUE"""),"Magic")</f>
        <v>Magic</v>
      </c>
      <c r="D476" s="80">
        <f ca="1">IFERROR(__xludf.DUMMYFUNCTION("""COMPUTED_VALUE"""),384)</f>
        <v>384</v>
      </c>
    </row>
    <row r="477" spans="1:4" ht="13.2">
      <c r="A477" s="5">
        <f ca="1">IFERROR(__xludf.DUMMYFUNCTION("""COMPUTED_VALUE"""),310)</f>
        <v>310</v>
      </c>
      <c r="B477" t="str">
        <f ca="1">IFERROR(__xludf.DUMMYFUNCTION("""COMPUTED_VALUE"""),"Wand of magic missiles")</f>
        <v>Wand of magic missiles</v>
      </c>
      <c r="C477" s="5" t="str">
        <f ca="1">IFERROR(__xludf.DUMMYFUNCTION("""COMPUTED_VALUE"""),"Magic")</f>
        <v>Magic</v>
      </c>
      <c r="D477" s="80">
        <f ca="1">IFERROR(__xludf.DUMMYFUNCTION("""COMPUTED_VALUE"""),372)</f>
        <v>372</v>
      </c>
    </row>
    <row r="478" spans="1:4" ht="13.2">
      <c r="A478" s="5">
        <f ca="1">IFERROR(__xludf.DUMMYFUNCTION("""COMPUTED_VALUE"""),311)</f>
        <v>311</v>
      </c>
      <c r="B478" t="str">
        <f ca="1">IFERROR(__xludf.DUMMYFUNCTION("""COMPUTED_VALUE"""),"Wand of paralysis")</f>
        <v>Wand of paralysis</v>
      </c>
      <c r="C478" s="5" t="str">
        <f ca="1">IFERROR(__xludf.DUMMYFUNCTION("""COMPUTED_VALUE"""),"Magic")</f>
        <v>Magic</v>
      </c>
      <c r="D478" s="80">
        <f ca="1">IFERROR(__xludf.DUMMYFUNCTION("""COMPUTED_VALUE"""),946)</f>
        <v>946</v>
      </c>
    </row>
    <row r="479" spans="1:4" ht="13.2">
      <c r="A479" s="5">
        <f ca="1">IFERROR(__xludf.DUMMYFUNCTION("""COMPUTED_VALUE"""),312)</f>
        <v>312</v>
      </c>
      <c r="B479" t="str">
        <f ca="1">IFERROR(__xludf.DUMMYFUNCTION("""COMPUTED_VALUE"""),"Wand of polymorph")</f>
        <v>Wand of polymorph</v>
      </c>
      <c r="C479" s="5" t="str">
        <f ca="1">IFERROR(__xludf.DUMMYFUNCTION("""COMPUTED_VALUE"""),"Magic")</f>
        <v>Magic</v>
      </c>
      <c r="D479" s="80">
        <f ca="1">IFERROR(__xludf.DUMMYFUNCTION("""COMPUTED_VALUE"""),1564)</f>
        <v>1564</v>
      </c>
    </row>
    <row r="480" spans="1:4" ht="13.2">
      <c r="A480" s="5">
        <f ca="1">IFERROR(__xludf.DUMMYFUNCTION("""COMPUTED_VALUE"""),313)</f>
        <v>313</v>
      </c>
      <c r="B480" t="str">
        <f ca="1">IFERROR(__xludf.DUMMYFUNCTION("""COMPUTED_VALUE"""),"Wand of secrets")</f>
        <v>Wand of secrets</v>
      </c>
      <c r="C480" s="5" t="str">
        <f ca="1">IFERROR(__xludf.DUMMYFUNCTION("""COMPUTED_VALUE"""),"Magic")</f>
        <v>Magic</v>
      </c>
      <c r="D480" s="80">
        <f ca="1">IFERROR(__xludf.DUMMYFUNCTION("""COMPUTED_VALUE"""),386)</f>
        <v>386</v>
      </c>
    </row>
    <row r="481" spans="1:4" ht="13.2">
      <c r="A481" s="5">
        <f ca="1">IFERROR(__xludf.DUMMYFUNCTION("""COMPUTED_VALUE"""),314)</f>
        <v>314</v>
      </c>
      <c r="B481" t="str">
        <f ca="1">IFERROR(__xludf.DUMMYFUNCTION("""COMPUTED_VALUE"""),"Wand of the war mage +1")</f>
        <v>Wand of the war mage +1</v>
      </c>
      <c r="C481" s="5" t="str">
        <f ca="1">IFERROR(__xludf.DUMMYFUNCTION("""COMPUTED_VALUE"""),"Magic")</f>
        <v>Magic</v>
      </c>
      <c r="D481" s="80">
        <f ca="1">IFERROR(__xludf.DUMMYFUNCTION("""COMPUTED_VALUE"""),374)</f>
        <v>374</v>
      </c>
    </row>
    <row r="482" spans="1:4" ht="13.2">
      <c r="A482" s="5">
        <f ca="1">IFERROR(__xludf.DUMMYFUNCTION("""COMPUTED_VALUE"""),315)</f>
        <v>315</v>
      </c>
      <c r="B482" t="str">
        <f ca="1">IFERROR(__xludf.DUMMYFUNCTION("""COMPUTED_VALUE"""),"Wand of the war mage +2")</f>
        <v>Wand of the war mage +2</v>
      </c>
      <c r="C482" s="5" t="str">
        <f ca="1">IFERROR(__xludf.DUMMYFUNCTION("""COMPUTED_VALUE"""),"Magic")</f>
        <v>Magic</v>
      </c>
      <c r="D482" s="80">
        <f ca="1">IFERROR(__xludf.DUMMYFUNCTION("""COMPUTED_VALUE"""),949)</f>
        <v>949</v>
      </c>
    </row>
    <row r="483" spans="1:4" ht="13.2">
      <c r="A483" s="5">
        <f ca="1">IFERROR(__xludf.DUMMYFUNCTION("""COMPUTED_VALUE"""),316)</f>
        <v>316</v>
      </c>
      <c r="B483" t="str">
        <f ca="1">IFERROR(__xludf.DUMMYFUNCTION("""COMPUTED_VALUE"""),"Wand of the war mage +3")</f>
        <v>Wand of the war mage +3</v>
      </c>
      <c r="C483" s="5" t="str">
        <f ca="1">IFERROR(__xludf.DUMMYFUNCTION("""COMPUTED_VALUE"""),"Magic")</f>
        <v>Magic</v>
      </c>
      <c r="D483" s="80">
        <f ca="1">IFERROR(__xludf.DUMMYFUNCTION("""COMPUTED_VALUE"""),1568)</f>
        <v>1568</v>
      </c>
    </row>
    <row r="484" spans="1:4" ht="13.2">
      <c r="A484" s="5">
        <f ca="1">IFERROR(__xludf.DUMMYFUNCTION("""COMPUTED_VALUE"""),317)</f>
        <v>317</v>
      </c>
      <c r="B484" t="str">
        <f ca="1">IFERROR(__xludf.DUMMYFUNCTION("""COMPUTED_VALUE"""),"Wand of web")</f>
        <v>Wand of web</v>
      </c>
      <c r="C484" s="5" t="str">
        <f ca="1">IFERROR(__xludf.DUMMYFUNCTION("""COMPUTED_VALUE"""),"Magic")</f>
        <v>Magic</v>
      </c>
      <c r="D484" s="80">
        <f ca="1">IFERROR(__xludf.DUMMYFUNCTION("""COMPUTED_VALUE"""),386)</f>
        <v>386</v>
      </c>
    </row>
    <row r="485" spans="1:4" ht="13.2">
      <c r="A485" s="5">
        <f ca="1">IFERROR(__xludf.DUMMYFUNCTION("""COMPUTED_VALUE"""),318)</f>
        <v>318</v>
      </c>
      <c r="B485" t="str">
        <f ca="1">IFERROR(__xludf.DUMMYFUNCTION("""COMPUTED_VALUE"""),"Wand of wonder")</f>
        <v>Wand of wonder</v>
      </c>
      <c r="C485" s="5" t="str">
        <f ca="1">IFERROR(__xludf.DUMMYFUNCTION("""COMPUTED_VALUE"""),"Magic")</f>
        <v>Magic</v>
      </c>
      <c r="D485" s="80">
        <f ca="1">IFERROR(__xludf.DUMMYFUNCTION("""COMPUTED_VALUE"""),931)</f>
        <v>931</v>
      </c>
    </row>
    <row r="486" spans="1:4" ht="13.2">
      <c r="A486" s="5">
        <f ca="1">IFERROR(__xludf.DUMMYFUNCTION("""COMPUTED_VALUE"""),319)</f>
        <v>319</v>
      </c>
      <c r="B486" t="str">
        <f ca="1">IFERROR(__xludf.DUMMYFUNCTION("""COMPUTED_VALUE"""),"Weapon +1")</f>
        <v>Weapon +1</v>
      </c>
      <c r="C486" s="5" t="str">
        <f ca="1">IFERROR(__xludf.DUMMYFUNCTION("""COMPUTED_VALUE"""),"Magic")</f>
        <v>Magic</v>
      </c>
      <c r="D486" s="80">
        <f ca="1">IFERROR(__xludf.DUMMYFUNCTION("""COMPUTED_VALUE"""),388)</f>
        <v>388</v>
      </c>
    </row>
    <row r="487" spans="1:4" ht="13.2">
      <c r="A487" s="5">
        <f ca="1">IFERROR(__xludf.DUMMYFUNCTION("""COMPUTED_VALUE"""),320)</f>
        <v>320</v>
      </c>
      <c r="B487" t="str">
        <f ca="1">IFERROR(__xludf.DUMMYFUNCTION("""COMPUTED_VALUE"""),"Weapon +2")</f>
        <v>Weapon +2</v>
      </c>
      <c r="C487" s="5" t="str">
        <f ca="1">IFERROR(__xludf.DUMMYFUNCTION("""COMPUTED_VALUE"""),"Magic")</f>
        <v>Magic</v>
      </c>
      <c r="D487" s="80">
        <f ca="1">IFERROR(__xludf.DUMMYFUNCTION("""COMPUTED_VALUE"""),934)</f>
        <v>934</v>
      </c>
    </row>
    <row r="488" spans="1:4" ht="13.2">
      <c r="A488" s="5">
        <f ca="1">IFERROR(__xludf.DUMMYFUNCTION("""COMPUTED_VALUE"""),321)</f>
        <v>321</v>
      </c>
      <c r="B488" t="str">
        <f ca="1">IFERROR(__xludf.DUMMYFUNCTION("""COMPUTED_VALUE"""),"Weapon +3")</f>
        <v>Weapon +3</v>
      </c>
      <c r="C488" s="5" t="str">
        <f ca="1">IFERROR(__xludf.DUMMYFUNCTION("""COMPUTED_VALUE"""),"Magic")</f>
        <v>Magic</v>
      </c>
      <c r="D488" s="80">
        <f ca="1">IFERROR(__xludf.DUMMYFUNCTION("""COMPUTED_VALUE"""),1596)</f>
        <v>1596</v>
      </c>
    </row>
    <row r="489" spans="1:4" ht="13.2">
      <c r="A489" s="5">
        <f ca="1">IFERROR(__xludf.DUMMYFUNCTION("""COMPUTED_VALUE"""),322)</f>
        <v>322</v>
      </c>
      <c r="B489" t="str">
        <f ca="1">IFERROR(__xludf.DUMMYFUNCTION("""COMPUTED_VALUE"""),"Weapon of warning")</f>
        <v>Weapon of warning</v>
      </c>
      <c r="C489" s="5" t="str">
        <f ca="1">IFERROR(__xludf.DUMMYFUNCTION("""COMPUTED_VALUE"""),"Magic")</f>
        <v>Magic</v>
      </c>
      <c r="D489" s="80">
        <f ca="1">IFERROR(__xludf.DUMMYFUNCTION("""COMPUTED_VALUE"""),376)</f>
        <v>376</v>
      </c>
    </row>
    <row r="490" spans="1:4" ht="13.2">
      <c r="A490" s="5">
        <f ca="1">IFERROR(__xludf.DUMMYFUNCTION("""COMPUTED_VALUE"""),323)</f>
        <v>323</v>
      </c>
      <c r="B490" t="str">
        <f ca="1">IFERROR(__xludf.DUMMYFUNCTION("""COMPUTED_VALUE"""),"Well of many worlds")</f>
        <v>Well of many worlds</v>
      </c>
      <c r="C490" s="5" t="str">
        <f ca="1">IFERROR(__xludf.DUMMYFUNCTION("""COMPUTED_VALUE"""),"Magic")</f>
        <v>Magic</v>
      </c>
      <c r="D490" s="80">
        <f ca="1">IFERROR(__xludf.DUMMYFUNCTION("""COMPUTED_VALUE"""),3070)</f>
        <v>3070</v>
      </c>
    </row>
    <row r="491" spans="1:4" ht="13.2">
      <c r="A491" s="5">
        <f ca="1">IFERROR(__xludf.DUMMYFUNCTION("""COMPUTED_VALUE"""),324)</f>
        <v>324</v>
      </c>
      <c r="B491" t="str">
        <f ca="1">IFERROR(__xludf.DUMMYFUNCTION("""COMPUTED_VALUE"""),"Wind fan")</f>
        <v>Wind fan</v>
      </c>
      <c r="C491" s="5" t="str">
        <f ca="1">IFERROR(__xludf.DUMMYFUNCTION("""COMPUTED_VALUE"""),"Magic")</f>
        <v>Magic</v>
      </c>
      <c r="D491" s="80">
        <f ca="1">IFERROR(__xludf.DUMMYFUNCTION("""COMPUTED_VALUE"""),376)</f>
        <v>376</v>
      </c>
    </row>
    <row r="492" spans="1:4" ht="13.2">
      <c r="A492" s="5">
        <f ca="1">IFERROR(__xludf.DUMMYFUNCTION("""COMPUTED_VALUE"""),325)</f>
        <v>325</v>
      </c>
      <c r="B492" t="str">
        <f ca="1">IFERROR(__xludf.DUMMYFUNCTION("""COMPUTED_VALUE"""),"Winged boots")</f>
        <v>Winged boots</v>
      </c>
      <c r="C492" s="5" t="str">
        <f ca="1">IFERROR(__xludf.DUMMYFUNCTION("""COMPUTED_VALUE"""),"Magic")</f>
        <v>Magic</v>
      </c>
      <c r="D492" s="80">
        <f ca="1">IFERROR(__xludf.DUMMYFUNCTION("""COMPUTED_VALUE"""),366)</f>
        <v>366</v>
      </c>
    </row>
    <row r="493" spans="1:4" ht="13.2">
      <c r="A493" s="5">
        <f ca="1">IFERROR(__xludf.DUMMYFUNCTION("""COMPUTED_VALUE"""),326)</f>
        <v>326</v>
      </c>
      <c r="B493" t="str">
        <f ca="1">IFERROR(__xludf.DUMMYFUNCTION("""COMPUTED_VALUE"""),"Wings of flying")</f>
        <v>Wings of flying</v>
      </c>
      <c r="C493" s="5" t="str">
        <f ca="1">IFERROR(__xludf.DUMMYFUNCTION("""COMPUTED_VALUE"""),"Magic")</f>
        <v>Magic</v>
      </c>
      <c r="D493" s="80">
        <f ca="1">IFERROR(__xludf.DUMMYFUNCTION("""COMPUTED_VALUE"""),937)</f>
        <v>937</v>
      </c>
    </row>
    <row r="494" spans="1:4" ht="13.2">
      <c r="A494" s="5">
        <f ca="1">IFERROR(__xludf.DUMMYFUNCTION("""COMPUTED_VALUE"""),327)</f>
        <v>327</v>
      </c>
      <c r="B494" t="str">
        <f ca="1">IFERROR(__xludf.DUMMYFUNCTION("""COMPUTED_VALUE"""),"Blackrazor")</f>
        <v>Blackrazor</v>
      </c>
      <c r="C494" s="5" t="str">
        <f ca="1">IFERROR(__xludf.DUMMYFUNCTION("""COMPUTED_VALUE"""),"Magic")</f>
        <v>Magic</v>
      </c>
      <c r="D494" s="80">
        <f ca="1">IFERROR(__xludf.DUMMYFUNCTION("""COMPUTED_VALUE"""),18)</f>
        <v>18</v>
      </c>
    </row>
    <row r="495" spans="1:4" ht="13.2">
      <c r="A495" s="5">
        <f ca="1">IFERROR(__xludf.DUMMYFUNCTION("""COMPUTED_VALUE"""),328)</f>
        <v>328</v>
      </c>
      <c r="B495" t="str">
        <f ca="1">IFERROR(__xludf.DUMMYFUNCTION("""COMPUTED_VALUE"""),"Moonblade")</f>
        <v>Moonblade</v>
      </c>
      <c r="C495" s="5" t="str">
        <f ca="1">IFERROR(__xludf.DUMMYFUNCTION("""COMPUTED_VALUE"""),"Magic")</f>
        <v>Magic</v>
      </c>
      <c r="D495" s="80">
        <f ca="1">IFERROR(__xludf.DUMMYFUNCTION("""COMPUTED_VALUE"""),54)</f>
        <v>54</v>
      </c>
    </row>
    <row r="496" spans="1:4" ht="13.2">
      <c r="A496" s="5">
        <f ca="1">IFERROR(__xludf.DUMMYFUNCTION("""COMPUTED_VALUE"""),329)</f>
        <v>329</v>
      </c>
      <c r="B496" t="str">
        <f ca="1">IFERROR(__xludf.DUMMYFUNCTION("""COMPUTED_VALUE"""),"Wave")</f>
        <v>Wave</v>
      </c>
      <c r="C496" s="5" t="str">
        <f ca="1">IFERROR(__xludf.DUMMYFUNCTION("""COMPUTED_VALUE"""),"Magic")</f>
        <v>Magic</v>
      </c>
      <c r="D496" s="80">
        <f ca="1">IFERROR(__xludf.DUMMYFUNCTION("""COMPUTED_VALUE"""),18)</f>
        <v>18</v>
      </c>
    </row>
    <row r="497" spans="1:4" ht="13.2">
      <c r="A497" s="5">
        <f ca="1">IFERROR(__xludf.DUMMYFUNCTION("""COMPUTED_VALUE"""),330)</f>
        <v>330</v>
      </c>
      <c r="B497" t="str">
        <f ca="1">IFERROR(__xludf.DUMMYFUNCTION("""COMPUTED_VALUE"""),"Whelm")</f>
        <v>Whelm</v>
      </c>
      <c r="C497" s="5" t="str">
        <f ca="1">IFERROR(__xludf.DUMMYFUNCTION("""COMPUTED_VALUE"""),"Magic")</f>
        <v>Magic</v>
      </c>
      <c r="D497" s="80">
        <f ca="1">IFERROR(__xludf.DUMMYFUNCTION("""COMPUTED_VALUE"""),54)</f>
        <v>54</v>
      </c>
    </row>
    <row r="498" spans="1:4" ht="13.2">
      <c r="A498" s="5">
        <f ca="1">IFERROR(__xludf.DUMMYFUNCTION("""COMPUTED_VALUE"""),331)</f>
        <v>331</v>
      </c>
      <c r="B498" t="str">
        <f ca="1">IFERROR(__xludf.DUMMYFUNCTION("""COMPUTED_VALUE"""),"Axe of the Dwarvish Lords")</f>
        <v>Axe of the Dwarvish Lords</v>
      </c>
      <c r="C498" s="5" t="str">
        <f ca="1">IFERROR(__xludf.DUMMYFUNCTION("""COMPUTED_VALUE"""),"Magic")</f>
        <v>Magic</v>
      </c>
      <c r="D498" s="80">
        <f ca="1">IFERROR(__xludf.DUMMYFUNCTION("""COMPUTED_VALUE"""),28)</f>
        <v>28</v>
      </c>
    </row>
    <row r="499" spans="1:4" ht="13.2">
      <c r="A499" s="5">
        <f ca="1">IFERROR(__xludf.DUMMYFUNCTION("""COMPUTED_VALUE"""),332)</f>
        <v>332</v>
      </c>
      <c r="B499" t="str">
        <f ca="1">IFERROR(__xludf.DUMMYFUNCTION("""COMPUTED_VALUE"""),"Book of Exalted Deeds")</f>
        <v>Book of Exalted Deeds</v>
      </c>
      <c r="C499" s="5" t="str">
        <f ca="1">IFERROR(__xludf.DUMMYFUNCTION("""COMPUTED_VALUE"""),"Magic")</f>
        <v>Magic</v>
      </c>
      <c r="D499" s="80">
        <f ca="1">IFERROR(__xludf.DUMMYFUNCTION("""COMPUTED_VALUE"""),70)</f>
        <v>70</v>
      </c>
    </row>
    <row r="500" spans="1:4" ht="13.2">
      <c r="A500" s="5">
        <f ca="1">IFERROR(__xludf.DUMMYFUNCTION("""COMPUTED_VALUE"""),333)</f>
        <v>333</v>
      </c>
      <c r="B500" t="str">
        <f ca="1">IFERROR(__xludf.DUMMYFUNCTION("""COMPUTED_VALUE"""),"Book of Vile Darkness")</f>
        <v>Book of Vile Darkness</v>
      </c>
      <c r="C500" s="5" t="str">
        <f ca="1">IFERROR(__xludf.DUMMYFUNCTION("""COMPUTED_VALUE"""),"Magic")</f>
        <v>Magic</v>
      </c>
      <c r="D500" s="80">
        <f ca="1">IFERROR(__xludf.DUMMYFUNCTION("""COMPUTED_VALUE"""),28)</f>
        <v>28</v>
      </c>
    </row>
    <row r="501" spans="1:4" ht="13.2">
      <c r="A501" s="5">
        <f ca="1">IFERROR(__xludf.DUMMYFUNCTION("""COMPUTED_VALUE"""),334)</f>
        <v>334</v>
      </c>
      <c r="B501" t="str">
        <f ca="1">IFERROR(__xludf.DUMMYFUNCTION("""COMPUTED_VALUE"""),"Eye and Hand of Vecna")</f>
        <v>Eye and Hand of Vecna</v>
      </c>
      <c r="C501" s="5" t="str">
        <f ca="1">IFERROR(__xludf.DUMMYFUNCTION("""COMPUTED_VALUE"""),"Magic")</f>
        <v>Magic</v>
      </c>
      <c r="D501" s="80">
        <f ca="1">IFERROR(__xludf.DUMMYFUNCTION("""COMPUTED_VALUE"""),70)</f>
        <v>70</v>
      </c>
    </row>
    <row r="502" spans="1:4" ht="13.2">
      <c r="A502" s="5">
        <f ca="1">IFERROR(__xludf.DUMMYFUNCTION("""COMPUTED_VALUE"""),335)</f>
        <v>335</v>
      </c>
      <c r="B502" t="str">
        <f ca="1">IFERROR(__xludf.DUMMYFUNCTION("""COMPUTED_VALUE"""),"Orb of Dragonkind")</f>
        <v>Orb of Dragonkind</v>
      </c>
      <c r="C502" s="5" t="str">
        <f ca="1">IFERROR(__xludf.DUMMYFUNCTION("""COMPUTED_VALUE"""),"Magic")</f>
        <v>Magic</v>
      </c>
      <c r="D502" s="80">
        <f ca="1">IFERROR(__xludf.DUMMYFUNCTION("""COMPUTED_VALUE"""),28)</f>
        <v>28</v>
      </c>
    </row>
    <row r="503" spans="1:4" ht="13.2">
      <c r="A503" s="5">
        <f ca="1">IFERROR(__xludf.DUMMYFUNCTION("""COMPUTED_VALUE"""),336)</f>
        <v>336</v>
      </c>
      <c r="B503" t="str">
        <f ca="1">IFERROR(__xludf.DUMMYFUNCTION("""COMPUTED_VALUE"""),"Sword of Kas")</f>
        <v>Sword of Kas</v>
      </c>
      <c r="C503" s="5" t="str">
        <f ca="1">IFERROR(__xludf.DUMMYFUNCTION("""COMPUTED_VALUE"""),"Magic")</f>
        <v>Magic</v>
      </c>
      <c r="D503" s="80">
        <f ca="1">IFERROR(__xludf.DUMMYFUNCTION("""COMPUTED_VALUE"""),70)</f>
        <v>70</v>
      </c>
    </row>
    <row r="504" spans="1:4" ht="13.2">
      <c r="A504" s="5">
        <f ca="1">IFERROR(__xludf.DUMMYFUNCTION("""COMPUTED_VALUE"""),337)</f>
        <v>337</v>
      </c>
      <c r="B504" t="str">
        <f ca="1">IFERROR(__xludf.DUMMYFUNCTION("""COMPUTED_VALUE"""),"Wand of Orcus")</f>
        <v>Wand of Orcus</v>
      </c>
      <c r="C504" s="5" t="str">
        <f ca="1">IFERROR(__xludf.DUMMYFUNCTION("""COMPUTED_VALUE"""),"Magic")</f>
        <v>Magic</v>
      </c>
      <c r="D504" s="80">
        <f ca="1">IFERROR(__xludf.DUMMYFUNCTION("""COMPUTED_VALUE"""),35)</f>
        <v>35</v>
      </c>
    </row>
    <row r="505" spans="1:4" ht="13.2">
      <c r="A505" s="5"/>
      <c r="C505" s="5"/>
      <c r="D505" s="80">
        <f ca="1">IFERROR(__xludf.DUMMYFUNCTION("""COMPUTED_VALUE"""),0)</f>
        <v>0</v>
      </c>
    </row>
    <row r="506" spans="1:4" ht="13.2">
      <c r="A506" s="5"/>
      <c r="C506" s="5"/>
      <c r="D506" s="80">
        <f ca="1">IFERROR(__xludf.DUMMYFUNCTION("""COMPUTED_VALUE"""),0)</f>
        <v>0</v>
      </c>
    </row>
    <row r="507" spans="1:4" ht="13.2">
      <c r="A507" s="5"/>
      <c r="C507" s="5"/>
      <c r="D507" s="80">
        <f ca="1">IFERROR(__xludf.DUMMYFUNCTION("""COMPUTED_VALUE"""),0)</f>
        <v>0</v>
      </c>
    </row>
    <row r="508" spans="1:4" ht="13.2">
      <c r="A508" s="5"/>
      <c r="C508" s="5"/>
      <c r="D508" s="80">
        <f ca="1">IFERROR(__xludf.DUMMYFUNCTION("""COMPUTED_VALUE"""),0)</f>
        <v>0</v>
      </c>
    </row>
    <row r="509" spans="1:4" ht="13.2">
      <c r="A509" s="5"/>
      <c r="C509" s="5"/>
      <c r="D509" s="80">
        <f ca="1">IFERROR(__xludf.DUMMYFUNCTION("""COMPUTED_VALUE"""),0)</f>
        <v>0</v>
      </c>
    </row>
    <row r="510" spans="1:4" ht="13.2">
      <c r="A510" s="5"/>
      <c r="C510" s="5"/>
      <c r="D510" s="80">
        <f ca="1">IFERROR(__xludf.DUMMYFUNCTION("""COMPUTED_VALUE"""),0)</f>
        <v>0</v>
      </c>
    </row>
    <row r="511" spans="1:4" ht="13.2">
      <c r="A511" s="5"/>
      <c r="C511" s="5"/>
      <c r="D511" s="80">
        <f ca="1">IFERROR(__xludf.DUMMYFUNCTION("""COMPUTED_VALUE"""),0)</f>
        <v>0</v>
      </c>
    </row>
    <row r="512" spans="1:4" ht="13.2">
      <c r="A512" s="5"/>
      <c r="C512" s="5"/>
      <c r="D512" s="80">
        <f ca="1">IFERROR(__xludf.DUMMYFUNCTION("""COMPUTED_VALUE"""),0)</f>
        <v>0</v>
      </c>
    </row>
    <row r="513" spans="1:4" ht="13.2">
      <c r="A513" s="5"/>
      <c r="C513" s="5"/>
      <c r="D513" s="80">
        <f ca="1">IFERROR(__xludf.DUMMYFUNCTION("""COMPUTED_VALUE"""),0)</f>
        <v>0</v>
      </c>
    </row>
    <row r="514" spans="1:4" ht="13.2">
      <c r="A514" s="5"/>
      <c r="C514" s="5"/>
      <c r="D514" s="80">
        <f ca="1">IFERROR(__xludf.DUMMYFUNCTION("""COMPUTED_VALUE"""),0)</f>
        <v>0</v>
      </c>
    </row>
    <row r="515" spans="1:4" ht="13.2">
      <c r="A515" s="5"/>
      <c r="C515" s="5"/>
      <c r="D515" s="80">
        <f ca="1">IFERROR(__xludf.DUMMYFUNCTION("""COMPUTED_VALUE"""),0)</f>
        <v>0</v>
      </c>
    </row>
    <row r="516" spans="1:4" ht="13.2">
      <c r="A516" s="5"/>
      <c r="C516" s="5"/>
      <c r="D516" s="80">
        <f ca="1">IFERROR(__xludf.DUMMYFUNCTION("""COMPUTED_VALUE"""),0)</f>
        <v>0</v>
      </c>
    </row>
    <row r="517" spans="1:4" ht="13.2">
      <c r="A517" s="5"/>
      <c r="C517" s="5"/>
      <c r="D517" s="80">
        <f ca="1">IFERROR(__xludf.DUMMYFUNCTION("""COMPUTED_VALUE"""),0)</f>
        <v>0</v>
      </c>
    </row>
    <row r="518" spans="1:4" ht="13.2">
      <c r="A518" s="5"/>
      <c r="C518" s="5"/>
      <c r="D518" s="80">
        <f ca="1">IFERROR(__xludf.DUMMYFUNCTION("""COMPUTED_VALUE"""),0)</f>
        <v>0</v>
      </c>
    </row>
    <row r="519" spans="1:4" ht="13.2">
      <c r="A519" s="5"/>
      <c r="C519" s="5"/>
      <c r="D519" s="80">
        <f ca="1">IFERROR(__xludf.DUMMYFUNCTION("""COMPUTED_VALUE"""),0)</f>
        <v>0</v>
      </c>
    </row>
    <row r="520" spans="1:4" ht="13.2">
      <c r="A520" s="5"/>
      <c r="C520" s="5"/>
      <c r="D520" s="80">
        <f ca="1">IFERROR(__xludf.DUMMYFUNCTION("""COMPUTED_VALUE"""),0)</f>
        <v>0</v>
      </c>
    </row>
    <row r="521" spans="1:4" ht="13.2">
      <c r="A521" s="5"/>
      <c r="C521" s="5"/>
      <c r="D521" s="80">
        <f ca="1">IFERROR(__xludf.DUMMYFUNCTION("""COMPUTED_VALUE"""),0)</f>
        <v>0</v>
      </c>
    </row>
    <row r="522" spans="1:4" ht="13.2">
      <c r="A522" s="5"/>
      <c r="C522" s="5"/>
      <c r="D522" s="80">
        <f ca="1">IFERROR(__xludf.DUMMYFUNCTION("""COMPUTED_VALUE"""),0)</f>
        <v>0</v>
      </c>
    </row>
    <row r="523" spans="1:4" ht="13.2">
      <c r="A523" s="5"/>
      <c r="C523" s="5"/>
      <c r="D523" s="80">
        <f ca="1">IFERROR(__xludf.DUMMYFUNCTION("""COMPUTED_VALUE"""),0)</f>
        <v>0</v>
      </c>
    </row>
    <row r="524" spans="1:4" ht="13.2">
      <c r="A524" s="5"/>
      <c r="C524" s="5"/>
      <c r="D524" s="80">
        <f ca="1">IFERROR(__xludf.DUMMYFUNCTION("""COMPUTED_VALUE"""),0)</f>
        <v>0</v>
      </c>
    </row>
    <row r="525" spans="1:4" ht="13.2">
      <c r="A525" s="5"/>
      <c r="C525" s="5"/>
      <c r="D525" s="80">
        <f ca="1">IFERROR(__xludf.DUMMYFUNCTION("""COMPUTED_VALUE"""),0)</f>
        <v>0</v>
      </c>
    </row>
    <row r="526" spans="1:4" ht="13.2">
      <c r="A526" s="5"/>
      <c r="C526" s="5"/>
      <c r="D526" s="80">
        <f ca="1">IFERROR(__xludf.DUMMYFUNCTION("""COMPUTED_VALUE"""),0)</f>
        <v>0</v>
      </c>
    </row>
    <row r="527" spans="1:4" ht="13.2">
      <c r="A527" s="5"/>
      <c r="C527" s="5"/>
      <c r="D527" s="80">
        <f ca="1">IFERROR(__xludf.DUMMYFUNCTION("""COMPUTED_VALUE"""),0)</f>
        <v>0</v>
      </c>
    </row>
    <row r="528" spans="1:4" ht="13.2">
      <c r="A528" s="5"/>
      <c r="C528" s="5"/>
      <c r="D528" s="80">
        <f ca="1">IFERROR(__xludf.DUMMYFUNCTION("""COMPUTED_VALUE"""),0)</f>
        <v>0</v>
      </c>
    </row>
    <row r="529" spans="1:4" ht="13.2">
      <c r="A529" s="5"/>
      <c r="C529" s="5"/>
      <c r="D529" s="80">
        <f ca="1">IFERROR(__xludf.DUMMYFUNCTION("""COMPUTED_VALUE"""),0)</f>
        <v>0</v>
      </c>
    </row>
    <row r="530" spans="1:4" ht="13.2">
      <c r="A530" s="5"/>
      <c r="C530" s="5"/>
      <c r="D530" s="80">
        <f ca="1">IFERROR(__xludf.DUMMYFUNCTION("""COMPUTED_VALUE"""),0)</f>
        <v>0</v>
      </c>
    </row>
    <row r="531" spans="1:4" ht="13.2">
      <c r="A531" s="5"/>
      <c r="C531" s="5"/>
      <c r="D531" s="80">
        <f ca="1">IFERROR(__xludf.DUMMYFUNCTION("""COMPUTED_VALUE"""),0)</f>
        <v>0</v>
      </c>
    </row>
    <row r="532" spans="1:4" ht="13.2">
      <c r="A532" s="5"/>
      <c r="C532" s="5"/>
      <c r="D532" s="80">
        <f ca="1">IFERROR(__xludf.DUMMYFUNCTION("""COMPUTED_VALUE"""),0)</f>
        <v>0</v>
      </c>
    </row>
    <row r="533" spans="1:4" ht="13.2">
      <c r="A533" s="5"/>
      <c r="C533" s="5"/>
      <c r="D533" s="80">
        <f ca="1">IFERROR(__xludf.DUMMYFUNCTION("""COMPUTED_VALUE"""),0)</f>
        <v>0</v>
      </c>
    </row>
    <row r="534" spans="1:4" ht="13.2">
      <c r="A534" s="5"/>
      <c r="C534" s="5"/>
      <c r="D534" s="80">
        <f ca="1">IFERROR(__xludf.DUMMYFUNCTION("""COMPUTED_VALUE"""),0)</f>
        <v>0</v>
      </c>
    </row>
    <row r="535" spans="1:4" ht="13.2">
      <c r="A535" s="5"/>
      <c r="C535" s="5"/>
      <c r="D535" s="80">
        <f ca="1">IFERROR(__xludf.DUMMYFUNCTION("""COMPUTED_VALUE"""),0)</f>
        <v>0</v>
      </c>
    </row>
    <row r="536" spans="1:4" ht="13.2">
      <c r="A536" s="5"/>
      <c r="C536" s="5"/>
      <c r="D536" s="80">
        <f ca="1">IFERROR(__xludf.DUMMYFUNCTION("""COMPUTED_VALUE"""),0)</f>
        <v>0</v>
      </c>
    </row>
    <row r="537" spans="1:4" ht="13.2">
      <c r="A537" s="5"/>
      <c r="C537" s="5"/>
      <c r="D537" s="80">
        <f ca="1">IFERROR(__xludf.DUMMYFUNCTION("""COMPUTED_VALUE"""),0)</f>
        <v>0</v>
      </c>
    </row>
    <row r="538" spans="1:4" ht="13.2">
      <c r="A538" s="5"/>
      <c r="C538" s="5"/>
      <c r="D538" s="80">
        <f ca="1">IFERROR(__xludf.DUMMYFUNCTION("""COMPUTED_VALUE"""),0)</f>
        <v>0</v>
      </c>
    </row>
    <row r="539" spans="1:4" ht="13.2">
      <c r="A539" s="5"/>
      <c r="C539" s="5"/>
      <c r="D539" s="80">
        <f ca="1">IFERROR(__xludf.DUMMYFUNCTION("""COMPUTED_VALUE"""),0)</f>
        <v>0</v>
      </c>
    </row>
    <row r="540" spans="1:4" ht="13.2">
      <c r="A540" s="5"/>
      <c r="C540" s="5"/>
      <c r="D540" s="80">
        <f ca="1">IFERROR(__xludf.DUMMYFUNCTION("""COMPUTED_VALUE"""),0)</f>
        <v>0</v>
      </c>
    </row>
    <row r="541" spans="1:4" ht="13.2">
      <c r="A541" s="5"/>
      <c r="C541" s="5"/>
      <c r="D541" s="80">
        <f ca="1">IFERROR(__xludf.DUMMYFUNCTION("""COMPUTED_VALUE"""),0)</f>
        <v>0</v>
      </c>
    </row>
    <row r="542" spans="1:4" ht="13.2">
      <c r="A542" s="5"/>
      <c r="C542" s="5"/>
      <c r="D542" s="80">
        <f ca="1">IFERROR(__xludf.DUMMYFUNCTION("""COMPUTED_VALUE"""),0)</f>
        <v>0</v>
      </c>
    </row>
    <row r="543" spans="1:4" ht="13.2">
      <c r="A543" s="5"/>
      <c r="C543" s="5"/>
      <c r="D543" s="80">
        <f ca="1">IFERROR(__xludf.DUMMYFUNCTION("""COMPUTED_VALUE"""),0)</f>
        <v>0</v>
      </c>
    </row>
    <row r="544" spans="1:4" ht="13.2">
      <c r="A544" s="5"/>
      <c r="C544" s="5"/>
      <c r="D544" s="80">
        <f ca="1">IFERROR(__xludf.DUMMYFUNCTION("""COMPUTED_VALUE"""),0)</f>
        <v>0</v>
      </c>
    </row>
    <row r="545" spans="1:4" ht="13.2">
      <c r="A545" s="5"/>
      <c r="C545" s="5"/>
      <c r="D545" s="80">
        <f ca="1">IFERROR(__xludf.DUMMYFUNCTION("""COMPUTED_VALUE"""),0)</f>
        <v>0</v>
      </c>
    </row>
    <row r="546" spans="1:4" ht="13.2">
      <c r="A546" s="5"/>
      <c r="C546" s="5"/>
      <c r="D546" s="80">
        <f ca="1">IFERROR(__xludf.DUMMYFUNCTION("""COMPUTED_VALUE"""),0)</f>
        <v>0</v>
      </c>
    </row>
    <row r="547" spans="1:4" ht="13.2">
      <c r="A547" s="5"/>
      <c r="C547" s="5"/>
      <c r="D547" s="80">
        <f ca="1">IFERROR(__xludf.DUMMYFUNCTION("""COMPUTED_VALUE"""),0)</f>
        <v>0</v>
      </c>
    </row>
    <row r="548" spans="1:4" ht="13.2">
      <c r="A548" s="5"/>
      <c r="C548" s="5"/>
      <c r="D548" s="80">
        <f ca="1">IFERROR(__xludf.DUMMYFUNCTION("""COMPUTED_VALUE"""),0)</f>
        <v>0</v>
      </c>
    </row>
    <row r="549" spans="1:4" ht="13.2">
      <c r="A549" s="5"/>
      <c r="C549" s="5"/>
      <c r="D549" s="80">
        <f ca="1">IFERROR(__xludf.DUMMYFUNCTION("""COMPUTED_VALUE"""),0)</f>
        <v>0</v>
      </c>
    </row>
    <row r="550" spans="1:4" ht="13.2">
      <c r="A550" s="5"/>
      <c r="C550" s="5"/>
      <c r="D550" s="80">
        <f ca="1">IFERROR(__xludf.DUMMYFUNCTION("""COMPUTED_VALUE"""),0)</f>
        <v>0</v>
      </c>
    </row>
    <row r="551" spans="1:4" ht="13.2">
      <c r="A551" s="5"/>
      <c r="C551" s="5"/>
      <c r="D551" s="80">
        <f ca="1">IFERROR(__xludf.DUMMYFUNCTION("""COMPUTED_VALUE"""),0)</f>
        <v>0</v>
      </c>
    </row>
    <row r="552" spans="1:4" ht="13.2">
      <c r="A552" s="5"/>
      <c r="C552" s="5"/>
      <c r="D552" s="80">
        <f ca="1">IFERROR(__xludf.DUMMYFUNCTION("""COMPUTED_VALUE"""),0)</f>
        <v>0</v>
      </c>
    </row>
    <row r="553" spans="1:4" ht="13.2">
      <c r="A553" s="5"/>
      <c r="C553" s="5"/>
      <c r="D553" s="80">
        <f ca="1">IFERROR(__xludf.DUMMYFUNCTION("""COMPUTED_VALUE"""),0)</f>
        <v>0</v>
      </c>
    </row>
    <row r="554" spans="1:4" ht="13.2">
      <c r="A554" s="5"/>
      <c r="C554" s="5"/>
      <c r="D554" s="80">
        <f ca="1">IFERROR(__xludf.DUMMYFUNCTION("""COMPUTED_VALUE"""),0)</f>
        <v>0</v>
      </c>
    </row>
    <row r="555" spans="1:4" ht="13.2">
      <c r="A555" s="5"/>
      <c r="C555" s="5"/>
      <c r="D555" s="80">
        <f ca="1">IFERROR(__xludf.DUMMYFUNCTION("""COMPUTED_VALUE"""),0)</f>
        <v>0</v>
      </c>
    </row>
    <row r="556" spans="1:4" ht="13.2">
      <c r="A556" s="5"/>
      <c r="C556" s="5"/>
      <c r="D556" s="80">
        <f ca="1">IFERROR(__xludf.DUMMYFUNCTION("""COMPUTED_VALUE"""),0)</f>
        <v>0</v>
      </c>
    </row>
    <row r="557" spans="1:4" ht="13.2">
      <c r="A557" s="5"/>
      <c r="C557" s="5"/>
      <c r="D557" s="80">
        <f ca="1">IFERROR(__xludf.DUMMYFUNCTION("""COMPUTED_VALUE"""),0)</f>
        <v>0</v>
      </c>
    </row>
    <row r="558" spans="1:4" ht="13.2">
      <c r="A558" s="5"/>
      <c r="C558" s="5"/>
      <c r="D558" s="80">
        <f ca="1">IFERROR(__xludf.DUMMYFUNCTION("""COMPUTED_VALUE"""),0)</f>
        <v>0</v>
      </c>
    </row>
    <row r="559" spans="1:4" ht="13.2">
      <c r="A559" s="5"/>
      <c r="C559" s="5"/>
      <c r="D559" s="80">
        <f ca="1">IFERROR(__xludf.DUMMYFUNCTION("""COMPUTED_VALUE"""),0)</f>
        <v>0</v>
      </c>
    </row>
    <row r="560" spans="1:4" ht="13.2">
      <c r="A560" s="5"/>
      <c r="C560" s="5"/>
      <c r="D560" s="80">
        <f ca="1">IFERROR(__xludf.DUMMYFUNCTION("""COMPUTED_VALUE"""),0)</f>
        <v>0</v>
      </c>
    </row>
    <row r="561" spans="1:4" ht="13.2">
      <c r="A561" s="5"/>
      <c r="C561" s="5"/>
      <c r="D561" s="80">
        <f ca="1">IFERROR(__xludf.DUMMYFUNCTION("""COMPUTED_VALUE"""),0)</f>
        <v>0</v>
      </c>
    </row>
    <row r="562" spans="1:4" ht="13.2">
      <c r="A562" s="5"/>
      <c r="C562" s="5"/>
      <c r="D562" s="80">
        <f ca="1">IFERROR(__xludf.DUMMYFUNCTION("""COMPUTED_VALUE"""),0)</f>
        <v>0</v>
      </c>
    </row>
    <row r="563" spans="1:4" ht="13.2">
      <c r="A563" s="5"/>
      <c r="C563" s="5"/>
      <c r="D563" s="80">
        <f ca="1">IFERROR(__xludf.DUMMYFUNCTION("""COMPUTED_VALUE"""),0)</f>
        <v>0</v>
      </c>
    </row>
    <row r="564" spans="1:4" ht="13.2">
      <c r="A564" s="5"/>
      <c r="C564" s="5"/>
      <c r="D564" s="80">
        <f ca="1">IFERROR(__xludf.DUMMYFUNCTION("""COMPUTED_VALUE"""),0)</f>
        <v>0</v>
      </c>
    </row>
    <row r="565" spans="1:4" ht="13.2">
      <c r="A565" s="5"/>
      <c r="C565" s="5"/>
      <c r="D565" s="80">
        <f ca="1">IFERROR(__xludf.DUMMYFUNCTION("""COMPUTED_VALUE"""),0)</f>
        <v>0</v>
      </c>
    </row>
    <row r="566" spans="1:4" ht="13.2">
      <c r="A566" s="5"/>
      <c r="C566" s="5"/>
      <c r="D566" s="80">
        <f ca="1">IFERROR(__xludf.DUMMYFUNCTION("""COMPUTED_VALUE"""),0)</f>
        <v>0</v>
      </c>
    </row>
    <row r="567" spans="1:4" ht="13.2">
      <c r="A567" s="5"/>
      <c r="C567" s="5"/>
      <c r="D567" s="80">
        <f ca="1">IFERROR(__xludf.DUMMYFUNCTION("""COMPUTED_VALUE"""),0)</f>
        <v>0</v>
      </c>
    </row>
    <row r="568" spans="1:4" ht="13.2">
      <c r="A568" s="5"/>
      <c r="C568" s="5"/>
      <c r="D568" s="80">
        <f ca="1">IFERROR(__xludf.DUMMYFUNCTION("""COMPUTED_VALUE"""),0)</f>
        <v>0</v>
      </c>
    </row>
    <row r="569" spans="1:4" ht="13.2">
      <c r="A569" s="5"/>
      <c r="C569" s="5"/>
      <c r="D569" s="80">
        <f ca="1">IFERROR(__xludf.DUMMYFUNCTION("""COMPUTED_VALUE"""),0)</f>
        <v>0</v>
      </c>
    </row>
    <row r="570" spans="1:4" ht="13.2">
      <c r="A570" s="5"/>
      <c r="C570" s="5"/>
      <c r="D570" s="80">
        <f ca="1">IFERROR(__xludf.DUMMYFUNCTION("""COMPUTED_VALUE"""),0)</f>
        <v>0</v>
      </c>
    </row>
    <row r="571" spans="1:4" ht="13.2">
      <c r="A571" s="5"/>
      <c r="C571" s="5"/>
      <c r="D571" s="80">
        <f ca="1">IFERROR(__xludf.DUMMYFUNCTION("""COMPUTED_VALUE"""),0)</f>
        <v>0</v>
      </c>
    </row>
    <row r="572" spans="1:4" ht="13.2">
      <c r="A572" s="5"/>
      <c r="C572" s="5"/>
      <c r="D572" s="80">
        <f ca="1">IFERROR(__xludf.DUMMYFUNCTION("""COMPUTED_VALUE"""),0)</f>
        <v>0</v>
      </c>
    </row>
    <row r="573" spans="1:4" ht="13.2">
      <c r="A573" s="5"/>
      <c r="C573" s="5"/>
      <c r="D573" s="80">
        <f ca="1">IFERROR(__xludf.DUMMYFUNCTION("""COMPUTED_VALUE"""),0)</f>
        <v>0</v>
      </c>
    </row>
    <row r="574" spans="1:4" ht="13.2">
      <c r="A574" s="5"/>
      <c r="C574" s="5"/>
      <c r="D574" s="80">
        <f ca="1">IFERROR(__xludf.DUMMYFUNCTION("""COMPUTED_VALUE"""),0)</f>
        <v>0</v>
      </c>
    </row>
    <row r="575" spans="1:4" ht="13.2">
      <c r="A575" s="5"/>
      <c r="C575" s="5"/>
      <c r="D575" s="80">
        <f ca="1">IFERROR(__xludf.DUMMYFUNCTION("""COMPUTED_VALUE"""),0)</f>
        <v>0</v>
      </c>
    </row>
    <row r="576" spans="1:4" ht="13.2">
      <c r="A576" s="5"/>
      <c r="C576" s="5"/>
      <c r="D576" s="80">
        <f ca="1">IFERROR(__xludf.DUMMYFUNCTION("""COMPUTED_VALUE"""),0)</f>
        <v>0</v>
      </c>
    </row>
    <row r="577" spans="1:4" ht="13.2">
      <c r="A577" s="5"/>
      <c r="C577" s="5"/>
      <c r="D577" s="80">
        <f ca="1">IFERROR(__xludf.DUMMYFUNCTION("""COMPUTED_VALUE"""),0)</f>
        <v>0</v>
      </c>
    </row>
    <row r="578" spans="1:4" ht="13.2">
      <c r="A578" s="5"/>
      <c r="C578" s="5"/>
      <c r="D578" s="80">
        <f ca="1">IFERROR(__xludf.DUMMYFUNCTION("""COMPUTED_VALUE"""),0)</f>
        <v>0</v>
      </c>
    </row>
    <row r="579" spans="1:4" ht="13.2">
      <c r="A579" s="5"/>
      <c r="C579" s="5"/>
      <c r="D579" s="80">
        <f ca="1">IFERROR(__xludf.DUMMYFUNCTION("""COMPUTED_VALUE"""),0)</f>
        <v>0</v>
      </c>
    </row>
    <row r="580" spans="1:4" ht="13.2">
      <c r="A580" s="5"/>
      <c r="C580" s="5"/>
      <c r="D580" s="80">
        <f ca="1">IFERROR(__xludf.DUMMYFUNCTION("""COMPUTED_VALUE"""),0)</f>
        <v>0</v>
      </c>
    </row>
    <row r="581" spans="1:4" ht="13.2">
      <c r="A581" s="5"/>
      <c r="C581" s="5"/>
      <c r="D581" s="80">
        <f ca="1">IFERROR(__xludf.DUMMYFUNCTION("""COMPUTED_VALUE"""),0)</f>
        <v>0</v>
      </c>
    </row>
    <row r="582" spans="1:4" ht="13.2">
      <c r="A582" s="5"/>
      <c r="C582" s="5"/>
      <c r="D582" s="80">
        <f ca="1">IFERROR(__xludf.DUMMYFUNCTION("""COMPUTED_VALUE"""),0)</f>
        <v>0</v>
      </c>
    </row>
    <row r="583" spans="1:4" ht="13.2">
      <c r="A583" s="5"/>
      <c r="C583" s="5"/>
      <c r="D583" s="80">
        <f ca="1">IFERROR(__xludf.DUMMYFUNCTION("""COMPUTED_VALUE"""),0)</f>
        <v>0</v>
      </c>
    </row>
    <row r="584" spans="1:4" ht="13.2">
      <c r="A584" s="5"/>
      <c r="C584" s="5"/>
      <c r="D584" s="80">
        <f ca="1">IFERROR(__xludf.DUMMYFUNCTION("""COMPUTED_VALUE"""),0)</f>
        <v>0</v>
      </c>
    </row>
    <row r="585" spans="1:4" ht="13.2">
      <c r="A585" s="5"/>
      <c r="C585" s="5"/>
      <c r="D585" s="80">
        <f ca="1">IFERROR(__xludf.DUMMYFUNCTION("""COMPUTED_VALUE"""),0)</f>
        <v>0</v>
      </c>
    </row>
    <row r="586" spans="1:4" ht="13.2">
      <c r="A586" s="5"/>
      <c r="C586" s="5"/>
      <c r="D586" s="80">
        <f ca="1">IFERROR(__xludf.DUMMYFUNCTION("""COMPUTED_VALUE"""),0)</f>
        <v>0</v>
      </c>
    </row>
    <row r="587" spans="1:4" ht="13.2">
      <c r="A587" s="5"/>
      <c r="C587" s="5"/>
      <c r="D587" s="80">
        <f ca="1">IFERROR(__xludf.DUMMYFUNCTION("""COMPUTED_VALUE"""),0)</f>
        <v>0</v>
      </c>
    </row>
    <row r="588" spans="1:4" ht="13.2">
      <c r="A588" s="5"/>
      <c r="C588" s="5"/>
      <c r="D588" s="80">
        <f ca="1">IFERROR(__xludf.DUMMYFUNCTION("""COMPUTED_VALUE"""),0)</f>
        <v>0</v>
      </c>
    </row>
    <row r="589" spans="1:4" ht="13.2">
      <c r="A589" s="5"/>
      <c r="C589" s="5"/>
      <c r="D589" s="80">
        <f ca="1">IFERROR(__xludf.DUMMYFUNCTION("""COMPUTED_VALUE"""),0)</f>
        <v>0</v>
      </c>
    </row>
    <row r="590" spans="1:4" ht="13.2">
      <c r="A590" s="5"/>
      <c r="C590" s="5"/>
      <c r="D590" s="80">
        <f ca="1">IFERROR(__xludf.DUMMYFUNCTION("""COMPUTED_VALUE"""),0)</f>
        <v>0</v>
      </c>
    </row>
    <row r="591" spans="1:4" ht="13.2">
      <c r="A591" s="5"/>
      <c r="C591" s="5"/>
      <c r="D591" s="80">
        <f ca="1">IFERROR(__xludf.DUMMYFUNCTION("""COMPUTED_VALUE"""),0)</f>
        <v>0</v>
      </c>
    </row>
    <row r="592" spans="1:4" ht="13.2">
      <c r="A592" s="5"/>
      <c r="C592" s="5"/>
      <c r="D592" s="80">
        <f ca="1">IFERROR(__xludf.DUMMYFUNCTION("""COMPUTED_VALUE"""),0)</f>
        <v>0</v>
      </c>
    </row>
    <row r="593" spans="1:4" ht="13.2">
      <c r="A593" s="5"/>
      <c r="C593" s="5"/>
      <c r="D593" s="80">
        <f ca="1">IFERROR(__xludf.DUMMYFUNCTION("""COMPUTED_VALUE"""),0)</f>
        <v>0</v>
      </c>
    </row>
    <row r="594" spans="1:4" ht="13.2">
      <c r="A594" s="5"/>
      <c r="C594" s="5"/>
      <c r="D594" s="80">
        <f ca="1">IFERROR(__xludf.DUMMYFUNCTION("""COMPUTED_VALUE"""),0)</f>
        <v>0</v>
      </c>
    </row>
    <row r="595" spans="1:4" ht="13.2">
      <c r="A595" s="5"/>
      <c r="C595" s="5"/>
      <c r="D595" s="80">
        <f ca="1">IFERROR(__xludf.DUMMYFUNCTION("""COMPUTED_VALUE"""),0)</f>
        <v>0</v>
      </c>
    </row>
    <row r="596" spans="1:4" ht="13.2">
      <c r="A596" s="5"/>
      <c r="C596" s="5"/>
      <c r="D596" s="80">
        <f ca="1">IFERROR(__xludf.DUMMYFUNCTION("""COMPUTED_VALUE"""),0)</f>
        <v>0</v>
      </c>
    </row>
    <row r="597" spans="1:4" ht="13.2">
      <c r="A597" s="5"/>
      <c r="C597" s="5"/>
      <c r="D597" s="80">
        <f ca="1">IFERROR(__xludf.DUMMYFUNCTION("""COMPUTED_VALUE"""),0)</f>
        <v>0</v>
      </c>
    </row>
    <row r="598" spans="1:4" ht="13.2">
      <c r="A598" s="5"/>
      <c r="C598" s="5"/>
      <c r="D598" s="80">
        <f ca="1">IFERROR(__xludf.DUMMYFUNCTION("""COMPUTED_VALUE"""),0)</f>
        <v>0</v>
      </c>
    </row>
    <row r="599" spans="1:4" ht="13.2">
      <c r="A599" s="5"/>
      <c r="C599" s="5"/>
      <c r="D599" s="80">
        <f ca="1">IFERROR(__xludf.DUMMYFUNCTION("""COMPUTED_VALUE"""),0)</f>
        <v>0</v>
      </c>
    </row>
    <row r="600" spans="1:4" ht="13.2">
      <c r="A600" s="5"/>
      <c r="C600" s="5"/>
      <c r="D600" s="80">
        <f ca="1">IFERROR(__xludf.DUMMYFUNCTION("""COMPUTED_VALUE"""),0)</f>
        <v>0</v>
      </c>
    </row>
    <row r="601" spans="1:4" ht="13.2">
      <c r="A601" s="5"/>
      <c r="C601" s="5"/>
      <c r="D601" s="80">
        <f ca="1">IFERROR(__xludf.DUMMYFUNCTION("""COMPUTED_VALUE"""),0)</f>
        <v>0</v>
      </c>
    </row>
    <row r="602" spans="1:4" ht="13.2">
      <c r="A602" s="5"/>
      <c r="C602" s="5"/>
      <c r="D602" s="80">
        <f ca="1">IFERROR(__xludf.DUMMYFUNCTION("""COMPUTED_VALUE"""),0)</f>
        <v>0</v>
      </c>
    </row>
    <row r="603" spans="1:4" ht="13.2">
      <c r="A603" s="5"/>
      <c r="C603" s="5"/>
      <c r="D603" s="80">
        <f ca="1">IFERROR(__xludf.DUMMYFUNCTION("""COMPUTED_VALUE"""),0)</f>
        <v>0</v>
      </c>
    </row>
    <row r="604" spans="1:4" ht="13.2">
      <c r="A604" s="5"/>
      <c r="C604" s="5"/>
      <c r="D604" s="80">
        <f ca="1">IFERROR(__xludf.DUMMYFUNCTION("""COMPUTED_VALUE"""),0)</f>
        <v>0</v>
      </c>
    </row>
    <row r="605" spans="1:4" ht="13.2">
      <c r="A605" s="5"/>
      <c r="C605" s="5"/>
      <c r="D605" s="80">
        <f ca="1">IFERROR(__xludf.DUMMYFUNCTION("""COMPUTED_VALUE"""),0)</f>
        <v>0</v>
      </c>
    </row>
    <row r="606" spans="1:4" ht="13.2">
      <c r="A606" s="5"/>
      <c r="C606" s="5"/>
      <c r="D606" s="80">
        <f ca="1">IFERROR(__xludf.DUMMYFUNCTION("""COMPUTED_VALUE"""),0)</f>
        <v>0</v>
      </c>
    </row>
    <row r="607" spans="1:4" ht="13.2">
      <c r="A607" s="5"/>
      <c r="C607" s="5"/>
      <c r="D607" s="80">
        <f ca="1">IFERROR(__xludf.DUMMYFUNCTION("""COMPUTED_VALUE"""),0)</f>
        <v>0</v>
      </c>
    </row>
    <row r="608" spans="1:4" ht="13.2">
      <c r="A608" s="5"/>
      <c r="C608" s="5"/>
      <c r="D608" s="80">
        <f ca="1">IFERROR(__xludf.DUMMYFUNCTION("""COMPUTED_VALUE"""),0)</f>
        <v>0</v>
      </c>
    </row>
    <row r="609" spans="1:4" ht="13.2">
      <c r="A609" s="5"/>
      <c r="C609" s="5"/>
      <c r="D609" s="80">
        <f ca="1">IFERROR(__xludf.DUMMYFUNCTION("""COMPUTED_VALUE"""),0)</f>
        <v>0</v>
      </c>
    </row>
    <row r="610" spans="1:4" ht="13.2">
      <c r="A610" s="5"/>
      <c r="C610" s="5"/>
      <c r="D610" s="80">
        <f ca="1">IFERROR(__xludf.DUMMYFUNCTION("""COMPUTED_VALUE"""),0)</f>
        <v>0</v>
      </c>
    </row>
    <row r="611" spans="1:4" ht="13.2">
      <c r="A611" s="5"/>
      <c r="C611" s="5"/>
      <c r="D611" s="80">
        <f ca="1">IFERROR(__xludf.DUMMYFUNCTION("""COMPUTED_VALUE"""),0)</f>
        <v>0</v>
      </c>
    </row>
    <row r="612" spans="1:4" ht="13.2">
      <c r="A612" s="5"/>
      <c r="C612" s="5"/>
      <c r="D612" s="80">
        <f ca="1">IFERROR(__xludf.DUMMYFUNCTION("""COMPUTED_VALUE"""),0)</f>
        <v>0</v>
      </c>
    </row>
    <row r="613" spans="1:4" ht="13.2">
      <c r="A613" s="5"/>
      <c r="C613" s="5"/>
      <c r="D613" s="80">
        <f ca="1">IFERROR(__xludf.DUMMYFUNCTION("""COMPUTED_VALUE"""),0)</f>
        <v>0</v>
      </c>
    </row>
    <row r="614" spans="1:4" ht="13.2">
      <c r="A614" s="5"/>
      <c r="C614" s="5"/>
      <c r="D614" s="80">
        <f ca="1">IFERROR(__xludf.DUMMYFUNCTION("""COMPUTED_VALUE"""),0)</f>
        <v>0</v>
      </c>
    </row>
    <row r="615" spans="1:4" ht="13.2">
      <c r="A615" s="5"/>
      <c r="C615" s="5"/>
      <c r="D615" s="80">
        <f ca="1">IFERROR(__xludf.DUMMYFUNCTION("""COMPUTED_VALUE"""),0)</f>
        <v>0</v>
      </c>
    </row>
    <row r="616" spans="1:4" ht="13.2">
      <c r="A616" s="5"/>
      <c r="C616" s="5"/>
      <c r="D616" s="80">
        <f ca="1">IFERROR(__xludf.DUMMYFUNCTION("""COMPUTED_VALUE"""),0)</f>
        <v>0</v>
      </c>
    </row>
    <row r="617" spans="1:4" ht="13.2">
      <c r="A617" s="5"/>
      <c r="C617" s="5"/>
      <c r="D617" s="80">
        <f ca="1">IFERROR(__xludf.DUMMYFUNCTION("""COMPUTED_VALUE"""),0)</f>
        <v>0</v>
      </c>
    </row>
    <row r="618" spans="1:4" ht="13.2">
      <c r="A618" s="5"/>
      <c r="C618" s="5"/>
      <c r="D618" s="80">
        <f ca="1">IFERROR(__xludf.DUMMYFUNCTION("""COMPUTED_VALUE"""),0)</f>
        <v>0</v>
      </c>
    </row>
    <row r="619" spans="1:4" ht="13.2">
      <c r="A619" s="5"/>
      <c r="C619" s="5"/>
      <c r="D619" s="80">
        <f ca="1">IFERROR(__xludf.DUMMYFUNCTION("""COMPUTED_VALUE"""),0)</f>
        <v>0</v>
      </c>
    </row>
    <row r="620" spans="1:4" ht="13.2">
      <c r="A620" s="5"/>
      <c r="C620" s="5"/>
      <c r="D620" s="80">
        <f ca="1">IFERROR(__xludf.DUMMYFUNCTION("""COMPUTED_VALUE"""),0)</f>
        <v>0</v>
      </c>
    </row>
    <row r="621" spans="1:4" ht="13.2">
      <c r="A621" s="5"/>
      <c r="C621" s="5"/>
      <c r="D621" s="80">
        <f ca="1">IFERROR(__xludf.DUMMYFUNCTION("""COMPUTED_VALUE"""),0)</f>
        <v>0</v>
      </c>
    </row>
    <row r="622" spans="1:4" ht="13.2">
      <c r="A622" s="5"/>
      <c r="C622" s="5"/>
      <c r="D622" s="80">
        <f ca="1">IFERROR(__xludf.DUMMYFUNCTION("""COMPUTED_VALUE"""),0)</f>
        <v>0</v>
      </c>
    </row>
    <row r="623" spans="1:4" ht="13.2">
      <c r="A623" s="5"/>
      <c r="C623" s="5"/>
      <c r="D623" s="80">
        <f ca="1">IFERROR(__xludf.DUMMYFUNCTION("""COMPUTED_VALUE"""),0)</f>
        <v>0</v>
      </c>
    </row>
    <row r="624" spans="1:4" ht="13.2">
      <c r="A624" s="5"/>
      <c r="C624" s="5"/>
      <c r="D624" s="80">
        <f ca="1">IFERROR(__xludf.DUMMYFUNCTION("""COMPUTED_VALUE"""),0)</f>
        <v>0</v>
      </c>
    </row>
    <row r="625" spans="1:4" ht="13.2">
      <c r="A625" s="5"/>
      <c r="C625" s="5"/>
      <c r="D625" s="80">
        <f ca="1">IFERROR(__xludf.DUMMYFUNCTION("""COMPUTED_VALUE"""),0)</f>
        <v>0</v>
      </c>
    </row>
    <row r="626" spans="1:4" ht="13.2">
      <c r="A626" s="5"/>
      <c r="C626" s="5"/>
      <c r="D626" s="80">
        <f ca="1">IFERROR(__xludf.DUMMYFUNCTION("""COMPUTED_VALUE"""),0)</f>
        <v>0</v>
      </c>
    </row>
    <row r="627" spans="1:4" ht="13.2">
      <c r="A627" s="5"/>
      <c r="C627" s="5"/>
      <c r="D627" s="80">
        <f ca="1">IFERROR(__xludf.DUMMYFUNCTION("""COMPUTED_VALUE"""),0)</f>
        <v>0</v>
      </c>
    </row>
    <row r="628" spans="1:4" ht="13.2">
      <c r="A628" s="5"/>
      <c r="C628" s="5"/>
      <c r="D628" s="80">
        <f ca="1">IFERROR(__xludf.DUMMYFUNCTION("""COMPUTED_VALUE"""),0)</f>
        <v>0</v>
      </c>
    </row>
    <row r="629" spans="1:4" ht="13.2">
      <c r="A629" s="5"/>
      <c r="C629" s="5"/>
      <c r="D629" s="80">
        <f ca="1">IFERROR(__xludf.DUMMYFUNCTION("""COMPUTED_VALUE"""),0)</f>
        <v>0</v>
      </c>
    </row>
    <row r="630" spans="1:4" ht="13.2">
      <c r="A630" s="5"/>
      <c r="C630" s="5"/>
      <c r="D630" s="80">
        <f ca="1">IFERROR(__xludf.DUMMYFUNCTION("""COMPUTED_VALUE"""),0)</f>
        <v>0</v>
      </c>
    </row>
    <row r="631" spans="1:4" ht="13.2">
      <c r="A631" s="5"/>
      <c r="C631" s="5"/>
      <c r="D631" s="80">
        <f ca="1">IFERROR(__xludf.DUMMYFUNCTION("""COMPUTED_VALUE"""),0)</f>
        <v>0</v>
      </c>
    </row>
    <row r="632" spans="1:4" ht="13.2">
      <c r="A632" s="5"/>
      <c r="C632" s="5"/>
      <c r="D632" s="80">
        <f ca="1">IFERROR(__xludf.DUMMYFUNCTION("""COMPUTED_VALUE"""),0)</f>
        <v>0</v>
      </c>
    </row>
    <row r="633" spans="1:4" ht="13.2">
      <c r="A633" s="5"/>
      <c r="C633" s="5"/>
      <c r="D633" s="80">
        <f ca="1">IFERROR(__xludf.DUMMYFUNCTION("""COMPUTED_VALUE"""),0)</f>
        <v>0</v>
      </c>
    </row>
    <row r="634" spans="1:4" ht="13.2">
      <c r="A634" s="5"/>
      <c r="C634" s="5"/>
      <c r="D634" s="80">
        <f ca="1">IFERROR(__xludf.DUMMYFUNCTION("""COMPUTED_VALUE"""),0)</f>
        <v>0</v>
      </c>
    </row>
    <row r="635" spans="1:4" ht="13.2">
      <c r="A635" s="5"/>
      <c r="C635" s="5"/>
      <c r="D635" s="80">
        <f ca="1">IFERROR(__xludf.DUMMYFUNCTION("""COMPUTED_VALUE"""),0)</f>
        <v>0</v>
      </c>
    </row>
    <row r="636" spans="1:4" ht="13.2">
      <c r="A636" s="5"/>
      <c r="C636" s="5"/>
      <c r="D636" s="80">
        <f ca="1">IFERROR(__xludf.DUMMYFUNCTION("""COMPUTED_VALUE"""),0)</f>
        <v>0</v>
      </c>
    </row>
    <row r="637" spans="1:4" ht="13.2">
      <c r="A637" s="5"/>
      <c r="C637" s="5"/>
      <c r="D637" s="80">
        <f ca="1">IFERROR(__xludf.DUMMYFUNCTION("""COMPUTED_VALUE"""),0)</f>
        <v>0</v>
      </c>
    </row>
    <row r="638" spans="1:4" ht="13.2">
      <c r="A638" s="5"/>
      <c r="C638" s="5"/>
      <c r="D638" s="80">
        <f ca="1">IFERROR(__xludf.DUMMYFUNCTION("""COMPUTED_VALUE"""),0)</f>
        <v>0</v>
      </c>
    </row>
    <row r="639" spans="1:4" ht="13.2">
      <c r="A639" s="5"/>
      <c r="C639" s="5"/>
      <c r="D639" s="80">
        <f ca="1">IFERROR(__xludf.DUMMYFUNCTION("""COMPUTED_VALUE"""),0)</f>
        <v>0</v>
      </c>
    </row>
    <row r="640" spans="1:4" ht="13.2">
      <c r="A640" s="5"/>
      <c r="C640" s="5"/>
      <c r="D640" s="80">
        <f ca="1">IFERROR(__xludf.DUMMYFUNCTION("""COMPUTED_VALUE"""),0)</f>
        <v>0</v>
      </c>
    </row>
    <row r="641" spans="1:4" ht="13.2">
      <c r="A641" s="5"/>
      <c r="C641" s="5"/>
      <c r="D641" s="80">
        <f ca="1">IFERROR(__xludf.DUMMYFUNCTION("""COMPUTED_VALUE"""),0)</f>
        <v>0</v>
      </c>
    </row>
    <row r="642" spans="1:4" ht="13.2">
      <c r="A642" s="5"/>
      <c r="C642" s="5"/>
      <c r="D642" s="80">
        <f ca="1">IFERROR(__xludf.DUMMYFUNCTION("""COMPUTED_VALUE"""),0)</f>
        <v>0</v>
      </c>
    </row>
    <row r="643" spans="1:4" ht="13.2">
      <c r="A643" s="5"/>
      <c r="C643" s="5"/>
      <c r="D643" s="80">
        <f ca="1">IFERROR(__xludf.DUMMYFUNCTION("""COMPUTED_VALUE"""),0)</f>
        <v>0</v>
      </c>
    </row>
    <row r="644" spans="1:4" ht="13.2">
      <c r="A644" s="5"/>
      <c r="C644" s="5"/>
      <c r="D644" s="80">
        <f ca="1">IFERROR(__xludf.DUMMYFUNCTION("""COMPUTED_VALUE"""),0)</f>
        <v>0</v>
      </c>
    </row>
    <row r="645" spans="1:4" ht="13.2">
      <c r="A645" s="5"/>
      <c r="C645" s="5"/>
      <c r="D645" s="80">
        <f ca="1">IFERROR(__xludf.DUMMYFUNCTION("""COMPUTED_VALUE"""),0)</f>
        <v>0</v>
      </c>
    </row>
    <row r="646" spans="1:4" ht="13.2">
      <c r="A646" s="5"/>
      <c r="C646" s="5"/>
      <c r="D646" s="80">
        <f ca="1">IFERROR(__xludf.DUMMYFUNCTION("""COMPUTED_VALUE"""),0)</f>
        <v>0</v>
      </c>
    </row>
    <row r="647" spans="1:4" ht="13.2">
      <c r="A647" s="5"/>
      <c r="C647" s="5"/>
      <c r="D647" s="80">
        <f ca="1">IFERROR(__xludf.DUMMYFUNCTION("""COMPUTED_VALUE"""),0)</f>
        <v>0</v>
      </c>
    </row>
    <row r="648" spans="1:4" ht="13.2">
      <c r="A648" s="5"/>
      <c r="C648" s="5"/>
      <c r="D648" s="80">
        <f ca="1">IFERROR(__xludf.DUMMYFUNCTION("""COMPUTED_VALUE"""),0)</f>
        <v>0</v>
      </c>
    </row>
    <row r="649" spans="1:4" ht="13.2">
      <c r="A649" s="5"/>
      <c r="C649" s="5"/>
      <c r="D649" s="80">
        <f ca="1">IFERROR(__xludf.DUMMYFUNCTION("""COMPUTED_VALUE"""),0)</f>
        <v>0</v>
      </c>
    </row>
    <row r="650" spans="1:4" ht="13.2">
      <c r="A650" s="5"/>
      <c r="C650" s="5"/>
      <c r="D650" s="80">
        <f ca="1">IFERROR(__xludf.DUMMYFUNCTION("""COMPUTED_VALUE"""),0)</f>
        <v>0</v>
      </c>
    </row>
    <row r="651" spans="1:4" ht="13.2">
      <c r="A651" s="5"/>
      <c r="C651" s="5"/>
      <c r="D651" s="80">
        <f ca="1">IFERROR(__xludf.DUMMYFUNCTION("""COMPUTED_VALUE"""),0)</f>
        <v>0</v>
      </c>
    </row>
    <row r="652" spans="1:4" ht="13.2">
      <c r="A652" s="5"/>
      <c r="C652" s="5"/>
      <c r="D652" s="80">
        <f ca="1">IFERROR(__xludf.DUMMYFUNCTION("""COMPUTED_VALUE"""),0)</f>
        <v>0</v>
      </c>
    </row>
    <row r="653" spans="1:4" ht="13.2">
      <c r="A653" s="5"/>
      <c r="C653" s="5"/>
      <c r="D653" s="80">
        <f ca="1">IFERROR(__xludf.DUMMYFUNCTION("""COMPUTED_VALUE"""),0)</f>
        <v>0</v>
      </c>
    </row>
    <row r="654" spans="1:4" ht="13.2">
      <c r="A654" s="5"/>
      <c r="C654" s="5"/>
      <c r="D654" s="80">
        <f ca="1">IFERROR(__xludf.DUMMYFUNCTION("""COMPUTED_VALUE"""),0)</f>
        <v>0</v>
      </c>
    </row>
    <row r="655" spans="1:4" ht="13.2">
      <c r="A655" s="5"/>
      <c r="C655" s="5"/>
      <c r="D655" s="80">
        <f ca="1">IFERROR(__xludf.DUMMYFUNCTION("""COMPUTED_VALUE"""),0)</f>
        <v>0</v>
      </c>
    </row>
    <row r="656" spans="1:4" ht="13.2">
      <c r="A656" s="5"/>
      <c r="C656" s="5"/>
      <c r="D656" s="80">
        <f ca="1">IFERROR(__xludf.DUMMYFUNCTION("""COMPUTED_VALUE"""),0)</f>
        <v>0</v>
      </c>
    </row>
    <row r="657" spans="1:4" ht="13.2">
      <c r="A657" s="5"/>
      <c r="C657" s="5"/>
      <c r="D657" s="80">
        <f ca="1">IFERROR(__xludf.DUMMYFUNCTION("""COMPUTED_VALUE"""),0)</f>
        <v>0</v>
      </c>
    </row>
    <row r="658" spans="1:4" ht="13.2">
      <c r="A658" s="5"/>
      <c r="C658" s="5"/>
      <c r="D658" s="80">
        <f ca="1">IFERROR(__xludf.DUMMYFUNCTION("""COMPUTED_VALUE"""),0)</f>
        <v>0</v>
      </c>
    </row>
    <row r="659" spans="1:4" ht="13.2">
      <c r="A659" s="5"/>
      <c r="C659" s="5"/>
      <c r="D659" s="80">
        <f ca="1">IFERROR(__xludf.DUMMYFUNCTION("""COMPUTED_VALUE"""),0)</f>
        <v>0</v>
      </c>
    </row>
    <row r="660" spans="1:4" ht="13.2">
      <c r="A660" s="5"/>
      <c r="C660" s="5"/>
      <c r="D660" s="80">
        <f ca="1">IFERROR(__xludf.DUMMYFUNCTION("""COMPUTED_VALUE"""),0)</f>
        <v>0</v>
      </c>
    </row>
    <row r="661" spans="1:4" ht="13.2">
      <c r="A661" s="5"/>
      <c r="C661" s="5"/>
      <c r="D661" s="80">
        <f ca="1">IFERROR(__xludf.DUMMYFUNCTION("""COMPUTED_VALUE"""),0)</f>
        <v>0</v>
      </c>
    </row>
    <row r="662" spans="1:4" ht="13.2">
      <c r="A662" s="5"/>
      <c r="C662" s="5"/>
      <c r="D662" s="80">
        <f ca="1">IFERROR(__xludf.DUMMYFUNCTION("""COMPUTED_VALUE"""),0)</f>
        <v>0</v>
      </c>
    </row>
    <row r="663" spans="1:4" ht="13.2">
      <c r="A663" s="5"/>
      <c r="C663" s="5"/>
      <c r="D663" s="80">
        <f ca="1">IFERROR(__xludf.DUMMYFUNCTION("""COMPUTED_VALUE"""),0)</f>
        <v>0</v>
      </c>
    </row>
    <row r="664" spans="1:4" ht="13.2">
      <c r="A664" s="5"/>
      <c r="C664" s="5"/>
      <c r="D664" s="80">
        <f ca="1">IFERROR(__xludf.DUMMYFUNCTION("""COMPUTED_VALUE"""),0)</f>
        <v>0</v>
      </c>
    </row>
    <row r="665" spans="1:4" ht="13.2">
      <c r="A665" s="5"/>
      <c r="C665" s="5"/>
      <c r="D665" s="80">
        <f ca="1">IFERROR(__xludf.DUMMYFUNCTION("""COMPUTED_VALUE"""),0)</f>
        <v>0</v>
      </c>
    </row>
    <row r="666" spans="1:4" ht="13.2">
      <c r="A666" s="5"/>
      <c r="C666" s="5"/>
      <c r="D666" s="80">
        <f ca="1">IFERROR(__xludf.DUMMYFUNCTION("""COMPUTED_VALUE"""),0)</f>
        <v>0</v>
      </c>
    </row>
    <row r="667" spans="1:4" ht="13.2">
      <c r="A667" s="5"/>
      <c r="C667" s="5"/>
      <c r="D667" s="80">
        <f ca="1">IFERROR(__xludf.DUMMYFUNCTION("""COMPUTED_VALUE"""),0)</f>
        <v>0</v>
      </c>
    </row>
    <row r="668" spans="1:4" ht="13.2">
      <c r="A668" s="5"/>
      <c r="C668" s="5"/>
      <c r="D668" s="80">
        <f ca="1">IFERROR(__xludf.DUMMYFUNCTION("""COMPUTED_VALUE"""),0)</f>
        <v>0</v>
      </c>
    </row>
    <row r="669" spans="1:4" ht="13.2">
      <c r="A669" s="5"/>
      <c r="C669" s="5"/>
      <c r="D669" s="80">
        <f ca="1">IFERROR(__xludf.DUMMYFUNCTION("""COMPUTED_VALUE"""),0)</f>
        <v>0</v>
      </c>
    </row>
    <row r="670" spans="1:4" ht="13.2">
      <c r="A670" s="5"/>
      <c r="C670" s="5"/>
      <c r="D670" s="80">
        <f ca="1">IFERROR(__xludf.DUMMYFUNCTION("""COMPUTED_VALUE"""),0)</f>
        <v>0</v>
      </c>
    </row>
    <row r="671" spans="1:4" ht="13.2">
      <c r="A671" s="5"/>
      <c r="C671" s="5"/>
      <c r="D671" s="80">
        <f ca="1">IFERROR(__xludf.DUMMYFUNCTION("""COMPUTED_VALUE"""),0)</f>
        <v>0</v>
      </c>
    </row>
    <row r="672" spans="1:4" ht="13.2">
      <c r="A672" s="5"/>
      <c r="C672" s="5"/>
      <c r="D672" s="80">
        <f ca="1">IFERROR(__xludf.DUMMYFUNCTION("""COMPUTED_VALUE"""),0)</f>
        <v>0</v>
      </c>
    </row>
    <row r="673" spans="1:4" ht="13.2">
      <c r="A673" s="5"/>
      <c r="C673" s="5"/>
      <c r="D673" s="80">
        <f ca="1">IFERROR(__xludf.DUMMYFUNCTION("""COMPUTED_VALUE"""),0)</f>
        <v>0</v>
      </c>
    </row>
    <row r="674" spans="1:4" ht="13.2">
      <c r="A674" s="5"/>
      <c r="C674" s="5"/>
      <c r="D674" s="80">
        <f ca="1">IFERROR(__xludf.DUMMYFUNCTION("""COMPUTED_VALUE"""),0)</f>
        <v>0</v>
      </c>
    </row>
    <row r="675" spans="1:4" ht="13.2">
      <c r="A675" s="5"/>
      <c r="C675" s="5"/>
      <c r="D675" s="80">
        <f ca="1">IFERROR(__xludf.DUMMYFUNCTION("""COMPUTED_VALUE"""),0)</f>
        <v>0</v>
      </c>
    </row>
    <row r="676" spans="1:4" ht="13.2">
      <c r="A676" s="5"/>
      <c r="C676" s="5"/>
      <c r="D676" s="80">
        <f ca="1">IFERROR(__xludf.DUMMYFUNCTION("""COMPUTED_VALUE"""),0)</f>
        <v>0</v>
      </c>
    </row>
    <row r="677" spans="1:4" ht="13.2">
      <c r="A677" s="5"/>
      <c r="C677" s="5"/>
      <c r="D677" s="80">
        <f ca="1">IFERROR(__xludf.DUMMYFUNCTION("""COMPUTED_VALUE"""),0)</f>
        <v>0</v>
      </c>
    </row>
    <row r="678" spans="1:4" ht="13.2">
      <c r="A678" s="5"/>
      <c r="C678" s="5"/>
      <c r="D678" s="80">
        <f ca="1">IFERROR(__xludf.DUMMYFUNCTION("""COMPUTED_VALUE"""),0)</f>
        <v>0</v>
      </c>
    </row>
    <row r="679" spans="1:4" ht="13.2">
      <c r="A679" s="5"/>
      <c r="C679" s="5"/>
      <c r="D679" s="80">
        <f ca="1">IFERROR(__xludf.DUMMYFUNCTION("""COMPUTED_VALUE"""),0)</f>
        <v>0</v>
      </c>
    </row>
    <row r="680" spans="1:4" ht="13.2">
      <c r="A680" s="5"/>
      <c r="C680" s="5"/>
      <c r="D680" s="80">
        <f ca="1">IFERROR(__xludf.DUMMYFUNCTION("""COMPUTED_VALUE"""),0)</f>
        <v>0</v>
      </c>
    </row>
    <row r="681" spans="1:4" ht="13.2">
      <c r="A681" s="5"/>
      <c r="C681" s="5"/>
      <c r="D681" s="80">
        <f ca="1">IFERROR(__xludf.DUMMYFUNCTION("""COMPUTED_VALUE"""),0)</f>
        <v>0</v>
      </c>
    </row>
    <row r="682" spans="1:4" ht="13.2">
      <c r="A682" s="5"/>
      <c r="C682" s="5"/>
      <c r="D682" s="80">
        <f ca="1">IFERROR(__xludf.DUMMYFUNCTION("""COMPUTED_VALUE"""),0)</f>
        <v>0</v>
      </c>
    </row>
    <row r="683" spans="1:4" ht="13.2">
      <c r="A683" s="5"/>
      <c r="C683" s="5"/>
      <c r="D683" s="80">
        <f ca="1">IFERROR(__xludf.DUMMYFUNCTION("""COMPUTED_VALUE"""),0)</f>
        <v>0</v>
      </c>
    </row>
    <row r="684" spans="1:4" ht="13.2">
      <c r="A684" s="5"/>
      <c r="C684" s="5"/>
      <c r="D684" s="80">
        <f ca="1">IFERROR(__xludf.DUMMYFUNCTION("""COMPUTED_VALUE"""),0)</f>
        <v>0</v>
      </c>
    </row>
    <row r="685" spans="1:4" ht="13.2">
      <c r="A685" s="5"/>
      <c r="C685" s="5"/>
      <c r="D685" s="80">
        <f ca="1">IFERROR(__xludf.DUMMYFUNCTION("""COMPUTED_VALUE"""),0)</f>
        <v>0</v>
      </c>
    </row>
    <row r="686" spans="1:4" ht="13.2">
      <c r="A686" s="5"/>
      <c r="C686" s="5"/>
      <c r="D686" s="80">
        <f ca="1">IFERROR(__xludf.DUMMYFUNCTION("""COMPUTED_VALUE"""),0)</f>
        <v>0</v>
      </c>
    </row>
    <row r="687" spans="1:4" ht="13.2">
      <c r="A687" s="5"/>
      <c r="C687" s="5"/>
      <c r="D687" s="80">
        <f ca="1">IFERROR(__xludf.DUMMYFUNCTION("""COMPUTED_VALUE"""),0)</f>
        <v>0</v>
      </c>
    </row>
    <row r="688" spans="1:4" ht="13.2">
      <c r="A688" s="5"/>
      <c r="C688" s="5"/>
      <c r="D688" s="80">
        <f ca="1">IFERROR(__xludf.DUMMYFUNCTION("""COMPUTED_VALUE"""),0)</f>
        <v>0</v>
      </c>
    </row>
    <row r="689" spans="1:4" ht="13.2">
      <c r="A689" s="5"/>
      <c r="C689" s="5"/>
      <c r="D689" s="80">
        <f ca="1">IFERROR(__xludf.DUMMYFUNCTION("""COMPUTED_VALUE"""),0)</f>
        <v>0</v>
      </c>
    </row>
    <row r="690" spans="1:4" ht="13.2">
      <c r="A690" s="5"/>
      <c r="C690" s="5"/>
      <c r="D690" s="80">
        <f ca="1">IFERROR(__xludf.DUMMYFUNCTION("""COMPUTED_VALUE"""),0)</f>
        <v>0</v>
      </c>
    </row>
    <row r="691" spans="1:4" ht="13.2">
      <c r="A691" s="5"/>
      <c r="C691" s="5"/>
      <c r="D691" s="80">
        <f ca="1">IFERROR(__xludf.DUMMYFUNCTION("""COMPUTED_VALUE"""),0)</f>
        <v>0</v>
      </c>
    </row>
    <row r="692" spans="1:4" ht="13.2">
      <c r="A692" s="5"/>
      <c r="C692" s="5"/>
      <c r="D692" s="80">
        <f ca="1">IFERROR(__xludf.DUMMYFUNCTION("""COMPUTED_VALUE"""),0)</f>
        <v>0</v>
      </c>
    </row>
    <row r="693" spans="1:4" ht="13.2">
      <c r="A693" s="5"/>
      <c r="C693" s="5"/>
      <c r="D693" s="80">
        <f ca="1">IFERROR(__xludf.DUMMYFUNCTION("""COMPUTED_VALUE"""),0)</f>
        <v>0</v>
      </c>
    </row>
    <row r="694" spans="1:4" ht="13.2">
      <c r="A694" s="5"/>
      <c r="C694" s="5"/>
      <c r="D694" s="80">
        <f ca="1">IFERROR(__xludf.DUMMYFUNCTION("""COMPUTED_VALUE"""),0)</f>
        <v>0</v>
      </c>
    </row>
    <row r="695" spans="1:4" ht="13.2">
      <c r="A695" s="5"/>
      <c r="C695" s="5"/>
      <c r="D695" s="80">
        <f ca="1">IFERROR(__xludf.DUMMYFUNCTION("""COMPUTED_VALUE"""),0)</f>
        <v>0</v>
      </c>
    </row>
    <row r="696" spans="1:4" ht="13.2">
      <c r="A696" s="5"/>
      <c r="C696" s="5"/>
      <c r="D696" s="80">
        <f ca="1">IFERROR(__xludf.DUMMYFUNCTION("""COMPUTED_VALUE"""),0)</f>
        <v>0</v>
      </c>
    </row>
    <row r="697" spans="1:4" ht="13.2">
      <c r="A697" s="5"/>
      <c r="C697" s="5"/>
      <c r="D697" s="80">
        <f ca="1">IFERROR(__xludf.DUMMYFUNCTION("""COMPUTED_VALUE"""),0)</f>
        <v>0</v>
      </c>
    </row>
    <row r="698" spans="1:4" ht="13.2">
      <c r="A698" s="5"/>
      <c r="C698" s="5"/>
      <c r="D698" s="80">
        <f ca="1">IFERROR(__xludf.DUMMYFUNCTION("""COMPUTED_VALUE"""),0)</f>
        <v>0</v>
      </c>
    </row>
    <row r="699" spans="1:4" ht="13.2">
      <c r="A699" s="5"/>
      <c r="C699" s="5"/>
      <c r="D699" s="80">
        <f ca="1">IFERROR(__xludf.DUMMYFUNCTION("""COMPUTED_VALUE"""),0)</f>
        <v>0</v>
      </c>
    </row>
    <row r="700" spans="1:4" ht="13.2">
      <c r="A700" s="5"/>
      <c r="C700" s="5"/>
      <c r="D700" s="80">
        <f ca="1">IFERROR(__xludf.DUMMYFUNCTION("""COMPUTED_VALUE"""),0)</f>
        <v>0</v>
      </c>
    </row>
    <row r="701" spans="1:4" ht="13.2">
      <c r="A701" s="5"/>
      <c r="C701" s="5"/>
      <c r="D701" s="80">
        <f ca="1">IFERROR(__xludf.DUMMYFUNCTION("""COMPUTED_VALUE"""),0)</f>
        <v>0</v>
      </c>
    </row>
    <row r="702" spans="1:4" ht="13.2">
      <c r="A702" s="5"/>
      <c r="C702" s="5"/>
      <c r="D702" s="80">
        <f ca="1">IFERROR(__xludf.DUMMYFUNCTION("""COMPUTED_VALUE"""),0)</f>
        <v>0</v>
      </c>
    </row>
    <row r="703" spans="1:4" ht="13.2">
      <c r="A703" s="5"/>
      <c r="C703" s="5"/>
      <c r="D703" s="80">
        <f ca="1">IFERROR(__xludf.DUMMYFUNCTION("""COMPUTED_VALUE"""),0)</f>
        <v>0</v>
      </c>
    </row>
    <row r="704" spans="1:4" ht="13.2">
      <c r="A704" s="5"/>
      <c r="C704" s="5"/>
      <c r="D704" s="80">
        <f ca="1">IFERROR(__xludf.DUMMYFUNCTION("""COMPUTED_VALUE"""),0)</f>
        <v>0</v>
      </c>
    </row>
    <row r="705" spans="1:4" ht="13.2">
      <c r="A705" s="5"/>
      <c r="C705" s="5"/>
      <c r="D705" s="80">
        <f ca="1">IFERROR(__xludf.DUMMYFUNCTION("""COMPUTED_VALUE"""),0)</f>
        <v>0</v>
      </c>
    </row>
    <row r="706" spans="1:4" ht="13.2">
      <c r="A706" s="5"/>
      <c r="C706" s="5"/>
      <c r="D706" s="80">
        <f ca="1">IFERROR(__xludf.DUMMYFUNCTION("""COMPUTED_VALUE"""),0)</f>
        <v>0</v>
      </c>
    </row>
    <row r="707" spans="1:4" ht="13.2">
      <c r="A707" s="5"/>
      <c r="C707" s="5"/>
      <c r="D707" s="80">
        <f ca="1">IFERROR(__xludf.DUMMYFUNCTION("""COMPUTED_VALUE"""),0)</f>
        <v>0</v>
      </c>
    </row>
    <row r="708" spans="1:4" ht="13.2">
      <c r="A708" s="5"/>
      <c r="C708" s="5"/>
      <c r="D708" s="80">
        <f ca="1">IFERROR(__xludf.DUMMYFUNCTION("""COMPUTED_VALUE"""),0)</f>
        <v>0</v>
      </c>
    </row>
    <row r="709" spans="1:4" ht="13.2">
      <c r="A709" s="5"/>
      <c r="C709" s="5"/>
      <c r="D709" s="80">
        <f ca="1">IFERROR(__xludf.DUMMYFUNCTION("""COMPUTED_VALUE"""),0)</f>
        <v>0</v>
      </c>
    </row>
    <row r="710" spans="1:4" ht="13.2">
      <c r="A710" s="5"/>
      <c r="C710" s="5"/>
      <c r="D710" s="80">
        <f ca="1">IFERROR(__xludf.DUMMYFUNCTION("""COMPUTED_VALUE"""),0)</f>
        <v>0</v>
      </c>
    </row>
    <row r="711" spans="1:4" ht="13.2">
      <c r="A711" s="5"/>
      <c r="C711" s="5"/>
      <c r="D711" s="80">
        <f ca="1">IFERROR(__xludf.DUMMYFUNCTION("""COMPUTED_VALUE"""),0)</f>
        <v>0</v>
      </c>
    </row>
    <row r="712" spans="1:4" ht="13.2">
      <c r="A712" s="5"/>
      <c r="C712" s="5"/>
      <c r="D712" s="80">
        <f ca="1">IFERROR(__xludf.DUMMYFUNCTION("""COMPUTED_VALUE"""),0)</f>
        <v>0</v>
      </c>
    </row>
    <row r="713" spans="1:4" ht="13.2">
      <c r="A713" s="5"/>
      <c r="C713" s="5"/>
      <c r="D713" s="80">
        <f ca="1">IFERROR(__xludf.DUMMYFUNCTION("""COMPUTED_VALUE"""),0)</f>
        <v>0</v>
      </c>
    </row>
    <row r="714" spans="1:4" ht="13.2">
      <c r="A714" s="5"/>
      <c r="C714" s="5"/>
      <c r="D714" s="80">
        <f ca="1">IFERROR(__xludf.DUMMYFUNCTION("""COMPUTED_VALUE"""),0)</f>
        <v>0</v>
      </c>
    </row>
    <row r="715" spans="1:4" ht="13.2">
      <c r="A715" s="5"/>
      <c r="C715" s="5"/>
      <c r="D715" s="80">
        <f ca="1">IFERROR(__xludf.DUMMYFUNCTION("""COMPUTED_VALUE"""),0)</f>
        <v>0</v>
      </c>
    </row>
    <row r="716" spans="1:4" ht="13.2">
      <c r="A716" s="5"/>
      <c r="C716" s="5"/>
      <c r="D716" s="80">
        <f ca="1">IFERROR(__xludf.DUMMYFUNCTION("""COMPUTED_VALUE"""),0)</f>
        <v>0</v>
      </c>
    </row>
    <row r="717" spans="1:4" ht="13.2">
      <c r="A717" s="5"/>
      <c r="C717" s="5"/>
      <c r="D717" s="80">
        <f ca="1">IFERROR(__xludf.DUMMYFUNCTION("""COMPUTED_VALUE"""),0)</f>
        <v>0</v>
      </c>
    </row>
    <row r="718" spans="1:4" ht="13.2">
      <c r="A718" s="5"/>
      <c r="C718" s="5"/>
      <c r="D718" s="80">
        <f ca="1">IFERROR(__xludf.DUMMYFUNCTION("""COMPUTED_VALUE"""),0)</f>
        <v>0</v>
      </c>
    </row>
    <row r="719" spans="1:4" ht="13.2">
      <c r="A719" s="5"/>
      <c r="C719" s="5"/>
      <c r="D719" s="80">
        <f ca="1">IFERROR(__xludf.DUMMYFUNCTION("""COMPUTED_VALUE"""),0)</f>
        <v>0</v>
      </c>
    </row>
    <row r="720" spans="1:4" ht="13.2">
      <c r="A720" s="5"/>
      <c r="C720" s="5"/>
      <c r="D720" s="80">
        <f ca="1">IFERROR(__xludf.DUMMYFUNCTION("""COMPUTED_VALUE"""),0)</f>
        <v>0</v>
      </c>
    </row>
    <row r="721" spans="1:4" ht="13.2">
      <c r="A721" s="5"/>
      <c r="C721" s="5"/>
      <c r="D721" s="80">
        <f ca="1">IFERROR(__xludf.DUMMYFUNCTION("""COMPUTED_VALUE"""),0)</f>
        <v>0</v>
      </c>
    </row>
    <row r="722" spans="1:4" ht="13.2">
      <c r="A722" s="5"/>
      <c r="C722" s="5"/>
      <c r="D722" s="80">
        <f ca="1">IFERROR(__xludf.DUMMYFUNCTION("""COMPUTED_VALUE"""),0)</f>
        <v>0</v>
      </c>
    </row>
    <row r="723" spans="1:4" ht="13.2">
      <c r="A723" s="5"/>
      <c r="C723" s="5"/>
      <c r="D723" s="80">
        <f ca="1">IFERROR(__xludf.DUMMYFUNCTION("""COMPUTED_VALUE"""),0)</f>
        <v>0</v>
      </c>
    </row>
    <row r="724" spans="1:4" ht="13.2">
      <c r="A724" s="5"/>
      <c r="C724" s="5"/>
      <c r="D724" s="80">
        <f ca="1">IFERROR(__xludf.DUMMYFUNCTION("""COMPUTED_VALUE"""),0)</f>
        <v>0</v>
      </c>
    </row>
    <row r="725" spans="1:4" ht="13.2">
      <c r="A725" s="5"/>
      <c r="C725" s="5"/>
      <c r="D725" s="80">
        <f ca="1">IFERROR(__xludf.DUMMYFUNCTION("""COMPUTED_VALUE"""),0)</f>
        <v>0</v>
      </c>
    </row>
    <row r="726" spans="1:4" ht="13.2">
      <c r="A726" s="5"/>
      <c r="C726" s="5"/>
      <c r="D726" s="80">
        <f ca="1">IFERROR(__xludf.DUMMYFUNCTION("""COMPUTED_VALUE"""),0)</f>
        <v>0</v>
      </c>
    </row>
    <row r="727" spans="1:4" ht="13.2">
      <c r="A727" s="5"/>
      <c r="C727" s="5"/>
      <c r="D727" s="80">
        <f ca="1">IFERROR(__xludf.DUMMYFUNCTION("""COMPUTED_VALUE"""),0)</f>
        <v>0</v>
      </c>
    </row>
    <row r="728" spans="1:4" ht="13.2">
      <c r="A728" s="5"/>
      <c r="C728" s="5"/>
      <c r="D728" s="80">
        <f ca="1">IFERROR(__xludf.DUMMYFUNCTION("""COMPUTED_VALUE"""),0)</f>
        <v>0</v>
      </c>
    </row>
    <row r="729" spans="1:4" ht="13.2">
      <c r="A729" s="5"/>
      <c r="C729" s="5"/>
      <c r="D729" s="80">
        <f ca="1">IFERROR(__xludf.DUMMYFUNCTION("""COMPUTED_VALUE"""),0)</f>
        <v>0</v>
      </c>
    </row>
    <row r="730" spans="1:4" ht="13.2">
      <c r="A730" s="5"/>
      <c r="C730" s="5"/>
      <c r="D730" s="80">
        <f ca="1">IFERROR(__xludf.DUMMYFUNCTION("""COMPUTED_VALUE"""),0)</f>
        <v>0</v>
      </c>
    </row>
    <row r="731" spans="1:4" ht="13.2">
      <c r="A731" s="5"/>
      <c r="C731" s="5"/>
      <c r="D731" s="80">
        <f ca="1">IFERROR(__xludf.DUMMYFUNCTION("""COMPUTED_VALUE"""),0)</f>
        <v>0</v>
      </c>
    </row>
    <row r="732" spans="1:4" ht="13.2">
      <c r="A732" s="5"/>
      <c r="C732" s="5"/>
      <c r="D732" s="80">
        <f ca="1">IFERROR(__xludf.DUMMYFUNCTION("""COMPUTED_VALUE"""),0)</f>
        <v>0</v>
      </c>
    </row>
    <row r="733" spans="1:4" ht="13.2">
      <c r="A733" s="5"/>
      <c r="C733" s="5"/>
      <c r="D733" s="80">
        <f ca="1">IFERROR(__xludf.DUMMYFUNCTION("""COMPUTED_VALUE"""),0)</f>
        <v>0</v>
      </c>
    </row>
    <row r="734" spans="1:4" ht="13.2">
      <c r="A734" s="5"/>
      <c r="C734" s="5"/>
      <c r="D734" s="80">
        <f ca="1">IFERROR(__xludf.DUMMYFUNCTION("""COMPUTED_VALUE"""),0)</f>
        <v>0</v>
      </c>
    </row>
    <row r="735" spans="1:4" ht="13.2">
      <c r="A735" s="5"/>
      <c r="C735" s="5"/>
      <c r="D735" s="80">
        <f ca="1">IFERROR(__xludf.DUMMYFUNCTION("""COMPUTED_VALUE"""),0)</f>
        <v>0</v>
      </c>
    </row>
    <row r="736" spans="1:4" ht="13.2">
      <c r="A736" s="5"/>
      <c r="C736" s="5"/>
      <c r="D736" s="80">
        <f ca="1">IFERROR(__xludf.DUMMYFUNCTION("""COMPUTED_VALUE"""),0)</f>
        <v>0</v>
      </c>
    </row>
    <row r="737" spans="1:4" ht="13.2">
      <c r="A737" s="5"/>
      <c r="C737" s="5"/>
      <c r="D737" s="80">
        <f ca="1">IFERROR(__xludf.DUMMYFUNCTION("""COMPUTED_VALUE"""),0)</f>
        <v>0</v>
      </c>
    </row>
    <row r="738" spans="1:4" ht="13.2">
      <c r="A738" s="5"/>
      <c r="C738" s="5"/>
      <c r="D738" s="80">
        <f ca="1">IFERROR(__xludf.DUMMYFUNCTION("""COMPUTED_VALUE"""),0)</f>
        <v>0</v>
      </c>
    </row>
    <row r="739" spans="1:4" ht="13.2">
      <c r="A739" s="5"/>
      <c r="C739" s="5"/>
      <c r="D739" s="80">
        <f ca="1">IFERROR(__xludf.DUMMYFUNCTION("""COMPUTED_VALUE"""),0)</f>
        <v>0</v>
      </c>
    </row>
    <row r="740" spans="1:4" ht="13.2">
      <c r="A740" s="5"/>
      <c r="C740" s="5"/>
      <c r="D740" s="80">
        <f ca="1">IFERROR(__xludf.DUMMYFUNCTION("""COMPUTED_VALUE"""),0)</f>
        <v>0</v>
      </c>
    </row>
    <row r="741" spans="1:4" ht="13.2">
      <c r="A741" s="5"/>
      <c r="C741" s="5"/>
      <c r="D741" s="80">
        <f ca="1">IFERROR(__xludf.DUMMYFUNCTION("""COMPUTED_VALUE"""),0)</f>
        <v>0</v>
      </c>
    </row>
    <row r="742" spans="1:4" ht="13.2">
      <c r="A742" s="5"/>
      <c r="C742" s="5"/>
      <c r="D742" s="80">
        <f ca="1">IFERROR(__xludf.DUMMYFUNCTION("""COMPUTED_VALUE"""),0)</f>
        <v>0</v>
      </c>
    </row>
    <row r="743" spans="1:4" ht="13.2">
      <c r="A743" s="5"/>
      <c r="C743" s="5"/>
      <c r="D743" s="80">
        <f ca="1">IFERROR(__xludf.DUMMYFUNCTION("""COMPUTED_VALUE"""),0)</f>
        <v>0</v>
      </c>
    </row>
    <row r="744" spans="1:4" ht="13.2">
      <c r="A744" s="5"/>
      <c r="C744" s="5"/>
      <c r="D744" s="80">
        <f ca="1">IFERROR(__xludf.DUMMYFUNCTION("""COMPUTED_VALUE"""),0)</f>
        <v>0</v>
      </c>
    </row>
    <row r="745" spans="1:4" ht="13.2">
      <c r="A745" s="5"/>
      <c r="C745" s="5"/>
      <c r="D745" s="80">
        <f ca="1">IFERROR(__xludf.DUMMYFUNCTION("""COMPUTED_VALUE"""),0)</f>
        <v>0</v>
      </c>
    </row>
    <row r="746" spans="1:4" ht="13.2">
      <c r="A746" s="5"/>
      <c r="C746" s="5"/>
      <c r="D746" s="80">
        <f ca="1">IFERROR(__xludf.DUMMYFUNCTION("""COMPUTED_VALUE"""),0)</f>
        <v>0</v>
      </c>
    </row>
    <row r="747" spans="1:4" ht="13.2">
      <c r="A747" s="5"/>
      <c r="C747" s="5"/>
      <c r="D747" s="80">
        <f ca="1">IFERROR(__xludf.DUMMYFUNCTION("""COMPUTED_VALUE"""),0)</f>
        <v>0</v>
      </c>
    </row>
    <row r="748" spans="1:4" ht="13.2">
      <c r="A748" s="5"/>
      <c r="C748" s="5"/>
      <c r="D748" s="80">
        <f ca="1">IFERROR(__xludf.DUMMYFUNCTION("""COMPUTED_VALUE"""),0)</f>
        <v>0</v>
      </c>
    </row>
    <row r="749" spans="1:4" ht="13.2">
      <c r="A749" s="5"/>
      <c r="C749" s="5"/>
      <c r="D749" s="80">
        <f ca="1">IFERROR(__xludf.DUMMYFUNCTION("""COMPUTED_VALUE"""),0)</f>
        <v>0</v>
      </c>
    </row>
    <row r="750" spans="1:4" ht="13.2">
      <c r="A750" s="5"/>
      <c r="C750" s="5"/>
      <c r="D750" s="80">
        <f ca="1">IFERROR(__xludf.DUMMYFUNCTION("""COMPUTED_VALUE"""),0)</f>
        <v>0</v>
      </c>
    </row>
    <row r="751" spans="1:4" ht="13.2">
      <c r="A751" s="5"/>
      <c r="C751" s="5"/>
      <c r="D751" s="80">
        <f ca="1">IFERROR(__xludf.DUMMYFUNCTION("""COMPUTED_VALUE"""),0)</f>
        <v>0</v>
      </c>
    </row>
    <row r="752" spans="1:4" ht="13.2">
      <c r="A752" s="5"/>
      <c r="C752" s="5"/>
      <c r="D752" s="80">
        <f ca="1">IFERROR(__xludf.DUMMYFUNCTION("""COMPUTED_VALUE"""),0)</f>
        <v>0</v>
      </c>
    </row>
    <row r="753" spans="1:4" ht="13.2">
      <c r="A753" s="5"/>
      <c r="C753" s="5"/>
      <c r="D753" s="80">
        <f ca="1">IFERROR(__xludf.DUMMYFUNCTION("""COMPUTED_VALUE"""),0)</f>
        <v>0</v>
      </c>
    </row>
    <row r="754" spans="1:4" ht="13.2">
      <c r="A754" s="5"/>
      <c r="C754" s="5"/>
      <c r="D754" s="80">
        <f ca="1">IFERROR(__xludf.DUMMYFUNCTION("""COMPUTED_VALUE"""),0)</f>
        <v>0</v>
      </c>
    </row>
    <row r="755" spans="1:4" ht="13.2">
      <c r="A755" s="5"/>
      <c r="C755" s="5"/>
      <c r="D755" s="80">
        <f ca="1">IFERROR(__xludf.DUMMYFUNCTION("""COMPUTED_VALUE"""),0)</f>
        <v>0</v>
      </c>
    </row>
    <row r="756" spans="1:4" ht="13.2">
      <c r="A756" s="5"/>
      <c r="C756" s="5"/>
      <c r="D756" s="80">
        <f ca="1">IFERROR(__xludf.DUMMYFUNCTION("""COMPUTED_VALUE"""),0)</f>
        <v>0</v>
      </c>
    </row>
    <row r="757" spans="1:4" ht="13.2">
      <c r="A757" s="5"/>
      <c r="C757" s="5"/>
      <c r="D757" s="80">
        <f ca="1">IFERROR(__xludf.DUMMYFUNCTION("""COMPUTED_VALUE"""),0)</f>
        <v>0</v>
      </c>
    </row>
    <row r="758" spans="1:4" ht="13.2">
      <c r="A758" s="5"/>
      <c r="C758" s="5"/>
      <c r="D758" s="80">
        <f ca="1">IFERROR(__xludf.DUMMYFUNCTION("""COMPUTED_VALUE"""),0)</f>
        <v>0</v>
      </c>
    </row>
    <row r="759" spans="1:4" ht="13.2">
      <c r="A759" s="5"/>
      <c r="C759" s="5"/>
      <c r="D759" s="80">
        <f ca="1">IFERROR(__xludf.DUMMYFUNCTION("""COMPUTED_VALUE"""),0)</f>
        <v>0</v>
      </c>
    </row>
    <row r="760" spans="1:4" ht="13.2">
      <c r="A760" s="5"/>
      <c r="C760" s="5"/>
      <c r="D760" s="80">
        <f ca="1">IFERROR(__xludf.DUMMYFUNCTION("""COMPUTED_VALUE"""),0)</f>
        <v>0</v>
      </c>
    </row>
    <row r="761" spans="1:4" ht="13.2">
      <c r="A761" s="5"/>
      <c r="C761" s="5"/>
      <c r="D761" s="80">
        <f ca="1">IFERROR(__xludf.DUMMYFUNCTION("""COMPUTED_VALUE"""),0)</f>
        <v>0</v>
      </c>
    </row>
    <row r="762" spans="1:4" ht="13.2">
      <c r="A762" s="5"/>
      <c r="C762" s="5"/>
      <c r="D762" s="80">
        <f ca="1">IFERROR(__xludf.DUMMYFUNCTION("""COMPUTED_VALUE"""),0)</f>
        <v>0</v>
      </c>
    </row>
    <row r="763" spans="1:4" ht="13.2">
      <c r="A763" s="5"/>
      <c r="C763" s="5"/>
      <c r="D763" s="80">
        <f ca="1">IFERROR(__xludf.DUMMYFUNCTION("""COMPUTED_VALUE"""),0)</f>
        <v>0</v>
      </c>
    </row>
    <row r="764" spans="1:4" ht="13.2">
      <c r="A764" s="5"/>
      <c r="C764" s="5"/>
      <c r="D764" s="80">
        <f ca="1">IFERROR(__xludf.DUMMYFUNCTION("""COMPUTED_VALUE"""),0)</f>
        <v>0</v>
      </c>
    </row>
    <row r="765" spans="1:4" ht="13.2">
      <c r="A765" s="5"/>
      <c r="C765" s="5"/>
      <c r="D765" s="80">
        <f ca="1">IFERROR(__xludf.DUMMYFUNCTION("""COMPUTED_VALUE"""),0)</f>
        <v>0</v>
      </c>
    </row>
    <row r="766" spans="1:4" ht="13.2">
      <c r="A766" s="5"/>
      <c r="C766" s="5"/>
      <c r="D766" s="80">
        <f ca="1">IFERROR(__xludf.DUMMYFUNCTION("""COMPUTED_VALUE"""),0)</f>
        <v>0</v>
      </c>
    </row>
    <row r="767" spans="1:4" ht="13.2">
      <c r="A767" s="5"/>
      <c r="C767" s="5"/>
      <c r="D767" s="80">
        <f ca="1">IFERROR(__xludf.DUMMYFUNCTION("""COMPUTED_VALUE"""),0)</f>
        <v>0</v>
      </c>
    </row>
    <row r="768" spans="1:4" ht="13.2">
      <c r="A768" s="5"/>
      <c r="C768" s="5"/>
      <c r="D768" s="80">
        <f ca="1">IFERROR(__xludf.DUMMYFUNCTION("""COMPUTED_VALUE"""),0)</f>
        <v>0</v>
      </c>
    </row>
    <row r="769" spans="1:4" ht="13.2">
      <c r="A769" s="5"/>
      <c r="C769" s="5"/>
      <c r="D769" s="80">
        <f ca="1">IFERROR(__xludf.DUMMYFUNCTION("""COMPUTED_VALUE"""),0)</f>
        <v>0</v>
      </c>
    </row>
    <row r="770" spans="1:4" ht="13.2">
      <c r="A770" s="5"/>
      <c r="C770" s="5"/>
      <c r="D770" s="80">
        <f ca="1">IFERROR(__xludf.DUMMYFUNCTION("""COMPUTED_VALUE"""),0)</f>
        <v>0</v>
      </c>
    </row>
    <row r="771" spans="1:4" ht="13.2">
      <c r="A771" s="5"/>
      <c r="C771" s="5"/>
      <c r="D771" s="80">
        <f ca="1">IFERROR(__xludf.DUMMYFUNCTION("""COMPUTED_VALUE"""),0)</f>
        <v>0</v>
      </c>
    </row>
    <row r="772" spans="1:4" ht="13.2">
      <c r="A772" s="5"/>
      <c r="C772" s="5"/>
      <c r="D772" s="80">
        <f ca="1">IFERROR(__xludf.DUMMYFUNCTION("""COMPUTED_VALUE"""),0)</f>
        <v>0</v>
      </c>
    </row>
    <row r="773" spans="1:4" ht="13.2">
      <c r="A773" s="5"/>
      <c r="C773" s="5"/>
      <c r="D773" s="80">
        <f ca="1">IFERROR(__xludf.DUMMYFUNCTION("""COMPUTED_VALUE"""),0)</f>
        <v>0</v>
      </c>
    </row>
    <row r="774" spans="1:4" ht="13.2">
      <c r="A774" s="5"/>
      <c r="C774" s="5"/>
      <c r="D774" s="80">
        <f ca="1">IFERROR(__xludf.DUMMYFUNCTION("""COMPUTED_VALUE"""),0)</f>
        <v>0</v>
      </c>
    </row>
    <row r="775" spans="1:4" ht="13.2">
      <c r="A775" s="5"/>
      <c r="C775" s="5"/>
      <c r="D775" s="80">
        <f ca="1">IFERROR(__xludf.DUMMYFUNCTION("""COMPUTED_VALUE"""),0)</f>
        <v>0</v>
      </c>
    </row>
    <row r="776" spans="1:4" ht="13.2">
      <c r="A776" s="5"/>
      <c r="C776" s="5"/>
      <c r="D776" s="80">
        <f ca="1">IFERROR(__xludf.DUMMYFUNCTION("""COMPUTED_VALUE"""),0)</f>
        <v>0</v>
      </c>
    </row>
    <row r="777" spans="1:4" ht="13.2">
      <c r="A777" s="5"/>
      <c r="C777" s="5"/>
      <c r="D777" s="80">
        <f ca="1">IFERROR(__xludf.DUMMYFUNCTION("""COMPUTED_VALUE"""),0)</f>
        <v>0</v>
      </c>
    </row>
    <row r="778" spans="1:4" ht="13.2">
      <c r="A778" s="5"/>
      <c r="C778" s="5"/>
      <c r="D778" s="80">
        <f ca="1">IFERROR(__xludf.DUMMYFUNCTION("""COMPUTED_VALUE"""),0)</f>
        <v>0</v>
      </c>
    </row>
    <row r="779" spans="1:4" ht="13.2">
      <c r="A779" s="5"/>
      <c r="C779" s="5"/>
      <c r="D779" s="80">
        <f ca="1">IFERROR(__xludf.DUMMYFUNCTION("""COMPUTED_VALUE"""),0)</f>
        <v>0</v>
      </c>
    </row>
    <row r="780" spans="1:4" ht="13.2">
      <c r="A780" s="5"/>
      <c r="C780" s="5"/>
      <c r="D780" s="80">
        <f ca="1">IFERROR(__xludf.DUMMYFUNCTION("""COMPUTED_VALUE"""),0)</f>
        <v>0</v>
      </c>
    </row>
    <row r="781" spans="1:4" ht="13.2">
      <c r="A781" s="5"/>
      <c r="C781" s="5"/>
      <c r="D781" s="80">
        <f ca="1">IFERROR(__xludf.DUMMYFUNCTION("""COMPUTED_VALUE"""),0)</f>
        <v>0</v>
      </c>
    </row>
    <row r="782" spans="1:4" ht="13.2">
      <c r="A782" s="5"/>
      <c r="C782" s="5"/>
      <c r="D782" s="80">
        <f ca="1">IFERROR(__xludf.DUMMYFUNCTION("""COMPUTED_VALUE"""),0)</f>
        <v>0</v>
      </c>
    </row>
    <row r="783" spans="1:4" ht="13.2">
      <c r="A783" s="5"/>
      <c r="C783" s="5"/>
      <c r="D783" s="80">
        <f ca="1">IFERROR(__xludf.DUMMYFUNCTION("""COMPUTED_VALUE"""),0)</f>
        <v>0</v>
      </c>
    </row>
    <row r="784" spans="1:4" ht="13.2">
      <c r="A784" s="5"/>
      <c r="C784" s="5"/>
      <c r="D784" s="80">
        <f ca="1">IFERROR(__xludf.DUMMYFUNCTION("""COMPUTED_VALUE"""),0)</f>
        <v>0</v>
      </c>
    </row>
    <row r="785" spans="1:4" ht="13.2">
      <c r="A785" s="5"/>
      <c r="C785" s="5"/>
      <c r="D785" s="80">
        <f ca="1">IFERROR(__xludf.DUMMYFUNCTION("""COMPUTED_VALUE"""),0)</f>
        <v>0</v>
      </c>
    </row>
    <row r="786" spans="1:4" ht="13.2">
      <c r="A786" s="5"/>
      <c r="C786" s="5"/>
      <c r="D786" s="80">
        <f ca="1">IFERROR(__xludf.DUMMYFUNCTION("""COMPUTED_VALUE"""),0)</f>
        <v>0</v>
      </c>
    </row>
    <row r="787" spans="1:4" ht="13.2">
      <c r="A787" s="5"/>
      <c r="C787" s="5"/>
      <c r="D787" s="80">
        <f ca="1">IFERROR(__xludf.DUMMYFUNCTION("""COMPUTED_VALUE"""),0)</f>
        <v>0</v>
      </c>
    </row>
    <row r="788" spans="1:4" ht="13.2">
      <c r="A788" s="5"/>
      <c r="C788" s="5"/>
      <c r="D788" s="80">
        <f ca="1">IFERROR(__xludf.DUMMYFUNCTION("""COMPUTED_VALUE"""),0)</f>
        <v>0</v>
      </c>
    </row>
    <row r="789" spans="1:4" ht="13.2">
      <c r="A789" s="5"/>
      <c r="C789" s="5"/>
      <c r="D789" s="80">
        <f ca="1">IFERROR(__xludf.DUMMYFUNCTION("""COMPUTED_VALUE"""),0)</f>
        <v>0</v>
      </c>
    </row>
    <row r="790" spans="1:4" ht="13.2">
      <c r="A790" s="5"/>
      <c r="C790" s="5"/>
      <c r="D790" s="80">
        <f ca="1">IFERROR(__xludf.DUMMYFUNCTION("""COMPUTED_VALUE"""),0)</f>
        <v>0</v>
      </c>
    </row>
    <row r="791" spans="1:4" ht="13.2">
      <c r="A791" s="5"/>
      <c r="C791" s="5"/>
      <c r="D791" s="80">
        <f ca="1">IFERROR(__xludf.DUMMYFUNCTION("""COMPUTED_VALUE"""),0)</f>
        <v>0</v>
      </c>
    </row>
    <row r="792" spans="1:4" ht="13.2">
      <c r="A792" s="5"/>
      <c r="C792" s="5"/>
      <c r="D792" s="80">
        <f ca="1">IFERROR(__xludf.DUMMYFUNCTION("""COMPUTED_VALUE"""),0)</f>
        <v>0</v>
      </c>
    </row>
    <row r="793" spans="1:4" ht="13.2">
      <c r="A793" s="5"/>
      <c r="C793" s="5"/>
      <c r="D793" s="80">
        <f ca="1">IFERROR(__xludf.DUMMYFUNCTION("""COMPUTED_VALUE"""),0)</f>
        <v>0</v>
      </c>
    </row>
    <row r="794" spans="1:4" ht="13.2">
      <c r="A794" s="5"/>
      <c r="C794" s="5"/>
      <c r="D794" s="80">
        <f ca="1">IFERROR(__xludf.DUMMYFUNCTION("""COMPUTED_VALUE"""),0)</f>
        <v>0</v>
      </c>
    </row>
    <row r="795" spans="1:4" ht="13.2">
      <c r="A795" s="5"/>
      <c r="C795" s="5"/>
      <c r="D795" s="80">
        <f ca="1">IFERROR(__xludf.DUMMYFUNCTION("""COMPUTED_VALUE"""),0)</f>
        <v>0</v>
      </c>
    </row>
    <row r="796" spans="1:4" ht="13.2">
      <c r="A796" s="5"/>
      <c r="C796" s="5"/>
      <c r="D796" s="80">
        <f ca="1">IFERROR(__xludf.DUMMYFUNCTION("""COMPUTED_VALUE"""),0)</f>
        <v>0</v>
      </c>
    </row>
    <row r="797" spans="1:4" ht="13.2">
      <c r="A797" s="5"/>
      <c r="C797" s="5"/>
      <c r="D797" s="80">
        <f ca="1">IFERROR(__xludf.DUMMYFUNCTION("""COMPUTED_VALUE"""),0)</f>
        <v>0</v>
      </c>
    </row>
    <row r="798" spans="1:4" ht="13.2">
      <c r="A798" s="5"/>
      <c r="C798" s="5"/>
      <c r="D798" s="80">
        <f ca="1">IFERROR(__xludf.DUMMYFUNCTION("""COMPUTED_VALUE"""),0)</f>
        <v>0</v>
      </c>
    </row>
    <row r="799" spans="1:4" ht="13.2">
      <c r="A799" s="5"/>
      <c r="C799" s="5"/>
      <c r="D799" s="80">
        <f ca="1">IFERROR(__xludf.DUMMYFUNCTION("""COMPUTED_VALUE"""),0)</f>
        <v>0</v>
      </c>
    </row>
    <row r="800" spans="1:4" ht="13.2">
      <c r="A800" s="5"/>
      <c r="C800" s="5"/>
      <c r="D800" s="80">
        <f ca="1">IFERROR(__xludf.DUMMYFUNCTION("""COMPUTED_VALUE"""),0)</f>
        <v>0</v>
      </c>
    </row>
    <row r="801" spans="1:4" ht="13.2">
      <c r="A801" s="5"/>
      <c r="C801" s="5"/>
      <c r="D801" s="80">
        <f ca="1">IFERROR(__xludf.DUMMYFUNCTION("""COMPUTED_VALUE"""),0)</f>
        <v>0</v>
      </c>
    </row>
    <row r="802" spans="1:4" ht="13.2">
      <c r="A802" s="5"/>
      <c r="C802" s="5"/>
      <c r="D802" s="80">
        <f ca="1">IFERROR(__xludf.DUMMYFUNCTION("""COMPUTED_VALUE"""),0)</f>
        <v>0</v>
      </c>
    </row>
    <row r="803" spans="1:4" ht="13.2">
      <c r="A803" s="5"/>
      <c r="C803" s="5"/>
      <c r="D803" s="80">
        <f ca="1">IFERROR(__xludf.DUMMYFUNCTION("""COMPUTED_VALUE"""),0)</f>
        <v>0</v>
      </c>
    </row>
    <row r="804" spans="1:4" ht="13.2">
      <c r="A804" s="5"/>
      <c r="C804" s="5"/>
      <c r="D804" s="80">
        <f ca="1">IFERROR(__xludf.DUMMYFUNCTION("""COMPUTED_VALUE"""),0)</f>
        <v>0</v>
      </c>
    </row>
    <row r="805" spans="1:4" ht="13.2">
      <c r="A805" s="5"/>
      <c r="C805" s="5"/>
      <c r="D805" s="80">
        <f ca="1">IFERROR(__xludf.DUMMYFUNCTION("""COMPUTED_VALUE"""),0)</f>
        <v>0</v>
      </c>
    </row>
    <row r="806" spans="1:4" ht="13.2">
      <c r="A806" s="5"/>
      <c r="C806" s="5"/>
      <c r="D806" s="80">
        <f ca="1">IFERROR(__xludf.DUMMYFUNCTION("""COMPUTED_VALUE"""),0)</f>
        <v>0</v>
      </c>
    </row>
    <row r="807" spans="1:4" ht="13.2">
      <c r="A807" s="5"/>
      <c r="C807" s="5"/>
      <c r="D807" s="80">
        <f ca="1">IFERROR(__xludf.DUMMYFUNCTION("""COMPUTED_VALUE"""),0)</f>
        <v>0</v>
      </c>
    </row>
    <row r="808" spans="1:4" ht="13.2">
      <c r="A808" s="5"/>
      <c r="C808" s="5"/>
      <c r="D808" s="80">
        <f ca="1">IFERROR(__xludf.DUMMYFUNCTION("""COMPUTED_VALUE"""),0)</f>
        <v>0</v>
      </c>
    </row>
    <row r="809" spans="1:4" ht="13.2">
      <c r="A809" s="5"/>
      <c r="C809" s="5"/>
      <c r="D809" s="80">
        <f ca="1">IFERROR(__xludf.DUMMYFUNCTION("""COMPUTED_VALUE"""),0)</f>
        <v>0</v>
      </c>
    </row>
    <row r="810" spans="1:4" ht="13.2">
      <c r="A810" s="5"/>
      <c r="C810" s="5"/>
      <c r="D810" s="80">
        <f ca="1">IFERROR(__xludf.DUMMYFUNCTION("""COMPUTED_VALUE"""),0)</f>
        <v>0</v>
      </c>
    </row>
    <row r="811" spans="1:4" ht="13.2">
      <c r="A811" s="5"/>
      <c r="C811" s="5"/>
      <c r="D811" s="80">
        <f ca="1">IFERROR(__xludf.DUMMYFUNCTION("""COMPUTED_VALUE"""),0)</f>
        <v>0</v>
      </c>
    </row>
    <row r="812" spans="1:4" ht="13.2">
      <c r="A812" s="5"/>
      <c r="C812" s="5"/>
      <c r="D812" s="80">
        <f ca="1">IFERROR(__xludf.DUMMYFUNCTION("""COMPUTED_VALUE"""),0)</f>
        <v>0</v>
      </c>
    </row>
    <row r="813" spans="1:4" ht="13.2">
      <c r="A813" s="5"/>
      <c r="C813" s="5"/>
      <c r="D813" s="80">
        <f ca="1">IFERROR(__xludf.DUMMYFUNCTION("""COMPUTED_VALUE"""),0)</f>
        <v>0</v>
      </c>
    </row>
    <row r="814" spans="1:4" ht="13.2">
      <c r="A814" s="5"/>
      <c r="C814" s="5"/>
      <c r="D814" s="80">
        <f ca="1">IFERROR(__xludf.DUMMYFUNCTION("""COMPUTED_VALUE"""),0)</f>
        <v>0</v>
      </c>
    </row>
    <row r="815" spans="1:4" ht="13.2">
      <c r="A815" s="5"/>
      <c r="C815" s="5"/>
      <c r="D815" s="80">
        <f ca="1">IFERROR(__xludf.DUMMYFUNCTION("""COMPUTED_VALUE"""),0)</f>
        <v>0</v>
      </c>
    </row>
    <row r="816" spans="1:4" ht="13.2">
      <c r="A816" s="5"/>
      <c r="C816" s="5"/>
      <c r="D816" s="80">
        <f ca="1">IFERROR(__xludf.DUMMYFUNCTION("""COMPUTED_VALUE"""),0)</f>
        <v>0</v>
      </c>
    </row>
    <row r="817" spans="1:4" ht="13.2">
      <c r="A817" s="5"/>
      <c r="C817" s="5"/>
      <c r="D817" s="80">
        <f ca="1">IFERROR(__xludf.DUMMYFUNCTION("""COMPUTED_VALUE"""),0)</f>
        <v>0</v>
      </c>
    </row>
    <row r="818" spans="1:4" ht="13.2">
      <c r="A818" s="5"/>
      <c r="C818" s="5"/>
      <c r="D818" s="80">
        <f ca="1">IFERROR(__xludf.DUMMYFUNCTION("""COMPUTED_VALUE"""),0)</f>
        <v>0</v>
      </c>
    </row>
    <row r="819" spans="1:4" ht="13.2">
      <c r="A819" s="5"/>
      <c r="C819" s="5"/>
      <c r="D819" s="80">
        <f ca="1">IFERROR(__xludf.DUMMYFUNCTION("""COMPUTED_VALUE"""),0)</f>
        <v>0</v>
      </c>
    </row>
    <row r="820" spans="1:4" ht="13.2">
      <c r="A820" s="5"/>
      <c r="C820" s="5"/>
      <c r="D820" s="80">
        <f ca="1">IFERROR(__xludf.DUMMYFUNCTION("""COMPUTED_VALUE"""),0)</f>
        <v>0</v>
      </c>
    </row>
    <row r="821" spans="1:4" ht="13.2">
      <c r="A821" s="5"/>
      <c r="C821" s="5"/>
      <c r="D821" s="80">
        <f ca="1">IFERROR(__xludf.DUMMYFUNCTION("""COMPUTED_VALUE"""),0)</f>
        <v>0</v>
      </c>
    </row>
    <row r="822" spans="1:4" ht="13.2">
      <c r="A822" s="5"/>
      <c r="C822" s="5"/>
      <c r="D822" s="80">
        <f ca="1">IFERROR(__xludf.DUMMYFUNCTION("""COMPUTED_VALUE"""),0)</f>
        <v>0</v>
      </c>
    </row>
    <row r="823" spans="1:4" ht="13.2">
      <c r="A823" s="5"/>
      <c r="C823" s="5"/>
      <c r="D823" s="80">
        <f ca="1">IFERROR(__xludf.DUMMYFUNCTION("""COMPUTED_VALUE"""),0)</f>
        <v>0</v>
      </c>
    </row>
    <row r="824" spans="1:4" ht="13.2">
      <c r="A824" s="5"/>
      <c r="C824" s="5"/>
      <c r="D824" s="80">
        <f ca="1">IFERROR(__xludf.DUMMYFUNCTION("""COMPUTED_VALUE"""),0)</f>
        <v>0</v>
      </c>
    </row>
    <row r="825" spans="1:4" ht="13.2">
      <c r="A825" s="5"/>
      <c r="C825" s="5"/>
      <c r="D825" s="80">
        <f ca="1">IFERROR(__xludf.DUMMYFUNCTION("""COMPUTED_VALUE"""),0)</f>
        <v>0</v>
      </c>
    </row>
    <row r="826" spans="1:4" ht="13.2">
      <c r="A826" s="5"/>
      <c r="C826" s="5"/>
      <c r="D826" s="80">
        <f ca="1">IFERROR(__xludf.DUMMYFUNCTION("""COMPUTED_VALUE"""),0)</f>
        <v>0</v>
      </c>
    </row>
    <row r="827" spans="1:4" ht="13.2">
      <c r="A827" s="5"/>
      <c r="C827" s="5"/>
      <c r="D827" s="80">
        <f ca="1">IFERROR(__xludf.DUMMYFUNCTION("""COMPUTED_VALUE"""),0)</f>
        <v>0</v>
      </c>
    </row>
    <row r="828" spans="1:4" ht="13.2">
      <c r="A828" s="5"/>
      <c r="C828" s="5"/>
      <c r="D828" s="80">
        <f ca="1">IFERROR(__xludf.DUMMYFUNCTION("""COMPUTED_VALUE"""),0)</f>
        <v>0</v>
      </c>
    </row>
    <row r="829" spans="1:4" ht="13.2">
      <c r="A829" s="5"/>
      <c r="C829" s="5"/>
      <c r="D829" s="80">
        <f ca="1">IFERROR(__xludf.DUMMYFUNCTION("""COMPUTED_VALUE"""),0)</f>
        <v>0</v>
      </c>
    </row>
    <row r="830" spans="1:4" ht="13.2">
      <c r="A830" s="5"/>
      <c r="C830" s="5"/>
      <c r="D830" s="80">
        <f ca="1">IFERROR(__xludf.DUMMYFUNCTION("""COMPUTED_VALUE"""),0)</f>
        <v>0</v>
      </c>
    </row>
    <row r="831" spans="1:4" ht="13.2">
      <c r="A831" s="5"/>
      <c r="C831" s="5"/>
      <c r="D831" s="80">
        <f ca="1">IFERROR(__xludf.DUMMYFUNCTION("""COMPUTED_VALUE"""),0)</f>
        <v>0</v>
      </c>
    </row>
    <row r="832" spans="1:4" ht="13.2">
      <c r="A832" s="5"/>
      <c r="C832" s="5"/>
      <c r="D832" s="80">
        <f ca="1">IFERROR(__xludf.DUMMYFUNCTION("""COMPUTED_VALUE"""),0)</f>
        <v>0</v>
      </c>
    </row>
    <row r="833" spans="1:4" ht="13.2">
      <c r="A833" s="5"/>
      <c r="C833" s="5"/>
      <c r="D833" s="80">
        <f ca="1">IFERROR(__xludf.DUMMYFUNCTION("""COMPUTED_VALUE"""),0)</f>
        <v>0</v>
      </c>
    </row>
    <row r="834" spans="1:4" ht="13.2">
      <c r="A834" s="5"/>
      <c r="C834" s="5"/>
      <c r="D834" s="80">
        <f ca="1">IFERROR(__xludf.DUMMYFUNCTION("""COMPUTED_VALUE"""),0)</f>
        <v>0</v>
      </c>
    </row>
    <row r="835" spans="1:4" ht="13.2">
      <c r="A835" s="5"/>
      <c r="C835" s="5"/>
      <c r="D835" s="80">
        <f ca="1">IFERROR(__xludf.DUMMYFUNCTION("""COMPUTED_VALUE"""),0)</f>
        <v>0</v>
      </c>
    </row>
    <row r="836" spans="1:4" ht="13.2">
      <c r="A836" s="5"/>
      <c r="C836" s="5"/>
      <c r="D836" s="80">
        <f ca="1">IFERROR(__xludf.DUMMYFUNCTION("""COMPUTED_VALUE"""),0)</f>
        <v>0</v>
      </c>
    </row>
    <row r="837" spans="1:4" ht="13.2">
      <c r="A837" s="5"/>
      <c r="C837" s="5"/>
      <c r="D837" s="80">
        <f ca="1">IFERROR(__xludf.DUMMYFUNCTION("""COMPUTED_VALUE"""),0)</f>
        <v>0</v>
      </c>
    </row>
    <row r="838" spans="1:4" ht="13.2">
      <c r="A838" s="5"/>
      <c r="C838" s="5"/>
      <c r="D838" s="80">
        <f ca="1">IFERROR(__xludf.DUMMYFUNCTION("""COMPUTED_VALUE"""),0)</f>
        <v>0</v>
      </c>
    </row>
    <row r="839" spans="1:4" ht="13.2">
      <c r="A839" s="5"/>
      <c r="C839" s="5"/>
      <c r="D839" s="80">
        <f ca="1">IFERROR(__xludf.DUMMYFUNCTION("""COMPUTED_VALUE"""),0)</f>
        <v>0</v>
      </c>
    </row>
    <row r="840" spans="1:4" ht="13.2">
      <c r="A840" s="5"/>
      <c r="C840" s="5"/>
      <c r="D840" s="80">
        <f ca="1">IFERROR(__xludf.DUMMYFUNCTION("""COMPUTED_VALUE"""),0)</f>
        <v>0</v>
      </c>
    </row>
    <row r="841" spans="1:4" ht="13.2">
      <c r="A841" s="5"/>
      <c r="C841" s="5"/>
      <c r="D841" s="80">
        <f ca="1">IFERROR(__xludf.DUMMYFUNCTION("""COMPUTED_VALUE"""),0)</f>
        <v>0</v>
      </c>
    </row>
    <row r="842" spans="1:4" ht="13.2">
      <c r="A842" s="5"/>
      <c r="C842" s="5"/>
      <c r="D842" s="80">
        <f ca="1">IFERROR(__xludf.DUMMYFUNCTION("""COMPUTED_VALUE"""),0)</f>
        <v>0</v>
      </c>
    </row>
    <row r="843" spans="1:4" ht="13.2">
      <c r="A843" s="5"/>
      <c r="C843" s="5"/>
      <c r="D843" s="80">
        <f ca="1">IFERROR(__xludf.DUMMYFUNCTION("""COMPUTED_VALUE"""),0)</f>
        <v>0</v>
      </c>
    </row>
    <row r="844" spans="1:4" ht="13.2">
      <c r="A844" s="5"/>
      <c r="C844" s="5"/>
      <c r="D844" s="80">
        <f ca="1">IFERROR(__xludf.DUMMYFUNCTION("""COMPUTED_VALUE"""),0)</f>
        <v>0</v>
      </c>
    </row>
    <row r="845" spans="1:4" ht="13.2">
      <c r="A845" s="5"/>
      <c r="C845" s="5"/>
      <c r="D845" s="80">
        <f ca="1">IFERROR(__xludf.DUMMYFUNCTION("""COMPUTED_VALUE"""),0)</f>
        <v>0</v>
      </c>
    </row>
    <row r="846" spans="1:4" ht="13.2">
      <c r="A846" s="5"/>
      <c r="C846" s="5"/>
      <c r="D846" s="80">
        <f ca="1">IFERROR(__xludf.DUMMYFUNCTION("""COMPUTED_VALUE"""),0)</f>
        <v>0</v>
      </c>
    </row>
    <row r="847" spans="1:4" ht="13.2">
      <c r="A847" s="5"/>
      <c r="C847" s="5"/>
      <c r="D847" s="80">
        <f ca="1">IFERROR(__xludf.DUMMYFUNCTION("""COMPUTED_VALUE"""),0)</f>
        <v>0</v>
      </c>
    </row>
    <row r="848" spans="1:4" ht="13.2">
      <c r="A848" s="5"/>
      <c r="C848" s="5"/>
      <c r="D848" s="80">
        <f ca="1">IFERROR(__xludf.DUMMYFUNCTION("""COMPUTED_VALUE"""),0)</f>
        <v>0</v>
      </c>
    </row>
    <row r="849" spans="1:4" ht="13.2">
      <c r="A849" s="5"/>
      <c r="C849" s="5"/>
      <c r="D849" s="80">
        <f ca="1">IFERROR(__xludf.DUMMYFUNCTION("""COMPUTED_VALUE"""),0)</f>
        <v>0</v>
      </c>
    </row>
    <row r="850" spans="1:4" ht="13.2">
      <c r="A850" s="5"/>
      <c r="C850" s="5"/>
      <c r="D850" s="80">
        <f ca="1">IFERROR(__xludf.DUMMYFUNCTION("""COMPUTED_VALUE"""),0)</f>
        <v>0</v>
      </c>
    </row>
    <row r="851" spans="1:4" ht="13.2">
      <c r="A851" s="5"/>
      <c r="C851" s="5"/>
      <c r="D851" s="80">
        <f ca="1">IFERROR(__xludf.DUMMYFUNCTION("""COMPUTED_VALUE"""),0)</f>
        <v>0</v>
      </c>
    </row>
    <row r="852" spans="1:4" ht="13.2">
      <c r="A852" s="5"/>
      <c r="C852" s="5"/>
      <c r="D852" s="80">
        <f ca="1">IFERROR(__xludf.DUMMYFUNCTION("""COMPUTED_VALUE"""),0)</f>
        <v>0</v>
      </c>
    </row>
    <row r="853" spans="1:4" ht="13.2">
      <c r="A853" s="5"/>
      <c r="C853" s="5"/>
      <c r="D853" s="80">
        <f ca="1">IFERROR(__xludf.DUMMYFUNCTION("""COMPUTED_VALUE"""),0)</f>
        <v>0</v>
      </c>
    </row>
    <row r="854" spans="1:4" ht="13.2">
      <c r="A854" s="5"/>
      <c r="C854" s="5"/>
      <c r="D854" s="80">
        <f ca="1">IFERROR(__xludf.DUMMYFUNCTION("""COMPUTED_VALUE"""),0)</f>
        <v>0</v>
      </c>
    </row>
    <row r="855" spans="1:4" ht="13.2">
      <c r="A855" s="5"/>
      <c r="C855" s="5"/>
      <c r="D855" s="80">
        <f ca="1">IFERROR(__xludf.DUMMYFUNCTION("""COMPUTED_VALUE"""),0)</f>
        <v>0</v>
      </c>
    </row>
    <row r="856" spans="1:4" ht="13.2">
      <c r="A856" s="5"/>
      <c r="C856" s="5"/>
      <c r="D856" s="80">
        <f ca="1">IFERROR(__xludf.DUMMYFUNCTION("""COMPUTED_VALUE"""),0)</f>
        <v>0</v>
      </c>
    </row>
    <row r="857" spans="1:4" ht="13.2">
      <c r="A857" s="5"/>
      <c r="C857" s="5"/>
      <c r="D857" s="80">
        <f ca="1">IFERROR(__xludf.DUMMYFUNCTION("""COMPUTED_VALUE"""),0)</f>
        <v>0</v>
      </c>
    </row>
    <row r="858" spans="1:4" ht="13.2">
      <c r="A858" s="5"/>
      <c r="C858" s="5"/>
      <c r="D858" s="80">
        <f ca="1">IFERROR(__xludf.DUMMYFUNCTION("""COMPUTED_VALUE"""),0)</f>
        <v>0</v>
      </c>
    </row>
    <row r="859" spans="1:4" ht="13.2">
      <c r="A859" s="5"/>
      <c r="C859" s="5"/>
      <c r="D859" s="80">
        <f ca="1">IFERROR(__xludf.DUMMYFUNCTION("""COMPUTED_VALUE"""),0)</f>
        <v>0</v>
      </c>
    </row>
    <row r="860" spans="1:4" ht="13.2">
      <c r="A860" s="5"/>
      <c r="C860" s="5"/>
      <c r="D860" s="80">
        <f ca="1">IFERROR(__xludf.DUMMYFUNCTION("""COMPUTED_VALUE"""),0)</f>
        <v>0</v>
      </c>
    </row>
    <row r="861" spans="1:4" ht="13.2">
      <c r="A861" s="5"/>
      <c r="C861" s="5"/>
      <c r="D861" s="80">
        <f ca="1">IFERROR(__xludf.DUMMYFUNCTION("""COMPUTED_VALUE"""),0)</f>
        <v>0</v>
      </c>
    </row>
    <row r="862" spans="1:4" ht="13.2">
      <c r="A862" s="5"/>
      <c r="C862" s="5"/>
      <c r="D862" s="80">
        <f ca="1">IFERROR(__xludf.DUMMYFUNCTION("""COMPUTED_VALUE"""),0)</f>
        <v>0</v>
      </c>
    </row>
    <row r="863" spans="1:4" ht="13.2">
      <c r="A863" s="5"/>
      <c r="C863" s="5"/>
      <c r="D863" s="80">
        <f ca="1">IFERROR(__xludf.DUMMYFUNCTION("""COMPUTED_VALUE"""),0)</f>
        <v>0</v>
      </c>
    </row>
    <row r="864" spans="1:4" ht="13.2">
      <c r="A864" s="5"/>
      <c r="C864" s="5"/>
      <c r="D864" s="80">
        <f ca="1">IFERROR(__xludf.DUMMYFUNCTION("""COMPUTED_VALUE"""),0)</f>
        <v>0</v>
      </c>
    </row>
    <row r="865" spans="1:4" ht="13.2">
      <c r="A865" s="5"/>
      <c r="C865" s="5"/>
      <c r="D865" s="80">
        <f ca="1">IFERROR(__xludf.DUMMYFUNCTION("""COMPUTED_VALUE"""),0)</f>
        <v>0</v>
      </c>
    </row>
    <row r="866" spans="1:4" ht="13.2">
      <c r="A866" s="5"/>
      <c r="C866" s="5"/>
      <c r="D866" s="80">
        <f ca="1">IFERROR(__xludf.DUMMYFUNCTION("""COMPUTED_VALUE"""),0)</f>
        <v>0</v>
      </c>
    </row>
    <row r="867" spans="1:4" ht="13.2">
      <c r="A867" s="5"/>
      <c r="C867" s="5"/>
      <c r="D867" s="80">
        <f ca="1">IFERROR(__xludf.DUMMYFUNCTION("""COMPUTED_VALUE"""),0)</f>
        <v>0</v>
      </c>
    </row>
    <row r="868" spans="1:4" ht="13.2">
      <c r="A868" s="5"/>
      <c r="C868" s="5"/>
      <c r="D868" s="80">
        <f ca="1">IFERROR(__xludf.DUMMYFUNCTION("""COMPUTED_VALUE"""),0)</f>
        <v>0</v>
      </c>
    </row>
    <row r="869" spans="1:4" ht="13.2">
      <c r="A869" s="5"/>
      <c r="C869" s="5"/>
      <c r="D869" s="80">
        <f ca="1">IFERROR(__xludf.DUMMYFUNCTION("""COMPUTED_VALUE"""),0)</f>
        <v>0</v>
      </c>
    </row>
    <row r="870" spans="1:4" ht="13.2">
      <c r="A870" s="5"/>
      <c r="C870" s="5"/>
      <c r="D870" s="80">
        <f ca="1">IFERROR(__xludf.DUMMYFUNCTION("""COMPUTED_VALUE"""),0)</f>
        <v>0</v>
      </c>
    </row>
    <row r="871" spans="1:4" ht="13.2">
      <c r="A871" s="5"/>
      <c r="C871" s="5"/>
      <c r="D871" s="80">
        <f ca="1">IFERROR(__xludf.DUMMYFUNCTION("""COMPUTED_VALUE"""),0)</f>
        <v>0</v>
      </c>
    </row>
    <row r="872" spans="1:4" ht="13.2">
      <c r="A872" s="5"/>
      <c r="C872" s="5"/>
      <c r="D872" s="80">
        <f ca="1">IFERROR(__xludf.DUMMYFUNCTION("""COMPUTED_VALUE"""),0)</f>
        <v>0</v>
      </c>
    </row>
    <row r="873" spans="1:4" ht="13.2">
      <c r="A873" s="5"/>
      <c r="C873" s="5"/>
      <c r="D873" s="80">
        <f ca="1">IFERROR(__xludf.DUMMYFUNCTION("""COMPUTED_VALUE"""),0)</f>
        <v>0</v>
      </c>
    </row>
    <row r="874" spans="1:4" ht="13.2">
      <c r="A874" s="5"/>
      <c r="C874" s="5"/>
      <c r="D874" s="80">
        <f ca="1">IFERROR(__xludf.DUMMYFUNCTION("""COMPUTED_VALUE"""),0)</f>
        <v>0</v>
      </c>
    </row>
    <row r="875" spans="1:4" ht="13.2">
      <c r="A875" s="5"/>
      <c r="C875" s="5"/>
      <c r="D875" s="80">
        <f ca="1">IFERROR(__xludf.DUMMYFUNCTION("""COMPUTED_VALUE"""),0)</f>
        <v>0</v>
      </c>
    </row>
    <row r="876" spans="1:4" ht="13.2">
      <c r="A876" s="5"/>
      <c r="C876" s="5"/>
      <c r="D876" s="80">
        <f ca="1">IFERROR(__xludf.DUMMYFUNCTION("""COMPUTED_VALUE"""),0)</f>
        <v>0</v>
      </c>
    </row>
    <row r="877" spans="1:4" ht="13.2">
      <c r="A877" s="5"/>
      <c r="C877" s="5"/>
      <c r="D877" s="80">
        <f ca="1">IFERROR(__xludf.DUMMYFUNCTION("""COMPUTED_VALUE"""),0)</f>
        <v>0</v>
      </c>
    </row>
    <row r="878" spans="1:4" ht="13.2">
      <c r="A878" s="5"/>
      <c r="C878" s="5"/>
      <c r="D878" s="80">
        <f ca="1">IFERROR(__xludf.DUMMYFUNCTION("""COMPUTED_VALUE"""),0)</f>
        <v>0</v>
      </c>
    </row>
    <row r="879" spans="1:4" ht="13.2">
      <c r="A879" s="5"/>
      <c r="C879" s="5"/>
      <c r="D879" s="80">
        <f ca="1">IFERROR(__xludf.DUMMYFUNCTION("""COMPUTED_VALUE"""),0)</f>
        <v>0</v>
      </c>
    </row>
    <row r="880" spans="1:4" ht="13.2">
      <c r="A880" s="5"/>
      <c r="C880" s="5"/>
      <c r="D880" s="80">
        <f ca="1">IFERROR(__xludf.DUMMYFUNCTION("""COMPUTED_VALUE"""),0)</f>
        <v>0</v>
      </c>
    </row>
    <row r="881" spans="1:4" ht="13.2">
      <c r="A881" s="5"/>
      <c r="C881" s="5"/>
      <c r="D881" s="80">
        <f ca="1">IFERROR(__xludf.DUMMYFUNCTION("""COMPUTED_VALUE"""),0)</f>
        <v>0</v>
      </c>
    </row>
    <row r="882" spans="1:4" ht="13.2">
      <c r="A882" s="5"/>
      <c r="C882" s="5"/>
      <c r="D882" s="80">
        <f ca="1">IFERROR(__xludf.DUMMYFUNCTION("""COMPUTED_VALUE"""),0)</f>
        <v>0</v>
      </c>
    </row>
    <row r="883" spans="1:4" ht="13.2">
      <c r="A883" s="5"/>
      <c r="C883" s="5"/>
      <c r="D883" s="80">
        <f ca="1">IFERROR(__xludf.DUMMYFUNCTION("""COMPUTED_VALUE"""),0)</f>
        <v>0</v>
      </c>
    </row>
    <row r="884" spans="1:4" ht="13.2">
      <c r="A884" s="5"/>
      <c r="C884" s="5"/>
      <c r="D884" s="80">
        <f ca="1">IFERROR(__xludf.DUMMYFUNCTION("""COMPUTED_VALUE"""),0)</f>
        <v>0</v>
      </c>
    </row>
    <row r="885" spans="1:4" ht="13.2">
      <c r="A885" s="5"/>
      <c r="C885" s="5"/>
      <c r="D885" s="80">
        <f ca="1">IFERROR(__xludf.DUMMYFUNCTION("""COMPUTED_VALUE"""),0)</f>
        <v>0</v>
      </c>
    </row>
    <row r="886" spans="1:4" ht="13.2">
      <c r="A886" s="5"/>
      <c r="C886" s="5"/>
      <c r="D886" s="80">
        <f ca="1">IFERROR(__xludf.DUMMYFUNCTION("""COMPUTED_VALUE"""),0)</f>
        <v>0</v>
      </c>
    </row>
    <row r="887" spans="1:4" ht="13.2">
      <c r="A887" s="5"/>
      <c r="C887" s="5"/>
      <c r="D887" s="80">
        <f ca="1">IFERROR(__xludf.DUMMYFUNCTION("""COMPUTED_VALUE"""),0)</f>
        <v>0</v>
      </c>
    </row>
    <row r="888" spans="1:4" ht="13.2">
      <c r="A888" s="5"/>
      <c r="C888" s="5"/>
      <c r="D888" s="80">
        <f ca="1">IFERROR(__xludf.DUMMYFUNCTION("""COMPUTED_VALUE"""),0)</f>
        <v>0</v>
      </c>
    </row>
    <row r="889" spans="1:4" ht="13.2">
      <c r="A889" s="5"/>
      <c r="C889" s="5"/>
      <c r="D889" s="80">
        <f ca="1">IFERROR(__xludf.DUMMYFUNCTION("""COMPUTED_VALUE"""),0)</f>
        <v>0</v>
      </c>
    </row>
    <row r="890" spans="1:4" ht="13.2">
      <c r="A890" s="5"/>
      <c r="C890" s="5"/>
      <c r="D890" s="80">
        <f ca="1">IFERROR(__xludf.DUMMYFUNCTION("""COMPUTED_VALUE"""),0)</f>
        <v>0</v>
      </c>
    </row>
    <row r="891" spans="1:4" ht="13.2">
      <c r="A891" s="5"/>
      <c r="C891" s="5"/>
      <c r="D891" s="80">
        <f ca="1">IFERROR(__xludf.DUMMYFUNCTION("""COMPUTED_VALUE"""),0)</f>
        <v>0</v>
      </c>
    </row>
    <row r="892" spans="1:4" ht="13.2">
      <c r="A892" s="5"/>
      <c r="C892" s="5"/>
      <c r="D892" s="80">
        <f ca="1">IFERROR(__xludf.DUMMYFUNCTION("""COMPUTED_VALUE"""),0)</f>
        <v>0</v>
      </c>
    </row>
    <row r="893" spans="1:4" ht="13.2">
      <c r="A893" s="5"/>
      <c r="C893" s="5"/>
      <c r="D893" s="80">
        <f ca="1">IFERROR(__xludf.DUMMYFUNCTION("""COMPUTED_VALUE"""),0)</f>
        <v>0</v>
      </c>
    </row>
    <row r="894" spans="1:4" ht="13.2">
      <c r="A894" s="5"/>
      <c r="C894" s="5"/>
      <c r="D894" s="80">
        <f ca="1">IFERROR(__xludf.DUMMYFUNCTION("""COMPUTED_VALUE"""),0)</f>
        <v>0</v>
      </c>
    </row>
    <row r="895" spans="1:4" ht="13.2">
      <c r="A895" s="5"/>
      <c r="C895" s="5"/>
      <c r="D895" s="80">
        <f ca="1">IFERROR(__xludf.DUMMYFUNCTION("""COMPUTED_VALUE"""),0)</f>
        <v>0</v>
      </c>
    </row>
    <row r="896" spans="1:4" ht="13.2">
      <c r="A896" s="5"/>
      <c r="C896" s="5"/>
      <c r="D896" s="80">
        <f ca="1">IFERROR(__xludf.DUMMYFUNCTION("""COMPUTED_VALUE"""),0)</f>
        <v>0</v>
      </c>
    </row>
    <row r="897" spans="1:4" ht="13.2">
      <c r="A897" s="5"/>
      <c r="C897" s="5"/>
      <c r="D897" s="80">
        <f ca="1">IFERROR(__xludf.DUMMYFUNCTION("""COMPUTED_VALUE"""),0)</f>
        <v>0</v>
      </c>
    </row>
    <row r="898" spans="1:4" ht="13.2">
      <c r="A898" s="5"/>
      <c r="C898" s="5"/>
      <c r="D898" s="80">
        <f ca="1">IFERROR(__xludf.DUMMYFUNCTION("""COMPUTED_VALUE"""),0)</f>
        <v>0</v>
      </c>
    </row>
    <row r="899" spans="1:4" ht="13.2">
      <c r="A899" s="5"/>
      <c r="C899" s="5"/>
      <c r="D899" s="80">
        <f ca="1">IFERROR(__xludf.DUMMYFUNCTION("""COMPUTED_VALUE"""),0)</f>
        <v>0</v>
      </c>
    </row>
    <row r="900" spans="1:4" ht="13.2">
      <c r="A900" s="5"/>
      <c r="C900" s="5"/>
      <c r="D900" s="80">
        <f ca="1">IFERROR(__xludf.DUMMYFUNCTION("""COMPUTED_VALUE"""),0)</f>
        <v>0</v>
      </c>
    </row>
    <row r="901" spans="1:4" ht="13.2">
      <c r="A901" s="5"/>
      <c r="C901" s="5"/>
      <c r="D901" s="80">
        <f ca="1">IFERROR(__xludf.DUMMYFUNCTION("""COMPUTED_VALUE"""),0)</f>
        <v>0</v>
      </c>
    </row>
    <row r="902" spans="1:4" ht="13.2">
      <c r="A902" s="5"/>
      <c r="C902" s="5"/>
      <c r="D902" s="80">
        <f ca="1">IFERROR(__xludf.DUMMYFUNCTION("""COMPUTED_VALUE"""),0)</f>
        <v>0</v>
      </c>
    </row>
    <row r="903" spans="1:4" ht="13.2">
      <c r="A903" s="5"/>
      <c r="C903" s="5"/>
      <c r="D903" s="80">
        <f ca="1">IFERROR(__xludf.DUMMYFUNCTION("""COMPUTED_VALUE"""),0)</f>
        <v>0</v>
      </c>
    </row>
    <row r="904" spans="1:4" ht="13.2">
      <c r="A904" s="5"/>
      <c r="C904" s="5"/>
      <c r="D904" s="80">
        <f ca="1">IFERROR(__xludf.DUMMYFUNCTION("""COMPUTED_VALUE"""),0)</f>
        <v>0</v>
      </c>
    </row>
    <row r="905" spans="1:4" ht="13.2">
      <c r="A905" s="5"/>
      <c r="C905" s="5"/>
      <c r="D905" s="80">
        <f ca="1">IFERROR(__xludf.DUMMYFUNCTION("""COMPUTED_VALUE"""),0)</f>
        <v>0</v>
      </c>
    </row>
    <row r="906" spans="1:4" ht="13.2">
      <c r="A906" s="5"/>
      <c r="C906" s="5"/>
      <c r="D906" s="80">
        <f ca="1">IFERROR(__xludf.DUMMYFUNCTION("""COMPUTED_VALUE"""),0)</f>
        <v>0</v>
      </c>
    </row>
    <row r="907" spans="1:4" ht="13.2">
      <c r="A907" s="5"/>
      <c r="C907" s="5"/>
      <c r="D907" s="80">
        <f ca="1">IFERROR(__xludf.DUMMYFUNCTION("""COMPUTED_VALUE"""),0)</f>
        <v>0</v>
      </c>
    </row>
    <row r="908" spans="1:4" ht="13.2">
      <c r="A908" s="5"/>
      <c r="C908" s="5"/>
      <c r="D908" s="80">
        <f ca="1">IFERROR(__xludf.DUMMYFUNCTION("""COMPUTED_VALUE"""),0)</f>
        <v>0</v>
      </c>
    </row>
    <row r="909" spans="1:4" ht="13.2">
      <c r="A909" s="5"/>
      <c r="C909" s="5"/>
      <c r="D909" s="80">
        <f ca="1">IFERROR(__xludf.DUMMYFUNCTION("""COMPUTED_VALUE"""),0)</f>
        <v>0</v>
      </c>
    </row>
    <row r="910" spans="1:4" ht="13.2">
      <c r="A910" s="5"/>
      <c r="C910" s="5"/>
      <c r="D910" s="80">
        <f ca="1">IFERROR(__xludf.DUMMYFUNCTION("""COMPUTED_VALUE"""),0)</f>
        <v>0</v>
      </c>
    </row>
    <row r="911" spans="1:4" ht="13.2">
      <c r="A911" s="5"/>
      <c r="C911" s="5"/>
      <c r="D911" s="80">
        <f ca="1">IFERROR(__xludf.DUMMYFUNCTION("""COMPUTED_VALUE"""),0)</f>
        <v>0</v>
      </c>
    </row>
    <row r="912" spans="1:4" ht="13.2">
      <c r="A912" s="5"/>
      <c r="C912" s="5"/>
      <c r="D912" s="80">
        <f ca="1">IFERROR(__xludf.DUMMYFUNCTION("""COMPUTED_VALUE"""),0)</f>
        <v>0</v>
      </c>
    </row>
    <row r="913" spans="1:4" ht="13.2">
      <c r="A913" s="5"/>
      <c r="C913" s="5"/>
      <c r="D913" s="80">
        <f ca="1">IFERROR(__xludf.DUMMYFUNCTION("""COMPUTED_VALUE"""),0)</f>
        <v>0</v>
      </c>
    </row>
    <row r="914" spans="1:4" ht="13.2">
      <c r="A914" s="5"/>
      <c r="C914" s="5"/>
      <c r="D914" s="80">
        <f ca="1">IFERROR(__xludf.DUMMYFUNCTION("""COMPUTED_VALUE"""),0)</f>
        <v>0</v>
      </c>
    </row>
    <row r="915" spans="1:4" ht="13.2">
      <c r="A915" s="5"/>
      <c r="C915" s="5"/>
      <c r="D915" s="80">
        <f ca="1">IFERROR(__xludf.DUMMYFUNCTION("""COMPUTED_VALUE"""),0)</f>
        <v>0</v>
      </c>
    </row>
    <row r="916" spans="1:4" ht="13.2">
      <c r="A916" s="5"/>
      <c r="C916" s="5"/>
      <c r="D916" s="80">
        <f ca="1">IFERROR(__xludf.DUMMYFUNCTION("""COMPUTED_VALUE"""),0)</f>
        <v>0</v>
      </c>
    </row>
    <row r="917" spans="1:4" ht="13.2">
      <c r="A917" s="5"/>
      <c r="C917" s="5"/>
      <c r="D917" s="80">
        <f ca="1">IFERROR(__xludf.DUMMYFUNCTION("""COMPUTED_VALUE"""),0)</f>
        <v>0</v>
      </c>
    </row>
    <row r="918" spans="1:4" ht="13.2">
      <c r="A918" s="5"/>
      <c r="C918" s="5"/>
      <c r="D918" s="80">
        <f ca="1">IFERROR(__xludf.DUMMYFUNCTION("""COMPUTED_VALUE"""),0)</f>
        <v>0</v>
      </c>
    </row>
    <row r="919" spans="1:4" ht="13.2">
      <c r="A919" s="5"/>
      <c r="C919" s="5"/>
      <c r="D919" s="80">
        <f ca="1">IFERROR(__xludf.DUMMYFUNCTION("""COMPUTED_VALUE"""),0)</f>
        <v>0</v>
      </c>
    </row>
    <row r="920" spans="1:4" ht="13.2">
      <c r="A920" s="5"/>
      <c r="C920" s="5"/>
      <c r="D920" s="80">
        <f ca="1">IFERROR(__xludf.DUMMYFUNCTION("""COMPUTED_VALUE"""),0)</f>
        <v>0</v>
      </c>
    </row>
    <row r="921" spans="1:4" ht="13.2">
      <c r="A921" s="5"/>
      <c r="C921" s="5"/>
      <c r="D921" s="80">
        <f ca="1">IFERROR(__xludf.DUMMYFUNCTION("""COMPUTED_VALUE"""),0)</f>
        <v>0</v>
      </c>
    </row>
    <row r="922" spans="1:4" ht="13.2">
      <c r="A922" s="5"/>
      <c r="C922" s="5"/>
      <c r="D922" s="80">
        <f ca="1">IFERROR(__xludf.DUMMYFUNCTION("""COMPUTED_VALUE"""),0)</f>
        <v>0</v>
      </c>
    </row>
    <row r="923" spans="1:4" ht="13.2">
      <c r="A923" s="5"/>
      <c r="C923" s="5"/>
      <c r="D923" s="80">
        <f ca="1">IFERROR(__xludf.DUMMYFUNCTION("""COMPUTED_VALUE"""),0)</f>
        <v>0</v>
      </c>
    </row>
    <row r="924" spans="1:4" ht="13.2">
      <c r="A924" s="5"/>
      <c r="C924" s="5"/>
      <c r="D924" s="80">
        <f ca="1">IFERROR(__xludf.DUMMYFUNCTION("""COMPUTED_VALUE"""),0)</f>
        <v>0</v>
      </c>
    </row>
    <row r="925" spans="1:4" ht="13.2">
      <c r="A925" s="5"/>
      <c r="C925" s="5"/>
      <c r="D925" s="80">
        <f ca="1">IFERROR(__xludf.DUMMYFUNCTION("""COMPUTED_VALUE"""),0)</f>
        <v>0</v>
      </c>
    </row>
    <row r="926" spans="1:4" ht="13.2">
      <c r="A926" s="5"/>
      <c r="C926" s="5"/>
      <c r="D926" s="80">
        <f ca="1">IFERROR(__xludf.DUMMYFUNCTION("""COMPUTED_VALUE"""),0)</f>
        <v>0</v>
      </c>
    </row>
    <row r="927" spans="1:4" ht="13.2">
      <c r="A927" s="5"/>
      <c r="C927" s="5"/>
      <c r="D927" s="80">
        <f ca="1">IFERROR(__xludf.DUMMYFUNCTION("""COMPUTED_VALUE"""),0)</f>
        <v>0</v>
      </c>
    </row>
    <row r="928" spans="1:4" ht="13.2">
      <c r="A928" s="5"/>
      <c r="C928" s="5"/>
      <c r="D928" s="80">
        <f ca="1">IFERROR(__xludf.DUMMYFUNCTION("""COMPUTED_VALUE"""),0)</f>
        <v>0</v>
      </c>
    </row>
    <row r="929" spans="1:4" ht="13.2">
      <c r="A929" s="5"/>
      <c r="C929" s="5"/>
      <c r="D929" s="80">
        <f ca="1">IFERROR(__xludf.DUMMYFUNCTION("""COMPUTED_VALUE"""),0)</f>
        <v>0</v>
      </c>
    </row>
    <row r="930" spans="1:4" ht="13.2">
      <c r="A930" s="5"/>
      <c r="C930" s="5"/>
      <c r="D930" s="80">
        <f ca="1">IFERROR(__xludf.DUMMYFUNCTION("""COMPUTED_VALUE"""),0)</f>
        <v>0</v>
      </c>
    </row>
    <row r="931" spans="1:4" ht="13.2">
      <c r="A931" s="5"/>
      <c r="C931" s="5"/>
      <c r="D931" s="80">
        <f ca="1">IFERROR(__xludf.DUMMYFUNCTION("""COMPUTED_VALUE"""),0)</f>
        <v>0</v>
      </c>
    </row>
    <row r="932" spans="1:4" ht="13.2">
      <c r="A932" s="5"/>
      <c r="C932" s="5"/>
      <c r="D932" s="80">
        <f ca="1">IFERROR(__xludf.DUMMYFUNCTION("""COMPUTED_VALUE"""),0)</f>
        <v>0</v>
      </c>
    </row>
    <row r="933" spans="1:4" ht="13.2">
      <c r="A933" s="5"/>
      <c r="C933" s="5"/>
      <c r="D933" s="80">
        <f ca="1">IFERROR(__xludf.DUMMYFUNCTION("""COMPUTED_VALUE"""),0)</f>
        <v>0</v>
      </c>
    </row>
    <row r="934" spans="1:4" ht="13.2">
      <c r="A934" s="5"/>
      <c r="C934" s="5"/>
      <c r="D934" s="80">
        <f ca="1">IFERROR(__xludf.DUMMYFUNCTION("""COMPUTED_VALUE"""),0)</f>
        <v>0</v>
      </c>
    </row>
    <row r="935" spans="1:4" ht="13.2">
      <c r="A935" s="5"/>
      <c r="C935" s="5"/>
      <c r="D935" s="80">
        <f ca="1">IFERROR(__xludf.DUMMYFUNCTION("""COMPUTED_VALUE"""),0)</f>
        <v>0</v>
      </c>
    </row>
    <row r="936" spans="1:4" ht="13.2">
      <c r="A936" s="5"/>
      <c r="C936" s="5"/>
      <c r="D936" s="80">
        <f ca="1">IFERROR(__xludf.DUMMYFUNCTION("""COMPUTED_VALUE"""),0)</f>
        <v>0</v>
      </c>
    </row>
    <row r="937" spans="1:4" ht="13.2">
      <c r="A937" s="5"/>
      <c r="C937" s="5"/>
      <c r="D937" s="80">
        <f ca="1">IFERROR(__xludf.DUMMYFUNCTION("""COMPUTED_VALUE"""),0)</f>
        <v>0</v>
      </c>
    </row>
    <row r="938" spans="1:4" ht="13.2">
      <c r="A938" s="5"/>
      <c r="C938" s="5"/>
      <c r="D938" s="80">
        <f ca="1">IFERROR(__xludf.DUMMYFUNCTION("""COMPUTED_VALUE"""),0)</f>
        <v>0</v>
      </c>
    </row>
    <row r="939" spans="1:4" ht="13.2">
      <c r="A939" s="5"/>
      <c r="C939" s="5"/>
      <c r="D939" s="80">
        <f ca="1">IFERROR(__xludf.DUMMYFUNCTION("""COMPUTED_VALUE"""),0)</f>
        <v>0</v>
      </c>
    </row>
    <row r="940" spans="1:4" ht="13.2">
      <c r="A940" s="5"/>
      <c r="C940" s="5"/>
      <c r="D940" s="80">
        <f ca="1">IFERROR(__xludf.DUMMYFUNCTION("""COMPUTED_VALUE"""),0)</f>
        <v>0</v>
      </c>
    </row>
    <row r="941" spans="1:4" ht="13.2">
      <c r="A941" s="5"/>
      <c r="C941" s="5"/>
      <c r="D941" s="80">
        <f ca="1">IFERROR(__xludf.DUMMYFUNCTION("""COMPUTED_VALUE"""),0)</f>
        <v>0</v>
      </c>
    </row>
    <row r="942" spans="1:4" ht="13.2">
      <c r="A942" s="5"/>
      <c r="C942" s="5"/>
      <c r="D942" s="80">
        <f ca="1">IFERROR(__xludf.DUMMYFUNCTION("""COMPUTED_VALUE"""),0)</f>
        <v>0</v>
      </c>
    </row>
    <row r="943" spans="1:4" ht="13.2">
      <c r="A943" s="5"/>
      <c r="C943" s="5"/>
      <c r="D943" s="80">
        <f ca="1">IFERROR(__xludf.DUMMYFUNCTION("""COMPUTED_VALUE"""),0)</f>
        <v>0</v>
      </c>
    </row>
    <row r="944" spans="1:4" ht="13.2">
      <c r="A944" s="5"/>
      <c r="C944" s="5"/>
      <c r="D944" s="80">
        <f ca="1">IFERROR(__xludf.DUMMYFUNCTION("""COMPUTED_VALUE"""),0)</f>
        <v>0</v>
      </c>
    </row>
    <row r="945" spans="1:4" ht="13.2">
      <c r="A945" s="5"/>
      <c r="C945" s="5"/>
      <c r="D945" s="80">
        <f ca="1">IFERROR(__xludf.DUMMYFUNCTION("""COMPUTED_VALUE"""),0)</f>
        <v>0</v>
      </c>
    </row>
    <row r="946" spans="1:4" ht="13.2">
      <c r="A946" s="5"/>
      <c r="C946" s="5"/>
      <c r="D946" s="80">
        <f ca="1">IFERROR(__xludf.DUMMYFUNCTION("""COMPUTED_VALUE"""),0)</f>
        <v>0</v>
      </c>
    </row>
    <row r="947" spans="1:4" ht="13.2">
      <c r="A947" s="5"/>
      <c r="C947" s="5"/>
      <c r="D947" s="80">
        <f ca="1">IFERROR(__xludf.DUMMYFUNCTION("""COMPUTED_VALUE"""),0)</f>
        <v>0</v>
      </c>
    </row>
    <row r="948" spans="1:4" ht="13.2">
      <c r="A948" s="5"/>
      <c r="C948" s="5"/>
      <c r="D948" s="80">
        <f ca="1">IFERROR(__xludf.DUMMYFUNCTION("""COMPUTED_VALUE"""),0)</f>
        <v>0</v>
      </c>
    </row>
    <row r="949" spans="1:4" ht="13.2">
      <c r="A949" s="5"/>
      <c r="C949" s="5"/>
      <c r="D949" s="80">
        <f ca="1">IFERROR(__xludf.DUMMYFUNCTION("""COMPUTED_VALUE"""),0)</f>
        <v>0</v>
      </c>
    </row>
    <row r="950" spans="1:4" ht="13.2">
      <c r="A950" s="5"/>
      <c r="C950" s="5"/>
      <c r="D950" s="80">
        <f ca="1">IFERROR(__xludf.DUMMYFUNCTION("""COMPUTED_VALUE"""),0)</f>
        <v>0</v>
      </c>
    </row>
    <row r="951" spans="1:4" ht="13.2">
      <c r="A951" s="5"/>
      <c r="C951" s="5"/>
      <c r="D951" s="80">
        <f ca="1">IFERROR(__xludf.DUMMYFUNCTION("""COMPUTED_VALUE"""),0)</f>
        <v>0</v>
      </c>
    </row>
    <row r="952" spans="1:4" ht="13.2">
      <c r="A952" s="5"/>
      <c r="C952" s="5"/>
      <c r="D952" s="80">
        <f ca="1">IFERROR(__xludf.DUMMYFUNCTION("""COMPUTED_VALUE"""),0)</f>
        <v>0</v>
      </c>
    </row>
    <row r="953" spans="1:4" ht="13.2">
      <c r="A953" s="5"/>
      <c r="C953" s="5"/>
      <c r="D953" s="80">
        <f ca="1">IFERROR(__xludf.DUMMYFUNCTION("""COMPUTED_VALUE"""),0)</f>
        <v>0</v>
      </c>
    </row>
    <row r="954" spans="1:4" ht="13.2">
      <c r="A954" s="5"/>
      <c r="C954" s="5"/>
      <c r="D954" s="80">
        <f ca="1">IFERROR(__xludf.DUMMYFUNCTION("""COMPUTED_VALUE"""),0)</f>
        <v>0</v>
      </c>
    </row>
    <row r="955" spans="1:4" ht="13.2">
      <c r="A955" s="5"/>
      <c r="C955" s="5"/>
      <c r="D955" s="80">
        <f ca="1">IFERROR(__xludf.DUMMYFUNCTION("""COMPUTED_VALUE"""),0)</f>
        <v>0</v>
      </c>
    </row>
    <row r="956" spans="1:4" ht="13.2">
      <c r="A956" s="5"/>
      <c r="C956" s="5"/>
      <c r="D956" s="80">
        <f ca="1">IFERROR(__xludf.DUMMYFUNCTION("""COMPUTED_VALUE"""),0)</f>
        <v>0</v>
      </c>
    </row>
    <row r="957" spans="1:4" ht="13.2">
      <c r="A957" s="5"/>
      <c r="C957" s="5"/>
      <c r="D957" s="80">
        <f ca="1">IFERROR(__xludf.DUMMYFUNCTION("""COMPUTED_VALUE"""),0)</f>
        <v>0</v>
      </c>
    </row>
    <row r="958" spans="1:4" ht="13.2">
      <c r="A958" s="5"/>
      <c r="C958" s="5"/>
      <c r="D958" s="80">
        <f ca="1">IFERROR(__xludf.DUMMYFUNCTION("""COMPUTED_VALUE"""),0)</f>
        <v>0</v>
      </c>
    </row>
    <row r="959" spans="1:4" ht="13.2">
      <c r="A959" s="5"/>
      <c r="C959" s="5"/>
      <c r="D959" s="80">
        <f ca="1">IFERROR(__xludf.DUMMYFUNCTION("""COMPUTED_VALUE"""),0)</f>
        <v>0</v>
      </c>
    </row>
    <row r="960" spans="1:4" ht="13.2">
      <c r="A960" s="5"/>
      <c r="C960" s="5"/>
      <c r="D960" s="80">
        <f ca="1">IFERROR(__xludf.DUMMYFUNCTION("""COMPUTED_VALUE"""),0)</f>
        <v>0</v>
      </c>
    </row>
    <row r="961" spans="1:4" ht="13.2">
      <c r="A961" s="5"/>
      <c r="C961" s="5"/>
      <c r="D961" s="80">
        <f ca="1">IFERROR(__xludf.DUMMYFUNCTION("""COMPUTED_VALUE"""),0)</f>
        <v>0</v>
      </c>
    </row>
    <row r="962" spans="1:4" ht="13.2">
      <c r="A962" s="5"/>
      <c r="C962" s="5"/>
      <c r="D962" s="80">
        <f ca="1">IFERROR(__xludf.DUMMYFUNCTION("""COMPUTED_VALUE"""),0)</f>
        <v>0</v>
      </c>
    </row>
    <row r="963" spans="1:4" ht="13.2">
      <c r="A963" s="5"/>
      <c r="C963" s="5"/>
      <c r="D963" s="80">
        <f ca="1">IFERROR(__xludf.DUMMYFUNCTION("""COMPUTED_VALUE"""),0)</f>
        <v>0</v>
      </c>
    </row>
    <row r="964" spans="1:4" ht="13.2">
      <c r="A964" s="5"/>
      <c r="C964" s="5"/>
      <c r="D964" s="80">
        <f ca="1">IFERROR(__xludf.DUMMYFUNCTION("""COMPUTED_VALUE"""),0)</f>
        <v>0</v>
      </c>
    </row>
    <row r="965" spans="1:4" ht="13.2">
      <c r="A965" s="5"/>
      <c r="C965" s="5"/>
      <c r="D965" s="80">
        <f ca="1">IFERROR(__xludf.DUMMYFUNCTION("""COMPUTED_VALUE"""),0)</f>
        <v>0</v>
      </c>
    </row>
    <row r="966" spans="1:4" ht="13.2">
      <c r="A966" s="5"/>
      <c r="C966" s="5"/>
      <c r="D966" s="80">
        <f ca="1">IFERROR(__xludf.DUMMYFUNCTION("""COMPUTED_VALUE"""),0)</f>
        <v>0</v>
      </c>
    </row>
    <row r="967" spans="1:4" ht="13.2">
      <c r="A967" s="5"/>
      <c r="C967" s="5"/>
      <c r="D967" s="80">
        <f ca="1">IFERROR(__xludf.DUMMYFUNCTION("""COMPUTED_VALUE"""),0)</f>
        <v>0</v>
      </c>
    </row>
    <row r="968" spans="1:4" ht="13.2">
      <c r="A968" s="5"/>
      <c r="C968" s="5"/>
      <c r="D968" s="80">
        <f ca="1">IFERROR(__xludf.DUMMYFUNCTION("""COMPUTED_VALUE"""),0)</f>
        <v>0</v>
      </c>
    </row>
    <row r="969" spans="1:4" ht="13.2">
      <c r="A969" s="5"/>
      <c r="C969" s="5"/>
      <c r="D969" s="80">
        <f ca="1">IFERROR(__xludf.DUMMYFUNCTION("""COMPUTED_VALUE"""),0)</f>
        <v>0</v>
      </c>
    </row>
    <row r="970" spans="1:4" ht="13.2">
      <c r="A970" s="5"/>
      <c r="C970" s="5"/>
      <c r="D970" s="80">
        <f ca="1">IFERROR(__xludf.DUMMYFUNCTION("""COMPUTED_VALUE"""),0)</f>
        <v>0</v>
      </c>
    </row>
    <row r="971" spans="1:4" ht="13.2">
      <c r="A971" s="5"/>
      <c r="C971" s="5"/>
      <c r="D971" s="80">
        <f ca="1">IFERROR(__xludf.DUMMYFUNCTION("""COMPUTED_VALUE"""),0)</f>
        <v>0</v>
      </c>
    </row>
    <row r="972" spans="1:4" ht="13.2">
      <c r="A972" s="5"/>
      <c r="C972" s="5"/>
      <c r="D972" s="80">
        <f ca="1">IFERROR(__xludf.DUMMYFUNCTION("""COMPUTED_VALUE"""),0)</f>
        <v>0</v>
      </c>
    </row>
    <row r="973" spans="1:4" ht="13.2">
      <c r="A973" s="5"/>
      <c r="C973" s="5"/>
      <c r="D973" s="80">
        <f ca="1">IFERROR(__xludf.DUMMYFUNCTION("""COMPUTED_VALUE"""),0)</f>
        <v>0</v>
      </c>
    </row>
    <row r="974" spans="1:4" ht="13.2">
      <c r="A974" s="5"/>
      <c r="C974" s="5"/>
      <c r="D974" s="80">
        <f ca="1">IFERROR(__xludf.DUMMYFUNCTION("""COMPUTED_VALUE"""),0)</f>
        <v>0</v>
      </c>
    </row>
    <row r="975" spans="1:4" ht="13.2">
      <c r="A975" s="5"/>
      <c r="C975" s="5"/>
      <c r="D975" s="80">
        <f ca="1">IFERROR(__xludf.DUMMYFUNCTION("""COMPUTED_VALUE"""),0)</f>
        <v>0</v>
      </c>
    </row>
    <row r="976" spans="1:4" ht="13.2">
      <c r="A976" s="5"/>
      <c r="C976" s="5"/>
      <c r="D976" s="80">
        <f ca="1">IFERROR(__xludf.DUMMYFUNCTION("""COMPUTED_VALUE"""),0)</f>
        <v>0</v>
      </c>
    </row>
    <row r="977" spans="1:4" ht="13.2">
      <c r="A977" s="5"/>
      <c r="C977" s="5"/>
      <c r="D977" s="80">
        <f ca="1">IFERROR(__xludf.DUMMYFUNCTION("""COMPUTED_VALUE"""),0)</f>
        <v>0</v>
      </c>
    </row>
    <row r="978" spans="1:4" ht="13.2">
      <c r="A978" s="5"/>
      <c r="C978" s="5"/>
      <c r="D978" s="80">
        <f ca="1">IFERROR(__xludf.DUMMYFUNCTION("""COMPUTED_VALUE"""),0)</f>
        <v>0</v>
      </c>
    </row>
    <row r="979" spans="1:4" ht="13.2">
      <c r="A979" s="5"/>
      <c r="C979" s="5"/>
      <c r="D979" s="80">
        <f ca="1">IFERROR(__xludf.DUMMYFUNCTION("""COMPUTED_VALUE"""),0)</f>
        <v>0</v>
      </c>
    </row>
    <row r="980" spans="1:4" ht="13.2">
      <c r="A980" s="5"/>
      <c r="C980" s="5"/>
      <c r="D980" s="80">
        <f ca="1">IFERROR(__xludf.DUMMYFUNCTION("""COMPUTED_VALUE"""),0)</f>
        <v>0</v>
      </c>
    </row>
    <row r="981" spans="1:4" ht="13.2">
      <c r="A981" s="5"/>
      <c r="C981" s="5"/>
      <c r="D981" s="80">
        <f ca="1">IFERROR(__xludf.DUMMYFUNCTION("""COMPUTED_VALUE"""),0)</f>
        <v>0</v>
      </c>
    </row>
    <row r="982" spans="1:4" ht="13.2">
      <c r="A982" s="5"/>
      <c r="C982" s="5"/>
      <c r="D982" s="80">
        <f ca="1">IFERROR(__xludf.DUMMYFUNCTION("""COMPUTED_VALUE"""),0)</f>
        <v>0</v>
      </c>
    </row>
    <row r="983" spans="1:4" ht="13.2">
      <c r="A983" s="5"/>
      <c r="C983" s="5"/>
      <c r="D983" s="80">
        <f ca="1">IFERROR(__xludf.DUMMYFUNCTION("""COMPUTED_VALUE"""),0)</f>
        <v>0</v>
      </c>
    </row>
    <row r="984" spans="1:4" ht="13.2">
      <c r="A984" s="5"/>
      <c r="C984" s="5"/>
      <c r="D984" s="80">
        <f ca="1">IFERROR(__xludf.DUMMYFUNCTION("""COMPUTED_VALUE"""),0)</f>
        <v>0</v>
      </c>
    </row>
    <row r="985" spans="1:4" ht="13.2">
      <c r="A985" s="5"/>
      <c r="C985" s="5"/>
      <c r="D985" s="80">
        <f ca="1">IFERROR(__xludf.DUMMYFUNCTION("""COMPUTED_VALUE"""),0)</f>
        <v>0</v>
      </c>
    </row>
    <row r="986" spans="1:4" ht="13.2">
      <c r="A986" s="5"/>
      <c r="C986" s="5"/>
      <c r="D986" s="80">
        <f ca="1">IFERROR(__xludf.DUMMYFUNCTION("""COMPUTED_VALUE"""),0)</f>
        <v>0</v>
      </c>
    </row>
    <row r="987" spans="1:4" ht="13.2">
      <c r="A987" s="5"/>
      <c r="C987" s="5"/>
      <c r="D987" s="80">
        <f ca="1">IFERROR(__xludf.DUMMYFUNCTION("""COMPUTED_VALUE"""),0)</f>
        <v>0</v>
      </c>
    </row>
    <row r="988" spans="1:4" ht="13.2">
      <c r="A988" s="5"/>
      <c r="C988" s="5"/>
      <c r="D988" s="80">
        <f ca="1">IFERROR(__xludf.DUMMYFUNCTION("""COMPUTED_VALUE"""),0)</f>
        <v>0</v>
      </c>
    </row>
    <row r="989" spans="1:4" ht="13.2">
      <c r="A989" s="5"/>
      <c r="C989" s="5"/>
      <c r="D989" s="80">
        <f ca="1">IFERROR(__xludf.DUMMYFUNCTION("""COMPUTED_VALUE"""),0)</f>
        <v>0</v>
      </c>
    </row>
    <row r="990" spans="1:4" ht="13.2">
      <c r="A990" s="5"/>
      <c r="C990" s="5"/>
      <c r="D990" s="80">
        <f ca="1">IFERROR(__xludf.DUMMYFUNCTION("""COMPUTED_VALUE"""),0)</f>
        <v>0</v>
      </c>
    </row>
    <row r="991" spans="1:4" ht="13.2">
      <c r="A991" s="5"/>
      <c r="C991" s="5"/>
      <c r="D991" s="80">
        <f ca="1">IFERROR(__xludf.DUMMYFUNCTION("""COMPUTED_VALUE"""),0)</f>
        <v>0</v>
      </c>
    </row>
    <row r="992" spans="1:4" ht="13.2">
      <c r="A992" s="5"/>
      <c r="C992" s="5"/>
      <c r="D992" s="80">
        <f ca="1">IFERROR(__xludf.DUMMYFUNCTION("""COMPUTED_VALUE"""),0)</f>
        <v>0</v>
      </c>
    </row>
    <row r="993" spans="1:4" ht="13.2">
      <c r="A993" s="5"/>
      <c r="C993" s="5"/>
      <c r="D993" s="80">
        <f ca="1">IFERROR(__xludf.DUMMYFUNCTION("""COMPUTED_VALUE"""),0)</f>
        <v>0</v>
      </c>
    </row>
    <row r="994" spans="1:4" ht="13.2">
      <c r="A994" s="5"/>
      <c r="C994" s="5"/>
      <c r="D994" s="80">
        <f ca="1">IFERROR(__xludf.DUMMYFUNCTION("""COMPUTED_VALUE"""),0)</f>
        <v>0</v>
      </c>
    </row>
    <row r="995" spans="1:4" ht="13.2">
      <c r="A995" s="5"/>
      <c r="C995" s="5"/>
      <c r="D995" s="80">
        <f ca="1">IFERROR(__xludf.DUMMYFUNCTION("""COMPUTED_VALUE"""),0)</f>
        <v>0</v>
      </c>
    </row>
    <row r="996" spans="1:4" ht="13.2">
      <c r="A996" s="5"/>
      <c r="C996" s="5"/>
      <c r="D996" s="80">
        <f ca="1">IFERROR(__xludf.DUMMYFUNCTION("""COMPUTED_VALUE"""),0)</f>
        <v>0</v>
      </c>
    </row>
    <row r="997" spans="1:4" ht="13.2">
      <c r="A997" s="5"/>
      <c r="C997" s="5"/>
      <c r="D997" s="80">
        <f ca="1">IFERROR(__xludf.DUMMYFUNCTION("""COMPUTED_VALUE"""),0)</f>
        <v>0</v>
      </c>
    </row>
    <row r="998" spans="1:4" ht="13.2">
      <c r="A998" s="5"/>
      <c r="C998" s="5"/>
      <c r="D998" s="80">
        <f ca="1">IFERROR(__xludf.DUMMYFUNCTION("""COMPUTED_VALUE"""),0)</f>
        <v>0</v>
      </c>
    </row>
    <row r="999" spans="1:4" ht="13.2">
      <c r="A999" s="5"/>
      <c r="C999" s="5"/>
      <c r="D999" s="80">
        <f ca="1">IFERROR(__xludf.DUMMYFUNCTION("""COMPUTED_VALUE"""),0)</f>
        <v>0</v>
      </c>
    </row>
    <row r="1000" spans="1:4" ht="13.2">
      <c r="A1000" s="5"/>
      <c r="C1000" s="5"/>
      <c r="D1000" s="80">
        <f ca="1">IFERROR(__xludf.DUMMYFUNCTION("""COMPUTED_VALUE"""),0)</f>
        <v>0</v>
      </c>
    </row>
    <row r="1001" spans="1:4" ht="13.2">
      <c r="A1001" s="5"/>
      <c r="C1001" s="5"/>
      <c r="D1001" s="80">
        <f ca="1">IFERROR(__xludf.DUMMYFUNCTION("""COMPUTED_VALUE"""),0)</f>
        <v>0</v>
      </c>
    </row>
    <row r="1002" spans="1:4" ht="13.2">
      <c r="A1002" s="5"/>
      <c r="C1002" s="5"/>
      <c r="D1002" s="80">
        <f ca="1">IFERROR(__xludf.DUMMYFUNCTION("""COMPUTED_VALUE"""),0)</f>
        <v>0</v>
      </c>
    </row>
    <row r="1003" spans="1:4" ht="13.2">
      <c r="A1003" s="5"/>
      <c r="C1003" s="5"/>
      <c r="D1003" s="80">
        <f ca="1">IFERROR(__xludf.DUMMYFUNCTION("""COMPUTED_VALUE"""),0)</f>
        <v>0</v>
      </c>
    </row>
    <row r="1004" spans="1:4" ht="13.2">
      <c r="A1004" s="5"/>
      <c r="C1004" s="5"/>
      <c r="D1004" s="80">
        <f ca="1">IFERROR(__xludf.DUMMYFUNCTION("""COMPUTED_VALUE"""),0)</f>
        <v>0</v>
      </c>
    </row>
    <row r="1005" spans="1:4" ht="13.2">
      <c r="A1005" s="5"/>
      <c r="C1005" s="5"/>
      <c r="D1005" s="80">
        <f ca="1">IFERROR(__xludf.DUMMYFUNCTION("""COMPUTED_VALUE"""),0)</f>
        <v>0</v>
      </c>
    </row>
    <row r="1006" spans="1:4" ht="13.2">
      <c r="A1006" s="5"/>
      <c r="C1006" s="5"/>
      <c r="D1006" s="80">
        <f ca="1">IFERROR(__xludf.DUMMYFUNCTION("""COMPUTED_VALUE"""),0)</f>
        <v>0</v>
      </c>
    </row>
    <row r="1007" spans="1:4" ht="13.2">
      <c r="A1007" s="5"/>
      <c r="C1007" s="5"/>
      <c r="D1007" s="80">
        <f ca="1">IFERROR(__xludf.DUMMYFUNCTION("""COMPUTED_VALUE"""),0)</f>
        <v>0</v>
      </c>
    </row>
    <row r="1008" spans="1:4" ht="13.2">
      <c r="A1008" s="5"/>
      <c r="C1008" s="5"/>
      <c r="D1008" s="80">
        <f ca="1">IFERROR(__xludf.DUMMYFUNCTION("""COMPUTED_VALUE"""),0)</f>
        <v>0</v>
      </c>
    </row>
    <row r="1009" spans="1:4" ht="13.2">
      <c r="A1009" s="5"/>
      <c r="C1009" s="5"/>
      <c r="D1009" s="80">
        <f ca="1">IFERROR(__xludf.DUMMYFUNCTION("""COMPUTED_VALUE"""),0)</f>
        <v>0</v>
      </c>
    </row>
    <row r="1010" spans="1:4" ht="13.2">
      <c r="A1010" s="5"/>
      <c r="C1010" s="5"/>
      <c r="D1010" s="80">
        <f ca="1">IFERROR(__xludf.DUMMYFUNCTION("""COMPUTED_VALUE"""),0)</f>
        <v>0</v>
      </c>
    </row>
    <row r="1011" spans="1:4" ht="13.2">
      <c r="A1011" s="5"/>
      <c r="C1011" s="5"/>
      <c r="D1011" s="80">
        <f ca="1">IFERROR(__xludf.DUMMYFUNCTION("""COMPUTED_VALUE"""),0)</f>
        <v>0</v>
      </c>
    </row>
    <row r="1012" spans="1:4" ht="13.2">
      <c r="A1012" s="5"/>
      <c r="C1012" s="5"/>
      <c r="D1012" s="80">
        <f ca="1">IFERROR(__xludf.DUMMYFUNCTION("""COMPUTED_VALUE"""),0)</f>
        <v>0</v>
      </c>
    </row>
    <row r="1013" spans="1:4" ht="13.2">
      <c r="A1013" s="5"/>
      <c r="C1013" s="5"/>
      <c r="D1013" s="80">
        <f ca="1">IFERROR(__xludf.DUMMYFUNCTION("""COMPUTED_VALUE"""),0)</f>
        <v>0</v>
      </c>
    </row>
    <row r="1014" spans="1:4" ht="13.2">
      <c r="A1014" s="5"/>
      <c r="C1014" s="5"/>
      <c r="D1014" s="80">
        <f ca="1">IFERROR(__xludf.DUMMYFUNCTION("""COMPUTED_VALUE"""),0)</f>
        <v>0</v>
      </c>
    </row>
    <row r="1015" spans="1:4" ht="13.2">
      <c r="A1015" s="5"/>
      <c r="C1015" s="5"/>
      <c r="D1015" s="80">
        <f ca="1">IFERROR(__xludf.DUMMYFUNCTION("""COMPUTED_VALUE"""),0)</f>
        <v>0</v>
      </c>
    </row>
    <row r="1016" spans="1:4" ht="13.2">
      <c r="A1016" s="5"/>
      <c r="C1016" s="5"/>
      <c r="D1016" s="80">
        <f ca="1">IFERROR(__xludf.DUMMYFUNCTION("""COMPUTED_VALUE"""),0)</f>
        <v>0</v>
      </c>
    </row>
    <row r="1017" spans="1:4" ht="13.2">
      <c r="A1017" s="5"/>
      <c r="C1017" s="5"/>
      <c r="D1017" s="80">
        <f ca="1">IFERROR(__xludf.DUMMYFUNCTION("""COMPUTED_VALUE"""),0)</f>
        <v>0</v>
      </c>
    </row>
    <row r="1018" spans="1:4" ht="13.2">
      <c r="A1018" s="5"/>
      <c r="C1018" s="5"/>
      <c r="D1018" s="80">
        <f ca="1">IFERROR(__xludf.DUMMYFUNCTION("""COMPUTED_VALUE"""),0)</f>
        <v>0</v>
      </c>
    </row>
    <row r="1019" spans="1:4" ht="13.2">
      <c r="A1019" s="5"/>
      <c r="C1019" s="5"/>
      <c r="D1019" s="80">
        <f ca="1">IFERROR(__xludf.DUMMYFUNCTION("""COMPUTED_VALUE"""),0)</f>
        <v>0</v>
      </c>
    </row>
    <row r="1020" spans="1:4" ht="13.2">
      <c r="A1020" s="5"/>
      <c r="C1020" s="5"/>
      <c r="D1020" s="80">
        <f ca="1">IFERROR(__xludf.DUMMYFUNCTION("""COMPUTED_VALUE"""),0)</f>
        <v>0</v>
      </c>
    </row>
    <row r="1021" spans="1:4" ht="13.2">
      <c r="A1021" s="5"/>
      <c r="C1021" s="5"/>
      <c r="D1021" s="80">
        <f ca="1">IFERROR(__xludf.DUMMYFUNCTION("""COMPUTED_VALUE"""),0)</f>
        <v>0</v>
      </c>
    </row>
    <row r="1022" spans="1:4" ht="13.2">
      <c r="A1022" s="5"/>
      <c r="C1022" s="5"/>
      <c r="D1022" s="80">
        <f ca="1">IFERROR(__xludf.DUMMYFUNCTION("""COMPUTED_VALUE"""),0)</f>
        <v>0</v>
      </c>
    </row>
    <row r="1023" spans="1:4" ht="13.2">
      <c r="A1023" s="5"/>
      <c r="C1023" s="5"/>
      <c r="D1023" s="80">
        <f ca="1">IFERROR(__xludf.DUMMYFUNCTION("""COMPUTED_VALUE"""),0)</f>
        <v>0</v>
      </c>
    </row>
    <row r="1024" spans="1:4" ht="13.2">
      <c r="A1024" s="5"/>
      <c r="C1024" s="5"/>
      <c r="D1024" s="80">
        <f ca="1">IFERROR(__xludf.DUMMYFUNCTION("""COMPUTED_VALUE"""),0)</f>
        <v>0</v>
      </c>
    </row>
    <row r="1025" spans="1:4" ht="13.2">
      <c r="A1025" s="5"/>
      <c r="C1025" s="5"/>
      <c r="D1025" s="80">
        <f ca="1">IFERROR(__xludf.DUMMYFUNCTION("""COMPUTED_VALUE"""),0)</f>
        <v>0</v>
      </c>
    </row>
    <row r="1026" spans="1:4" ht="13.2">
      <c r="A1026" s="5"/>
      <c r="C1026" s="5"/>
      <c r="D1026" s="80">
        <f ca="1">IFERROR(__xludf.DUMMYFUNCTION("""COMPUTED_VALUE"""),0)</f>
        <v>0</v>
      </c>
    </row>
    <row r="1027" spans="1:4" ht="13.2">
      <c r="A1027" s="5"/>
      <c r="C1027" s="5"/>
      <c r="D1027" s="80">
        <f ca="1">IFERROR(__xludf.DUMMYFUNCTION("""COMPUTED_VALUE"""),0)</f>
        <v>0</v>
      </c>
    </row>
    <row r="1028" spans="1:4" ht="13.2">
      <c r="A1028" s="5"/>
      <c r="C1028" s="5"/>
      <c r="D1028" s="80">
        <f ca="1">IFERROR(__xludf.DUMMYFUNCTION("""COMPUTED_VALUE"""),0)</f>
        <v>0</v>
      </c>
    </row>
    <row r="1029" spans="1:4" ht="13.2">
      <c r="A1029" s="5"/>
      <c r="C1029" s="5"/>
      <c r="D1029" s="80">
        <f ca="1">IFERROR(__xludf.DUMMYFUNCTION("""COMPUTED_VALUE"""),0)</f>
        <v>0</v>
      </c>
    </row>
    <row r="1030" spans="1:4" ht="13.2">
      <c r="A1030" s="5"/>
      <c r="C1030" s="5"/>
      <c r="D1030" s="80">
        <f ca="1">IFERROR(__xludf.DUMMYFUNCTION("""COMPUTED_VALUE"""),0)</f>
        <v>0</v>
      </c>
    </row>
    <row r="1031" spans="1:4" ht="13.2">
      <c r="A1031" s="5"/>
      <c r="C1031" s="5"/>
      <c r="D1031" s="80">
        <f ca="1">IFERROR(__xludf.DUMMYFUNCTION("""COMPUTED_VALUE"""),0)</f>
        <v>0</v>
      </c>
    </row>
    <row r="1032" spans="1:4" ht="13.2">
      <c r="A1032" s="5"/>
      <c r="C1032" s="5"/>
      <c r="D1032" s="80">
        <f ca="1">IFERROR(__xludf.DUMMYFUNCTION("""COMPUTED_VALUE"""),0)</f>
        <v>0</v>
      </c>
    </row>
    <row r="1033" spans="1:4" ht="13.2">
      <c r="A1033" s="5"/>
      <c r="C1033" s="5"/>
      <c r="D1033" s="80">
        <f ca="1">IFERROR(__xludf.DUMMYFUNCTION("""COMPUTED_VALUE"""),0)</f>
        <v>0</v>
      </c>
    </row>
    <row r="1034" spans="1:4" ht="13.2">
      <c r="A1034" s="5"/>
      <c r="C1034" s="5"/>
      <c r="D1034" s="80">
        <f ca="1">IFERROR(__xludf.DUMMYFUNCTION("""COMPUTED_VALUE"""),0)</f>
        <v>0</v>
      </c>
    </row>
    <row r="1035" spans="1:4" ht="13.2">
      <c r="A1035" s="5"/>
      <c r="C1035" s="5"/>
      <c r="D1035" s="80">
        <f ca="1">IFERROR(__xludf.DUMMYFUNCTION("""COMPUTED_VALUE"""),0)</f>
        <v>0</v>
      </c>
    </row>
    <row r="1036" spans="1:4" ht="13.2">
      <c r="A1036" s="5"/>
      <c r="C1036" s="5"/>
      <c r="D1036" s="80">
        <f ca="1">IFERROR(__xludf.DUMMYFUNCTION("""COMPUTED_VALUE"""),0)</f>
        <v>0</v>
      </c>
    </row>
    <row r="1037" spans="1:4" ht="13.2">
      <c r="A1037" s="5"/>
      <c r="C1037" s="5"/>
      <c r="D1037" s="80">
        <f ca="1">IFERROR(__xludf.DUMMYFUNCTION("""COMPUTED_VALUE"""),0)</f>
        <v>0</v>
      </c>
    </row>
    <row r="1038" spans="1:4" ht="13.2">
      <c r="A1038" s="5"/>
      <c r="C1038" s="5"/>
      <c r="D1038" s="80">
        <f ca="1">IFERROR(__xludf.DUMMYFUNCTION("""COMPUTED_VALUE"""),0)</f>
        <v>0</v>
      </c>
    </row>
    <row r="1039" spans="1:4" ht="13.2">
      <c r="A1039" s="5"/>
      <c r="C1039" s="5"/>
      <c r="D1039" s="80">
        <f ca="1">IFERROR(__xludf.DUMMYFUNCTION("""COMPUTED_VALUE"""),0)</f>
        <v>0</v>
      </c>
    </row>
    <row r="1040" spans="1:4" ht="13.2">
      <c r="A1040" s="5"/>
      <c r="C1040" s="5"/>
      <c r="D1040" s="80">
        <f ca="1">IFERROR(__xludf.DUMMYFUNCTION("""COMPUTED_VALUE"""),0)</f>
        <v>0</v>
      </c>
    </row>
    <row r="1041" spans="1:4" ht="13.2">
      <c r="A1041" s="5"/>
      <c r="C1041" s="5"/>
      <c r="D1041" s="80">
        <f ca="1">IFERROR(__xludf.DUMMYFUNCTION("""COMPUTED_VALUE"""),0)</f>
        <v>0</v>
      </c>
    </row>
    <row r="1042" spans="1:4" ht="13.2">
      <c r="A1042" s="5"/>
      <c r="C1042" s="5"/>
      <c r="D1042" s="80">
        <f ca="1">IFERROR(__xludf.DUMMYFUNCTION("""COMPUTED_VALUE"""),0)</f>
        <v>0</v>
      </c>
    </row>
    <row r="1043" spans="1:4" ht="13.2">
      <c r="A1043" s="5"/>
      <c r="C1043" s="5"/>
      <c r="D1043" s="80">
        <f ca="1">IFERROR(__xludf.DUMMYFUNCTION("""COMPUTED_VALUE"""),0)</f>
        <v>0</v>
      </c>
    </row>
    <row r="1044" spans="1:4" ht="13.2">
      <c r="A1044" s="5"/>
      <c r="C1044" s="5"/>
      <c r="D1044" s="80">
        <f ca="1">IFERROR(__xludf.DUMMYFUNCTION("""COMPUTED_VALUE"""),0)</f>
        <v>0</v>
      </c>
    </row>
    <row r="1045" spans="1:4" ht="13.2">
      <c r="A1045" s="5"/>
      <c r="C1045" s="5"/>
      <c r="D1045" s="80">
        <f ca="1">IFERROR(__xludf.DUMMYFUNCTION("""COMPUTED_VALUE"""),0)</f>
        <v>0</v>
      </c>
    </row>
    <row r="1046" spans="1:4" ht="13.2">
      <c r="A1046" s="5"/>
      <c r="C1046" s="5"/>
      <c r="D1046" s="80">
        <f ca="1">IFERROR(__xludf.DUMMYFUNCTION("""COMPUTED_VALUE"""),0)</f>
        <v>0</v>
      </c>
    </row>
    <row r="1047" spans="1:4" ht="13.2">
      <c r="A1047" s="5"/>
      <c r="C1047" s="5"/>
      <c r="D1047" s="80">
        <f ca="1">IFERROR(__xludf.DUMMYFUNCTION("""COMPUTED_VALUE"""),0)</f>
        <v>0</v>
      </c>
    </row>
    <row r="1048" spans="1:4" ht="13.2">
      <c r="A1048" s="5"/>
      <c r="C1048" s="5"/>
      <c r="D1048" s="80">
        <f ca="1">IFERROR(__xludf.DUMMYFUNCTION("""COMPUTED_VALUE"""),0)</f>
        <v>0</v>
      </c>
    </row>
    <row r="1049" spans="1:4" ht="13.2">
      <c r="A1049" s="5"/>
      <c r="C1049" s="5"/>
      <c r="D1049" s="80">
        <f ca="1">IFERROR(__xludf.DUMMYFUNCTION("""COMPUTED_VALUE"""),0)</f>
        <v>0</v>
      </c>
    </row>
    <row r="1050" spans="1:4" ht="13.2">
      <c r="A1050" s="5"/>
      <c r="C1050" s="5"/>
      <c r="D1050" s="80">
        <f ca="1">IFERROR(__xludf.DUMMYFUNCTION("""COMPUTED_VALUE"""),0)</f>
        <v>0</v>
      </c>
    </row>
    <row r="1051" spans="1:4" ht="13.2">
      <c r="A1051" s="5"/>
      <c r="C1051" s="5"/>
      <c r="D1051" s="80">
        <f ca="1">IFERROR(__xludf.DUMMYFUNCTION("""COMPUTED_VALUE"""),0)</f>
        <v>0</v>
      </c>
    </row>
    <row r="1052" spans="1:4" ht="13.2">
      <c r="A1052" s="5"/>
      <c r="C1052" s="5"/>
      <c r="D1052" s="80">
        <f ca="1">IFERROR(__xludf.DUMMYFUNCTION("""COMPUTED_VALUE"""),0)</f>
        <v>0</v>
      </c>
    </row>
    <row r="1053" spans="1:4" ht="13.2">
      <c r="A1053" s="5"/>
      <c r="C1053" s="5"/>
      <c r="D1053" s="80">
        <f ca="1">IFERROR(__xludf.DUMMYFUNCTION("""COMPUTED_VALUE"""),0)</f>
        <v>0</v>
      </c>
    </row>
    <row r="1054" spans="1:4" ht="13.2">
      <c r="A1054" s="5"/>
      <c r="C1054" s="5"/>
      <c r="D1054" s="80">
        <f ca="1">IFERROR(__xludf.DUMMYFUNCTION("""COMPUTED_VALUE"""),0)</f>
        <v>0</v>
      </c>
    </row>
    <row r="1055" spans="1:4" ht="13.2">
      <c r="A1055" s="5"/>
      <c r="C1055" s="5"/>
      <c r="D1055" s="80">
        <f ca="1">IFERROR(__xludf.DUMMYFUNCTION("""COMPUTED_VALUE"""),0)</f>
        <v>0</v>
      </c>
    </row>
    <row r="1056" spans="1:4" ht="13.2">
      <c r="A1056" s="5"/>
      <c r="C1056" s="5"/>
      <c r="D1056" s="80">
        <f ca="1">IFERROR(__xludf.DUMMYFUNCTION("""COMPUTED_VALUE"""),0)</f>
        <v>0</v>
      </c>
    </row>
    <row r="1057" spans="1:4" ht="13.2">
      <c r="A1057" s="5"/>
      <c r="C1057" s="5"/>
      <c r="D1057" s="80">
        <f ca="1">IFERROR(__xludf.DUMMYFUNCTION("""COMPUTED_VALUE"""),0)</f>
        <v>0</v>
      </c>
    </row>
    <row r="1058" spans="1:4" ht="13.2">
      <c r="A1058" s="5"/>
      <c r="C1058" s="5"/>
      <c r="D1058" s="80">
        <f ca="1">IFERROR(__xludf.DUMMYFUNCTION("""COMPUTED_VALUE"""),0)</f>
        <v>0</v>
      </c>
    </row>
    <row r="1059" spans="1:4" ht="13.2">
      <c r="A1059" s="5"/>
      <c r="C1059" s="5"/>
      <c r="D1059" s="80">
        <f ca="1">IFERROR(__xludf.DUMMYFUNCTION("""COMPUTED_VALUE"""),0)</f>
        <v>0</v>
      </c>
    </row>
    <row r="1060" spans="1:4" ht="13.2">
      <c r="A1060" s="5"/>
      <c r="C1060" s="5"/>
      <c r="D1060" s="80">
        <f ca="1">IFERROR(__xludf.DUMMYFUNCTION("""COMPUTED_VALUE"""),0)</f>
        <v>0</v>
      </c>
    </row>
    <row r="1061" spans="1:4" ht="13.2">
      <c r="A1061" s="5"/>
      <c r="C1061" s="5"/>
      <c r="D1061" s="80">
        <f ca="1">IFERROR(__xludf.DUMMYFUNCTION("""COMPUTED_VALUE"""),0)</f>
        <v>0</v>
      </c>
    </row>
    <row r="1062" spans="1:4" ht="13.2">
      <c r="A1062" s="5"/>
      <c r="C1062" s="5"/>
      <c r="D1062" s="80">
        <f ca="1">IFERROR(__xludf.DUMMYFUNCTION("""COMPUTED_VALUE"""),0)</f>
        <v>0</v>
      </c>
    </row>
    <row r="1063" spans="1:4" ht="13.2">
      <c r="A1063" s="5"/>
      <c r="C1063" s="5"/>
      <c r="D1063" s="80">
        <f ca="1">IFERROR(__xludf.DUMMYFUNCTION("""COMPUTED_VALUE"""),0)</f>
        <v>0</v>
      </c>
    </row>
    <row r="1064" spans="1:4" ht="13.2">
      <c r="A1064" s="5"/>
      <c r="C1064" s="5"/>
      <c r="D1064" s="80">
        <f ca="1">IFERROR(__xludf.DUMMYFUNCTION("""COMPUTED_VALUE"""),0)</f>
        <v>0</v>
      </c>
    </row>
    <row r="1065" spans="1:4" ht="13.2">
      <c r="A1065" s="5"/>
      <c r="C1065" s="5"/>
      <c r="D1065" s="80">
        <f ca="1">IFERROR(__xludf.DUMMYFUNCTION("""COMPUTED_VALUE"""),0)</f>
        <v>0</v>
      </c>
    </row>
    <row r="1066" spans="1:4" ht="13.2">
      <c r="A1066" s="5"/>
      <c r="C1066" s="5"/>
      <c r="D1066" s="80">
        <f ca="1">IFERROR(__xludf.DUMMYFUNCTION("""COMPUTED_VALUE"""),0)</f>
        <v>0</v>
      </c>
    </row>
    <row r="1067" spans="1:4" ht="13.2">
      <c r="A1067" s="5"/>
      <c r="C1067" s="5"/>
      <c r="D1067" s="80">
        <f ca="1">IFERROR(__xludf.DUMMYFUNCTION("""COMPUTED_VALUE"""),0)</f>
        <v>0</v>
      </c>
    </row>
    <row r="1068" spans="1:4" ht="13.2">
      <c r="A1068" s="5"/>
      <c r="C1068" s="5"/>
      <c r="D1068" s="80">
        <f ca="1">IFERROR(__xludf.DUMMYFUNCTION("""COMPUTED_VALUE"""),0)</f>
        <v>0</v>
      </c>
    </row>
    <row r="1069" spans="1:4" ht="13.2">
      <c r="A1069" s="5"/>
      <c r="C1069" s="5"/>
      <c r="D1069" s="80">
        <f ca="1">IFERROR(__xludf.DUMMYFUNCTION("""COMPUTED_VALUE"""),0)</f>
        <v>0</v>
      </c>
    </row>
    <row r="1070" spans="1:4" ht="13.2">
      <c r="A1070" s="5"/>
      <c r="C1070" s="5"/>
      <c r="D1070" s="80">
        <f ca="1">IFERROR(__xludf.DUMMYFUNCTION("""COMPUTED_VALUE"""),0)</f>
        <v>0</v>
      </c>
    </row>
    <row r="1071" spans="1:4" ht="13.2">
      <c r="A1071" s="5"/>
      <c r="C1071" s="5"/>
      <c r="D1071" s="80">
        <f ca="1">IFERROR(__xludf.DUMMYFUNCTION("""COMPUTED_VALUE"""),0)</f>
        <v>0</v>
      </c>
    </row>
    <row r="1072" spans="1:4" ht="13.2">
      <c r="A1072" s="5"/>
      <c r="C1072" s="5"/>
      <c r="D1072" s="80">
        <f ca="1">IFERROR(__xludf.DUMMYFUNCTION("""COMPUTED_VALUE"""),0)</f>
        <v>0</v>
      </c>
    </row>
    <row r="1073" spans="1:4" ht="13.2">
      <c r="A1073" s="5"/>
      <c r="C1073" s="5"/>
      <c r="D1073" s="80">
        <f ca="1">IFERROR(__xludf.DUMMYFUNCTION("""COMPUTED_VALUE"""),0)</f>
        <v>0</v>
      </c>
    </row>
    <row r="1074" spans="1:4" ht="13.2">
      <c r="A1074" s="5"/>
      <c r="C1074" s="5"/>
      <c r="D1074" s="80">
        <f ca="1">IFERROR(__xludf.DUMMYFUNCTION("""COMPUTED_VALUE"""),0)</f>
        <v>0</v>
      </c>
    </row>
    <row r="1075" spans="1:4" ht="13.2">
      <c r="A1075" s="5"/>
      <c r="C1075" s="5"/>
      <c r="D1075" s="80">
        <f ca="1">IFERROR(__xludf.DUMMYFUNCTION("""COMPUTED_VALUE"""),0)</f>
        <v>0</v>
      </c>
    </row>
    <row r="1076" spans="1:4" ht="13.2">
      <c r="A1076" s="5"/>
      <c r="C1076" s="5"/>
      <c r="D1076" s="80">
        <f ca="1">IFERROR(__xludf.DUMMYFUNCTION("""COMPUTED_VALUE"""),0)</f>
        <v>0</v>
      </c>
    </row>
    <row r="1077" spans="1:4" ht="13.2">
      <c r="A1077" s="5"/>
      <c r="C1077" s="5"/>
      <c r="D1077" s="80">
        <f ca="1">IFERROR(__xludf.DUMMYFUNCTION("""COMPUTED_VALUE"""),0)</f>
        <v>0</v>
      </c>
    </row>
    <row r="1078" spans="1:4" ht="13.2">
      <c r="A1078" s="5"/>
      <c r="C1078" s="5"/>
      <c r="D1078" s="80">
        <f ca="1">IFERROR(__xludf.DUMMYFUNCTION("""COMPUTED_VALUE"""),0)</f>
        <v>0</v>
      </c>
    </row>
    <row r="1079" spans="1:4" ht="13.2">
      <c r="A1079" s="5"/>
      <c r="C1079" s="5"/>
      <c r="D1079" s="80">
        <f ca="1">IFERROR(__xludf.DUMMYFUNCTION("""COMPUTED_VALUE"""),0)</f>
        <v>0</v>
      </c>
    </row>
    <row r="1080" spans="1:4" ht="13.2">
      <c r="A1080" s="5"/>
      <c r="C1080" s="5"/>
      <c r="D1080" s="80">
        <f ca="1">IFERROR(__xludf.DUMMYFUNCTION("""COMPUTED_VALUE"""),0)</f>
        <v>0</v>
      </c>
    </row>
    <row r="1081" spans="1:4" ht="13.2">
      <c r="A1081" s="5"/>
      <c r="C1081" s="5"/>
      <c r="D1081" s="80">
        <f ca="1">IFERROR(__xludf.DUMMYFUNCTION("""COMPUTED_VALUE"""),0)</f>
        <v>0</v>
      </c>
    </row>
    <row r="1082" spans="1:4" ht="13.2">
      <c r="A1082" s="5"/>
      <c r="C1082" s="5"/>
      <c r="D1082" s="80">
        <f ca="1">IFERROR(__xludf.DUMMYFUNCTION("""COMPUTED_VALUE"""),0)</f>
        <v>0</v>
      </c>
    </row>
    <row r="1083" spans="1:4" ht="13.2">
      <c r="A1083" s="5"/>
      <c r="C1083" s="5"/>
      <c r="D1083" s="80">
        <f ca="1">IFERROR(__xludf.DUMMYFUNCTION("""COMPUTED_VALUE"""),0)</f>
        <v>0</v>
      </c>
    </row>
    <row r="1084" spans="1:4" ht="13.2">
      <c r="A1084" s="5"/>
      <c r="C1084" s="5"/>
      <c r="D1084" s="80">
        <f ca="1">IFERROR(__xludf.DUMMYFUNCTION("""COMPUTED_VALUE"""),0)</f>
        <v>0</v>
      </c>
    </row>
    <row r="1085" spans="1:4" ht="13.2">
      <c r="A1085" s="5"/>
      <c r="C1085" s="5"/>
      <c r="D1085" s="80">
        <f ca="1">IFERROR(__xludf.DUMMYFUNCTION("""COMPUTED_VALUE"""),0)</f>
        <v>0</v>
      </c>
    </row>
    <row r="1086" spans="1:4" ht="13.2">
      <c r="A1086" s="5"/>
      <c r="C1086" s="5"/>
      <c r="D1086" s="80">
        <f ca="1">IFERROR(__xludf.DUMMYFUNCTION("""COMPUTED_VALUE"""),0)</f>
        <v>0</v>
      </c>
    </row>
    <row r="1087" spans="1:4" ht="13.2">
      <c r="A1087" s="5"/>
      <c r="C1087" s="5"/>
      <c r="D1087" s="80">
        <f ca="1">IFERROR(__xludf.DUMMYFUNCTION("""COMPUTED_VALUE"""),0)</f>
        <v>0</v>
      </c>
    </row>
    <row r="1088" spans="1:4" ht="13.2">
      <c r="A1088" s="5"/>
      <c r="C1088" s="5"/>
      <c r="D1088" s="80">
        <f ca="1">IFERROR(__xludf.DUMMYFUNCTION("""COMPUTED_VALUE"""),0)</f>
        <v>0</v>
      </c>
    </row>
    <row r="1089" spans="1:4" ht="13.2">
      <c r="A1089" s="5"/>
      <c r="C1089" s="5"/>
      <c r="D1089" s="80">
        <f ca="1">IFERROR(__xludf.DUMMYFUNCTION("""COMPUTED_VALUE"""),0)</f>
        <v>0</v>
      </c>
    </row>
    <row r="1090" spans="1:4" ht="13.2">
      <c r="A1090" s="5"/>
      <c r="C1090" s="5"/>
      <c r="D1090" s="80">
        <f ca="1">IFERROR(__xludf.DUMMYFUNCTION("""COMPUTED_VALUE"""),0)</f>
        <v>0</v>
      </c>
    </row>
    <row r="1091" spans="1:4" ht="13.2">
      <c r="A1091" s="5"/>
      <c r="C1091" s="5"/>
      <c r="D1091" s="80">
        <f ca="1">IFERROR(__xludf.DUMMYFUNCTION("""COMPUTED_VALUE"""),0)</f>
        <v>0</v>
      </c>
    </row>
    <row r="1092" spans="1:4" ht="13.2">
      <c r="A1092" s="5"/>
      <c r="C1092" s="5"/>
      <c r="D1092" s="80">
        <f ca="1">IFERROR(__xludf.DUMMYFUNCTION("""COMPUTED_VALUE"""),0)</f>
        <v>0</v>
      </c>
    </row>
    <row r="1093" spans="1:4" ht="13.2">
      <c r="A1093" s="5"/>
      <c r="C1093" s="5"/>
      <c r="D1093" s="80">
        <f ca="1">IFERROR(__xludf.DUMMYFUNCTION("""COMPUTED_VALUE"""),0)</f>
        <v>0</v>
      </c>
    </row>
    <row r="1094" spans="1:4" ht="13.2">
      <c r="A1094" s="5"/>
      <c r="C1094" s="5"/>
      <c r="D1094" s="80">
        <f ca="1">IFERROR(__xludf.DUMMYFUNCTION("""COMPUTED_VALUE"""),0)</f>
        <v>0</v>
      </c>
    </row>
    <row r="1095" spans="1:4" ht="13.2">
      <c r="A1095" s="5"/>
      <c r="C1095" s="5"/>
      <c r="D1095" s="80">
        <f ca="1">IFERROR(__xludf.DUMMYFUNCTION("""COMPUTED_VALUE"""),0)</f>
        <v>0</v>
      </c>
    </row>
    <row r="1096" spans="1:4" ht="13.2">
      <c r="A1096" s="5"/>
      <c r="C1096" s="5"/>
      <c r="D1096" s="80">
        <f ca="1">IFERROR(__xludf.DUMMYFUNCTION("""COMPUTED_VALUE"""),0)</f>
        <v>0</v>
      </c>
    </row>
    <row r="1097" spans="1:4" ht="13.2">
      <c r="A1097" s="5"/>
      <c r="C1097" s="5"/>
      <c r="D1097" s="80">
        <f ca="1">IFERROR(__xludf.DUMMYFUNCTION("""COMPUTED_VALUE"""),0)</f>
        <v>0</v>
      </c>
    </row>
    <row r="1098" spans="1:4" ht="13.2">
      <c r="A1098" s="5"/>
      <c r="C1098" s="5"/>
      <c r="D1098" s="80">
        <f ca="1">IFERROR(__xludf.DUMMYFUNCTION("""COMPUTED_VALUE"""),0)</f>
        <v>0</v>
      </c>
    </row>
    <row r="1099" spans="1:4" ht="13.2">
      <c r="A1099" s="5"/>
      <c r="C1099" s="5"/>
      <c r="D1099" s="80">
        <f ca="1">IFERROR(__xludf.DUMMYFUNCTION("""COMPUTED_VALUE"""),0)</f>
        <v>0</v>
      </c>
    </row>
    <row r="1100" spans="1:4" ht="13.2">
      <c r="A1100" s="5"/>
      <c r="C1100" s="5"/>
      <c r="D1100" s="80">
        <f ca="1">IFERROR(__xludf.DUMMYFUNCTION("""COMPUTED_VALUE"""),0)</f>
        <v>0</v>
      </c>
    </row>
    <row r="1101" spans="1:4" ht="13.2">
      <c r="A1101" s="5"/>
      <c r="C1101" s="5"/>
      <c r="D1101" s="80">
        <f ca="1">IFERROR(__xludf.DUMMYFUNCTION("""COMPUTED_VALUE"""),0)</f>
        <v>0</v>
      </c>
    </row>
    <row r="1102" spans="1:4" ht="13.2">
      <c r="A1102" s="5"/>
      <c r="C1102" s="5"/>
      <c r="D1102" s="80">
        <f ca="1">IFERROR(__xludf.DUMMYFUNCTION("""COMPUTED_VALUE"""),0)</f>
        <v>0</v>
      </c>
    </row>
    <row r="1103" spans="1:4" ht="13.2">
      <c r="A1103" s="5"/>
      <c r="C1103" s="5"/>
      <c r="D1103" s="80">
        <f ca="1">IFERROR(__xludf.DUMMYFUNCTION("""COMPUTED_VALUE"""),0)</f>
        <v>0</v>
      </c>
    </row>
    <row r="1104" spans="1:4" ht="13.2">
      <c r="A1104" s="5"/>
      <c r="C1104" s="5"/>
      <c r="D1104" s="80">
        <f ca="1">IFERROR(__xludf.DUMMYFUNCTION("""COMPUTED_VALUE"""),0)</f>
        <v>0</v>
      </c>
    </row>
    <row r="1105" spans="1:4" ht="13.2">
      <c r="A1105" s="5"/>
      <c r="C1105" s="5"/>
      <c r="D1105" s="80">
        <f ca="1">IFERROR(__xludf.DUMMYFUNCTION("""COMPUTED_VALUE"""),0)</f>
        <v>0</v>
      </c>
    </row>
    <row r="1106" spans="1:4" ht="13.2">
      <c r="A1106" s="5"/>
      <c r="C1106" s="5"/>
      <c r="D1106" s="80">
        <f ca="1">IFERROR(__xludf.DUMMYFUNCTION("""COMPUTED_VALUE"""),0)</f>
        <v>0</v>
      </c>
    </row>
    <row r="1107" spans="1:4" ht="13.2">
      <c r="A1107" s="5"/>
      <c r="C1107" s="5"/>
      <c r="D1107" s="80">
        <f ca="1">IFERROR(__xludf.DUMMYFUNCTION("""COMPUTED_VALUE"""),0)</f>
        <v>0</v>
      </c>
    </row>
    <row r="1108" spans="1:4" ht="13.2">
      <c r="A1108" s="5"/>
      <c r="C1108" s="5"/>
      <c r="D1108" s="80">
        <f ca="1">IFERROR(__xludf.DUMMYFUNCTION("""COMPUTED_VALUE"""),0)</f>
        <v>0</v>
      </c>
    </row>
    <row r="1109" spans="1:4" ht="13.2">
      <c r="A1109" s="5"/>
      <c r="C1109" s="5"/>
      <c r="D1109" s="80">
        <f ca="1">IFERROR(__xludf.DUMMYFUNCTION("""COMPUTED_VALUE"""),0)</f>
        <v>0</v>
      </c>
    </row>
    <row r="1110" spans="1:4" ht="13.2">
      <c r="A1110" s="5"/>
      <c r="C1110" s="5"/>
      <c r="D1110" s="80">
        <f ca="1">IFERROR(__xludf.DUMMYFUNCTION("""COMPUTED_VALUE"""),0)</f>
        <v>0</v>
      </c>
    </row>
    <row r="1111" spans="1:4" ht="13.2">
      <c r="A1111" s="5"/>
      <c r="C1111" s="5"/>
      <c r="D1111" s="80">
        <f ca="1">IFERROR(__xludf.DUMMYFUNCTION("""COMPUTED_VALUE"""),0)</f>
        <v>0</v>
      </c>
    </row>
    <row r="1112" spans="1:4" ht="13.2">
      <c r="A1112" s="5"/>
      <c r="C1112" s="5"/>
      <c r="D1112" s="80">
        <f ca="1">IFERROR(__xludf.DUMMYFUNCTION("""COMPUTED_VALUE"""),0)</f>
        <v>0</v>
      </c>
    </row>
    <row r="1113" spans="1:4" ht="13.2">
      <c r="A1113" s="5"/>
      <c r="C1113" s="5"/>
      <c r="D1113" s="80">
        <f ca="1">IFERROR(__xludf.DUMMYFUNCTION("""COMPUTED_VALUE"""),0)</f>
        <v>0</v>
      </c>
    </row>
    <row r="1114" spans="1:4" ht="13.2">
      <c r="A1114" s="5"/>
      <c r="C1114" s="5"/>
      <c r="D1114" s="80">
        <f ca="1">IFERROR(__xludf.DUMMYFUNCTION("""COMPUTED_VALUE"""),0)</f>
        <v>0</v>
      </c>
    </row>
    <row r="1115" spans="1:4" ht="13.2">
      <c r="A1115" s="5"/>
      <c r="C1115" s="5"/>
      <c r="D1115" s="80">
        <f ca="1">IFERROR(__xludf.DUMMYFUNCTION("""COMPUTED_VALUE"""),0)</f>
        <v>0</v>
      </c>
    </row>
    <row r="1116" spans="1:4" ht="13.2">
      <c r="A1116" s="5"/>
      <c r="C1116" s="5"/>
      <c r="D1116" s="80">
        <f ca="1">IFERROR(__xludf.DUMMYFUNCTION("""COMPUTED_VALUE"""),0)</f>
        <v>0</v>
      </c>
    </row>
    <row r="1117" spans="1:4" ht="13.2">
      <c r="A1117" s="5"/>
      <c r="C1117" s="5"/>
      <c r="D1117" s="80">
        <f ca="1">IFERROR(__xludf.DUMMYFUNCTION("""COMPUTED_VALUE"""),0)</f>
        <v>0</v>
      </c>
    </row>
    <row r="1118" spans="1:4" ht="13.2">
      <c r="A1118" s="5"/>
      <c r="C1118" s="5"/>
      <c r="D1118" s="80">
        <f ca="1">IFERROR(__xludf.DUMMYFUNCTION("""COMPUTED_VALUE"""),0)</f>
        <v>0</v>
      </c>
    </row>
    <row r="1119" spans="1:4" ht="13.2">
      <c r="A1119" s="5"/>
      <c r="C1119" s="5"/>
      <c r="D1119" s="80">
        <f ca="1">IFERROR(__xludf.DUMMYFUNCTION("""COMPUTED_VALUE"""),0)</f>
        <v>0</v>
      </c>
    </row>
    <row r="1120" spans="1:4" ht="13.2">
      <c r="A1120" s="5"/>
      <c r="C1120" s="5"/>
      <c r="D1120" s="80">
        <f ca="1">IFERROR(__xludf.DUMMYFUNCTION("""COMPUTED_VALUE"""),0)</f>
        <v>0</v>
      </c>
    </row>
    <row r="1121" spans="1:4" ht="13.2">
      <c r="A1121" s="5"/>
      <c r="C1121" s="5"/>
      <c r="D1121" s="80">
        <f ca="1">IFERROR(__xludf.DUMMYFUNCTION("""COMPUTED_VALUE"""),0)</f>
        <v>0</v>
      </c>
    </row>
    <row r="1122" spans="1:4" ht="13.2">
      <c r="A1122" s="5"/>
      <c r="C1122" s="5"/>
      <c r="D1122" s="80">
        <f ca="1">IFERROR(__xludf.DUMMYFUNCTION("""COMPUTED_VALUE"""),0)</f>
        <v>0</v>
      </c>
    </row>
    <row r="1123" spans="1:4" ht="13.2">
      <c r="A1123" s="5"/>
      <c r="C1123" s="5"/>
      <c r="D1123" s="80">
        <f ca="1">IFERROR(__xludf.DUMMYFUNCTION("""COMPUTED_VALUE"""),0)</f>
        <v>0</v>
      </c>
    </row>
    <row r="1124" spans="1:4" ht="13.2">
      <c r="A1124" s="5"/>
      <c r="C1124" s="5"/>
      <c r="D1124" s="80">
        <f ca="1">IFERROR(__xludf.DUMMYFUNCTION("""COMPUTED_VALUE"""),0)</f>
        <v>0</v>
      </c>
    </row>
    <row r="1125" spans="1:4" ht="13.2">
      <c r="A1125" s="5"/>
      <c r="C1125" s="5"/>
      <c r="D1125" s="80">
        <f ca="1">IFERROR(__xludf.DUMMYFUNCTION("""COMPUTED_VALUE"""),0)</f>
        <v>0</v>
      </c>
    </row>
    <row r="1126" spans="1:4" ht="13.2">
      <c r="A1126" s="5"/>
      <c r="C1126" s="5"/>
      <c r="D1126" s="80">
        <f ca="1">IFERROR(__xludf.DUMMYFUNCTION("""COMPUTED_VALUE"""),0)</f>
        <v>0</v>
      </c>
    </row>
    <row r="1127" spans="1:4" ht="13.2">
      <c r="A1127" s="5"/>
      <c r="C1127" s="5"/>
      <c r="D1127" s="80">
        <f ca="1">IFERROR(__xludf.DUMMYFUNCTION("""COMPUTED_VALUE"""),0)</f>
        <v>0</v>
      </c>
    </row>
    <row r="1128" spans="1:4" ht="13.2">
      <c r="A1128" s="5"/>
      <c r="C1128" s="5"/>
      <c r="D1128" s="80">
        <f ca="1">IFERROR(__xludf.DUMMYFUNCTION("""COMPUTED_VALUE"""),0)</f>
        <v>0</v>
      </c>
    </row>
    <row r="1129" spans="1:4" ht="13.2">
      <c r="A1129" s="5"/>
      <c r="C1129" s="5"/>
      <c r="D1129" s="80">
        <f ca="1">IFERROR(__xludf.DUMMYFUNCTION("""COMPUTED_VALUE"""),0)</f>
        <v>0</v>
      </c>
    </row>
    <row r="1130" spans="1:4" ht="13.2">
      <c r="A1130" s="5"/>
      <c r="C1130" s="5"/>
      <c r="D1130" s="80">
        <f ca="1">IFERROR(__xludf.DUMMYFUNCTION("""COMPUTED_VALUE"""),0)</f>
        <v>0</v>
      </c>
    </row>
    <row r="1131" spans="1:4" ht="13.2">
      <c r="A1131" s="5"/>
      <c r="C1131" s="5"/>
      <c r="D1131" s="80">
        <f ca="1">IFERROR(__xludf.DUMMYFUNCTION("""COMPUTED_VALUE"""),0)</f>
        <v>0</v>
      </c>
    </row>
    <row r="1132" spans="1:4" ht="13.2">
      <c r="A1132" s="5"/>
      <c r="C1132" s="5"/>
      <c r="D1132" s="80">
        <f ca="1">IFERROR(__xludf.DUMMYFUNCTION("""COMPUTED_VALUE"""),0)</f>
        <v>0</v>
      </c>
    </row>
    <row r="1133" spans="1:4" ht="13.2">
      <c r="A1133" s="5"/>
      <c r="C1133" s="5"/>
      <c r="D1133" s="80">
        <f ca="1">IFERROR(__xludf.DUMMYFUNCTION("""COMPUTED_VALUE"""),0)</f>
        <v>0</v>
      </c>
    </row>
    <row r="1134" spans="1:4" ht="13.2">
      <c r="A1134" s="5"/>
      <c r="C1134" s="5"/>
      <c r="D1134" s="80">
        <f ca="1">IFERROR(__xludf.DUMMYFUNCTION("""COMPUTED_VALUE"""),0)</f>
        <v>0</v>
      </c>
    </row>
    <row r="1135" spans="1:4" ht="13.2">
      <c r="A1135" s="5"/>
      <c r="C1135" s="5"/>
      <c r="D1135" s="80">
        <f ca="1">IFERROR(__xludf.DUMMYFUNCTION("""COMPUTED_VALUE"""),0)</f>
        <v>0</v>
      </c>
    </row>
    <row r="1136" spans="1:4" ht="13.2">
      <c r="A1136" s="5"/>
      <c r="C1136" s="5"/>
      <c r="D1136" s="80">
        <f ca="1">IFERROR(__xludf.DUMMYFUNCTION("""COMPUTED_VALUE"""),0)</f>
        <v>0</v>
      </c>
    </row>
    <row r="1137" spans="1:4" ht="13.2">
      <c r="A1137" s="5"/>
      <c r="C1137" s="5"/>
      <c r="D1137" s="80">
        <f ca="1">IFERROR(__xludf.DUMMYFUNCTION("""COMPUTED_VALUE"""),0)</f>
        <v>0</v>
      </c>
    </row>
    <row r="1138" spans="1:4" ht="13.2">
      <c r="A1138" s="5"/>
      <c r="C1138" s="5"/>
      <c r="D1138" s="80">
        <f ca="1">IFERROR(__xludf.DUMMYFUNCTION("""COMPUTED_VALUE"""),0)</f>
        <v>0</v>
      </c>
    </row>
    <row r="1139" spans="1:4" ht="13.2">
      <c r="A1139" s="5"/>
      <c r="C1139" s="5"/>
      <c r="D1139" s="80">
        <f ca="1">IFERROR(__xludf.DUMMYFUNCTION("""COMPUTED_VALUE"""),0)</f>
        <v>0</v>
      </c>
    </row>
    <row r="1140" spans="1:4" ht="13.2">
      <c r="A1140" s="5"/>
      <c r="C1140" s="5"/>
      <c r="D1140" s="80">
        <f ca="1">IFERROR(__xludf.DUMMYFUNCTION("""COMPUTED_VALUE"""),0)</f>
        <v>0</v>
      </c>
    </row>
    <row r="1141" spans="1:4" ht="13.2">
      <c r="A1141" s="5"/>
      <c r="C1141" s="5"/>
      <c r="D1141" s="80">
        <f ca="1">IFERROR(__xludf.DUMMYFUNCTION("""COMPUTED_VALUE"""),0)</f>
        <v>0</v>
      </c>
    </row>
    <row r="1142" spans="1:4" ht="13.2">
      <c r="A1142" s="5"/>
      <c r="C1142" s="5"/>
      <c r="D1142" s="80">
        <f ca="1">IFERROR(__xludf.DUMMYFUNCTION("""COMPUTED_VALUE"""),0)</f>
        <v>0</v>
      </c>
    </row>
    <row r="1143" spans="1:4" ht="13.2">
      <c r="A1143" s="5"/>
      <c r="C1143" s="5"/>
      <c r="D1143" s="80">
        <f ca="1">IFERROR(__xludf.DUMMYFUNCTION("""COMPUTED_VALUE"""),0)</f>
        <v>0</v>
      </c>
    </row>
    <row r="1144" spans="1:4" ht="13.2">
      <c r="A1144" s="5"/>
      <c r="C1144" s="5"/>
      <c r="D1144" s="80">
        <f ca="1">IFERROR(__xludf.DUMMYFUNCTION("""COMPUTED_VALUE"""),0)</f>
        <v>0</v>
      </c>
    </row>
    <row r="1145" spans="1:4" ht="13.2">
      <c r="A1145" s="5"/>
      <c r="C1145" s="5"/>
      <c r="D1145" s="80">
        <f ca="1">IFERROR(__xludf.DUMMYFUNCTION("""COMPUTED_VALUE"""),0)</f>
        <v>0</v>
      </c>
    </row>
    <row r="1146" spans="1:4" ht="13.2">
      <c r="A1146" s="5"/>
      <c r="C1146" s="5"/>
      <c r="D1146" s="80">
        <f ca="1">IFERROR(__xludf.DUMMYFUNCTION("""COMPUTED_VALUE"""),0)</f>
        <v>0</v>
      </c>
    </row>
    <row r="1147" spans="1:4" ht="13.2">
      <c r="A1147" s="5"/>
      <c r="C1147" s="5"/>
      <c r="D1147" s="80">
        <f ca="1">IFERROR(__xludf.DUMMYFUNCTION("""COMPUTED_VALUE"""),0)</f>
        <v>0</v>
      </c>
    </row>
    <row r="1148" spans="1:4" ht="13.2">
      <c r="A1148" s="5"/>
      <c r="C1148" s="5"/>
      <c r="D1148" s="80">
        <f ca="1">IFERROR(__xludf.DUMMYFUNCTION("""COMPUTED_VALUE"""),0)</f>
        <v>0</v>
      </c>
    </row>
    <row r="1149" spans="1:4" ht="13.2">
      <c r="A1149" s="5"/>
      <c r="C1149" s="5"/>
      <c r="D1149" s="80">
        <f ca="1">IFERROR(__xludf.DUMMYFUNCTION("""COMPUTED_VALUE"""),0)</f>
        <v>0</v>
      </c>
    </row>
    <row r="1150" spans="1:4" ht="13.2">
      <c r="A1150" s="5"/>
      <c r="C1150" s="5"/>
      <c r="D1150" s="80">
        <f ca="1">IFERROR(__xludf.DUMMYFUNCTION("""COMPUTED_VALUE"""),0)</f>
        <v>0</v>
      </c>
    </row>
    <row r="1151" spans="1:4" ht="13.2">
      <c r="A1151" s="5"/>
      <c r="C1151" s="5"/>
      <c r="D1151" s="80">
        <f ca="1">IFERROR(__xludf.DUMMYFUNCTION("""COMPUTED_VALUE"""),0)</f>
        <v>0</v>
      </c>
    </row>
    <row r="1152" spans="1:4" ht="13.2">
      <c r="A1152" s="5"/>
      <c r="C1152" s="5"/>
      <c r="D1152" s="80">
        <f ca="1">IFERROR(__xludf.DUMMYFUNCTION("""COMPUTED_VALUE"""),0)</f>
        <v>0</v>
      </c>
    </row>
    <row r="1153" spans="1:4" ht="13.2">
      <c r="A1153" s="5"/>
      <c r="C1153" s="5"/>
      <c r="D1153" s="80">
        <f ca="1">IFERROR(__xludf.DUMMYFUNCTION("""COMPUTED_VALUE"""),0)</f>
        <v>0</v>
      </c>
    </row>
    <row r="1154" spans="1:4" ht="13.2">
      <c r="A1154" s="5"/>
      <c r="C1154" s="5"/>
      <c r="D1154" s="80">
        <f ca="1">IFERROR(__xludf.DUMMYFUNCTION("""COMPUTED_VALUE"""),0)</f>
        <v>0</v>
      </c>
    </row>
    <row r="1155" spans="1:4" ht="13.2">
      <c r="A1155" s="5"/>
      <c r="C1155" s="5"/>
      <c r="D1155" s="80">
        <f ca="1">IFERROR(__xludf.DUMMYFUNCTION("""COMPUTED_VALUE"""),0)</f>
        <v>0</v>
      </c>
    </row>
    <row r="1156" spans="1:4" ht="13.2">
      <c r="A1156" s="5"/>
      <c r="C1156" s="5"/>
      <c r="D1156" s="80">
        <f ca="1">IFERROR(__xludf.DUMMYFUNCTION("""COMPUTED_VALUE"""),0)</f>
        <v>0</v>
      </c>
    </row>
    <row r="1157" spans="1:4" ht="13.2">
      <c r="A1157" s="5"/>
      <c r="C1157" s="5"/>
      <c r="D1157" s="80">
        <f ca="1">IFERROR(__xludf.DUMMYFUNCTION("""COMPUTED_VALUE"""),0)</f>
        <v>0</v>
      </c>
    </row>
    <row r="1158" spans="1:4" ht="13.2">
      <c r="A1158" s="5"/>
      <c r="C1158" s="5"/>
      <c r="D1158" s="80">
        <f ca="1">IFERROR(__xludf.DUMMYFUNCTION("""COMPUTED_VALUE"""),0)</f>
        <v>0</v>
      </c>
    </row>
    <row r="1159" spans="1:4" ht="13.2">
      <c r="A1159" s="5"/>
      <c r="C1159" s="5"/>
      <c r="D1159" s="80">
        <f ca="1">IFERROR(__xludf.DUMMYFUNCTION("""COMPUTED_VALUE"""),0)</f>
        <v>0</v>
      </c>
    </row>
    <row r="1160" spans="1:4" ht="13.2">
      <c r="A1160" s="5"/>
      <c r="C1160" s="5"/>
      <c r="D1160" s="80">
        <f ca="1">IFERROR(__xludf.DUMMYFUNCTION("""COMPUTED_VALUE"""),0)</f>
        <v>0</v>
      </c>
    </row>
    <row r="1161" spans="1:4" ht="13.2">
      <c r="A1161" s="5"/>
      <c r="C1161" s="5"/>
      <c r="D1161" s="80">
        <f ca="1">IFERROR(__xludf.DUMMYFUNCTION("""COMPUTED_VALUE"""),0)</f>
        <v>0</v>
      </c>
    </row>
    <row r="1162" spans="1:4" ht="13.2">
      <c r="A1162" s="5"/>
      <c r="C1162" s="5"/>
      <c r="D1162" s="80">
        <f ca="1">IFERROR(__xludf.DUMMYFUNCTION("""COMPUTED_VALUE"""),0)</f>
        <v>0</v>
      </c>
    </row>
    <row r="1163" spans="1:4" ht="13.2">
      <c r="A1163" s="5"/>
      <c r="C1163" s="5"/>
      <c r="D1163" s="80">
        <f ca="1">IFERROR(__xludf.DUMMYFUNCTION("""COMPUTED_VALUE"""),0)</f>
        <v>0</v>
      </c>
    </row>
    <row r="1164" spans="1:4" ht="13.2">
      <c r="A1164" s="5"/>
      <c r="C1164" s="5"/>
      <c r="D1164" s="80">
        <f ca="1">IFERROR(__xludf.DUMMYFUNCTION("""COMPUTED_VALUE"""),0)</f>
        <v>0</v>
      </c>
    </row>
    <row r="1165" spans="1:4" ht="13.2">
      <c r="A1165" s="5"/>
      <c r="C1165" s="5"/>
      <c r="D1165" s="80">
        <f ca="1">IFERROR(__xludf.DUMMYFUNCTION("""COMPUTED_VALUE"""),0)</f>
        <v>0</v>
      </c>
    </row>
    <row r="1166" spans="1:4" ht="13.2">
      <c r="A1166" s="5"/>
      <c r="C1166" s="5"/>
      <c r="D1166" s="80">
        <f ca="1">IFERROR(__xludf.DUMMYFUNCTION("""COMPUTED_VALUE"""),0)</f>
        <v>0</v>
      </c>
    </row>
    <row r="1167" spans="1:4" ht="13.2">
      <c r="A1167" s="5"/>
      <c r="C1167" s="5"/>
      <c r="D1167" s="80"/>
    </row>
    <row r="1168" spans="1:4" ht="13.2">
      <c r="A1168" s="5"/>
      <c r="C1168" s="5"/>
      <c r="D1168" s="80"/>
    </row>
    <row r="1169" spans="1:4" ht="13.2">
      <c r="A1169" s="5"/>
      <c r="C1169" s="5"/>
      <c r="D1169" s="80"/>
    </row>
    <row r="1170" spans="1:4" ht="13.2">
      <c r="A1170" s="5"/>
      <c r="C1170" s="5"/>
      <c r="D1170" s="80"/>
    </row>
    <row r="1171" spans="1:4" ht="13.2">
      <c r="A1171" s="5"/>
      <c r="C1171" s="5"/>
      <c r="D1171" s="80"/>
    </row>
    <row r="1172" spans="1:4" ht="13.2">
      <c r="A1172" s="5"/>
      <c r="C1172" s="5"/>
      <c r="D1172" s="80"/>
    </row>
    <row r="1173" spans="1:4" ht="13.2">
      <c r="A1173" s="5"/>
      <c r="C1173" s="5"/>
      <c r="D1173" s="80"/>
    </row>
    <row r="1174" spans="1:4" ht="13.2">
      <c r="A1174" s="5"/>
      <c r="C1174" s="5"/>
      <c r="D1174" s="80"/>
    </row>
    <row r="1175" spans="1:4" ht="13.2">
      <c r="A1175" s="5"/>
      <c r="C1175" s="5"/>
      <c r="D1175" s="80"/>
    </row>
    <row r="1176" spans="1:4" ht="13.2">
      <c r="A1176" s="5"/>
      <c r="C1176" s="5"/>
      <c r="D1176" s="80"/>
    </row>
    <row r="1177" spans="1:4" ht="13.2">
      <c r="A1177" s="5"/>
      <c r="C1177" s="5"/>
      <c r="D1177" s="80"/>
    </row>
    <row r="1178" spans="1:4" ht="13.2">
      <c r="A1178" s="5"/>
      <c r="C1178" s="5"/>
      <c r="D1178" s="80"/>
    </row>
    <row r="1179" spans="1:4" ht="13.2">
      <c r="A1179" s="5"/>
      <c r="C1179" s="5"/>
      <c r="D1179" s="80"/>
    </row>
    <row r="1180" spans="1:4" ht="13.2">
      <c r="A1180" s="5"/>
      <c r="C1180" s="5"/>
      <c r="D1180" s="80"/>
    </row>
    <row r="1181" spans="1:4" ht="13.2">
      <c r="A1181" s="5"/>
      <c r="C1181" s="5"/>
      <c r="D1181" s="80"/>
    </row>
    <row r="1182" spans="1:4" ht="13.2">
      <c r="A1182" s="5"/>
      <c r="C1182" s="5"/>
      <c r="D1182" s="80"/>
    </row>
    <row r="1183" spans="1:4" ht="13.2">
      <c r="A1183" s="5"/>
      <c r="C1183" s="5"/>
      <c r="D1183" s="80"/>
    </row>
    <row r="1184" spans="1:4" ht="13.2">
      <c r="A1184" s="5"/>
      <c r="C1184" s="5"/>
      <c r="D1184" s="80"/>
    </row>
    <row r="1185" spans="1:4" ht="13.2">
      <c r="A1185" s="5"/>
      <c r="C1185" s="5"/>
      <c r="D1185" s="80"/>
    </row>
    <row r="1186" spans="1:4" ht="13.2">
      <c r="A1186" s="5"/>
      <c r="C1186" s="5"/>
      <c r="D1186" s="80"/>
    </row>
    <row r="1187" spans="1:4" ht="13.2">
      <c r="A1187" s="5"/>
      <c r="C1187" s="5"/>
      <c r="D1187" s="80"/>
    </row>
    <row r="1188" spans="1:4" ht="13.2">
      <c r="A1188" s="5"/>
      <c r="C1188" s="5"/>
      <c r="D1188" s="80"/>
    </row>
    <row r="1189" spans="1:4" ht="13.2">
      <c r="A1189" s="5"/>
      <c r="C1189" s="5"/>
      <c r="D1189" s="80"/>
    </row>
    <row r="1190" spans="1:4" ht="13.2">
      <c r="A1190" s="5"/>
      <c r="C1190" s="5"/>
      <c r="D1190" s="80"/>
    </row>
    <row r="1191" spans="1:4" ht="13.2">
      <c r="A1191" s="5"/>
      <c r="C1191" s="5"/>
      <c r="D1191" s="80"/>
    </row>
    <row r="1192" spans="1:4" ht="13.2">
      <c r="A1192" s="5"/>
      <c r="C1192" s="5"/>
      <c r="D1192" s="80"/>
    </row>
    <row r="1193" spans="1:4" ht="13.2">
      <c r="A1193" s="5"/>
      <c r="C1193" s="5"/>
      <c r="D1193" s="80"/>
    </row>
    <row r="1194" spans="1:4" ht="13.2">
      <c r="A1194" s="5"/>
      <c r="C1194" s="5"/>
      <c r="D1194" s="80"/>
    </row>
    <row r="1195" spans="1:4" ht="13.2">
      <c r="A1195" s="5"/>
      <c r="C1195" s="5"/>
      <c r="D1195" s="80"/>
    </row>
    <row r="1196" spans="1:4" ht="13.2">
      <c r="A1196" s="5"/>
      <c r="C1196" s="5"/>
      <c r="D1196" s="80"/>
    </row>
    <row r="1197" spans="1:4" ht="13.2">
      <c r="A1197" s="5"/>
      <c r="C1197" s="5"/>
      <c r="D1197" s="80"/>
    </row>
    <row r="1198" spans="1:4" ht="13.2">
      <c r="A1198" s="5"/>
      <c r="C1198" s="5"/>
      <c r="D1198" s="80"/>
    </row>
    <row r="1199" spans="1:4" ht="13.2">
      <c r="A1199" s="5"/>
      <c r="C1199" s="5"/>
      <c r="D1199" s="80"/>
    </row>
    <row r="1200" spans="1:4" ht="13.2">
      <c r="A1200" s="5"/>
      <c r="C1200" s="5"/>
      <c r="D1200" s="80"/>
    </row>
    <row r="1201" spans="1:4" ht="13.2">
      <c r="A1201" s="5"/>
      <c r="C1201" s="5"/>
      <c r="D1201" s="80"/>
    </row>
    <row r="1202" spans="1:4" ht="13.2">
      <c r="A1202" s="5"/>
      <c r="C1202" s="5"/>
      <c r="D1202" s="80"/>
    </row>
    <row r="1203" spans="1:4" ht="13.2">
      <c r="A1203" s="5"/>
      <c r="C1203" s="5"/>
      <c r="D1203" s="80"/>
    </row>
    <row r="1204" spans="1:4" ht="13.2">
      <c r="A1204" s="5"/>
      <c r="C1204" s="5"/>
      <c r="D1204" s="80"/>
    </row>
    <row r="1205" spans="1:4" ht="13.2">
      <c r="A1205" s="5"/>
      <c r="C1205" s="5"/>
      <c r="D1205" s="80"/>
    </row>
    <row r="1206" spans="1:4" ht="13.2">
      <c r="A1206" s="5"/>
      <c r="C1206" s="5"/>
      <c r="D1206" s="80"/>
    </row>
    <row r="1207" spans="1:4" ht="13.2">
      <c r="A1207" s="5"/>
      <c r="C1207" s="5"/>
      <c r="D1207" s="80"/>
    </row>
    <row r="1208" spans="1:4" ht="13.2">
      <c r="A1208" s="5"/>
      <c r="C1208" s="5"/>
      <c r="D1208" s="80"/>
    </row>
    <row r="1209" spans="1:4" ht="13.2">
      <c r="A1209" s="5"/>
      <c r="C1209" s="5"/>
      <c r="D1209" s="80"/>
    </row>
    <row r="1210" spans="1:4" ht="13.2">
      <c r="A1210" s="5"/>
      <c r="C1210" s="5"/>
      <c r="D1210" s="80"/>
    </row>
    <row r="1211" spans="1:4" ht="13.2">
      <c r="A1211" s="5"/>
      <c r="C1211" s="5"/>
      <c r="D1211" s="80"/>
    </row>
    <row r="1212" spans="1:4" ht="13.2">
      <c r="A1212" s="5"/>
      <c r="C1212" s="5"/>
      <c r="D1212" s="80"/>
    </row>
    <row r="1213" spans="1:4" ht="13.2">
      <c r="A1213" s="5"/>
      <c r="C1213" s="5"/>
      <c r="D1213" s="80"/>
    </row>
    <row r="1214" spans="1:4" ht="13.2">
      <c r="A1214" s="5"/>
      <c r="C1214" s="5"/>
      <c r="D1214" s="80"/>
    </row>
    <row r="1215" spans="1:4" ht="13.2">
      <c r="A1215" s="5"/>
      <c r="C1215" s="5"/>
      <c r="D1215" s="80"/>
    </row>
    <row r="1216" spans="1:4" ht="13.2">
      <c r="A1216" s="5"/>
      <c r="C1216" s="5"/>
      <c r="D1216" s="80"/>
    </row>
    <row r="1217" spans="1:4" ht="13.2">
      <c r="A1217" s="5"/>
      <c r="C1217" s="5"/>
      <c r="D1217" s="80"/>
    </row>
    <row r="1218" spans="1:4" ht="13.2">
      <c r="A1218" s="5"/>
      <c r="C1218" s="5"/>
      <c r="D1218" s="80"/>
    </row>
    <row r="1219" spans="1:4" ht="13.2">
      <c r="A1219" s="5"/>
      <c r="C1219" s="5"/>
      <c r="D1219" s="80"/>
    </row>
    <row r="1220" spans="1:4" ht="13.2">
      <c r="A1220" s="5"/>
      <c r="C1220" s="5"/>
      <c r="D1220" s="80"/>
    </row>
    <row r="1221" spans="1:4" ht="13.2">
      <c r="A1221" s="5"/>
      <c r="C1221" s="5"/>
      <c r="D1221" s="80"/>
    </row>
    <row r="1222" spans="1:4" ht="13.2">
      <c r="A1222" s="5"/>
      <c r="C1222" s="5"/>
      <c r="D1222" s="80"/>
    </row>
    <row r="1223" spans="1:4" ht="13.2">
      <c r="A1223" s="5"/>
      <c r="C1223" s="5"/>
      <c r="D1223" s="80"/>
    </row>
    <row r="1224" spans="1:4" ht="13.2">
      <c r="A1224" s="5"/>
      <c r="C1224" s="5"/>
      <c r="D1224" s="80"/>
    </row>
    <row r="1225" spans="1:4" ht="13.2">
      <c r="A1225" s="5"/>
      <c r="C1225" s="5"/>
      <c r="D1225" s="80"/>
    </row>
    <row r="1226" spans="1:4" ht="13.2">
      <c r="A1226" s="5"/>
      <c r="C1226" s="5"/>
      <c r="D1226" s="80"/>
    </row>
    <row r="1227" spans="1:4" ht="13.2">
      <c r="A1227" s="5"/>
      <c r="C1227" s="5"/>
      <c r="D1227" s="80"/>
    </row>
    <row r="1228" spans="1:4" ht="13.2">
      <c r="A1228" s="5"/>
      <c r="C1228" s="5"/>
      <c r="D1228" s="80"/>
    </row>
    <row r="1229" spans="1:4" ht="13.2">
      <c r="A1229" s="5"/>
      <c r="C1229" s="5"/>
      <c r="D1229" s="80"/>
    </row>
    <row r="1230" spans="1:4" ht="13.2">
      <c r="A1230" s="5"/>
      <c r="C1230" s="5"/>
      <c r="D1230" s="80"/>
    </row>
    <row r="1231" spans="1:4" ht="13.2">
      <c r="A1231" s="5"/>
      <c r="C1231" s="5"/>
      <c r="D1231" s="80"/>
    </row>
    <row r="1232" spans="1:4" ht="13.2">
      <c r="A1232" s="5"/>
      <c r="C1232" s="5"/>
      <c r="D1232" s="80"/>
    </row>
    <row r="1233" spans="1:4" ht="13.2">
      <c r="A1233" s="5"/>
      <c r="C1233" s="5"/>
      <c r="D1233" s="80"/>
    </row>
    <row r="1234" spans="1:4" ht="13.2">
      <c r="A1234" s="5"/>
      <c r="C1234" s="5"/>
      <c r="D1234" s="80"/>
    </row>
    <row r="1235" spans="1:4" ht="13.2">
      <c r="A1235" s="5"/>
      <c r="C1235" s="5"/>
      <c r="D1235" s="80"/>
    </row>
    <row r="1236" spans="1:4" ht="13.2">
      <c r="A1236" s="5"/>
      <c r="C1236" s="5"/>
      <c r="D1236" s="80"/>
    </row>
    <row r="1237" spans="1:4" ht="13.2">
      <c r="A1237" s="5"/>
      <c r="C1237" s="5"/>
      <c r="D1237" s="80"/>
    </row>
    <row r="1238" spans="1:4" ht="13.2">
      <c r="A1238" s="5"/>
      <c r="C1238" s="5"/>
      <c r="D1238" s="80"/>
    </row>
    <row r="1239" spans="1:4" ht="13.2">
      <c r="A1239" s="5"/>
      <c r="C1239" s="5"/>
      <c r="D1239" s="80"/>
    </row>
    <row r="1240" spans="1:4" ht="13.2">
      <c r="A1240" s="5"/>
      <c r="C1240" s="5"/>
      <c r="D1240" s="80"/>
    </row>
    <row r="1241" spans="1:4" ht="13.2">
      <c r="A1241" s="5"/>
      <c r="C1241" s="5"/>
      <c r="D1241" s="80"/>
    </row>
    <row r="1242" spans="1:4" ht="13.2">
      <c r="A1242" s="5"/>
      <c r="C1242" s="5"/>
      <c r="D1242" s="80"/>
    </row>
    <row r="1243" spans="1:4" ht="13.2">
      <c r="A1243" s="5"/>
      <c r="C1243" s="5"/>
      <c r="D1243" s="80"/>
    </row>
    <row r="1244" spans="1:4" ht="13.2">
      <c r="A1244" s="5"/>
      <c r="C1244" s="5"/>
      <c r="D1244" s="80"/>
    </row>
    <row r="1245" spans="1:4" ht="13.2">
      <c r="A1245" s="5"/>
      <c r="C1245" s="5"/>
      <c r="D1245" s="80"/>
    </row>
    <row r="1246" spans="1:4" ht="13.2">
      <c r="A1246" s="5"/>
      <c r="C1246" s="5"/>
      <c r="D1246" s="80"/>
    </row>
    <row r="1247" spans="1:4" ht="13.2">
      <c r="A1247" s="5"/>
      <c r="C1247" s="5"/>
      <c r="D1247" s="80"/>
    </row>
    <row r="1248" spans="1:4" ht="13.2">
      <c r="A1248" s="5"/>
      <c r="C1248" s="5"/>
      <c r="D1248" s="80"/>
    </row>
    <row r="1249" spans="1:4" ht="13.2">
      <c r="A1249" s="5"/>
      <c r="C1249" s="5"/>
      <c r="D1249" s="80"/>
    </row>
    <row r="1250" spans="1:4" ht="13.2">
      <c r="A1250" s="5"/>
      <c r="C1250" s="5"/>
      <c r="D1250" s="80"/>
    </row>
    <row r="1251" spans="1:4" ht="13.2">
      <c r="A1251" s="5"/>
      <c r="C1251" s="5"/>
      <c r="D1251" s="80"/>
    </row>
    <row r="1252" spans="1:4" ht="13.2">
      <c r="A1252" s="5"/>
      <c r="C1252" s="5"/>
      <c r="D1252" s="80"/>
    </row>
    <row r="1253" spans="1:4" ht="13.2">
      <c r="A1253" s="5"/>
      <c r="C1253" s="5"/>
      <c r="D1253" s="80"/>
    </row>
    <row r="1254" spans="1:4" ht="13.2">
      <c r="A1254" s="5"/>
      <c r="C1254" s="5"/>
      <c r="D1254" s="80"/>
    </row>
    <row r="1255" spans="1:4" ht="13.2">
      <c r="A1255" s="5"/>
      <c r="C1255" s="5"/>
      <c r="D1255" s="80"/>
    </row>
    <row r="1256" spans="1:4" ht="13.2">
      <c r="A1256" s="5"/>
      <c r="C1256" s="5"/>
      <c r="D1256" s="80"/>
    </row>
    <row r="1257" spans="1:4" ht="13.2">
      <c r="A1257" s="5"/>
      <c r="C1257" s="5"/>
      <c r="D1257" s="80"/>
    </row>
    <row r="1258" spans="1:4" ht="13.2">
      <c r="A1258" s="5"/>
      <c r="C1258" s="5"/>
      <c r="D1258" s="80"/>
    </row>
    <row r="1259" spans="1:4" ht="13.2">
      <c r="A1259" s="5"/>
      <c r="C1259" s="5"/>
      <c r="D1259" s="80"/>
    </row>
    <row r="1260" spans="1:4" ht="13.2">
      <c r="A1260" s="5"/>
      <c r="C1260" s="5"/>
      <c r="D1260" s="80"/>
    </row>
    <row r="1261" spans="1:4" ht="13.2">
      <c r="A1261" s="5"/>
      <c r="C1261" s="5"/>
      <c r="D1261" s="80"/>
    </row>
    <row r="1262" spans="1:4" ht="13.2">
      <c r="A1262" s="5"/>
      <c r="C1262" s="5"/>
      <c r="D1262" s="80"/>
    </row>
    <row r="1263" spans="1:4" ht="13.2">
      <c r="A1263" s="5"/>
      <c r="C1263" s="5"/>
      <c r="D1263" s="80"/>
    </row>
    <row r="1264" spans="1:4" ht="13.2">
      <c r="A1264" s="5"/>
      <c r="C1264" s="5"/>
      <c r="D1264" s="80"/>
    </row>
    <row r="1265" spans="1:4" ht="13.2">
      <c r="A1265" s="5"/>
      <c r="C1265" s="5"/>
      <c r="D1265" s="80"/>
    </row>
    <row r="1266" spans="1:4" ht="13.2">
      <c r="A1266" s="5"/>
      <c r="C1266" s="5"/>
      <c r="D1266" s="80"/>
    </row>
    <row r="1267" spans="1:4" ht="13.2">
      <c r="A1267" s="5"/>
      <c r="C1267" s="5"/>
      <c r="D1267" s="80"/>
    </row>
    <row r="1268" spans="1:4" ht="13.2">
      <c r="A1268" s="5"/>
      <c r="C1268" s="5"/>
      <c r="D1268" s="80"/>
    </row>
    <row r="1269" spans="1:4" ht="13.2">
      <c r="A1269" s="5"/>
      <c r="C1269" s="5"/>
      <c r="D1269" s="80"/>
    </row>
    <row r="1270" spans="1:4" ht="13.2">
      <c r="A1270" s="5"/>
      <c r="C1270" s="5"/>
      <c r="D1270" s="80"/>
    </row>
    <row r="1271" spans="1:4" ht="13.2">
      <c r="A1271" s="5"/>
      <c r="C1271" s="5"/>
      <c r="D1271" s="80"/>
    </row>
    <row r="1272" spans="1:4" ht="13.2">
      <c r="A1272" s="5"/>
      <c r="C1272" s="5"/>
      <c r="D1272" s="80"/>
    </row>
    <row r="1273" spans="1:4" ht="13.2">
      <c r="A1273" s="5"/>
      <c r="C1273" s="5"/>
      <c r="D1273" s="80"/>
    </row>
    <row r="1274" spans="1:4" ht="13.2">
      <c r="A1274" s="5"/>
      <c r="C1274" s="5"/>
      <c r="D1274" s="80"/>
    </row>
    <row r="1275" spans="1:4" ht="13.2">
      <c r="A1275" s="5"/>
      <c r="C1275" s="5"/>
      <c r="D1275" s="80"/>
    </row>
    <row r="1276" spans="1:4" ht="13.2">
      <c r="A1276" s="5"/>
      <c r="C1276" s="5"/>
      <c r="D1276" s="80"/>
    </row>
    <row r="1277" spans="1:4" ht="13.2">
      <c r="A1277" s="5"/>
      <c r="C1277" s="5"/>
      <c r="D1277" s="80"/>
    </row>
    <row r="1278" spans="1:4" ht="13.2">
      <c r="A1278" s="5"/>
      <c r="C1278" s="5"/>
      <c r="D1278" s="80"/>
    </row>
    <row r="1279" spans="1:4" ht="13.2">
      <c r="A1279" s="5"/>
      <c r="C1279" s="5"/>
      <c r="D1279" s="80"/>
    </row>
    <row r="1280" spans="1:4" ht="13.2">
      <c r="A1280" s="5"/>
      <c r="C1280" s="5"/>
      <c r="D1280" s="80"/>
    </row>
    <row r="1281" spans="1:4" ht="13.2">
      <c r="A1281" s="5"/>
      <c r="C1281" s="5"/>
      <c r="D1281" s="80"/>
    </row>
    <row r="1282" spans="1:4" ht="13.2">
      <c r="A1282" s="5"/>
      <c r="C1282" s="5"/>
      <c r="D1282" s="80"/>
    </row>
    <row r="1283" spans="1:4" ht="13.2">
      <c r="A1283" s="5"/>
      <c r="C1283" s="5"/>
      <c r="D1283" s="80"/>
    </row>
    <row r="1284" spans="1:4" ht="13.2">
      <c r="A1284" s="5"/>
      <c r="C1284" s="5"/>
      <c r="D1284" s="80"/>
    </row>
    <row r="1285" spans="1:4" ht="13.2">
      <c r="A1285" s="5"/>
      <c r="C1285" s="5"/>
      <c r="D1285" s="80"/>
    </row>
    <row r="1286" spans="1:4" ht="13.2">
      <c r="A1286" s="5"/>
      <c r="C1286" s="5"/>
      <c r="D1286" s="80"/>
    </row>
    <row r="1287" spans="1:4" ht="13.2">
      <c r="A1287" s="5"/>
      <c r="C1287" s="5"/>
      <c r="D1287" s="80"/>
    </row>
    <row r="1288" spans="1:4" ht="13.2">
      <c r="A1288" s="5"/>
      <c r="C1288" s="5"/>
      <c r="D1288" s="80"/>
    </row>
    <row r="1289" spans="1:4" ht="13.2">
      <c r="A1289" s="5"/>
      <c r="C1289" s="5"/>
      <c r="D1289" s="80"/>
    </row>
    <row r="1290" spans="1:4" ht="13.2">
      <c r="A1290" s="5"/>
      <c r="C1290" s="5"/>
      <c r="D1290" s="80"/>
    </row>
    <row r="1291" spans="1:4" ht="13.2">
      <c r="A1291" s="5"/>
      <c r="C1291" s="5"/>
      <c r="D1291" s="80"/>
    </row>
    <row r="1292" spans="1:4" ht="13.2">
      <c r="A1292" s="5"/>
      <c r="C1292" s="5"/>
      <c r="D1292" s="80"/>
    </row>
    <row r="1293" spans="1:4" ht="13.2">
      <c r="A1293" s="5"/>
      <c r="C1293" s="5"/>
      <c r="D1293" s="80"/>
    </row>
    <row r="1294" spans="1:4" ht="13.2">
      <c r="A1294" s="5"/>
      <c r="C1294" s="5"/>
      <c r="D1294" s="80"/>
    </row>
    <row r="1295" spans="1:4" ht="13.2">
      <c r="A1295" s="5"/>
      <c r="C1295" s="5"/>
      <c r="D1295" s="80"/>
    </row>
    <row r="1296" spans="1:4" ht="13.2">
      <c r="A1296" s="5"/>
      <c r="C1296" s="5"/>
      <c r="D1296" s="80"/>
    </row>
    <row r="1297" spans="1:4" ht="13.2">
      <c r="A1297" s="5"/>
      <c r="C1297" s="5"/>
      <c r="D1297" s="80"/>
    </row>
    <row r="1298" spans="1:4" ht="13.2">
      <c r="A1298" s="5"/>
      <c r="C1298" s="5"/>
      <c r="D1298" s="80"/>
    </row>
    <row r="1299" spans="1:4" ht="13.2">
      <c r="A1299" s="5"/>
      <c r="C1299" s="5"/>
      <c r="D1299" s="80"/>
    </row>
    <row r="1300" spans="1:4" ht="13.2">
      <c r="A1300" s="5"/>
      <c r="C1300" s="5"/>
      <c r="D1300" s="80"/>
    </row>
    <row r="1301" spans="1:4" ht="13.2">
      <c r="A1301" s="5"/>
      <c r="C1301" s="5"/>
      <c r="D1301" s="80"/>
    </row>
    <row r="1302" spans="1:4" ht="13.2">
      <c r="A1302" s="5"/>
      <c r="C1302" s="5"/>
      <c r="D1302" s="80"/>
    </row>
    <row r="1303" spans="1:4" ht="13.2">
      <c r="A1303" s="5"/>
      <c r="C1303" s="5"/>
      <c r="D1303" s="80"/>
    </row>
    <row r="1304" spans="1:4" ht="13.2">
      <c r="A1304" s="5"/>
      <c r="C1304" s="5"/>
      <c r="D1304" s="80"/>
    </row>
    <row r="1305" spans="1:4" ht="13.2">
      <c r="A1305" s="5"/>
      <c r="C1305" s="5"/>
      <c r="D1305" s="80"/>
    </row>
    <row r="1306" spans="1:4" ht="13.2">
      <c r="A1306" s="5"/>
      <c r="C1306" s="5"/>
      <c r="D1306" s="80"/>
    </row>
    <row r="1307" spans="1:4" ht="13.2">
      <c r="A1307" s="5"/>
      <c r="C1307" s="5"/>
      <c r="D1307" s="80"/>
    </row>
    <row r="1308" spans="1:4" ht="13.2">
      <c r="A1308" s="5"/>
      <c r="C1308" s="5"/>
      <c r="D1308" s="80"/>
    </row>
    <row r="1309" spans="1:4" ht="13.2">
      <c r="A1309" s="5"/>
      <c r="C1309" s="5"/>
      <c r="D1309" s="80"/>
    </row>
    <row r="1310" spans="1:4" ht="13.2">
      <c r="A1310" s="5"/>
      <c r="C1310" s="5"/>
      <c r="D1310" s="80"/>
    </row>
    <row r="1311" spans="1:4" ht="13.2">
      <c r="A1311" s="5"/>
      <c r="C1311" s="5"/>
      <c r="D1311" s="80"/>
    </row>
    <row r="1312" spans="1:4" ht="13.2">
      <c r="A1312" s="5"/>
      <c r="C1312" s="5"/>
      <c r="D1312" s="80"/>
    </row>
    <row r="1313" spans="1:4" ht="13.2">
      <c r="A1313" s="5"/>
      <c r="C1313" s="5"/>
      <c r="D1313" s="80"/>
    </row>
    <row r="1314" spans="1:4" ht="13.2">
      <c r="A1314" s="5"/>
      <c r="C1314" s="5"/>
      <c r="D1314" s="80"/>
    </row>
    <row r="1315" spans="1:4" ht="13.2">
      <c r="A1315" s="5"/>
      <c r="C1315" s="5"/>
      <c r="D1315" s="80"/>
    </row>
    <row r="1316" spans="1:4" ht="13.2">
      <c r="A1316" s="5"/>
      <c r="C1316" s="5"/>
      <c r="D1316" s="80"/>
    </row>
    <row r="1317" spans="1:4" ht="13.2">
      <c r="A1317" s="5"/>
      <c r="C1317" s="5"/>
      <c r="D1317" s="80"/>
    </row>
    <row r="1318" spans="1:4" ht="13.2">
      <c r="A1318" s="5"/>
      <c r="C1318" s="5"/>
      <c r="D1318" s="80"/>
    </row>
    <row r="1319" spans="1:4" ht="13.2">
      <c r="A1319" s="5"/>
      <c r="C1319" s="5"/>
      <c r="D1319" s="80"/>
    </row>
    <row r="1320" spans="1:4" ht="13.2">
      <c r="A1320" s="5"/>
      <c r="C1320" s="5"/>
      <c r="D1320" s="80"/>
    </row>
    <row r="1321" spans="1:4" ht="13.2">
      <c r="A1321" s="5"/>
      <c r="C1321" s="5"/>
      <c r="D1321" s="80"/>
    </row>
    <row r="1322" spans="1:4" ht="13.2">
      <c r="A1322" s="5"/>
      <c r="C1322" s="5"/>
      <c r="D1322" s="80"/>
    </row>
    <row r="1323" spans="1:4" ht="13.2">
      <c r="A1323" s="5"/>
      <c r="C1323" s="5"/>
      <c r="D1323" s="80"/>
    </row>
    <row r="1324" spans="1:4" ht="13.2">
      <c r="A1324" s="5"/>
      <c r="C1324" s="5"/>
      <c r="D1324" s="80"/>
    </row>
    <row r="1325" spans="1:4" ht="13.2">
      <c r="A1325" s="5"/>
      <c r="C1325" s="5"/>
      <c r="D1325" s="80"/>
    </row>
    <row r="1326" spans="1:4" ht="13.2">
      <c r="A1326" s="5"/>
      <c r="C1326" s="5"/>
      <c r="D1326" s="80"/>
    </row>
    <row r="1327" spans="1:4" ht="13.2">
      <c r="A1327" s="5"/>
      <c r="C1327" s="5"/>
      <c r="D1327" s="80"/>
    </row>
    <row r="1328" spans="1:4" ht="13.2">
      <c r="A1328" s="5"/>
      <c r="C1328" s="5"/>
      <c r="D1328" s="80"/>
    </row>
    <row r="1329" spans="1:4" ht="13.2">
      <c r="A1329" s="5"/>
      <c r="C1329" s="5"/>
      <c r="D1329" s="80"/>
    </row>
    <row r="1330" spans="1:4" ht="13.2">
      <c r="A1330" s="5"/>
      <c r="C1330" s="5"/>
      <c r="D1330" s="80"/>
    </row>
    <row r="1331" spans="1:4" ht="13.2">
      <c r="A1331" s="5"/>
      <c r="C1331" s="5"/>
      <c r="D1331" s="80"/>
    </row>
    <row r="1332" spans="1:4" ht="13.2">
      <c r="A1332" s="5"/>
      <c r="C1332" s="5"/>
      <c r="D1332" s="80"/>
    </row>
    <row r="1333" spans="1:4" ht="13.2">
      <c r="A1333" s="5"/>
      <c r="C1333" s="5"/>
      <c r="D1333" s="80"/>
    </row>
    <row r="1334" spans="1:4" ht="13.2">
      <c r="A1334" s="5"/>
      <c r="C1334" s="5"/>
      <c r="D1334" s="80"/>
    </row>
    <row r="1335" spans="1:4" ht="13.2">
      <c r="A1335" s="5"/>
      <c r="C1335" s="5"/>
      <c r="D1335" s="80"/>
    </row>
    <row r="1336" spans="1:4" ht="13.2">
      <c r="A1336" s="5"/>
      <c r="C1336" s="5"/>
      <c r="D1336" s="80"/>
    </row>
    <row r="1337" spans="1:4" ht="13.2">
      <c r="A1337" s="5"/>
      <c r="C1337" s="5"/>
      <c r="D1337" s="80"/>
    </row>
    <row r="1338" spans="1:4" ht="13.2">
      <c r="A1338" s="5"/>
      <c r="C1338" s="5"/>
      <c r="D1338" s="80"/>
    </row>
    <row r="1339" spans="1:4" ht="13.2">
      <c r="A1339" s="5"/>
      <c r="C1339" s="5"/>
      <c r="D1339" s="80"/>
    </row>
    <row r="1340" spans="1:4" ht="13.2">
      <c r="A1340" s="5"/>
      <c r="C1340" s="5"/>
      <c r="D1340" s="80"/>
    </row>
    <row r="1341" spans="1:4" ht="13.2">
      <c r="A1341" s="5"/>
      <c r="C1341" s="5"/>
      <c r="D1341" s="80"/>
    </row>
    <row r="1342" spans="1:4" ht="13.2">
      <c r="A1342" s="5"/>
      <c r="C1342" s="5"/>
      <c r="D1342" s="80"/>
    </row>
    <row r="1343" spans="1:4" ht="13.2">
      <c r="A1343" s="5"/>
      <c r="C1343" s="5"/>
      <c r="D1343" s="80"/>
    </row>
    <row r="1344" spans="1:4" ht="13.2">
      <c r="A1344" s="5"/>
      <c r="C1344" s="5"/>
      <c r="D1344" s="80"/>
    </row>
    <row r="1345" spans="1:4" ht="13.2">
      <c r="A1345" s="5"/>
      <c r="C1345" s="5"/>
      <c r="D1345" s="80"/>
    </row>
    <row r="1346" spans="1:4" ht="13.2">
      <c r="A1346" s="5"/>
      <c r="C1346" s="5"/>
      <c r="D1346" s="80"/>
    </row>
    <row r="1347" spans="1:4" ht="13.2">
      <c r="A1347" s="5"/>
      <c r="C1347" s="5"/>
      <c r="D1347" s="80"/>
    </row>
    <row r="1348" spans="1:4" ht="13.2">
      <c r="A1348" s="5"/>
      <c r="C1348" s="5"/>
      <c r="D1348" s="80"/>
    </row>
    <row r="1349" spans="1:4" ht="13.2">
      <c r="A1349" s="5"/>
      <c r="C1349" s="5"/>
      <c r="D1349" s="80"/>
    </row>
    <row r="1350" spans="1:4" ht="13.2">
      <c r="A1350" s="5"/>
      <c r="C1350" s="5"/>
      <c r="D1350" s="80"/>
    </row>
    <row r="1351" spans="1:4" ht="13.2">
      <c r="A1351" s="5"/>
      <c r="C1351" s="5"/>
      <c r="D1351" s="80"/>
    </row>
    <row r="1352" spans="1:4" ht="13.2">
      <c r="A1352" s="5"/>
      <c r="C1352" s="5"/>
      <c r="D1352" s="80"/>
    </row>
    <row r="1353" spans="1:4" ht="13.2">
      <c r="A1353" s="5"/>
      <c r="C1353" s="5"/>
      <c r="D1353" s="80"/>
    </row>
    <row r="1354" spans="1:4" ht="13.2">
      <c r="A1354" s="5"/>
      <c r="C1354" s="5"/>
      <c r="D1354" s="80"/>
    </row>
    <row r="1355" spans="1:4" ht="13.2">
      <c r="A1355" s="5"/>
      <c r="C1355" s="5"/>
      <c r="D1355" s="80"/>
    </row>
    <row r="1356" spans="1:4" ht="13.2">
      <c r="A1356" s="5"/>
      <c r="C1356" s="5"/>
      <c r="D1356" s="80"/>
    </row>
    <row r="1357" spans="1:4" ht="13.2">
      <c r="A1357" s="5"/>
      <c r="C1357" s="5"/>
      <c r="D1357" s="80"/>
    </row>
    <row r="1358" spans="1:4" ht="13.2">
      <c r="A1358" s="5"/>
      <c r="C1358" s="5"/>
      <c r="D1358" s="80"/>
    </row>
    <row r="1359" spans="1:4" ht="13.2">
      <c r="A1359" s="5"/>
      <c r="C1359" s="5"/>
      <c r="D1359" s="80"/>
    </row>
    <row r="1360" spans="1:4" ht="13.2">
      <c r="A1360" s="5"/>
      <c r="C1360" s="5"/>
      <c r="D1360" s="80"/>
    </row>
    <row r="1361" spans="1:4" ht="13.2">
      <c r="A1361" s="5"/>
      <c r="C1361" s="5"/>
      <c r="D1361" s="80"/>
    </row>
    <row r="1362" spans="1:4" ht="13.2">
      <c r="A1362" s="5"/>
      <c r="C1362" s="5"/>
      <c r="D1362" s="80"/>
    </row>
    <row r="1363" spans="1:4" ht="13.2">
      <c r="A1363" s="5"/>
      <c r="C1363" s="5"/>
      <c r="D1363" s="80"/>
    </row>
    <row r="1364" spans="1:4" ht="13.2">
      <c r="A1364" s="5"/>
      <c r="C1364" s="5"/>
      <c r="D1364" s="80"/>
    </row>
    <row r="1365" spans="1:4" ht="13.2">
      <c r="A1365" s="5"/>
      <c r="C1365" s="5"/>
      <c r="D1365" s="80"/>
    </row>
    <row r="1366" spans="1:4" ht="13.2">
      <c r="A1366" s="5"/>
      <c r="C1366" s="5"/>
      <c r="D1366" s="80"/>
    </row>
    <row r="1367" spans="1:4" ht="13.2">
      <c r="A1367" s="5"/>
      <c r="C1367" s="5"/>
      <c r="D1367" s="80"/>
    </row>
    <row r="1368" spans="1:4" ht="13.2">
      <c r="A1368" s="5"/>
      <c r="C1368" s="5"/>
      <c r="D1368" s="80"/>
    </row>
    <row r="1369" spans="1:4" ht="13.2">
      <c r="A1369" s="5"/>
      <c r="C1369" s="5"/>
      <c r="D1369" s="80"/>
    </row>
    <row r="1370" spans="1:4" ht="13.2">
      <c r="A1370" s="5"/>
      <c r="C1370" s="5"/>
      <c r="D1370" s="80"/>
    </row>
    <row r="1371" spans="1:4" ht="13.2">
      <c r="A1371" s="5"/>
      <c r="C1371" s="5"/>
      <c r="D1371" s="80"/>
    </row>
    <row r="1372" spans="1:4" ht="13.2">
      <c r="A1372" s="5"/>
      <c r="C1372" s="5"/>
      <c r="D1372" s="80"/>
    </row>
    <row r="1373" spans="1:4" ht="13.2">
      <c r="A1373" s="5"/>
      <c r="C1373" s="5"/>
      <c r="D1373" s="80"/>
    </row>
    <row r="1374" spans="1:4" ht="13.2">
      <c r="A1374" s="5"/>
      <c r="C1374" s="5"/>
      <c r="D1374" s="80"/>
    </row>
    <row r="1375" spans="1:4" ht="13.2">
      <c r="A1375" s="5"/>
      <c r="C1375" s="5"/>
      <c r="D1375" s="80"/>
    </row>
    <row r="1376" spans="1:4" ht="13.2">
      <c r="A1376" s="5"/>
      <c r="C1376" s="5"/>
      <c r="D1376" s="80"/>
    </row>
    <row r="1377" spans="1:4" ht="13.2">
      <c r="A1377" s="5"/>
      <c r="C1377" s="5"/>
      <c r="D1377" s="80"/>
    </row>
    <row r="1378" spans="1:4" ht="13.2">
      <c r="A1378" s="5"/>
      <c r="C1378" s="5"/>
      <c r="D1378" s="80"/>
    </row>
    <row r="1379" spans="1:4" ht="13.2">
      <c r="A1379" s="5"/>
      <c r="C1379" s="5"/>
      <c r="D1379" s="80"/>
    </row>
    <row r="1380" spans="1:4" ht="13.2">
      <c r="A1380" s="5"/>
      <c r="C1380" s="5"/>
      <c r="D1380" s="80"/>
    </row>
    <row r="1381" spans="1:4" ht="13.2">
      <c r="A1381" s="5"/>
      <c r="C1381" s="5"/>
      <c r="D1381" s="80"/>
    </row>
    <row r="1382" spans="1:4" ht="13.2">
      <c r="A1382" s="5"/>
      <c r="C1382" s="5"/>
      <c r="D1382" s="80"/>
    </row>
    <row r="1383" spans="1:4" ht="13.2">
      <c r="A1383" s="5"/>
      <c r="C1383" s="5"/>
      <c r="D1383" s="80"/>
    </row>
    <row r="1384" spans="1:4" ht="13.2">
      <c r="A1384" s="5"/>
      <c r="C1384" s="5"/>
      <c r="D1384" s="80"/>
    </row>
    <row r="1385" spans="1:4" ht="13.2">
      <c r="A1385" s="5"/>
      <c r="C1385" s="5"/>
      <c r="D1385" s="80"/>
    </row>
    <row r="1386" spans="1:4" ht="13.2">
      <c r="A1386" s="5"/>
      <c r="C1386" s="5"/>
      <c r="D1386" s="80"/>
    </row>
    <row r="1387" spans="1:4" ht="13.2">
      <c r="A1387" s="5"/>
      <c r="C1387" s="5"/>
      <c r="D1387" s="80"/>
    </row>
    <row r="1388" spans="1:4" ht="13.2">
      <c r="A1388" s="5"/>
      <c r="C1388" s="5"/>
      <c r="D1388" s="80"/>
    </row>
    <row r="1389" spans="1:4" ht="13.2">
      <c r="A1389" s="5"/>
      <c r="C1389" s="5"/>
      <c r="D1389" s="80"/>
    </row>
    <row r="1390" spans="1:4" ht="13.2">
      <c r="A1390" s="5"/>
      <c r="C1390" s="5"/>
      <c r="D1390" s="80"/>
    </row>
    <row r="1391" spans="1:4" ht="13.2">
      <c r="A1391" s="5"/>
      <c r="C1391" s="5"/>
      <c r="D1391" s="80"/>
    </row>
    <row r="1392" spans="1:4" ht="13.2">
      <c r="A1392" s="5"/>
      <c r="C1392" s="5"/>
      <c r="D1392" s="80"/>
    </row>
    <row r="1393" spans="1:4" ht="13.2">
      <c r="A1393" s="5"/>
      <c r="C1393" s="5"/>
      <c r="D1393" s="80"/>
    </row>
    <row r="1394" spans="1:4" ht="13.2">
      <c r="A1394" s="5"/>
      <c r="C1394" s="5"/>
      <c r="D1394" s="80"/>
    </row>
    <row r="1395" spans="1:4" ht="13.2">
      <c r="A1395" s="5"/>
      <c r="C1395" s="5"/>
      <c r="D1395" s="80"/>
    </row>
    <row r="1396" spans="1:4" ht="13.2">
      <c r="A1396" s="5"/>
      <c r="C1396" s="5"/>
      <c r="D1396" s="80"/>
    </row>
    <row r="1397" spans="1:4" ht="13.2">
      <c r="A1397" s="5"/>
      <c r="C1397" s="5"/>
      <c r="D1397" s="80"/>
    </row>
    <row r="1398" spans="1:4" ht="13.2">
      <c r="A1398" s="5"/>
      <c r="C1398" s="5"/>
      <c r="D1398" s="80"/>
    </row>
    <row r="1399" spans="1:4" ht="13.2">
      <c r="A1399" s="5"/>
      <c r="C1399" s="5"/>
      <c r="D1399" s="80"/>
    </row>
    <row r="1400" spans="1:4" ht="13.2">
      <c r="A1400" s="5"/>
      <c r="C1400" s="5"/>
      <c r="D1400" s="80"/>
    </row>
    <row r="1401" spans="1:4" ht="13.2">
      <c r="A1401" s="5"/>
      <c r="C1401" s="5"/>
      <c r="D1401" s="80"/>
    </row>
    <row r="1402" spans="1:4" ht="13.2">
      <c r="A1402" s="5"/>
      <c r="C1402" s="5"/>
      <c r="D1402" s="80"/>
    </row>
    <row r="1403" spans="1:4" ht="13.2">
      <c r="A1403" s="5"/>
      <c r="C1403" s="5"/>
      <c r="D1403" s="80"/>
    </row>
    <row r="1404" spans="1:4" ht="13.2">
      <c r="A1404" s="5"/>
      <c r="C1404" s="5"/>
      <c r="D1404" s="80"/>
    </row>
    <row r="1405" spans="1:4" ht="13.2">
      <c r="A1405" s="5"/>
      <c r="C1405" s="5"/>
      <c r="D1405" s="80"/>
    </row>
    <row r="1406" spans="1:4" ht="13.2">
      <c r="A1406" s="5"/>
      <c r="C1406" s="5"/>
      <c r="D1406" s="80"/>
    </row>
    <row r="1407" spans="1:4" ht="13.2">
      <c r="A1407" s="5"/>
      <c r="C1407" s="5"/>
      <c r="D1407" s="80"/>
    </row>
    <row r="1408" spans="1:4" ht="13.2">
      <c r="A1408" s="5"/>
      <c r="C1408" s="5"/>
      <c r="D1408" s="80"/>
    </row>
    <row r="1409" spans="1:4" ht="13.2">
      <c r="A1409" s="5"/>
      <c r="C1409" s="5"/>
      <c r="D1409" s="80"/>
    </row>
    <row r="1410" spans="1:4" ht="13.2">
      <c r="A1410" s="5"/>
      <c r="C1410" s="5"/>
      <c r="D1410" s="80"/>
    </row>
    <row r="1411" spans="1:4" ht="13.2">
      <c r="A1411" s="5"/>
      <c r="C1411" s="5"/>
      <c r="D1411" s="80"/>
    </row>
    <row r="1412" spans="1:4" ht="13.2">
      <c r="A1412" s="5"/>
      <c r="C1412" s="5"/>
      <c r="D1412" s="80"/>
    </row>
    <row r="1413" spans="1:4" ht="13.2">
      <c r="A1413" s="5"/>
      <c r="C1413" s="5"/>
      <c r="D1413" s="80"/>
    </row>
    <row r="1414" spans="1:4" ht="13.2">
      <c r="A1414" s="5"/>
      <c r="C1414" s="5"/>
      <c r="D1414" s="80"/>
    </row>
    <row r="1415" spans="1:4" ht="13.2">
      <c r="A1415" s="5"/>
      <c r="C1415" s="5"/>
      <c r="D1415" s="80"/>
    </row>
    <row r="1416" spans="1:4" ht="13.2">
      <c r="A1416" s="5"/>
      <c r="C1416" s="5"/>
      <c r="D1416" s="80"/>
    </row>
    <row r="1417" spans="1:4" ht="13.2">
      <c r="A1417" s="5"/>
      <c r="C1417" s="5"/>
      <c r="D1417" s="80"/>
    </row>
    <row r="1418" spans="1:4" ht="13.2">
      <c r="A1418" s="5"/>
      <c r="C1418" s="5"/>
      <c r="D1418" s="80"/>
    </row>
    <row r="1419" spans="1:4" ht="13.2">
      <c r="A1419" s="5"/>
      <c r="C1419" s="5"/>
      <c r="D1419" s="80"/>
    </row>
    <row r="1420" spans="1:4" ht="13.2">
      <c r="A1420" s="5"/>
      <c r="C1420" s="5"/>
      <c r="D1420" s="80"/>
    </row>
    <row r="1421" spans="1:4" ht="13.2">
      <c r="A1421" s="5"/>
      <c r="C1421" s="5"/>
      <c r="D1421" s="80"/>
    </row>
    <row r="1422" spans="1:4" ht="13.2">
      <c r="A1422" s="5"/>
      <c r="C1422" s="5"/>
      <c r="D1422" s="80"/>
    </row>
    <row r="1423" spans="1:4" ht="13.2">
      <c r="A1423" s="5"/>
      <c r="C1423" s="5"/>
      <c r="D1423" s="80"/>
    </row>
    <row r="1424" spans="1:4" ht="13.2">
      <c r="A1424" s="5"/>
      <c r="C1424" s="5"/>
      <c r="D1424" s="80"/>
    </row>
    <row r="1425" spans="1:4" ht="13.2">
      <c r="A1425" s="5"/>
      <c r="C1425" s="5"/>
      <c r="D1425" s="80"/>
    </row>
    <row r="1426" spans="1:4" ht="13.2">
      <c r="A1426" s="5"/>
      <c r="C1426" s="5"/>
      <c r="D1426" s="80"/>
    </row>
    <row r="1427" spans="1:4" ht="13.2">
      <c r="A1427" s="5"/>
      <c r="C1427" s="5"/>
      <c r="D1427" s="80"/>
    </row>
    <row r="1428" spans="1:4" ht="13.2">
      <c r="A1428" s="5"/>
      <c r="C1428" s="5"/>
      <c r="D1428" s="80"/>
    </row>
    <row r="1429" spans="1:4" ht="13.2">
      <c r="A1429" s="5"/>
      <c r="C1429" s="5"/>
      <c r="D1429" s="80"/>
    </row>
    <row r="1430" spans="1:4" ht="13.2">
      <c r="A1430" s="5"/>
      <c r="C1430" s="5"/>
      <c r="D1430" s="80"/>
    </row>
    <row r="1431" spans="1:4" ht="13.2">
      <c r="A1431" s="5"/>
      <c r="C1431" s="5"/>
      <c r="D1431" s="80"/>
    </row>
    <row r="1432" spans="1:4" ht="13.2">
      <c r="A1432" s="5"/>
      <c r="C1432" s="5"/>
      <c r="D1432" s="80"/>
    </row>
    <row r="1433" spans="1:4" ht="13.2">
      <c r="A1433" s="5"/>
      <c r="C1433" s="5"/>
      <c r="D1433" s="80"/>
    </row>
    <row r="1434" spans="1:4" ht="13.2">
      <c r="A1434" s="5"/>
      <c r="C1434" s="5"/>
      <c r="D1434" s="80"/>
    </row>
    <row r="1435" spans="1:4" ht="13.2">
      <c r="A1435" s="5"/>
      <c r="C1435" s="5"/>
      <c r="D1435" s="80"/>
    </row>
    <row r="1436" spans="1:4" ht="13.2">
      <c r="A1436" s="5"/>
      <c r="C1436" s="5"/>
      <c r="D1436" s="80"/>
    </row>
    <row r="1437" spans="1:4" ht="13.2">
      <c r="A1437" s="5"/>
      <c r="C1437" s="5"/>
      <c r="D1437" s="80"/>
    </row>
    <row r="1438" spans="1:4" ht="13.2">
      <c r="A1438" s="5"/>
      <c r="C1438" s="5"/>
      <c r="D1438" s="80"/>
    </row>
    <row r="1439" spans="1:4" ht="13.2">
      <c r="A1439" s="5"/>
      <c r="C1439" s="5"/>
      <c r="D1439" s="80"/>
    </row>
    <row r="1440" spans="1:4" ht="13.2">
      <c r="A1440" s="5"/>
      <c r="C1440" s="5"/>
      <c r="D1440" s="80"/>
    </row>
    <row r="1441" spans="1:4" ht="13.2">
      <c r="A1441" s="5"/>
      <c r="C1441" s="5"/>
      <c r="D1441" s="80"/>
    </row>
    <row r="1442" spans="1:4" ht="13.2">
      <c r="A1442" s="5"/>
      <c r="C1442" s="5"/>
      <c r="D1442" s="80"/>
    </row>
    <row r="1443" spans="1:4" ht="13.2">
      <c r="A1443" s="5"/>
      <c r="C1443" s="5"/>
      <c r="D1443" s="80"/>
    </row>
    <row r="1444" spans="1:4" ht="13.2">
      <c r="A1444" s="5"/>
      <c r="C1444" s="5"/>
      <c r="D1444" s="80"/>
    </row>
    <row r="1445" spans="1:4" ht="13.2">
      <c r="A1445" s="5"/>
      <c r="C1445" s="5"/>
      <c r="D1445" s="80"/>
    </row>
    <row r="1446" spans="1:4" ht="13.2">
      <c r="A1446" s="5"/>
      <c r="C1446" s="5"/>
      <c r="D1446" s="80"/>
    </row>
    <row r="1447" spans="1:4" ht="13.2">
      <c r="A1447" s="5"/>
      <c r="C1447" s="5"/>
      <c r="D1447" s="80"/>
    </row>
    <row r="1448" spans="1:4" ht="13.2">
      <c r="A1448" s="5"/>
      <c r="C1448" s="5"/>
      <c r="D1448" s="80"/>
    </row>
    <row r="1449" spans="1:4" ht="13.2">
      <c r="A1449" s="5"/>
      <c r="C1449" s="5"/>
      <c r="D1449" s="80"/>
    </row>
    <row r="1450" spans="1:4" ht="13.2">
      <c r="A1450" s="5"/>
      <c r="C1450" s="5"/>
      <c r="D1450" s="80"/>
    </row>
    <row r="1451" spans="1:4" ht="13.2">
      <c r="A1451" s="5"/>
      <c r="C1451" s="5"/>
      <c r="D1451" s="80"/>
    </row>
    <row r="1452" spans="1:4" ht="13.2">
      <c r="A1452" s="5"/>
      <c r="C1452" s="5"/>
      <c r="D1452" s="80"/>
    </row>
    <row r="1453" spans="1:4" ht="13.2">
      <c r="A1453" s="5"/>
      <c r="C1453" s="5"/>
      <c r="D1453" s="80"/>
    </row>
    <row r="1454" spans="1:4" ht="13.2">
      <c r="A1454" s="5"/>
      <c r="C1454" s="5"/>
      <c r="D1454" s="80"/>
    </row>
    <row r="1455" spans="1:4" ht="13.2">
      <c r="A1455" s="5"/>
      <c r="C1455" s="5"/>
      <c r="D1455" s="80"/>
    </row>
    <row r="1456" spans="1:4" ht="13.2">
      <c r="A1456" s="5"/>
      <c r="C1456" s="5"/>
      <c r="D1456" s="80"/>
    </row>
    <row r="1457" spans="1:4" ht="13.2">
      <c r="A1457" s="5"/>
      <c r="C1457" s="5"/>
      <c r="D1457" s="80"/>
    </row>
    <row r="1458" spans="1:4" ht="13.2">
      <c r="A1458" s="5"/>
      <c r="C1458" s="5"/>
      <c r="D1458" s="80"/>
    </row>
    <row r="1459" spans="1:4" ht="13.2">
      <c r="A1459" s="5"/>
      <c r="C1459" s="5"/>
      <c r="D1459" s="80"/>
    </row>
    <row r="1460" spans="1:4" ht="13.2">
      <c r="A1460" s="5"/>
      <c r="C1460" s="5"/>
      <c r="D1460" s="80"/>
    </row>
    <row r="1461" spans="1:4" ht="13.2">
      <c r="A1461" s="5"/>
      <c r="C1461" s="5"/>
      <c r="D1461" s="80"/>
    </row>
    <row r="1462" spans="1:4" ht="13.2">
      <c r="A1462" s="5"/>
      <c r="C1462" s="5"/>
      <c r="D1462" s="80"/>
    </row>
    <row r="1463" spans="1:4" ht="13.2">
      <c r="A1463" s="5"/>
      <c r="C1463" s="5"/>
      <c r="D1463" s="80"/>
    </row>
    <row r="1464" spans="1:4" ht="13.2">
      <c r="A1464" s="5"/>
      <c r="C1464" s="5"/>
      <c r="D1464" s="80"/>
    </row>
    <row r="1465" spans="1:4" ht="13.2">
      <c r="A1465" s="5"/>
      <c r="C1465" s="5"/>
      <c r="D1465" s="80"/>
    </row>
    <row r="1466" spans="1:4" ht="13.2">
      <c r="A1466" s="5"/>
      <c r="C1466" s="5"/>
      <c r="D1466" s="80"/>
    </row>
    <row r="1467" spans="1:4" ht="13.2">
      <c r="A1467" s="5"/>
      <c r="C1467" s="5"/>
      <c r="D1467" s="80"/>
    </row>
    <row r="1468" spans="1:4" ht="13.2">
      <c r="A1468" s="5"/>
      <c r="C1468" s="5"/>
      <c r="D1468" s="80"/>
    </row>
    <row r="1469" spans="1:4" ht="13.2">
      <c r="A1469" s="5"/>
      <c r="C1469" s="5"/>
      <c r="D1469" s="80"/>
    </row>
    <row r="1470" spans="1:4" ht="13.2">
      <c r="A1470" s="5"/>
      <c r="C1470" s="5"/>
      <c r="D1470" s="80"/>
    </row>
    <row r="1471" spans="1:4" ht="13.2">
      <c r="A1471" s="5"/>
      <c r="C1471" s="5"/>
      <c r="D1471" s="80"/>
    </row>
    <row r="1472" spans="1:4" ht="13.2">
      <c r="A1472" s="5"/>
      <c r="C1472" s="5"/>
      <c r="D1472" s="80"/>
    </row>
    <row r="1473" spans="1:4" ht="13.2">
      <c r="A1473" s="5"/>
      <c r="C1473" s="5"/>
      <c r="D1473" s="80"/>
    </row>
    <row r="1474" spans="1:4" ht="13.2">
      <c r="A1474" s="5"/>
      <c r="C1474" s="5"/>
      <c r="D1474" s="80"/>
    </row>
    <row r="1475" spans="1:4" ht="13.2">
      <c r="A1475" s="5"/>
      <c r="C1475" s="5"/>
      <c r="D1475" s="80"/>
    </row>
    <row r="1476" spans="1:4" ht="13.2">
      <c r="A1476" s="5"/>
      <c r="C1476" s="5"/>
      <c r="D1476" s="80"/>
    </row>
    <row r="1477" spans="1:4" ht="13.2">
      <c r="A1477" s="5"/>
      <c r="C1477" s="5"/>
      <c r="D1477" s="80"/>
    </row>
    <row r="1478" spans="1:4" ht="13.2">
      <c r="A1478" s="5"/>
      <c r="C1478" s="5"/>
      <c r="D1478" s="80"/>
    </row>
    <row r="1479" spans="1:4" ht="13.2">
      <c r="A1479" s="5"/>
      <c r="C1479" s="5"/>
      <c r="D1479" s="80"/>
    </row>
    <row r="1480" spans="1:4" ht="13.2">
      <c r="A1480" s="5"/>
      <c r="C1480" s="5"/>
      <c r="D1480" s="80"/>
    </row>
    <row r="1481" spans="1:4" ht="13.2">
      <c r="A1481" s="5"/>
      <c r="C1481" s="5"/>
      <c r="D1481" s="80"/>
    </row>
    <row r="1482" spans="1:4" ht="13.2">
      <c r="A1482" s="5"/>
      <c r="C1482" s="5"/>
      <c r="D1482" s="80"/>
    </row>
    <row r="1483" spans="1:4" ht="13.2">
      <c r="A1483" s="5"/>
      <c r="C1483" s="5"/>
      <c r="D1483" s="80"/>
    </row>
    <row r="1484" spans="1:4" ht="13.2">
      <c r="A1484" s="5"/>
      <c r="C1484" s="5"/>
      <c r="D1484" s="80"/>
    </row>
    <row r="1485" spans="1:4" ht="13.2">
      <c r="A1485" s="5"/>
      <c r="C1485" s="5"/>
      <c r="D1485" s="80"/>
    </row>
    <row r="1486" spans="1:4" ht="13.2">
      <c r="A1486" s="5"/>
      <c r="C1486" s="5"/>
      <c r="D1486" s="80"/>
    </row>
    <row r="1487" spans="1:4" ht="13.2">
      <c r="A1487" s="5"/>
      <c r="C1487" s="5"/>
      <c r="D1487" s="80"/>
    </row>
    <row r="1488" spans="1:4" ht="13.2">
      <c r="A1488" s="5"/>
      <c r="C1488" s="5"/>
      <c r="D1488" s="80"/>
    </row>
    <row r="1489" spans="1:4" ht="13.2">
      <c r="A1489" s="5"/>
      <c r="C1489" s="5"/>
      <c r="D1489" s="80"/>
    </row>
    <row r="1490" spans="1:4" ht="13.2">
      <c r="A1490" s="5"/>
      <c r="C1490" s="5"/>
      <c r="D1490" s="80"/>
    </row>
    <row r="1491" spans="1:4" ht="13.2">
      <c r="A1491" s="5"/>
      <c r="C1491" s="5"/>
      <c r="D1491" s="80"/>
    </row>
    <row r="1492" spans="1:4" ht="13.2">
      <c r="A1492" s="5"/>
      <c r="C1492" s="5"/>
      <c r="D1492" s="80"/>
    </row>
    <row r="1493" spans="1:4" ht="13.2">
      <c r="A1493" s="5"/>
      <c r="C1493" s="5"/>
      <c r="D1493" s="80"/>
    </row>
    <row r="1494" spans="1:4" ht="13.2">
      <c r="A1494" s="5"/>
      <c r="C1494" s="5"/>
      <c r="D1494" s="80"/>
    </row>
    <row r="1495" spans="1:4" ht="13.2">
      <c r="A1495" s="5"/>
      <c r="C1495" s="5"/>
      <c r="D1495" s="80"/>
    </row>
    <row r="1496" spans="1:4" ht="13.2">
      <c r="A1496" s="5"/>
      <c r="C1496" s="5"/>
      <c r="D1496" s="80"/>
    </row>
    <row r="1497" spans="1:4" ht="13.2">
      <c r="A1497" s="5"/>
      <c r="C1497" s="5"/>
      <c r="D1497" s="80"/>
    </row>
    <row r="1498" spans="1:4" ht="13.2">
      <c r="A1498" s="5"/>
      <c r="C1498" s="5"/>
      <c r="D1498" s="80"/>
    </row>
    <row r="1499" spans="1:4" ht="13.2">
      <c r="A1499" s="5"/>
      <c r="C1499" s="5"/>
      <c r="D1499" s="80"/>
    </row>
    <row r="1500" spans="1:4" ht="13.2">
      <c r="A1500" s="5"/>
      <c r="C1500" s="5"/>
      <c r="D1500" s="80"/>
    </row>
    <row r="1501" spans="1:4" ht="13.2">
      <c r="A1501" s="5"/>
      <c r="C1501" s="5"/>
      <c r="D1501" s="80"/>
    </row>
    <row r="1502" spans="1:4" ht="13.2">
      <c r="A1502" s="5"/>
      <c r="C1502" s="5"/>
      <c r="D1502" s="80"/>
    </row>
    <row r="1503" spans="1:4" ht="13.2">
      <c r="A1503" s="5"/>
      <c r="C1503" s="5"/>
      <c r="D1503" s="80"/>
    </row>
    <row r="1504" spans="1:4" ht="13.2">
      <c r="A1504" s="5"/>
      <c r="C1504" s="5"/>
      <c r="D1504" s="80"/>
    </row>
    <row r="1505" spans="1:4" ht="13.2">
      <c r="A1505" s="5"/>
      <c r="C1505" s="5"/>
      <c r="D1505" s="80"/>
    </row>
    <row r="1506" spans="1:4" ht="13.2">
      <c r="A1506" s="5"/>
      <c r="C1506" s="5"/>
      <c r="D1506" s="80"/>
    </row>
    <row r="1507" spans="1:4" ht="13.2">
      <c r="A1507" s="5"/>
      <c r="C1507" s="5"/>
      <c r="D1507" s="80"/>
    </row>
    <row r="1508" spans="1:4" ht="13.2">
      <c r="A1508" s="5"/>
      <c r="C1508" s="5"/>
      <c r="D1508" s="80"/>
    </row>
    <row r="1509" spans="1:4" ht="13.2">
      <c r="A1509" s="5"/>
      <c r="C1509" s="5"/>
      <c r="D1509" s="80"/>
    </row>
    <row r="1510" spans="1:4" ht="13.2">
      <c r="A1510" s="5"/>
      <c r="C1510" s="5"/>
      <c r="D1510" s="80"/>
    </row>
    <row r="1511" spans="1:4" ht="13.2">
      <c r="A1511" s="5"/>
      <c r="C1511" s="5"/>
      <c r="D1511" s="80"/>
    </row>
    <row r="1512" spans="1:4" ht="13.2">
      <c r="A1512" s="5"/>
      <c r="C1512" s="5"/>
      <c r="D1512" s="80"/>
    </row>
    <row r="1513" spans="1:4" ht="13.2">
      <c r="A1513" s="5"/>
      <c r="C1513" s="5"/>
      <c r="D1513" s="80"/>
    </row>
    <row r="1514" spans="1:4" ht="13.2">
      <c r="A1514" s="5"/>
      <c r="C1514" s="5"/>
      <c r="D1514" s="80"/>
    </row>
    <row r="1515" spans="1:4" ht="13.2">
      <c r="A1515" s="5"/>
      <c r="C1515" s="5"/>
      <c r="D1515" s="80"/>
    </row>
    <row r="1516" spans="1:4" ht="13.2">
      <c r="A1516" s="5"/>
      <c r="C1516" s="5"/>
      <c r="D1516" s="80"/>
    </row>
    <row r="1517" spans="1:4" ht="13.2">
      <c r="A1517" s="5"/>
      <c r="C1517" s="5"/>
      <c r="D1517" s="80"/>
    </row>
    <row r="1518" spans="1:4" ht="13.2">
      <c r="A1518" s="5"/>
      <c r="C1518" s="5"/>
      <c r="D1518" s="80"/>
    </row>
    <row r="1519" spans="1:4" ht="13.2">
      <c r="A1519" s="5"/>
      <c r="C1519" s="5"/>
      <c r="D1519" s="80"/>
    </row>
    <row r="1520" spans="1:4" ht="13.2">
      <c r="A1520" s="5"/>
      <c r="C1520" s="5"/>
      <c r="D1520" s="80"/>
    </row>
    <row r="1521" spans="1:4" ht="13.2">
      <c r="A1521" s="5"/>
      <c r="C1521" s="5"/>
      <c r="D1521" s="80"/>
    </row>
    <row r="1522" spans="1:4" ht="13.2">
      <c r="A1522" s="5"/>
      <c r="C1522" s="5"/>
      <c r="D1522" s="80"/>
    </row>
    <row r="1523" spans="1:4" ht="13.2">
      <c r="A1523" s="5"/>
      <c r="C1523" s="5"/>
      <c r="D1523" s="80"/>
    </row>
    <row r="1524" spans="1:4" ht="13.2">
      <c r="A1524" s="5"/>
      <c r="C1524" s="5"/>
      <c r="D1524" s="80"/>
    </row>
    <row r="1525" spans="1:4" ht="13.2">
      <c r="A1525" s="5"/>
      <c r="C1525" s="5"/>
      <c r="D1525" s="80"/>
    </row>
    <row r="1526" spans="1:4" ht="13.2">
      <c r="A1526" s="5"/>
      <c r="C1526" s="5"/>
      <c r="D1526" s="80"/>
    </row>
    <row r="1527" spans="1:4" ht="13.2">
      <c r="A1527" s="5"/>
      <c r="C1527" s="5"/>
      <c r="D1527" s="80"/>
    </row>
    <row r="1528" spans="1:4" ht="13.2">
      <c r="A1528" s="5"/>
      <c r="C1528" s="5"/>
      <c r="D1528" s="80"/>
    </row>
    <row r="1529" spans="1:4" ht="13.2">
      <c r="A1529" s="5"/>
      <c r="C1529" s="5"/>
      <c r="D1529" s="80"/>
    </row>
    <row r="1530" spans="1:4" ht="13.2">
      <c r="A1530" s="5"/>
      <c r="C1530" s="5"/>
      <c r="D1530" s="80"/>
    </row>
    <row r="1531" spans="1:4" ht="13.2">
      <c r="A1531" s="5"/>
      <c r="C1531" s="5"/>
      <c r="D1531" s="80"/>
    </row>
    <row r="1532" spans="1:4" ht="13.2">
      <c r="A1532" s="5"/>
      <c r="C1532" s="5"/>
      <c r="D1532" s="80"/>
    </row>
    <row r="1533" spans="1:4" ht="13.2">
      <c r="A1533" s="5"/>
      <c r="C1533" s="5"/>
      <c r="D1533" s="80"/>
    </row>
    <row r="1534" spans="1:4" ht="13.2">
      <c r="A1534" s="5"/>
      <c r="C1534" s="5"/>
      <c r="D1534" s="80"/>
    </row>
    <row r="1535" spans="1:4" ht="13.2">
      <c r="A1535" s="5"/>
      <c r="C1535" s="5"/>
      <c r="D1535" s="80"/>
    </row>
    <row r="1536" spans="1:4" ht="13.2">
      <c r="A1536" s="5"/>
      <c r="C1536" s="5"/>
      <c r="D1536" s="80"/>
    </row>
    <row r="1537" spans="1:4" ht="13.2">
      <c r="A1537" s="5"/>
      <c r="C1537" s="5"/>
      <c r="D1537" s="80"/>
    </row>
    <row r="1538" spans="1:4" ht="13.2">
      <c r="A1538" s="5"/>
      <c r="C1538" s="5"/>
      <c r="D1538" s="80"/>
    </row>
    <row r="1539" spans="1:4" ht="13.2">
      <c r="A1539" s="5"/>
      <c r="C1539" s="5"/>
      <c r="D1539" s="80"/>
    </row>
    <row r="1540" spans="1:4" ht="13.2">
      <c r="A1540" s="5"/>
      <c r="C1540" s="5"/>
      <c r="D1540" s="80"/>
    </row>
    <row r="1541" spans="1:4" ht="13.2">
      <c r="A1541" s="5"/>
      <c r="C1541" s="5"/>
      <c r="D1541" s="80"/>
    </row>
    <row r="1542" spans="1:4" ht="13.2">
      <c r="A1542" s="5"/>
      <c r="C1542" s="5"/>
      <c r="D1542" s="80"/>
    </row>
    <row r="1543" spans="1:4" ht="13.2">
      <c r="A1543" s="5"/>
      <c r="C1543" s="5"/>
      <c r="D1543" s="80"/>
    </row>
    <row r="1544" spans="1:4" ht="13.2">
      <c r="A1544" s="5"/>
      <c r="C1544" s="5"/>
      <c r="D1544" s="80"/>
    </row>
    <row r="1545" spans="1:4" ht="13.2">
      <c r="A1545" s="5"/>
      <c r="C1545" s="5"/>
      <c r="D1545" s="80"/>
    </row>
    <row r="1546" spans="1:4" ht="13.2">
      <c r="A1546" s="5"/>
      <c r="C1546" s="5"/>
      <c r="D1546" s="80"/>
    </row>
    <row r="1547" spans="1:4" ht="13.2">
      <c r="A1547" s="5"/>
      <c r="C1547" s="5"/>
      <c r="D1547" s="80"/>
    </row>
    <row r="1548" spans="1:4" ht="13.2">
      <c r="A1548" s="5"/>
      <c r="C1548" s="5"/>
      <c r="D1548" s="80"/>
    </row>
    <row r="1549" spans="1:4" ht="13.2">
      <c r="A1549" s="5"/>
      <c r="C1549" s="5"/>
      <c r="D1549" s="80"/>
    </row>
    <row r="1550" spans="1:4" ht="13.2">
      <c r="A1550" s="5"/>
      <c r="C1550" s="5"/>
      <c r="D1550" s="80"/>
    </row>
    <row r="1551" spans="1:4" ht="13.2">
      <c r="A1551" s="5"/>
      <c r="C1551" s="5"/>
      <c r="D1551" s="80"/>
    </row>
    <row r="1552" spans="1:4" ht="13.2">
      <c r="A1552" s="5"/>
      <c r="C1552" s="5"/>
      <c r="D1552" s="80"/>
    </row>
    <row r="1553" spans="1:4" ht="13.2">
      <c r="A1553" s="5"/>
      <c r="C1553" s="5"/>
      <c r="D1553" s="80"/>
    </row>
    <row r="1554" spans="1:4" ht="13.2">
      <c r="A1554" s="5"/>
      <c r="C1554" s="5"/>
      <c r="D1554" s="80"/>
    </row>
    <row r="1555" spans="1:4" ht="13.2">
      <c r="A1555" s="5"/>
      <c r="C1555" s="5"/>
      <c r="D1555" s="80"/>
    </row>
    <row r="1556" spans="1:4" ht="13.2">
      <c r="A1556" s="5"/>
      <c r="C1556" s="5"/>
      <c r="D1556" s="80"/>
    </row>
    <row r="1557" spans="1:4" ht="13.2">
      <c r="A1557" s="5"/>
      <c r="C1557" s="5"/>
      <c r="D1557" s="80"/>
    </row>
    <row r="1558" spans="1:4" ht="13.2">
      <c r="A1558" s="5"/>
      <c r="C1558" s="5"/>
      <c r="D1558" s="80"/>
    </row>
    <row r="1559" spans="1:4" ht="13.2">
      <c r="A1559" s="5"/>
      <c r="C1559" s="5"/>
      <c r="D1559" s="80"/>
    </row>
    <row r="1560" spans="1:4" ht="13.2">
      <c r="A1560" s="5"/>
      <c r="C1560" s="5"/>
      <c r="D1560" s="80"/>
    </row>
    <row r="1561" spans="1:4" ht="13.2">
      <c r="A1561" s="5"/>
      <c r="C1561" s="5"/>
      <c r="D1561" s="80"/>
    </row>
    <row r="1562" spans="1:4" ht="13.2">
      <c r="A1562" s="5"/>
      <c r="C1562" s="5"/>
      <c r="D1562" s="80"/>
    </row>
    <row r="1563" spans="1:4" ht="13.2">
      <c r="A1563" s="5"/>
      <c r="C1563" s="5"/>
      <c r="D1563" s="80"/>
    </row>
    <row r="1564" spans="1:4" ht="13.2">
      <c r="A1564" s="5"/>
      <c r="C1564" s="5"/>
      <c r="D1564" s="80"/>
    </row>
    <row r="1565" spans="1:4" ht="13.2">
      <c r="A1565" s="5"/>
      <c r="C1565" s="5"/>
      <c r="D1565" s="80"/>
    </row>
    <row r="1566" spans="1:4" ht="13.2">
      <c r="A1566" s="5"/>
      <c r="C1566" s="5"/>
      <c r="D1566" s="80"/>
    </row>
    <row r="1567" spans="1:4" ht="13.2">
      <c r="A1567" s="5"/>
      <c r="C1567" s="5"/>
      <c r="D1567" s="80"/>
    </row>
    <row r="1568" spans="1:4" ht="13.2">
      <c r="A1568" s="5"/>
      <c r="C1568" s="5"/>
      <c r="D1568" s="80"/>
    </row>
    <row r="1569" spans="1:4" ht="13.2">
      <c r="A1569" s="5"/>
      <c r="C1569" s="5"/>
      <c r="D1569" s="80"/>
    </row>
    <row r="1570" spans="1:4" ht="13.2">
      <c r="A1570" s="5"/>
      <c r="C1570" s="5"/>
      <c r="D1570" s="80"/>
    </row>
    <row r="1571" spans="1:4" ht="13.2">
      <c r="A1571" s="5"/>
      <c r="C1571" s="5"/>
      <c r="D1571" s="80"/>
    </row>
    <row r="1572" spans="1:4" ht="13.2">
      <c r="A1572" s="5"/>
      <c r="C1572" s="5"/>
      <c r="D1572" s="80"/>
    </row>
    <row r="1573" spans="1:4" ht="13.2">
      <c r="A1573" s="5"/>
      <c r="C1573" s="5"/>
      <c r="D1573" s="80"/>
    </row>
    <row r="1574" spans="1:4" ht="13.2">
      <c r="A1574" s="5"/>
      <c r="C1574" s="5"/>
      <c r="D1574" s="80"/>
    </row>
    <row r="1575" spans="1:4" ht="13.2">
      <c r="A1575" s="5"/>
      <c r="C1575" s="5"/>
      <c r="D1575" s="80"/>
    </row>
    <row r="1576" spans="1:4" ht="13.2">
      <c r="A1576" s="5"/>
      <c r="C1576" s="5"/>
      <c r="D1576" s="80"/>
    </row>
    <row r="1577" spans="1:4" ht="13.2">
      <c r="A1577" s="5"/>
      <c r="C1577" s="5"/>
      <c r="D1577" s="80"/>
    </row>
    <row r="1578" spans="1:4" ht="13.2">
      <c r="A1578" s="5"/>
      <c r="C1578" s="5"/>
      <c r="D1578" s="80"/>
    </row>
    <row r="1579" spans="1:4" ht="13.2">
      <c r="A1579" s="5"/>
      <c r="C1579" s="5"/>
      <c r="D1579" s="80"/>
    </row>
    <row r="1580" spans="1:4" ht="13.2">
      <c r="A1580" s="5"/>
      <c r="C1580" s="5"/>
      <c r="D1580" s="80"/>
    </row>
    <row r="1581" spans="1:4" ht="13.2">
      <c r="A1581" s="5"/>
      <c r="C1581" s="5"/>
      <c r="D1581" s="80"/>
    </row>
    <row r="1582" spans="1:4" ht="13.2">
      <c r="A1582" s="5"/>
      <c r="C1582" s="5"/>
      <c r="D1582" s="80"/>
    </row>
    <row r="1583" spans="1:4" ht="13.2">
      <c r="A1583" s="5"/>
      <c r="C1583" s="5"/>
      <c r="D1583" s="80"/>
    </row>
    <row r="1584" spans="1:4" ht="13.2">
      <c r="A1584" s="5"/>
      <c r="C1584" s="5"/>
      <c r="D1584" s="80"/>
    </row>
    <row r="1585" spans="1:4" ht="13.2">
      <c r="A1585" s="5"/>
      <c r="C1585" s="5"/>
      <c r="D1585" s="80"/>
    </row>
    <row r="1586" spans="1:4" ht="13.2">
      <c r="A1586" s="5"/>
      <c r="C1586" s="5"/>
      <c r="D1586" s="80"/>
    </row>
    <row r="1587" spans="1:4" ht="13.2">
      <c r="A1587" s="5"/>
      <c r="C1587" s="5"/>
      <c r="D1587" s="80"/>
    </row>
    <row r="1588" spans="1:4" ht="13.2">
      <c r="A1588" s="5"/>
      <c r="C1588" s="5"/>
      <c r="D1588" s="80"/>
    </row>
    <row r="1589" spans="1:4" ht="13.2">
      <c r="A1589" s="5"/>
      <c r="C1589" s="5"/>
      <c r="D1589" s="80"/>
    </row>
    <row r="1590" spans="1:4" ht="13.2">
      <c r="A1590" s="5"/>
      <c r="C1590" s="5"/>
      <c r="D1590" s="80"/>
    </row>
    <row r="1591" spans="1:4" ht="13.2">
      <c r="A1591" s="5"/>
      <c r="C1591" s="5"/>
      <c r="D1591" s="80"/>
    </row>
    <row r="1592" spans="1:4" ht="13.2">
      <c r="A1592" s="5"/>
      <c r="C1592" s="5"/>
      <c r="D1592" s="80"/>
    </row>
    <row r="1593" spans="1:4" ht="13.2">
      <c r="A1593" s="5"/>
      <c r="C1593" s="5"/>
      <c r="D1593" s="80"/>
    </row>
    <row r="1594" spans="1:4" ht="13.2">
      <c r="A1594" s="5"/>
      <c r="C1594" s="5"/>
      <c r="D1594" s="80"/>
    </row>
    <row r="1595" spans="1:4" ht="13.2">
      <c r="A1595" s="5"/>
      <c r="C1595" s="5"/>
      <c r="D1595" s="80"/>
    </row>
    <row r="1596" spans="1:4" ht="13.2">
      <c r="A1596" s="5"/>
      <c r="C1596" s="5"/>
      <c r="D1596" s="80"/>
    </row>
    <row r="1597" spans="1:4" ht="13.2">
      <c r="A1597" s="5"/>
      <c r="C1597" s="5"/>
      <c r="D1597" s="80"/>
    </row>
    <row r="1598" spans="1:4" ht="13.2">
      <c r="A1598" s="5"/>
      <c r="C1598" s="5"/>
      <c r="D1598" s="80"/>
    </row>
    <row r="1599" spans="1:4" ht="13.2">
      <c r="A1599" s="5"/>
      <c r="C1599" s="5"/>
      <c r="D1599" s="80"/>
    </row>
    <row r="1600" spans="1:4" ht="13.2">
      <c r="A1600" s="5"/>
      <c r="C1600" s="5"/>
      <c r="D1600" s="80"/>
    </row>
    <row r="1601" spans="1:4" ht="13.2">
      <c r="A1601" s="5"/>
      <c r="C1601" s="5"/>
      <c r="D1601" s="80"/>
    </row>
    <row r="1602" spans="1:4" ht="13.2">
      <c r="A1602" s="5"/>
      <c r="C1602" s="5"/>
      <c r="D1602" s="80"/>
    </row>
    <row r="1603" spans="1:4" ht="13.2">
      <c r="A1603" s="5"/>
      <c r="C1603" s="5"/>
      <c r="D1603" s="80"/>
    </row>
    <row r="1604" spans="1:4" ht="13.2">
      <c r="A1604" s="5"/>
      <c r="C1604" s="5"/>
      <c r="D1604" s="80"/>
    </row>
    <row r="1605" spans="1:4" ht="13.2">
      <c r="A1605" s="5"/>
      <c r="C1605" s="5"/>
      <c r="D1605" s="80"/>
    </row>
    <row r="1606" spans="1:4" ht="13.2">
      <c r="A1606" s="5"/>
      <c r="C1606" s="5"/>
      <c r="D1606" s="80"/>
    </row>
    <row r="1607" spans="1:4" ht="13.2">
      <c r="A1607" s="5"/>
      <c r="C1607" s="5"/>
      <c r="D1607" s="80"/>
    </row>
    <row r="1608" spans="1:4" ht="13.2">
      <c r="A1608" s="5"/>
      <c r="C1608" s="5"/>
      <c r="D1608" s="80"/>
    </row>
    <row r="1609" spans="1:4" ht="13.2">
      <c r="A1609" s="5"/>
      <c r="C1609" s="5"/>
      <c r="D1609" s="80"/>
    </row>
    <row r="1610" spans="1:4" ht="13.2">
      <c r="A1610" s="5"/>
      <c r="C1610" s="5"/>
      <c r="D1610" s="80"/>
    </row>
    <row r="1611" spans="1:4" ht="13.2">
      <c r="A1611" s="5"/>
      <c r="C1611" s="5"/>
      <c r="D1611" s="80"/>
    </row>
    <row r="1612" spans="1:4" ht="13.2">
      <c r="A1612" s="5"/>
      <c r="C1612" s="5"/>
      <c r="D1612" s="80"/>
    </row>
    <row r="1613" spans="1:4" ht="13.2">
      <c r="A1613" s="5"/>
      <c r="C1613" s="5"/>
      <c r="D1613" s="80"/>
    </row>
    <row r="1614" spans="1:4" ht="13.2">
      <c r="A1614" s="5"/>
      <c r="C1614" s="5"/>
      <c r="D1614" s="80"/>
    </row>
    <row r="1615" spans="1:4" ht="13.2">
      <c r="A1615" s="5"/>
      <c r="C1615" s="5"/>
      <c r="D1615" s="80"/>
    </row>
    <row r="1616" spans="1:4" ht="13.2">
      <c r="A1616" s="5"/>
      <c r="C1616" s="5"/>
      <c r="D1616" s="80"/>
    </row>
    <row r="1617" spans="1:4" ht="13.2">
      <c r="A1617" s="5"/>
      <c r="C1617" s="5"/>
      <c r="D1617" s="80"/>
    </row>
    <row r="1618" spans="1:4" ht="13.2">
      <c r="A1618" s="5"/>
      <c r="C1618" s="5"/>
      <c r="D1618" s="80"/>
    </row>
    <row r="1619" spans="1:4" ht="13.2">
      <c r="A1619" s="5"/>
      <c r="C1619" s="5"/>
      <c r="D1619" s="80"/>
    </row>
    <row r="1620" spans="1:4" ht="13.2">
      <c r="A1620" s="5"/>
      <c r="C1620" s="5"/>
      <c r="D1620" s="80"/>
    </row>
    <row r="1621" spans="1:4" ht="13.2">
      <c r="A1621" s="5"/>
      <c r="C1621" s="5"/>
      <c r="D1621" s="80"/>
    </row>
    <row r="1622" spans="1:4" ht="13.2">
      <c r="A1622" s="5"/>
      <c r="C1622" s="5"/>
      <c r="D1622" s="80"/>
    </row>
    <row r="1623" spans="1:4" ht="13.2">
      <c r="A1623" s="5"/>
      <c r="C1623" s="5"/>
      <c r="D1623" s="80"/>
    </row>
    <row r="1624" spans="1:4" ht="13.2">
      <c r="A1624" s="5"/>
      <c r="C1624" s="5"/>
      <c r="D1624" s="80"/>
    </row>
    <row r="1625" spans="1:4" ht="13.2">
      <c r="A1625" s="5"/>
      <c r="C1625" s="5"/>
      <c r="D1625" s="80"/>
    </row>
    <row r="1626" spans="1:4" ht="13.2">
      <c r="A1626" s="5"/>
      <c r="C1626" s="5"/>
      <c r="D1626" s="80"/>
    </row>
    <row r="1627" spans="1:4" ht="13.2">
      <c r="A1627" s="5"/>
      <c r="C1627" s="5"/>
      <c r="D1627" s="80"/>
    </row>
    <row r="1628" spans="1:4" ht="13.2">
      <c r="A1628" s="5"/>
      <c r="C1628" s="5"/>
      <c r="D1628" s="80"/>
    </row>
    <row r="1629" spans="1:4" ht="13.2">
      <c r="A1629" s="5"/>
      <c r="C1629" s="5"/>
      <c r="D1629" s="80"/>
    </row>
    <row r="1630" spans="1:4" ht="13.2">
      <c r="A1630" s="5"/>
      <c r="C1630" s="5"/>
      <c r="D1630" s="80"/>
    </row>
    <row r="1631" spans="1:4" ht="13.2">
      <c r="A1631" s="5"/>
      <c r="C1631" s="5"/>
      <c r="D1631" s="80"/>
    </row>
    <row r="1632" spans="1:4" ht="13.2">
      <c r="A1632" s="5"/>
      <c r="C1632" s="5"/>
      <c r="D1632" s="80"/>
    </row>
    <row r="1633" spans="1:4" ht="13.2">
      <c r="A1633" s="5"/>
      <c r="C1633" s="5"/>
      <c r="D1633" s="80"/>
    </row>
    <row r="1634" spans="1:4" ht="13.2">
      <c r="A1634" s="5"/>
      <c r="C1634" s="5"/>
      <c r="D1634" s="80"/>
    </row>
    <row r="1635" spans="1:4" ht="13.2">
      <c r="A1635" s="5"/>
      <c r="C1635" s="5"/>
      <c r="D1635" s="80"/>
    </row>
    <row r="1636" spans="1:4" ht="13.2">
      <c r="A1636" s="5"/>
      <c r="C1636" s="5"/>
      <c r="D1636" s="80"/>
    </row>
    <row r="1637" spans="1:4" ht="13.2">
      <c r="A1637" s="5"/>
      <c r="C1637" s="5"/>
      <c r="D1637" s="80"/>
    </row>
    <row r="1638" spans="1:4" ht="13.2">
      <c r="A1638" s="5"/>
      <c r="C1638" s="5"/>
      <c r="D1638" s="80"/>
    </row>
    <row r="1639" spans="1:4" ht="13.2">
      <c r="A1639" s="5"/>
      <c r="C1639" s="5"/>
      <c r="D1639" s="80"/>
    </row>
    <row r="1640" spans="1:4" ht="13.2">
      <c r="A1640" s="5"/>
      <c r="C1640" s="5"/>
      <c r="D1640" s="80"/>
    </row>
    <row r="1641" spans="1:4" ht="13.2">
      <c r="A1641" s="5"/>
      <c r="C1641" s="5"/>
      <c r="D1641" s="80"/>
    </row>
    <row r="1642" spans="1:4" ht="13.2">
      <c r="A1642" s="5"/>
      <c r="C1642" s="5"/>
      <c r="D1642" s="80"/>
    </row>
    <row r="1643" spans="1:4" ht="13.2">
      <c r="A1643" s="5"/>
      <c r="C1643" s="5"/>
      <c r="D1643" s="80"/>
    </row>
    <row r="1644" spans="1:4" ht="13.2">
      <c r="A1644" s="5"/>
      <c r="C1644" s="5"/>
      <c r="D1644" s="80"/>
    </row>
    <row r="1645" spans="1:4" ht="13.2">
      <c r="A1645" s="5"/>
      <c r="C1645" s="5"/>
      <c r="D1645" s="80"/>
    </row>
    <row r="1646" spans="1:4" ht="13.2">
      <c r="A1646" s="5"/>
      <c r="C1646" s="5"/>
      <c r="D1646" s="80"/>
    </row>
    <row r="1647" spans="1:4" ht="13.2">
      <c r="A1647" s="5"/>
      <c r="C1647" s="5"/>
      <c r="D1647" s="80"/>
    </row>
    <row r="1648" spans="1:4" ht="13.2">
      <c r="A1648" s="5"/>
      <c r="C1648" s="5"/>
      <c r="D1648" s="80"/>
    </row>
    <row r="1649" spans="1:4" ht="13.2">
      <c r="A1649" s="5"/>
      <c r="C1649" s="5"/>
      <c r="D1649" s="80"/>
    </row>
    <row r="1650" spans="1:4" ht="13.2">
      <c r="A1650" s="5"/>
      <c r="C1650" s="5"/>
      <c r="D1650" s="80"/>
    </row>
    <row r="1651" spans="1:4" ht="13.2">
      <c r="A1651" s="5"/>
      <c r="C1651" s="5"/>
      <c r="D1651" s="80"/>
    </row>
    <row r="1652" spans="1:4" ht="13.2">
      <c r="A1652" s="5"/>
      <c r="C1652" s="5"/>
      <c r="D1652" s="80"/>
    </row>
    <row r="1653" spans="1:4" ht="13.2">
      <c r="A1653" s="5"/>
      <c r="C1653" s="5"/>
      <c r="D1653" s="80"/>
    </row>
    <row r="1654" spans="1:4" ht="13.2">
      <c r="A1654" s="5"/>
      <c r="C1654" s="5"/>
      <c r="D1654" s="80"/>
    </row>
    <row r="1655" spans="1:4" ht="13.2">
      <c r="A1655" s="5"/>
      <c r="C1655" s="5"/>
      <c r="D1655" s="80"/>
    </row>
    <row r="1656" spans="1:4" ht="13.2">
      <c r="A1656" s="5"/>
      <c r="C1656" s="5"/>
      <c r="D1656" s="80"/>
    </row>
    <row r="1657" spans="1:4" ht="13.2">
      <c r="A1657" s="5"/>
      <c r="C1657" s="5"/>
      <c r="D1657" s="80"/>
    </row>
    <row r="1658" spans="1:4" ht="13.2">
      <c r="A1658" s="5"/>
      <c r="C1658" s="5"/>
      <c r="D1658" s="80"/>
    </row>
    <row r="1659" spans="1:4" ht="13.2">
      <c r="A1659" s="5"/>
      <c r="C1659" s="5"/>
      <c r="D1659" s="80"/>
    </row>
    <row r="1660" spans="1:4" ht="13.2">
      <c r="A1660" s="5"/>
      <c r="C1660" s="5"/>
      <c r="D1660" s="80"/>
    </row>
    <row r="1661" spans="1:4" ht="13.2">
      <c r="A1661" s="5"/>
      <c r="C1661" s="5"/>
      <c r="D1661" s="80"/>
    </row>
    <row r="1662" spans="1:4" ht="13.2">
      <c r="A1662" s="5"/>
      <c r="C1662" s="5"/>
      <c r="D1662" s="80"/>
    </row>
    <row r="1663" spans="1:4" ht="13.2">
      <c r="A1663" s="5"/>
      <c r="C1663" s="5"/>
      <c r="D1663" s="80"/>
    </row>
    <row r="1664" spans="1:4" ht="13.2">
      <c r="A1664" s="5"/>
      <c r="C1664" s="5"/>
      <c r="D1664" s="80"/>
    </row>
    <row r="1665" spans="1:4" ht="13.2">
      <c r="A1665" s="5"/>
      <c r="C1665" s="5"/>
      <c r="D1665" s="80"/>
    </row>
    <row r="1666" spans="1:4" ht="13.2">
      <c r="A1666" s="5"/>
      <c r="C1666" s="5"/>
      <c r="D1666" s="80"/>
    </row>
  </sheetData>
  <autoFilter ref="A1:Z166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4517"/>
  <sheetViews>
    <sheetView workbookViewId="0"/>
  </sheetViews>
  <sheetFormatPr defaultColWidth="12.6640625" defaultRowHeight="15.75" customHeight="1"/>
  <cols>
    <col min="1" max="1" width="1.6640625" customWidth="1"/>
    <col min="2" max="2" width="2.21875" customWidth="1"/>
    <col min="19" max="19" width="23.109375" customWidth="1"/>
    <col min="20" max="20" width="25" customWidth="1"/>
  </cols>
  <sheetData>
    <row r="1" spans="1:27" ht="15.75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  <c r="U1" s="68"/>
      <c r="V1" s="68"/>
      <c r="W1" s="68"/>
      <c r="X1" s="68"/>
      <c r="Y1" s="68"/>
      <c r="Z1" s="68"/>
      <c r="AA1" s="68"/>
    </row>
    <row r="2" spans="1:27" ht="15.75" customHeight="1">
      <c r="A2" s="68"/>
      <c r="B2" s="68"/>
      <c r="C2" s="78" t="s">
        <v>701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68"/>
      <c r="S2" s="68"/>
      <c r="T2" s="69"/>
      <c r="U2" s="68"/>
      <c r="V2" s="68"/>
      <c r="W2" s="68"/>
      <c r="X2" s="68"/>
      <c r="Y2" s="68"/>
      <c r="Z2" s="68"/>
      <c r="AA2" s="68"/>
    </row>
    <row r="3" spans="1:27" ht="15.75" customHeight="1">
      <c r="A3" s="7"/>
      <c r="B3" s="7"/>
      <c r="C3" s="76" t="s">
        <v>702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1"/>
      <c r="S3" s="71"/>
      <c r="T3" s="71"/>
      <c r="U3" s="70"/>
      <c r="V3" s="70"/>
      <c r="W3" s="70"/>
      <c r="X3" s="70"/>
      <c r="Y3" s="70"/>
      <c r="Z3" s="70"/>
      <c r="AA3" s="70"/>
    </row>
    <row r="4" spans="1:27" ht="15.75" customHeight="1">
      <c r="A4" s="68"/>
      <c r="B4" s="68"/>
      <c r="C4" s="79"/>
      <c r="D4" s="74"/>
      <c r="E4" s="68"/>
      <c r="F4" s="68"/>
      <c r="G4" s="79"/>
      <c r="H4" s="74"/>
      <c r="I4" s="68"/>
      <c r="J4" s="68"/>
      <c r="K4" s="79"/>
      <c r="L4" s="74"/>
      <c r="M4" s="68"/>
      <c r="N4" s="68"/>
      <c r="O4" s="79"/>
      <c r="P4" s="74"/>
      <c r="Q4" s="68"/>
      <c r="R4" s="68"/>
      <c r="S4" s="68"/>
      <c r="T4" s="69"/>
      <c r="U4" s="68"/>
      <c r="V4" s="68"/>
      <c r="W4" s="68"/>
      <c r="X4" s="68"/>
      <c r="Y4" s="68"/>
      <c r="Z4" s="68"/>
      <c r="AA4" s="68"/>
    </row>
    <row r="5" spans="1:27" ht="15.75" customHeight="1">
      <c r="A5" s="72" t="s">
        <v>698</v>
      </c>
      <c r="B5" s="7">
        <v>1</v>
      </c>
      <c r="C5" s="74"/>
      <c r="D5" s="74"/>
      <c r="F5" s="7"/>
      <c r="G5" s="74"/>
      <c r="H5" s="74"/>
      <c r="J5" s="7"/>
      <c r="K5" s="74"/>
      <c r="L5" s="74"/>
      <c r="N5" s="7"/>
      <c r="O5" s="74"/>
      <c r="P5" s="74"/>
      <c r="R5" s="7"/>
      <c r="S5" s="7"/>
      <c r="T5" s="66"/>
    </row>
    <row r="6" spans="1:27" ht="15.75" customHeight="1">
      <c r="A6" s="7" t="e">
        <v>#N/A</v>
      </c>
      <c r="B6" s="7"/>
      <c r="C6" s="76" t="s">
        <v>703</v>
      </c>
      <c r="D6" s="74"/>
      <c r="E6" s="5">
        <v>1</v>
      </c>
      <c r="F6" s="7"/>
      <c r="G6" s="76" t="s">
        <v>703</v>
      </c>
      <c r="H6" s="74"/>
      <c r="I6" s="5">
        <v>2</v>
      </c>
      <c r="J6" s="7"/>
      <c r="K6" s="76" t="s">
        <v>703</v>
      </c>
      <c r="L6" s="74"/>
      <c r="M6" s="5">
        <v>3</v>
      </c>
      <c r="N6" s="7"/>
      <c r="O6" s="76" t="s">
        <v>703</v>
      </c>
      <c r="P6" s="74"/>
      <c r="Q6" s="5">
        <v>4</v>
      </c>
      <c r="R6" s="7"/>
      <c r="S6" s="7"/>
      <c r="T6" s="66"/>
    </row>
    <row r="7" spans="1:27" ht="15.75" customHeight="1">
      <c r="A7" s="7" t="s">
        <v>704</v>
      </c>
      <c r="B7" s="7"/>
      <c r="C7" s="74" t="str">
        <f ca="1">IFERROR(__xludf.DUMMYFUNCTION("QUERY($A:$B, ""Select A WHERE B = ""&amp; E6 &amp;"""")"),"   ")</f>
        <v xml:space="preserve">   </v>
      </c>
      <c r="D7" s="74"/>
      <c r="F7" s="7"/>
      <c r="G7" s="74" t="str">
        <f ca="1">IFERROR(__xludf.DUMMYFUNCTION("QUERY($A:$B, ""Select A WHERE B = ""&amp; I6 &amp;"""")"),"   ")</f>
        <v xml:space="preserve">   </v>
      </c>
      <c r="H7" s="74"/>
      <c r="J7" s="7"/>
      <c r="K7" s="74" t="str">
        <f ca="1">IFERROR(__xludf.DUMMYFUNCTION("QUERY($A:$B, ""Select A WHERE B = ""&amp; M6 &amp;"""")"),"   ")</f>
        <v xml:space="preserve">   </v>
      </c>
      <c r="L7" s="74"/>
      <c r="N7" s="7"/>
      <c r="O7" s="74" t="str">
        <f ca="1">IFERROR(__xludf.DUMMYFUNCTION("QUERY($A:$B, ""Select A WHERE B = ""&amp; Q6 &amp;"""")"),"   ")</f>
        <v xml:space="preserve">   </v>
      </c>
      <c r="P7" s="74"/>
      <c r="R7" s="7"/>
      <c r="S7" s="7"/>
      <c r="T7" s="66"/>
    </row>
    <row r="8" spans="1:27" ht="15.75" customHeight="1">
      <c r="A8" s="7" t="s">
        <v>705</v>
      </c>
      <c r="B8" s="7"/>
      <c r="C8" s="77" t="str">
        <f ca="1">IFERROR(__xludf.DUMMYFUNCTION("""COMPUTED_VALUE"""),"Polished Stone Necklace")</f>
        <v>Polished Stone Necklace</v>
      </c>
      <c r="D8" s="74"/>
      <c r="F8" s="7"/>
      <c r="G8" s="74" t="str">
        <f ca="1">IFERROR(__xludf.DUMMYFUNCTION("""COMPUTED_VALUE"""),"#N/A")</f>
        <v>#N/A</v>
      </c>
      <c r="H8" s="74"/>
      <c r="J8" s="7"/>
      <c r="K8" s="74" t="str">
        <f ca="1">IFERROR(__xludf.DUMMYFUNCTION("""COMPUTED_VALUE"""),"Ruby")</f>
        <v>Ruby</v>
      </c>
      <c r="L8" s="74"/>
      <c r="N8" s="7"/>
      <c r="O8" s="74" t="str">
        <f ca="1">IFERROR(__xludf.DUMMYFUNCTION("""COMPUTED_VALUE"""),"Jug, clay")</f>
        <v>Jug, clay</v>
      </c>
      <c r="P8" s="74"/>
      <c r="R8" s="7"/>
      <c r="S8" s="7"/>
      <c r="T8" s="66"/>
    </row>
    <row r="9" spans="1:27" ht="15.75" customHeight="1">
      <c r="A9" s="7" t="s">
        <v>706</v>
      </c>
      <c r="B9" s="7"/>
      <c r="C9" s="74" t="str">
        <f ca="1">IFERROR(__xludf.DUMMYFUNCTION("""COMPUTED_VALUE"""),"Jug, clay")</f>
        <v>Jug, clay</v>
      </c>
      <c r="D9" s="74"/>
      <c r="F9" s="7"/>
      <c r="G9" s="74" t="str">
        <f ca="1">IFERROR(__xludf.DUMMYFUNCTION("""COMPUTED_VALUE"""),"Ruby")</f>
        <v>Ruby</v>
      </c>
      <c r="H9" s="74"/>
      <c r="J9" s="7"/>
      <c r="K9" s="74" t="str">
        <f ca="1">IFERROR(__xludf.DUMMYFUNCTION("""COMPUTED_VALUE"""),"Ruby")</f>
        <v>Ruby</v>
      </c>
      <c r="L9" s="74"/>
      <c r="N9" s="7"/>
      <c r="O9" s="74"/>
      <c r="P9" s="74"/>
      <c r="R9" s="7"/>
      <c r="S9" s="7"/>
      <c r="T9" s="66"/>
    </row>
    <row r="10" spans="1:27" ht="15.75" customHeight="1">
      <c r="A10" s="7" t="s">
        <v>707</v>
      </c>
      <c r="B10" s="7"/>
      <c r="C10" s="74" t="str">
        <f ca="1">IFERROR(__xludf.DUMMYFUNCTION("""COMPUTED_VALUE"""),"Ruby")</f>
        <v>Ruby</v>
      </c>
      <c r="D10" s="74"/>
      <c r="F10" s="7"/>
      <c r="G10" s="74" t="str">
        <f ca="1">IFERROR(__xludf.DUMMYFUNCTION("""COMPUTED_VALUE"""),"Ruby")</f>
        <v>Ruby</v>
      </c>
      <c r="H10" s="74"/>
      <c r="J10" s="7"/>
      <c r="K10" s="74" t="str">
        <f ca="1">IFERROR(__xludf.DUMMYFUNCTION("""COMPUTED_VALUE"""),"Ruby")</f>
        <v>Ruby</v>
      </c>
      <c r="L10" s="74"/>
      <c r="N10" s="7"/>
      <c r="O10" s="74"/>
      <c r="P10" s="74"/>
      <c r="R10" s="7"/>
      <c r="S10" s="7"/>
      <c r="T10" s="66"/>
    </row>
    <row r="11" spans="1:27" ht="15.75" customHeight="1">
      <c r="A11" s="7" t="s">
        <v>708</v>
      </c>
      <c r="B11" s="7">
        <v>1</v>
      </c>
      <c r="C11" s="74" t="str">
        <f ca="1">IFERROR(__xludf.DUMMYFUNCTION("""COMPUTED_VALUE"""),"Ruby")</f>
        <v>Ruby</v>
      </c>
      <c r="D11" s="74"/>
      <c r="F11" s="7"/>
      <c r="G11" s="74" t="str">
        <f ca="1">IFERROR(__xludf.DUMMYFUNCTION("""COMPUTED_VALUE"""),"Ruby")</f>
        <v>Ruby</v>
      </c>
      <c r="H11" s="74"/>
      <c r="J11" s="7"/>
      <c r="K11" s="74"/>
      <c r="L11" s="74"/>
      <c r="N11" s="7"/>
      <c r="O11" s="74"/>
      <c r="P11" s="74"/>
      <c r="R11" s="7"/>
      <c r="S11" s="7"/>
      <c r="T11" s="66"/>
    </row>
    <row r="12" spans="1:27" ht="15.75" customHeight="1">
      <c r="A12" s="7" t="e">
        <v>#N/A</v>
      </c>
      <c r="B12" s="7">
        <v>2</v>
      </c>
      <c r="C12" s="74" t="str">
        <f ca="1">IFERROR(__xludf.DUMMYFUNCTION("""COMPUTED_VALUE"""),"Ruby")</f>
        <v>Ruby</v>
      </c>
      <c r="D12" s="74"/>
      <c r="F12" s="7"/>
      <c r="G12" s="74"/>
      <c r="H12" s="74"/>
      <c r="J12" s="7"/>
      <c r="K12" s="74"/>
      <c r="L12" s="74"/>
      <c r="N12" s="7"/>
      <c r="O12" s="74"/>
      <c r="P12" s="74"/>
      <c r="R12" s="7"/>
      <c r="S12" s="7"/>
      <c r="T12" s="66"/>
    </row>
    <row r="13" spans="1:27" ht="15.75" customHeight="1">
      <c r="A13" s="7" t="s">
        <v>704</v>
      </c>
      <c r="B13" s="7"/>
      <c r="C13" s="74" t="str">
        <f ca="1">IFERROR(__xludf.DUMMYFUNCTION("""COMPUTED_VALUE"""),"#N/A")</f>
        <v>#N/A</v>
      </c>
      <c r="D13" s="74"/>
      <c r="F13" s="7"/>
      <c r="G13" s="74"/>
      <c r="H13" s="74"/>
      <c r="J13" s="7"/>
      <c r="K13" s="74"/>
      <c r="L13" s="74"/>
      <c r="N13" s="7"/>
      <c r="O13" s="74"/>
      <c r="P13" s="74"/>
      <c r="R13" s="7"/>
      <c r="S13" s="7"/>
      <c r="T13" s="66"/>
    </row>
    <row r="14" spans="1:27" ht="15.75" customHeight="1">
      <c r="A14" s="7" t="s">
        <v>708</v>
      </c>
      <c r="B14" s="7"/>
      <c r="C14" s="74" t="str">
        <f ca="1">IFERROR(__xludf.DUMMYFUNCTION("""COMPUTED_VALUE"""),"#N/A")</f>
        <v>#N/A</v>
      </c>
      <c r="D14" s="74"/>
      <c r="F14" s="7"/>
      <c r="G14" s="74"/>
      <c r="H14" s="74"/>
      <c r="J14" s="7"/>
      <c r="K14" s="74"/>
      <c r="L14" s="74"/>
      <c r="N14" s="7"/>
      <c r="O14" s="74"/>
      <c r="P14" s="74"/>
      <c r="R14" s="7"/>
      <c r="S14" s="7"/>
      <c r="T14" s="66"/>
    </row>
    <row r="15" spans="1:27" ht="15.75" customHeight="1">
      <c r="A15" s="7" t="s">
        <v>708</v>
      </c>
      <c r="B15" s="7">
        <v>4</v>
      </c>
      <c r="C15" s="74" t="str">
        <f ca="1">IFERROR(__xludf.DUMMYFUNCTION("""COMPUTED_VALUE"""),"Secret Book")</f>
        <v>Secret Book</v>
      </c>
      <c r="D15" s="74"/>
      <c r="F15" s="7"/>
      <c r="G15" s="74"/>
      <c r="H15" s="74"/>
      <c r="J15" s="7"/>
      <c r="K15" s="74"/>
      <c r="L15" s="74"/>
      <c r="N15" s="7"/>
      <c r="O15" s="74"/>
      <c r="P15" s="74"/>
      <c r="R15" s="7"/>
      <c r="S15" s="7"/>
      <c r="T15" s="66"/>
    </row>
    <row r="16" spans="1:27" ht="15.75" customHeight="1">
      <c r="A16" s="7" t="s">
        <v>704</v>
      </c>
      <c r="B16" s="7"/>
      <c r="C16" s="74"/>
      <c r="D16" s="74"/>
      <c r="F16" s="7"/>
      <c r="G16" s="74"/>
      <c r="H16" s="74"/>
      <c r="J16" s="7"/>
      <c r="K16" s="74"/>
      <c r="L16" s="74"/>
      <c r="N16" s="7"/>
      <c r="O16" s="74"/>
      <c r="P16" s="74"/>
      <c r="R16" s="7"/>
      <c r="S16" s="7"/>
      <c r="T16" s="66"/>
    </row>
    <row r="17" spans="1:20" ht="15.75" customHeight="1">
      <c r="A17" s="7" t="s">
        <v>708</v>
      </c>
      <c r="B17" s="7"/>
      <c r="C17" s="74"/>
      <c r="D17" s="74"/>
      <c r="F17" s="7"/>
      <c r="G17" s="74"/>
      <c r="H17" s="74"/>
      <c r="J17" s="7"/>
      <c r="K17" s="74"/>
      <c r="L17" s="74"/>
      <c r="N17" s="7"/>
      <c r="O17" s="74"/>
      <c r="P17" s="74"/>
      <c r="R17" s="7"/>
      <c r="S17" s="7"/>
      <c r="T17" s="66"/>
    </row>
    <row r="18" spans="1:20" ht="15.75" customHeight="1">
      <c r="A18" s="7" t="s">
        <v>704</v>
      </c>
      <c r="B18" s="7"/>
      <c r="C18" s="74"/>
      <c r="D18" s="74"/>
      <c r="F18" s="7"/>
      <c r="G18" s="74"/>
      <c r="H18" s="74"/>
      <c r="J18" s="7"/>
      <c r="K18" s="74"/>
      <c r="L18" s="74"/>
      <c r="N18" s="7"/>
      <c r="O18" s="74"/>
      <c r="P18" s="74"/>
      <c r="R18" s="7"/>
      <c r="S18" s="7"/>
      <c r="T18" s="66"/>
    </row>
    <row r="19" spans="1:20" ht="15.75" customHeight="1">
      <c r="A19" s="7" t="s">
        <v>707</v>
      </c>
      <c r="B19" s="7"/>
      <c r="C19" s="74"/>
      <c r="D19" s="74"/>
      <c r="F19" s="7"/>
      <c r="G19" s="74"/>
      <c r="H19" s="74"/>
      <c r="J19" s="7"/>
      <c r="K19" s="74"/>
      <c r="L19" s="74"/>
      <c r="N19" s="7"/>
      <c r="O19" s="74"/>
      <c r="P19" s="74"/>
      <c r="R19" s="7"/>
      <c r="S19" s="7"/>
      <c r="T19" s="66"/>
    </row>
    <row r="20" spans="1:20" ht="15.75" customHeight="1">
      <c r="A20" s="7" t="s">
        <v>708</v>
      </c>
      <c r="B20" s="7"/>
      <c r="C20" s="74"/>
      <c r="D20" s="74"/>
      <c r="F20" s="7"/>
      <c r="G20" s="74"/>
      <c r="H20" s="74"/>
      <c r="J20" s="7"/>
      <c r="K20" s="74"/>
      <c r="L20" s="74"/>
      <c r="N20" s="7"/>
      <c r="O20" s="74"/>
      <c r="P20" s="74"/>
      <c r="R20" s="7"/>
      <c r="S20" s="7"/>
      <c r="T20" s="66"/>
    </row>
    <row r="21" spans="1:20" ht="15.75" customHeight="1">
      <c r="A21" s="7" t="s">
        <v>704</v>
      </c>
      <c r="B21" s="7"/>
      <c r="C21" s="74"/>
      <c r="D21" s="74"/>
      <c r="F21" s="7"/>
      <c r="G21" s="74"/>
      <c r="H21" s="74"/>
      <c r="J21" s="7"/>
      <c r="K21" s="74"/>
      <c r="L21" s="74"/>
      <c r="N21" s="7"/>
      <c r="O21" s="74"/>
      <c r="P21" s="74"/>
      <c r="R21" s="7"/>
      <c r="S21" s="7"/>
      <c r="T21" s="66"/>
    </row>
    <row r="22" spans="1:20" ht="15.75" customHeight="1">
      <c r="A22" s="7" t="e">
        <v>#N/A</v>
      </c>
      <c r="B22" s="7"/>
      <c r="C22" s="74"/>
      <c r="D22" s="74"/>
      <c r="F22" s="7"/>
      <c r="G22" s="74"/>
      <c r="H22" s="74"/>
      <c r="J22" s="7"/>
      <c r="K22" s="74"/>
      <c r="L22" s="74"/>
      <c r="N22" s="7"/>
      <c r="O22" s="74"/>
      <c r="P22" s="74"/>
      <c r="R22" s="7"/>
      <c r="S22" s="7"/>
      <c r="T22" s="66"/>
    </row>
    <row r="23" spans="1:20" ht="15.75" customHeight="1">
      <c r="A23" s="7" t="s">
        <v>709</v>
      </c>
      <c r="B23" s="7"/>
      <c r="C23" s="74"/>
      <c r="D23" s="74"/>
      <c r="F23" s="7"/>
      <c r="G23" s="74"/>
      <c r="H23" s="74"/>
      <c r="J23" s="7"/>
      <c r="K23" s="74"/>
      <c r="L23" s="74"/>
      <c r="N23" s="7"/>
      <c r="O23" s="74"/>
      <c r="P23" s="74"/>
      <c r="R23" s="7"/>
      <c r="S23" s="7"/>
      <c r="T23" s="66"/>
    </row>
    <row r="24" spans="1:20" ht="15.75" customHeight="1">
      <c r="A24" s="7" t="s">
        <v>710</v>
      </c>
      <c r="B24" s="7"/>
      <c r="C24" s="74"/>
      <c r="D24" s="74"/>
      <c r="F24" s="7"/>
      <c r="G24" s="74"/>
      <c r="H24" s="74"/>
      <c r="J24" s="7"/>
      <c r="K24" s="74"/>
      <c r="L24" s="74"/>
      <c r="N24" s="7"/>
      <c r="O24" s="74"/>
      <c r="P24" s="74"/>
      <c r="R24" s="7"/>
      <c r="S24" s="7"/>
      <c r="T24" s="66"/>
    </row>
    <row r="25" spans="1:20" ht="15.75" customHeight="1">
      <c r="A25" s="7" t="s">
        <v>706</v>
      </c>
      <c r="B25" s="7"/>
      <c r="C25" s="74"/>
      <c r="D25" s="74"/>
      <c r="F25" s="7"/>
      <c r="G25" s="74"/>
      <c r="H25" s="74"/>
      <c r="J25" s="7"/>
      <c r="K25" s="74"/>
      <c r="L25" s="74"/>
      <c r="N25" s="7"/>
      <c r="O25" s="74"/>
      <c r="P25" s="74"/>
      <c r="R25" s="7"/>
      <c r="S25" s="7"/>
      <c r="T25" s="66"/>
    </row>
    <row r="26" spans="1:20" ht="15.75" customHeight="1">
      <c r="A26" s="7" t="s">
        <v>706</v>
      </c>
      <c r="B26" s="7"/>
      <c r="C26" s="74"/>
      <c r="D26" s="74"/>
      <c r="F26" s="7"/>
      <c r="G26" s="74"/>
      <c r="H26" s="74"/>
      <c r="J26" s="7"/>
      <c r="K26" s="74"/>
      <c r="L26" s="74"/>
      <c r="N26" s="7"/>
      <c r="O26" s="74"/>
      <c r="P26" s="74"/>
      <c r="R26" s="7"/>
      <c r="S26" s="7"/>
      <c r="T26" s="66"/>
    </row>
    <row r="27" spans="1:20" ht="13.2">
      <c r="A27" s="7" t="s">
        <v>706</v>
      </c>
      <c r="B27" s="7"/>
      <c r="C27" s="74"/>
      <c r="D27" s="74"/>
      <c r="F27" s="7"/>
      <c r="G27" s="74"/>
      <c r="H27" s="74"/>
      <c r="J27" s="7"/>
      <c r="K27" s="74"/>
      <c r="L27" s="74"/>
      <c r="N27" s="7"/>
      <c r="O27" s="74"/>
      <c r="P27" s="74"/>
      <c r="R27" s="7"/>
      <c r="S27" s="7"/>
      <c r="T27" s="66"/>
    </row>
    <row r="28" spans="1:20" ht="13.2">
      <c r="A28" s="7" t="s">
        <v>706</v>
      </c>
      <c r="B28" s="7"/>
      <c r="C28" s="74"/>
      <c r="D28" s="74"/>
      <c r="F28" s="7"/>
      <c r="G28" s="74"/>
      <c r="H28" s="74"/>
      <c r="J28" s="7"/>
      <c r="K28" s="74"/>
      <c r="L28" s="74"/>
      <c r="N28" s="7"/>
      <c r="O28" s="74"/>
      <c r="P28" s="74"/>
      <c r="R28" s="7"/>
      <c r="S28" s="7"/>
      <c r="T28" s="66"/>
    </row>
    <row r="29" spans="1:20" ht="13.2">
      <c r="A29" s="7" t="s">
        <v>706</v>
      </c>
      <c r="B29" s="7"/>
      <c r="C29" s="74"/>
      <c r="D29" s="74"/>
      <c r="F29" s="7"/>
      <c r="G29" s="74"/>
      <c r="H29" s="74"/>
      <c r="J29" s="7"/>
      <c r="K29" s="74"/>
      <c r="L29" s="74"/>
      <c r="N29" s="7"/>
      <c r="O29" s="74"/>
      <c r="P29" s="74"/>
      <c r="R29" s="7"/>
      <c r="S29" s="7"/>
      <c r="T29" s="66"/>
    </row>
    <row r="30" spans="1:20" ht="13.2">
      <c r="A30" s="7" t="s">
        <v>706</v>
      </c>
      <c r="B30" s="7"/>
      <c r="C30" s="74"/>
      <c r="D30" s="74"/>
      <c r="F30" s="7"/>
      <c r="G30" s="74"/>
      <c r="H30" s="74"/>
      <c r="J30" s="7"/>
      <c r="K30" s="74"/>
      <c r="L30" s="74"/>
      <c r="N30" s="7"/>
      <c r="O30" s="74"/>
      <c r="P30" s="74"/>
      <c r="R30" s="7"/>
      <c r="S30" s="7"/>
      <c r="T30" s="66"/>
    </row>
    <row r="31" spans="1:20" ht="13.2">
      <c r="A31" s="7" t="s">
        <v>706</v>
      </c>
      <c r="B31" s="7"/>
      <c r="C31" s="74"/>
      <c r="D31" s="74"/>
      <c r="F31" s="7"/>
      <c r="G31" s="74"/>
      <c r="H31" s="74"/>
      <c r="J31" s="7"/>
      <c r="K31" s="74"/>
      <c r="L31" s="74"/>
      <c r="N31" s="7"/>
      <c r="O31" s="74"/>
      <c r="P31" s="74"/>
      <c r="R31" s="7"/>
      <c r="S31" s="7"/>
      <c r="T31" s="66"/>
    </row>
    <row r="32" spans="1:20" ht="13.2">
      <c r="A32" s="7" t="s">
        <v>705</v>
      </c>
      <c r="B32" s="7"/>
      <c r="C32" s="74"/>
      <c r="D32" s="74"/>
      <c r="F32" s="7"/>
      <c r="G32" s="74"/>
      <c r="H32" s="74"/>
      <c r="J32" s="7"/>
      <c r="K32" s="74"/>
      <c r="L32" s="74"/>
      <c r="N32" s="7"/>
      <c r="O32" s="74"/>
      <c r="P32" s="74"/>
      <c r="R32" s="7"/>
      <c r="S32" s="7"/>
      <c r="T32" s="66"/>
    </row>
    <row r="33" spans="1:20" ht="13.2">
      <c r="A33" s="7" t="s">
        <v>706</v>
      </c>
      <c r="B33" s="7"/>
      <c r="C33" s="74"/>
      <c r="D33" s="74"/>
      <c r="F33" s="7"/>
      <c r="G33" s="74"/>
      <c r="H33" s="74"/>
      <c r="J33" s="7"/>
      <c r="K33" s="74"/>
      <c r="L33" s="74"/>
      <c r="N33" s="7"/>
      <c r="O33" s="74"/>
      <c r="P33" s="74"/>
      <c r="R33" s="7"/>
      <c r="S33" s="7"/>
      <c r="T33" s="66"/>
    </row>
    <row r="34" spans="1:20" ht="13.2">
      <c r="A34" s="7" t="s">
        <v>711</v>
      </c>
      <c r="B34" s="7"/>
      <c r="C34" s="74"/>
      <c r="D34" s="74"/>
      <c r="F34" s="7"/>
      <c r="G34" s="74"/>
      <c r="H34" s="74"/>
      <c r="J34" s="7"/>
      <c r="K34" s="74"/>
      <c r="L34" s="74"/>
      <c r="N34" s="7"/>
      <c r="O34" s="74"/>
      <c r="P34" s="74"/>
      <c r="R34" s="7"/>
      <c r="S34" s="7"/>
      <c r="T34" s="66"/>
    </row>
    <row r="35" spans="1:20" ht="13.2">
      <c r="A35" s="7" t="s">
        <v>712</v>
      </c>
      <c r="B35" s="7"/>
      <c r="C35" s="74"/>
      <c r="D35" s="74"/>
      <c r="F35" s="7"/>
      <c r="G35" s="74"/>
      <c r="H35" s="74"/>
      <c r="J35" s="7"/>
      <c r="K35" s="74"/>
      <c r="L35" s="74"/>
      <c r="N35" s="7"/>
      <c r="O35" s="74"/>
      <c r="P35" s="74"/>
      <c r="R35" s="7"/>
      <c r="S35" s="7"/>
      <c r="T35" s="66"/>
    </row>
    <row r="36" spans="1:20" ht="13.2">
      <c r="A36" s="7" t="s">
        <v>706</v>
      </c>
      <c r="B36" s="7"/>
      <c r="C36" s="74"/>
      <c r="D36" s="74"/>
      <c r="F36" s="7"/>
      <c r="G36" s="74"/>
      <c r="H36" s="74"/>
      <c r="J36" s="7"/>
      <c r="K36" s="74"/>
      <c r="L36" s="74"/>
      <c r="N36" s="7"/>
      <c r="O36" s="74"/>
      <c r="P36" s="74"/>
      <c r="R36" s="7"/>
      <c r="S36" s="7"/>
      <c r="T36" s="66"/>
    </row>
    <row r="37" spans="1:20" ht="13.2">
      <c r="A37" s="7" t="s">
        <v>707</v>
      </c>
      <c r="B37" s="7"/>
      <c r="C37" s="74"/>
      <c r="D37" s="74"/>
      <c r="F37" s="7"/>
      <c r="G37" s="74"/>
      <c r="H37" s="74"/>
      <c r="J37" s="7"/>
      <c r="K37" s="74"/>
      <c r="L37" s="74"/>
      <c r="N37" s="7"/>
      <c r="O37" s="74"/>
      <c r="P37" s="74"/>
      <c r="R37" s="7"/>
      <c r="S37" s="7"/>
      <c r="T37" s="66"/>
    </row>
    <row r="38" spans="1:20" ht="13.2">
      <c r="A38" s="7" t="s">
        <v>706</v>
      </c>
      <c r="B38" s="7"/>
      <c r="C38" s="74"/>
      <c r="D38" s="74"/>
      <c r="F38" s="7"/>
      <c r="G38" s="74"/>
      <c r="H38" s="74"/>
      <c r="J38" s="7"/>
      <c r="K38" s="74"/>
      <c r="L38" s="74"/>
      <c r="N38" s="7"/>
      <c r="O38" s="74"/>
      <c r="P38" s="74"/>
      <c r="R38" s="7"/>
      <c r="S38" s="7"/>
      <c r="T38" s="66"/>
    </row>
    <row r="39" spans="1:20" ht="13.2">
      <c r="A39" s="7" t="s">
        <v>707</v>
      </c>
      <c r="B39" s="7"/>
      <c r="C39" s="74"/>
      <c r="D39" s="74"/>
      <c r="F39" s="7"/>
      <c r="G39" s="74"/>
      <c r="H39" s="74"/>
      <c r="J39" s="7"/>
      <c r="K39" s="74"/>
      <c r="L39" s="74"/>
      <c r="N39" s="7"/>
      <c r="O39" s="74"/>
      <c r="P39" s="74"/>
      <c r="R39" s="7"/>
      <c r="S39" s="7"/>
      <c r="T39" s="66"/>
    </row>
    <row r="40" spans="1:20" ht="13.2">
      <c r="A40" s="7" t="s">
        <v>706</v>
      </c>
      <c r="B40" s="7"/>
      <c r="C40" s="74"/>
      <c r="D40" s="74"/>
      <c r="F40" s="7"/>
      <c r="G40" s="74"/>
      <c r="H40" s="74"/>
      <c r="J40" s="7"/>
      <c r="K40" s="74"/>
      <c r="L40" s="74"/>
      <c r="N40" s="7"/>
      <c r="O40" s="74"/>
      <c r="P40" s="74"/>
      <c r="R40" s="7"/>
      <c r="S40" s="7"/>
      <c r="T40" s="66"/>
    </row>
    <row r="41" spans="1:20" ht="13.2">
      <c r="A41" s="7" t="s">
        <v>706</v>
      </c>
      <c r="B41" s="7"/>
      <c r="C41" s="74"/>
      <c r="D41" s="74"/>
      <c r="F41" s="7"/>
      <c r="G41" s="74"/>
      <c r="H41" s="74"/>
      <c r="J41" s="7"/>
      <c r="K41" s="74"/>
      <c r="L41" s="74"/>
      <c r="N41" s="7"/>
      <c r="O41" s="74"/>
      <c r="P41" s="74"/>
      <c r="R41" s="7"/>
      <c r="S41" s="7"/>
      <c r="T41" s="66"/>
    </row>
    <row r="42" spans="1:20" ht="13.2">
      <c r="A42" s="7" t="s">
        <v>705</v>
      </c>
      <c r="B42" s="7"/>
      <c r="C42" s="74"/>
      <c r="D42" s="74"/>
      <c r="F42" s="7"/>
      <c r="G42" s="74"/>
      <c r="H42" s="74"/>
      <c r="J42" s="7"/>
      <c r="K42" s="74"/>
      <c r="L42" s="74"/>
      <c r="N42" s="7"/>
      <c r="O42" s="74"/>
      <c r="P42" s="74"/>
      <c r="R42" s="7"/>
      <c r="S42" s="7"/>
      <c r="T42" s="66"/>
    </row>
    <row r="43" spans="1:20" ht="13.2">
      <c r="A43" s="7" t="s">
        <v>706</v>
      </c>
      <c r="B43" s="7"/>
      <c r="C43" s="74"/>
      <c r="D43" s="74"/>
      <c r="F43" s="7"/>
      <c r="G43" s="74"/>
      <c r="H43" s="74"/>
      <c r="J43" s="7"/>
      <c r="K43" s="74"/>
      <c r="L43" s="74"/>
      <c r="N43" s="7"/>
      <c r="O43" s="74"/>
      <c r="P43" s="74"/>
      <c r="R43" s="7"/>
      <c r="S43" s="7"/>
      <c r="T43" s="66"/>
    </row>
    <row r="44" spans="1:20" ht="13.2">
      <c r="A44" s="7" t="s">
        <v>706</v>
      </c>
      <c r="B44" s="7"/>
      <c r="C44" s="74"/>
      <c r="D44" s="74"/>
      <c r="F44" s="7"/>
      <c r="G44" s="74"/>
      <c r="H44" s="74"/>
      <c r="J44" s="7"/>
      <c r="K44" s="74"/>
      <c r="L44" s="74"/>
      <c r="N44" s="7"/>
      <c r="O44" s="74"/>
      <c r="P44" s="74"/>
      <c r="R44" s="7"/>
      <c r="S44" s="7"/>
      <c r="T44" s="66"/>
    </row>
    <row r="45" spans="1:20" ht="13.2">
      <c r="A45" s="7" t="s">
        <v>706</v>
      </c>
      <c r="B45" s="7"/>
      <c r="C45" s="74"/>
      <c r="D45" s="74"/>
      <c r="F45" s="7"/>
      <c r="G45" s="74"/>
      <c r="H45" s="74"/>
      <c r="J45" s="7"/>
      <c r="K45" s="74"/>
      <c r="L45" s="74"/>
      <c r="N45" s="7"/>
      <c r="O45" s="74"/>
      <c r="P45" s="74"/>
      <c r="R45" s="7"/>
      <c r="S45" s="7"/>
      <c r="T45" s="66"/>
    </row>
    <row r="46" spans="1:20" ht="13.2">
      <c r="A46" s="7" t="s">
        <v>706</v>
      </c>
      <c r="B46" s="7"/>
      <c r="C46" s="74"/>
      <c r="D46" s="74"/>
      <c r="F46" s="7"/>
      <c r="G46" s="74"/>
      <c r="H46" s="74"/>
      <c r="J46" s="7"/>
      <c r="K46" s="74"/>
      <c r="L46" s="74"/>
      <c r="N46" s="7"/>
      <c r="O46" s="74"/>
      <c r="P46" s="74"/>
      <c r="R46" s="7"/>
      <c r="S46" s="7"/>
      <c r="T46" s="66"/>
    </row>
    <row r="47" spans="1:20" ht="13.2">
      <c r="A47" s="7" t="s">
        <v>706</v>
      </c>
      <c r="B47" s="7"/>
      <c r="C47" s="74"/>
      <c r="D47" s="74"/>
      <c r="F47" s="7"/>
      <c r="G47" s="74"/>
      <c r="H47" s="74"/>
      <c r="J47" s="7"/>
      <c r="K47" s="74"/>
      <c r="L47" s="74"/>
      <c r="N47" s="7"/>
      <c r="O47" s="74"/>
      <c r="P47" s="74"/>
      <c r="R47" s="7"/>
      <c r="S47" s="7"/>
      <c r="T47" s="66"/>
    </row>
    <row r="48" spans="1:20" ht="13.2">
      <c r="A48" s="7" t="s">
        <v>713</v>
      </c>
      <c r="B48" s="7"/>
      <c r="C48" s="74"/>
      <c r="D48" s="74"/>
      <c r="F48" s="7"/>
      <c r="G48" s="74"/>
      <c r="H48" s="74"/>
      <c r="J48" s="7"/>
      <c r="K48" s="74"/>
      <c r="L48" s="74"/>
      <c r="N48" s="7"/>
      <c r="O48" s="74"/>
      <c r="P48" s="74"/>
      <c r="R48" s="7"/>
      <c r="S48" s="7"/>
      <c r="T48" s="66"/>
    </row>
    <row r="49" spans="1:20" ht="13.2">
      <c r="A49" s="7" t="s">
        <v>713</v>
      </c>
      <c r="B49" s="7"/>
      <c r="C49" s="74"/>
      <c r="D49" s="74"/>
      <c r="F49" s="7"/>
      <c r="G49" s="74"/>
      <c r="H49" s="74"/>
      <c r="J49" s="7"/>
      <c r="K49" s="74"/>
      <c r="L49" s="74"/>
      <c r="N49" s="7"/>
      <c r="O49" s="74"/>
      <c r="P49" s="74"/>
      <c r="R49" s="7"/>
      <c r="S49" s="7"/>
      <c r="T49" s="66"/>
    </row>
    <row r="50" spans="1:20" ht="13.2">
      <c r="A50" s="7" t="s">
        <v>705</v>
      </c>
      <c r="B50" s="7"/>
      <c r="C50" s="74"/>
      <c r="D50" s="74"/>
      <c r="F50" s="7"/>
      <c r="G50" s="74"/>
      <c r="H50" s="74"/>
      <c r="J50" s="7"/>
      <c r="K50" s="74"/>
      <c r="L50" s="74"/>
      <c r="N50" s="7"/>
      <c r="O50" s="74"/>
      <c r="P50" s="74"/>
      <c r="R50" s="7"/>
      <c r="S50" s="7"/>
      <c r="T50" s="66"/>
    </row>
    <row r="51" spans="1:20" ht="13.2">
      <c r="A51" s="7" t="s">
        <v>705</v>
      </c>
      <c r="B51" s="7"/>
      <c r="C51" s="74"/>
      <c r="D51" s="74"/>
      <c r="F51" s="7"/>
      <c r="G51" s="74"/>
      <c r="H51" s="74"/>
      <c r="J51" s="7"/>
      <c r="K51" s="74"/>
      <c r="L51" s="74"/>
      <c r="N51" s="7"/>
      <c r="O51" s="74"/>
      <c r="P51" s="74"/>
      <c r="R51" s="7"/>
      <c r="S51" s="7"/>
      <c r="T51" s="66"/>
    </row>
    <row r="52" spans="1:20" ht="13.2">
      <c r="A52" s="7" t="s">
        <v>705</v>
      </c>
      <c r="B52" s="7"/>
      <c r="C52" s="74"/>
      <c r="D52" s="74"/>
      <c r="F52" s="7"/>
      <c r="G52" s="74"/>
      <c r="H52" s="74"/>
      <c r="J52" s="7"/>
      <c r="K52" s="74"/>
      <c r="L52" s="74"/>
      <c r="N52" s="7"/>
      <c r="O52" s="74"/>
      <c r="P52" s="74"/>
      <c r="R52" s="7"/>
      <c r="S52" s="7"/>
      <c r="T52" s="66"/>
    </row>
    <row r="53" spans="1:20" ht="13.2">
      <c r="A53" s="7" t="s">
        <v>705</v>
      </c>
      <c r="B53" s="7"/>
      <c r="C53" s="74"/>
      <c r="D53" s="74"/>
      <c r="F53" s="7"/>
      <c r="G53" s="74"/>
      <c r="H53" s="74"/>
      <c r="J53" s="7"/>
      <c r="K53" s="74"/>
      <c r="L53" s="74"/>
      <c r="N53" s="7"/>
      <c r="O53" s="74"/>
      <c r="P53" s="74"/>
      <c r="R53" s="7"/>
      <c r="S53" s="7"/>
      <c r="T53" s="66"/>
    </row>
    <row r="54" spans="1:20" ht="13.2">
      <c r="A54" s="7" t="s">
        <v>712</v>
      </c>
      <c r="B54" s="7"/>
      <c r="C54" s="74"/>
      <c r="D54" s="74"/>
      <c r="F54" s="7"/>
      <c r="G54" s="74"/>
      <c r="H54" s="74"/>
      <c r="J54" s="7"/>
      <c r="K54" s="74"/>
      <c r="L54" s="74"/>
      <c r="N54" s="7"/>
      <c r="O54" s="74"/>
      <c r="P54" s="74"/>
      <c r="R54" s="7"/>
      <c r="S54" s="7"/>
      <c r="T54" s="66"/>
    </row>
    <row r="55" spans="1:20" ht="13.2">
      <c r="A55" s="7" t="s">
        <v>707</v>
      </c>
      <c r="B55" s="7"/>
      <c r="C55" s="74"/>
      <c r="D55" s="74"/>
      <c r="F55" s="7"/>
      <c r="G55" s="74"/>
      <c r="H55" s="74"/>
      <c r="J55" s="7"/>
      <c r="K55" s="74"/>
      <c r="L55" s="74"/>
      <c r="N55" s="7"/>
      <c r="O55" s="74"/>
      <c r="P55" s="74"/>
      <c r="R55" s="7"/>
      <c r="S55" s="7"/>
      <c r="T55" s="66"/>
    </row>
    <row r="56" spans="1:20" ht="13.2">
      <c r="A56" s="7" t="s">
        <v>705</v>
      </c>
      <c r="B56" s="7"/>
      <c r="C56" s="74"/>
      <c r="D56" s="74"/>
      <c r="F56" s="7"/>
      <c r="G56" s="74"/>
      <c r="H56" s="74"/>
      <c r="J56" s="7"/>
      <c r="K56" s="74"/>
      <c r="L56" s="74"/>
      <c r="N56" s="7"/>
      <c r="O56" s="74"/>
      <c r="P56" s="74"/>
      <c r="R56" s="7"/>
      <c r="S56" s="7"/>
      <c r="T56" s="66"/>
    </row>
    <row r="57" spans="1:20" ht="13.2">
      <c r="A57" s="7" t="s">
        <v>707</v>
      </c>
      <c r="B57" s="7"/>
      <c r="C57" s="74"/>
      <c r="D57" s="74"/>
      <c r="F57" s="7"/>
      <c r="G57" s="74"/>
      <c r="H57" s="74"/>
      <c r="J57" s="7"/>
      <c r="K57" s="74"/>
      <c r="L57" s="74"/>
      <c r="N57" s="7"/>
      <c r="O57" s="74"/>
      <c r="P57" s="74"/>
      <c r="R57" s="7"/>
      <c r="S57" s="7"/>
      <c r="T57" s="66"/>
    </row>
    <row r="58" spans="1:20" ht="13.2">
      <c r="A58" s="7"/>
      <c r="B58" s="7"/>
      <c r="C58" s="74"/>
      <c r="D58" s="74"/>
      <c r="F58" s="7"/>
      <c r="G58" s="74"/>
      <c r="H58" s="74"/>
      <c r="J58" s="7"/>
      <c r="K58" s="74"/>
      <c r="L58" s="74"/>
      <c r="N58" s="7"/>
      <c r="O58" s="74"/>
      <c r="P58" s="74"/>
      <c r="R58" s="7"/>
      <c r="S58" s="7"/>
      <c r="T58" s="66"/>
    </row>
    <row r="59" spans="1:20" ht="13.2">
      <c r="A59" s="7"/>
      <c r="B59" s="7"/>
      <c r="C59" s="74"/>
      <c r="D59" s="74"/>
      <c r="F59" s="7"/>
      <c r="G59" s="74"/>
      <c r="H59" s="74"/>
      <c r="J59" s="7"/>
      <c r="K59" s="74"/>
      <c r="L59" s="74"/>
      <c r="N59" s="7"/>
      <c r="O59" s="74"/>
      <c r="P59" s="74"/>
      <c r="R59" s="7"/>
      <c r="S59" s="7"/>
      <c r="T59" s="66"/>
    </row>
    <row r="60" spans="1:20" ht="13.2">
      <c r="A60" s="7"/>
      <c r="B60" s="7"/>
      <c r="C60" s="74"/>
      <c r="D60" s="74"/>
      <c r="F60" s="7"/>
      <c r="G60" s="74"/>
      <c r="H60" s="74"/>
      <c r="J60" s="7"/>
      <c r="K60" s="74"/>
      <c r="L60" s="74"/>
      <c r="N60" s="7"/>
      <c r="O60" s="74"/>
      <c r="P60" s="74"/>
      <c r="R60" s="7"/>
      <c r="S60" s="7"/>
      <c r="T60" s="66"/>
    </row>
    <row r="61" spans="1:20" ht="13.2">
      <c r="A61" s="7"/>
      <c r="B61" s="7"/>
      <c r="C61" s="74"/>
      <c r="D61" s="74"/>
      <c r="F61" s="7"/>
      <c r="G61" s="74"/>
      <c r="H61" s="74"/>
      <c r="J61" s="7"/>
      <c r="K61" s="74"/>
      <c r="L61" s="74"/>
      <c r="N61" s="7"/>
      <c r="O61" s="74"/>
      <c r="P61" s="74"/>
      <c r="R61" s="7"/>
      <c r="S61" s="7"/>
      <c r="T61" s="66"/>
    </row>
    <row r="62" spans="1:20" ht="13.2">
      <c r="A62" s="7"/>
      <c r="B62" s="7"/>
      <c r="C62" s="74"/>
      <c r="D62" s="74"/>
      <c r="F62" s="7"/>
      <c r="G62" s="74"/>
      <c r="H62" s="74"/>
      <c r="J62" s="7"/>
      <c r="K62" s="74"/>
      <c r="L62" s="74"/>
      <c r="N62" s="7"/>
      <c r="O62" s="74"/>
      <c r="P62" s="74"/>
      <c r="R62" s="7"/>
      <c r="S62" s="7"/>
      <c r="T62" s="66"/>
    </row>
    <row r="63" spans="1:20" ht="13.2">
      <c r="A63" s="7"/>
      <c r="B63" s="7"/>
      <c r="C63" s="74"/>
      <c r="D63" s="74"/>
      <c r="F63" s="7"/>
      <c r="G63" s="74"/>
      <c r="H63" s="74"/>
      <c r="J63" s="7"/>
      <c r="K63" s="74"/>
      <c r="L63" s="74"/>
      <c r="N63" s="7"/>
      <c r="O63" s="74"/>
      <c r="P63" s="74"/>
      <c r="R63" s="7"/>
      <c r="S63" s="7"/>
      <c r="T63" s="66"/>
    </row>
    <row r="64" spans="1:20" ht="13.2">
      <c r="A64" s="7"/>
      <c r="B64" s="7"/>
      <c r="C64" s="74"/>
      <c r="D64" s="74"/>
      <c r="F64" s="7"/>
      <c r="G64" s="74"/>
      <c r="H64" s="74"/>
      <c r="J64" s="7"/>
      <c r="K64" s="74"/>
      <c r="L64" s="74"/>
      <c r="N64" s="7"/>
      <c r="O64" s="74"/>
      <c r="P64" s="74"/>
      <c r="R64" s="7"/>
      <c r="S64" s="7"/>
      <c r="T64" s="66"/>
    </row>
    <row r="65" spans="1:20" ht="13.2">
      <c r="A65" s="7"/>
      <c r="B65" s="7"/>
      <c r="C65" s="74"/>
      <c r="D65" s="74"/>
      <c r="F65" s="7"/>
      <c r="G65" s="74"/>
      <c r="H65" s="74"/>
      <c r="J65" s="7"/>
      <c r="K65" s="74"/>
      <c r="L65" s="74"/>
      <c r="N65" s="7"/>
      <c r="O65" s="74"/>
      <c r="P65" s="74"/>
      <c r="R65" s="7"/>
      <c r="S65" s="7"/>
      <c r="T65" s="66"/>
    </row>
    <row r="66" spans="1:20" ht="13.2">
      <c r="A66" s="7"/>
      <c r="B66" s="7"/>
      <c r="C66" s="74"/>
      <c r="D66" s="74"/>
      <c r="F66" s="7"/>
      <c r="G66" s="74"/>
      <c r="H66" s="74"/>
      <c r="J66" s="7"/>
      <c r="K66" s="74"/>
      <c r="L66" s="74"/>
      <c r="N66" s="7"/>
      <c r="O66" s="74"/>
      <c r="P66" s="74"/>
      <c r="R66" s="7"/>
      <c r="S66" s="7"/>
      <c r="T66" s="66"/>
    </row>
    <row r="67" spans="1:20" ht="13.2">
      <c r="A67" s="7"/>
      <c r="B67" s="7"/>
      <c r="C67" s="74"/>
      <c r="D67" s="74"/>
      <c r="F67" s="7"/>
      <c r="G67" s="74"/>
      <c r="H67" s="74"/>
      <c r="J67" s="7"/>
      <c r="K67" s="74"/>
      <c r="L67" s="74"/>
      <c r="N67" s="7"/>
      <c r="O67" s="74"/>
      <c r="P67" s="74"/>
      <c r="R67" s="7"/>
      <c r="S67" s="7"/>
      <c r="T67" s="66"/>
    </row>
    <row r="68" spans="1:20" ht="13.2">
      <c r="A68" s="7"/>
      <c r="B68" s="7"/>
      <c r="C68" s="74"/>
      <c r="D68" s="74"/>
      <c r="F68" s="7"/>
      <c r="G68" s="74"/>
      <c r="H68" s="74"/>
      <c r="J68" s="7"/>
      <c r="K68" s="74"/>
      <c r="L68" s="74"/>
      <c r="N68" s="7"/>
      <c r="O68" s="74"/>
      <c r="P68" s="74"/>
      <c r="R68" s="7"/>
      <c r="S68" s="7"/>
      <c r="T68" s="66"/>
    </row>
    <row r="69" spans="1:20" ht="13.2">
      <c r="A69" s="7"/>
      <c r="B69" s="7"/>
      <c r="C69" s="74"/>
      <c r="D69" s="74"/>
      <c r="F69" s="7"/>
      <c r="G69" s="74"/>
      <c r="H69" s="74"/>
      <c r="J69" s="7"/>
      <c r="K69" s="74"/>
      <c r="L69" s="74"/>
      <c r="N69" s="7"/>
      <c r="O69" s="74"/>
      <c r="P69" s="74"/>
      <c r="R69" s="7"/>
      <c r="S69" s="7"/>
      <c r="T69" s="66"/>
    </row>
    <row r="70" spans="1:20" ht="13.2">
      <c r="A70" s="7"/>
      <c r="B70" s="7"/>
      <c r="C70" s="74"/>
      <c r="D70" s="74"/>
      <c r="F70" s="7"/>
      <c r="G70" s="74"/>
      <c r="H70" s="74"/>
      <c r="J70" s="7"/>
      <c r="K70" s="74"/>
      <c r="L70" s="74"/>
      <c r="N70" s="7"/>
      <c r="O70" s="74"/>
      <c r="P70" s="74"/>
      <c r="R70" s="7"/>
      <c r="S70" s="7"/>
      <c r="T70" s="66"/>
    </row>
    <row r="71" spans="1:20" ht="13.2">
      <c r="A71" s="7"/>
      <c r="B71" s="7"/>
      <c r="C71" s="74"/>
      <c r="D71" s="74"/>
      <c r="F71" s="7"/>
      <c r="G71" s="74"/>
      <c r="H71" s="74"/>
      <c r="J71" s="7"/>
      <c r="K71" s="74"/>
      <c r="L71" s="74"/>
      <c r="N71" s="7"/>
      <c r="O71" s="74"/>
      <c r="P71" s="74"/>
      <c r="R71" s="7"/>
      <c r="S71" s="7"/>
      <c r="T71" s="66"/>
    </row>
    <row r="72" spans="1:20" ht="13.2">
      <c r="A72" s="7"/>
      <c r="B72" s="7"/>
      <c r="C72" s="74"/>
      <c r="D72" s="74"/>
      <c r="F72" s="7"/>
      <c r="G72" s="74"/>
      <c r="H72" s="74"/>
      <c r="J72" s="7"/>
      <c r="K72" s="74"/>
      <c r="L72" s="74"/>
      <c r="N72" s="7"/>
      <c r="O72" s="74"/>
      <c r="P72" s="74"/>
      <c r="R72" s="7"/>
      <c r="S72" s="7"/>
      <c r="T72" s="66"/>
    </row>
    <row r="73" spans="1:20" ht="13.2">
      <c r="A73" s="7"/>
      <c r="B73" s="7"/>
      <c r="C73" s="74"/>
      <c r="D73" s="74"/>
      <c r="F73" s="7"/>
      <c r="G73" s="74"/>
      <c r="H73" s="74"/>
      <c r="J73" s="7"/>
      <c r="K73" s="74"/>
      <c r="L73" s="74"/>
      <c r="N73" s="7"/>
      <c r="O73" s="74"/>
      <c r="P73" s="74"/>
      <c r="R73" s="7"/>
      <c r="S73" s="7"/>
      <c r="T73" s="66"/>
    </row>
    <row r="74" spans="1:20" ht="13.2">
      <c r="A74" s="7"/>
      <c r="B74" s="7"/>
      <c r="C74" s="74"/>
      <c r="D74" s="74"/>
      <c r="F74" s="7"/>
      <c r="G74" s="74"/>
      <c r="H74" s="74"/>
      <c r="J74" s="7"/>
      <c r="K74" s="74"/>
      <c r="L74" s="74"/>
      <c r="N74" s="7"/>
      <c r="O74" s="74"/>
      <c r="P74" s="74"/>
      <c r="R74" s="7"/>
      <c r="S74" s="7"/>
      <c r="T74" s="66"/>
    </row>
    <row r="75" spans="1:20" ht="13.2">
      <c r="A75" s="7"/>
      <c r="B75" s="7"/>
      <c r="C75" s="74"/>
      <c r="D75" s="74"/>
      <c r="F75" s="7"/>
      <c r="G75" s="74"/>
      <c r="H75" s="74"/>
      <c r="J75" s="7"/>
      <c r="K75" s="74"/>
      <c r="L75" s="74"/>
      <c r="N75" s="7"/>
      <c r="O75" s="74"/>
      <c r="P75" s="74"/>
      <c r="R75" s="7"/>
      <c r="S75" s="7"/>
      <c r="T75" s="66"/>
    </row>
    <row r="76" spans="1:20" ht="13.2">
      <c r="A76" s="7"/>
      <c r="B76" s="7"/>
      <c r="C76" s="74"/>
      <c r="D76" s="74"/>
      <c r="F76" s="7"/>
      <c r="G76" s="74"/>
      <c r="H76" s="74"/>
      <c r="J76" s="7"/>
      <c r="K76" s="74"/>
      <c r="L76" s="74"/>
      <c r="N76" s="7"/>
      <c r="O76" s="74"/>
      <c r="P76" s="74"/>
      <c r="R76" s="7"/>
      <c r="S76" s="7"/>
      <c r="T76" s="66"/>
    </row>
    <row r="77" spans="1:20" ht="13.2">
      <c r="A77" s="7"/>
      <c r="B77" s="7"/>
      <c r="C77" s="74"/>
      <c r="D77" s="74"/>
      <c r="F77" s="7"/>
      <c r="G77" s="74"/>
      <c r="H77" s="74"/>
      <c r="J77" s="7"/>
      <c r="K77" s="74"/>
      <c r="L77" s="74"/>
      <c r="N77" s="7"/>
      <c r="O77" s="74"/>
      <c r="P77" s="74"/>
      <c r="R77" s="7"/>
      <c r="S77" s="7"/>
      <c r="T77" s="66"/>
    </row>
    <row r="78" spans="1:20" ht="13.2">
      <c r="A78" s="7"/>
      <c r="B78" s="7"/>
      <c r="C78" s="74"/>
      <c r="D78" s="74"/>
      <c r="F78" s="7"/>
      <c r="G78" s="74"/>
      <c r="H78" s="74"/>
      <c r="J78" s="7"/>
      <c r="K78" s="74"/>
      <c r="L78" s="74"/>
      <c r="N78" s="7"/>
      <c r="O78" s="74"/>
      <c r="P78" s="74"/>
      <c r="R78" s="7"/>
      <c r="S78" s="7"/>
      <c r="T78" s="66"/>
    </row>
    <row r="79" spans="1:20" ht="13.2">
      <c r="A79" s="7"/>
      <c r="B79" s="7"/>
      <c r="C79" s="74"/>
      <c r="D79" s="74"/>
      <c r="F79" s="7"/>
      <c r="G79" s="74"/>
      <c r="H79" s="74"/>
      <c r="J79" s="7"/>
      <c r="K79" s="74"/>
      <c r="L79" s="74"/>
      <c r="N79" s="7"/>
      <c r="O79" s="74"/>
      <c r="P79" s="74"/>
      <c r="R79" s="7"/>
      <c r="S79" s="7"/>
      <c r="T79" s="66"/>
    </row>
    <row r="80" spans="1:20" ht="13.2">
      <c r="A80" s="7"/>
      <c r="B80" s="7"/>
      <c r="C80" s="74"/>
      <c r="D80" s="74"/>
      <c r="F80" s="7"/>
      <c r="G80" s="74"/>
      <c r="H80" s="74"/>
      <c r="J80" s="7"/>
      <c r="K80" s="74"/>
      <c r="L80" s="74"/>
      <c r="N80" s="7"/>
      <c r="O80" s="74"/>
      <c r="P80" s="74"/>
      <c r="R80" s="7"/>
      <c r="S80" s="7"/>
      <c r="T80" s="66"/>
    </row>
    <row r="81" spans="1:20" ht="13.2">
      <c r="A81" s="7"/>
      <c r="B81" s="7"/>
      <c r="C81" s="74"/>
      <c r="D81" s="74"/>
      <c r="F81" s="7"/>
      <c r="G81" s="74"/>
      <c r="H81" s="74"/>
      <c r="J81" s="7"/>
      <c r="K81" s="74"/>
      <c r="L81" s="74"/>
      <c r="N81" s="7"/>
      <c r="O81" s="74"/>
      <c r="P81" s="74"/>
      <c r="R81" s="7"/>
      <c r="S81" s="7"/>
      <c r="T81" s="66"/>
    </row>
    <row r="82" spans="1:20" ht="13.2">
      <c r="A82" s="7"/>
      <c r="B82" s="7"/>
      <c r="C82" s="74"/>
      <c r="D82" s="74"/>
      <c r="F82" s="7"/>
      <c r="G82" s="74"/>
      <c r="H82" s="74"/>
      <c r="J82" s="7"/>
      <c r="K82" s="74"/>
      <c r="L82" s="74"/>
      <c r="N82" s="7"/>
      <c r="O82" s="74"/>
      <c r="P82" s="74"/>
      <c r="R82" s="7"/>
      <c r="S82" s="7"/>
      <c r="T82" s="66"/>
    </row>
    <row r="83" spans="1:20" ht="13.2">
      <c r="A83" s="7"/>
      <c r="B83" s="7"/>
      <c r="C83" s="74"/>
      <c r="D83" s="74"/>
      <c r="F83" s="7"/>
      <c r="G83" s="74"/>
      <c r="H83" s="74"/>
      <c r="J83" s="7"/>
      <c r="K83" s="74"/>
      <c r="L83" s="74"/>
      <c r="N83" s="7"/>
      <c r="O83" s="74"/>
      <c r="P83" s="74"/>
      <c r="R83" s="7"/>
      <c r="S83" s="7"/>
      <c r="T83" s="66"/>
    </row>
    <row r="84" spans="1:20" ht="13.2">
      <c r="A84" s="7"/>
      <c r="B84" s="7"/>
      <c r="C84" s="74"/>
      <c r="D84" s="74"/>
      <c r="F84" s="7"/>
      <c r="G84" s="74"/>
      <c r="H84" s="74"/>
      <c r="J84" s="7"/>
      <c r="K84" s="74"/>
      <c r="L84" s="74"/>
      <c r="N84" s="7"/>
      <c r="O84" s="74"/>
      <c r="P84" s="74"/>
      <c r="R84" s="7"/>
      <c r="S84" s="7"/>
      <c r="T84" s="66"/>
    </row>
    <row r="85" spans="1:20" ht="13.2">
      <c r="A85" s="7"/>
      <c r="B85" s="7"/>
      <c r="C85" s="74"/>
      <c r="D85" s="74"/>
      <c r="F85" s="7"/>
      <c r="G85" s="74"/>
      <c r="H85" s="74"/>
      <c r="J85" s="7"/>
      <c r="K85" s="74"/>
      <c r="L85" s="74"/>
      <c r="N85" s="7"/>
      <c r="O85" s="74"/>
      <c r="P85" s="74"/>
      <c r="R85" s="7"/>
      <c r="S85" s="7"/>
      <c r="T85" s="66"/>
    </row>
    <row r="86" spans="1:20" ht="13.2">
      <c r="A86" s="7"/>
      <c r="B86" s="7"/>
      <c r="C86" s="74"/>
      <c r="D86" s="74"/>
      <c r="F86" s="7"/>
      <c r="G86" s="74"/>
      <c r="H86" s="74"/>
      <c r="J86" s="7"/>
      <c r="K86" s="74"/>
      <c r="L86" s="74"/>
      <c r="N86" s="7"/>
      <c r="O86" s="74"/>
      <c r="P86" s="74"/>
      <c r="R86" s="7"/>
      <c r="S86" s="7"/>
      <c r="T86" s="66"/>
    </row>
    <row r="87" spans="1:20" ht="13.2">
      <c r="A87" s="7"/>
      <c r="B87" s="7"/>
      <c r="C87" s="74"/>
      <c r="D87" s="74"/>
      <c r="F87" s="7"/>
      <c r="G87" s="74"/>
      <c r="H87" s="74"/>
      <c r="J87" s="7"/>
      <c r="K87" s="74"/>
      <c r="L87" s="74"/>
      <c r="N87" s="7"/>
      <c r="O87" s="74"/>
      <c r="P87" s="74"/>
      <c r="R87" s="7"/>
      <c r="S87" s="7"/>
      <c r="T87" s="66"/>
    </row>
    <row r="88" spans="1:20" ht="13.2">
      <c r="A88" s="7"/>
      <c r="B88" s="7"/>
      <c r="C88" s="74"/>
      <c r="D88" s="74"/>
      <c r="F88" s="7"/>
      <c r="G88" s="74"/>
      <c r="H88" s="74"/>
      <c r="J88" s="7"/>
      <c r="K88" s="74"/>
      <c r="L88" s="74"/>
      <c r="N88" s="7"/>
      <c r="O88" s="74"/>
      <c r="P88" s="74"/>
      <c r="R88" s="7"/>
      <c r="S88" s="7"/>
      <c r="T88" s="66"/>
    </row>
    <row r="89" spans="1:20" ht="13.2">
      <c r="A89" s="7"/>
      <c r="B89" s="7"/>
      <c r="C89" s="74"/>
      <c r="D89" s="74"/>
      <c r="F89" s="7"/>
      <c r="G89" s="74"/>
      <c r="H89" s="74"/>
      <c r="J89" s="7"/>
      <c r="K89" s="74"/>
      <c r="L89" s="74"/>
      <c r="N89" s="7"/>
      <c r="O89" s="74"/>
      <c r="P89" s="74"/>
      <c r="R89" s="7"/>
      <c r="S89" s="7"/>
      <c r="T89" s="66"/>
    </row>
    <row r="90" spans="1:20" ht="13.2">
      <c r="A90" s="7"/>
      <c r="B90" s="7"/>
      <c r="C90" s="74"/>
      <c r="D90" s="74"/>
      <c r="F90" s="7"/>
      <c r="G90" s="74"/>
      <c r="H90" s="74"/>
      <c r="J90" s="7"/>
      <c r="K90" s="74"/>
      <c r="L90" s="74"/>
      <c r="N90" s="7"/>
      <c r="O90" s="74"/>
      <c r="P90" s="74"/>
      <c r="R90" s="7"/>
      <c r="S90" s="7"/>
      <c r="T90" s="66"/>
    </row>
    <row r="91" spans="1:20" ht="13.2">
      <c r="A91" s="7"/>
      <c r="B91" s="7"/>
      <c r="C91" s="74"/>
      <c r="D91" s="74"/>
      <c r="F91" s="7"/>
      <c r="G91" s="74"/>
      <c r="H91" s="74"/>
      <c r="J91" s="7"/>
      <c r="K91" s="74"/>
      <c r="L91" s="74"/>
      <c r="N91" s="7"/>
      <c r="O91" s="74"/>
      <c r="P91" s="74"/>
      <c r="R91" s="7"/>
      <c r="S91" s="7"/>
      <c r="T91" s="66"/>
    </row>
    <row r="92" spans="1:20" ht="13.2">
      <c r="A92" s="7"/>
      <c r="B92" s="7"/>
      <c r="C92" s="74"/>
      <c r="D92" s="74"/>
      <c r="F92" s="7"/>
      <c r="G92" s="74"/>
      <c r="H92" s="74"/>
      <c r="J92" s="7"/>
      <c r="K92" s="74"/>
      <c r="L92" s="74"/>
      <c r="N92" s="7"/>
      <c r="O92" s="74"/>
      <c r="P92" s="74"/>
      <c r="R92" s="7"/>
      <c r="S92" s="7"/>
      <c r="T92" s="66"/>
    </row>
    <row r="93" spans="1:20" ht="13.2">
      <c r="A93" s="7"/>
      <c r="B93" s="7"/>
      <c r="C93" s="74"/>
      <c r="D93" s="74"/>
      <c r="F93" s="7"/>
      <c r="G93" s="74"/>
      <c r="H93" s="74"/>
      <c r="J93" s="7"/>
      <c r="K93" s="74"/>
      <c r="L93" s="74"/>
      <c r="N93" s="7"/>
      <c r="O93" s="74"/>
      <c r="P93" s="74"/>
      <c r="R93" s="7"/>
      <c r="S93" s="7"/>
      <c r="T93" s="66"/>
    </row>
    <row r="94" spans="1:20" ht="13.2">
      <c r="A94" s="7"/>
      <c r="B94" s="7"/>
      <c r="C94" s="74"/>
      <c r="D94" s="74"/>
      <c r="F94" s="7"/>
      <c r="G94" s="74"/>
      <c r="H94" s="74"/>
      <c r="J94" s="7"/>
      <c r="K94" s="74"/>
      <c r="L94" s="74"/>
      <c r="N94" s="7"/>
      <c r="O94" s="74"/>
      <c r="P94" s="74"/>
      <c r="R94" s="7"/>
      <c r="S94" s="7"/>
      <c r="T94" s="66"/>
    </row>
    <row r="95" spans="1:20" ht="13.2">
      <c r="A95" s="7"/>
      <c r="B95" s="7"/>
      <c r="C95" s="74"/>
      <c r="D95" s="74"/>
      <c r="F95" s="7"/>
      <c r="G95" s="74"/>
      <c r="H95" s="74"/>
      <c r="J95" s="7"/>
      <c r="K95" s="74"/>
      <c r="L95" s="74"/>
      <c r="N95" s="7"/>
      <c r="O95" s="74"/>
      <c r="P95" s="74"/>
      <c r="R95" s="7"/>
      <c r="S95" s="7"/>
      <c r="T95" s="66"/>
    </row>
    <row r="96" spans="1:20" ht="13.2">
      <c r="A96" s="7"/>
      <c r="B96" s="7"/>
      <c r="C96" s="74"/>
      <c r="D96" s="74"/>
      <c r="F96" s="7"/>
      <c r="G96" s="74"/>
      <c r="H96" s="74"/>
      <c r="J96" s="7"/>
      <c r="K96" s="74"/>
      <c r="L96" s="74"/>
      <c r="N96" s="7"/>
      <c r="O96" s="74"/>
      <c r="P96" s="74"/>
      <c r="R96" s="7"/>
      <c r="S96" s="7"/>
      <c r="T96" s="66"/>
    </row>
    <row r="97" spans="1:20" ht="13.2">
      <c r="A97" s="7"/>
      <c r="B97" s="7"/>
      <c r="C97" s="74"/>
      <c r="D97" s="74"/>
      <c r="F97" s="7"/>
      <c r="G97" s="74"/>
      <c r="H97" s="74"/>
      <c r="J97" s="7"/>
      <c r="K97" s="74"/>
      <c r="L97" s="74"/>
      <c r="N97" s="7"/>
      <c r="O97" s="74"/>
      <c r="P97" s="74"/>
      <c r="R97" s="7"/>
      <c r="S97" s="7"/>
      <c r="T97" s="66"/>
    </row>
    <row r="98" spans="1:20" ht="13.2">
      <c r="A98" s="7"/>
      <c r="B98" s="7"/>
      <c r="C98" s="74"/>
      <c r="D98" s="74"/>
      <c r="F98" s="7"/>
      <c r="G98" s="74"/>
      <c r="H98" s="74"/>
      <c r="J98" s="7"/>
      <c r="K98" s="74"/>
      <c r="L98" s="74"/>
      <c r="N98" s="7"/>
      <c r="O98" s="74"/>
      <c r="P98" s="74"/>
      <c r="R98" s="7"/>
      <c r="S98" s="7"/>
      <c r="T98" s="66"/>
    </row>
    <row r="99" spans="1:20" ht="13.2">
      <c r="A99" s="7"/>
      <c r="B99" s="7"/>
      <c r="C99" s="74"/>
      <c r="D99" s="74"/>
      <c r="F99" s="7"/>
      <c r="G99" s="74"/>
      <c r="H99" s="74"/>
      <c r="J99" s="7"/>
      <c r="K99" s="74"/>
      <c r="L99" s="74"/>
      <c r="N99" s="7"/>
      <c r="O99" s="74"/>
      <c r="P99" s="74"/>
      <c r="R99" s="7"/>
      <c r="S99" s="7"/>
      <c r="T99" s="66"/>
    </row>
    <row r="100" spans="1:20" ht="13.2">
      <c r="A100" s="7"/>
      <c r="B100" s="7"/>
      <c r="C100" s="74"/>
      <c r="D100" s="74"/>
      <c r="F100" s="7"/>
      <c r="G100" s="74"/>
      <c r="H100" s="74"/>
      <c r="J100" s="7"/>
      <c r="K100" s="74"/>
      <c r="L100" s="74"/>
      <c r="N100" s="7"/>
      <c r="O100" s="74"/>
      <c r="P100" s="74"/>
      <c r="R100" s="7"/>
      <c r="S100" s="7"/>
      <c r="T100" s="66"/>
    </row>
    <row r="101" spans="1:20" ht="13.2">
      <c r="A101" s="7"/>
      <c r="B101" s="7"/>
      <c r="C101" s="74"/>
      <c r="D101" s="74"/>
      <c r="F101" s="7"/>
      <c r="G101" s="74"/>
      <c r="H101" s="74"/>
      <c r="J101" s="7"/>
      <c r="K101" s="74"/>
      <c r="L101" s="74"/>
      <c r="N101" s="7"/>
      <c r="O101" s="74"/>
      <c r="P101" s="74"/>
      <c r="R101" s="7"/>
      <c r="S101" s="7"/>
      <c r="T101" s="66"/>
    </row>
    <row r="102" spans="1:20" ht="13.2">
      <c r="A102" s="7"/>
      <c r="B102" s="7"/>
      <c r="C102" s="74"/>
      <c r="D102" s="74"/>
      <c r="F102" s="7"/>
      <c r="G102" s="74"/>
      <c r="H102" s="74"/>
      <c r="J102" s="7"/>
      <c r="K102" s="74"/>
      <c r="L102" s="74"/>
      <c r="N102" s="7"/>
      <c r="O102" s="74"/>
      <c r="P102" s="74"/>
      <c r="R102" s="7"/>
      <c r="S102" s="7"/>
      <c r="T102" s="66"/>
    </row>
    <row r="103" spans="1:20" ht="13.2">
      <c r="A103" s="7"/>
      <c r="B103" s="7"/>
      <c r="C103" s="74"/>
      <c r="D103" s="74"/>
      <c r="F103" s="7"/>
      <c r="G103" s="74"/>
      <c r="H103" s="74"/>
      <c r="J103" s="7"/>
      <c r="K103" s="74"/>
      <c r="L103" s="74"/>
      <c r="N103" s="7"/>
      <c r="O103" s="74"/>
      <c r="P103" s="74"/>
      <c r="R103" s="7"/>
      <c r="S103" s="7"/>
      <c r="T103" s="66"/>
    </row>
    <row r="104" spans="1:20" ht="13.2">
      <c r="A104" s="7"/>
      <c r="B104" s="7"/>
      <c r="C104" s="74"/>
      <c r="D104" s="74"/>
      <c r="F104" s="7"/>
      <c r="G104" s="74"/>
      <c r="H104" s="74"/>
      <c r="J104" s="7"/>
      <c r="K104" s="74"/>
      <c r="L104" s="74"/>
      <c r="N104" s="7"/>
      <c r="O104" s="74"/>
      <c r="P104" s="74"/>
      <c r="R104" s="7"/>
      <c r="S104" s="7"/>
      <c r="T104" s="66"/>
    </row>
    <row r="105" spans="1:20" ht="13.2">
      <c r="A105" s="7"/>
      <c r="B105" s="7"/>
      <c r="C105" s="74"/>
      <c r="D105" s="74"/>
      <c r="F105" s="7"/>
      <c r="G105" s="74"/>
      <c r="H105" s="74"/>
      <c r="J105" s="7"/>
      <c r="K105" s="74"/>
      <c r="L105" s="74"/>
      <c r="N105" s="7"/>
      <c r="O105" s="74"/>
      <c r="P105" s="74"/>
      <c r="R105" s="7"/>
      <c r="S105" s="7"/>
      <c r="T105" s="66"/>
    </row>
    <row r="106" spans="1:20" ht="13.2">
      <c r="A106" s="7"/>
      <c r="B106" s="7"/>
      <c r="C106" s="74"/>
      <c r="D106" s="74"/>
      <c r="F106" s="7"/>
      <c r="G106" s="74"/>
      <c r="H106" s="74"/>
      <c r="J106" s="7"/>
      <c r="K106" s="74"/>
      <c r="L106" s="74"/>
      <c r="N106" s="7"/>
      <c r="O106" s="74"/>
      <c r="P106" s="74"/>
      <c r="R106" s="7"/>
      <c r="S106" s="7"/>
      <c r="T106" s="66"/>
    </row>
    <row r="107" spans="1:20" ht="13.2">
      <c r="A107" s="7"/>
      <c r="B107" s="7"/>
      <c r="C107" s="74"/>
      <c r="D107" s="74"/>
      <c r="F107" s="7"/>
      <c r="G107" s="74"/>
      <c r="H107" s="74"/>
      <c r="J107" s="7"/>
      <c r="K107" s="74"/>
      <c r="L107" s="74"/>
      <c r="N107" s="7"/>
      <c r="O107" s="74"/>
      <c r="P107" s="74"/>
      <c r="R107" s="7"/>
      <c r="S107" s="7"/>
      <c r="T107" s="66"/>
    </row>
    <row r="108" spans="1:20" ht="13.2">
      <c r="A108" s="7"/>
      <c r="B108" s="7"/>
      <c r="C108" s="74"/>
      <c r="D108" s="74"/>
      <c r="F108" s="7"/>
      <c r="G108" s="74"/>
      <c r="H108" s="74"/>
      <c r="J108" s="7"/>
      <c r="K108" s="74"/>
      <c r="L108" s="74"/>
      <c r="N108" s="7"/>
      <c r="O108" s="74"/>
      <c r="P108" s="74"/>
      <c r="R108" s="7"/>
      <c r="S108" s="7"/>
      <c r="T108" s="66"/>
    </row>
    <row r="109" spans="1:20" ht="13.2">
      <c r="A109" s="7"/>
      <c r="B109" s="7"/>
      <c r="C109" s="74"/>
      <c r="D109" s="74"/>
      <c r="F109" s="7"/>
      <c r="G109" s="74"/>
      <c r="H109" s="74"/>
      <c r="J109" s="7"/>
      <c r="K109" s="74"/>
      <c r="L109" s="74"/>
      <c r="N109" s="7"/>
      <c r="O109" s="74"/>
      <c r="P109" s="74"/>
      <c r="R109" s="7"/>
      <c r="S109" s="7"/>
      <c r="T109" s="66"/>
    </row>
    <row r="110" spans="1:20" ht="13.2">
      <c r="A110" s="7"/>
      <c r="B110" s="7"/>
      <c r="C110" s="74"/>
      <c r="D110" s="74"/>
      <c r="F110" s="7"/>
      <c r="G110" s="74"/>
      <c r="H110" s="74"/>
      <c r="J110" s="7"/>
      <c r="K110" s="74"/>
      <c r="L110" s="74"/>
      <c r="N110" s="7"/>
      <c r="O110" s="74"/>
      <c r="P110" s="74"/>
      <c r="R110" s="7"/>
      <c r="S110" s="7"/>
      <c r="T110" s="66"/>
    </row>
    <row r="111" spans="1:20" ht="13.2">
      <c r="A111" s="7"/>
      <c r="B111" s="7"/>
      <c r="C111" s="74"/>
      <c r="D111" s="74"/>
      <c r="F111" s="7"/>
      <c r="G111" s="74"/>
      <c r="H111" s="74"/>
      <c r="J111" s="7"/>
      <c r="K111" s="74"/>
      <c r="L111" s="74"/>
      <c r="N111" s="7"/>
      <c r="O111" s="74"/>
      <c r="P111" s="74"/>
      <c r="R111" s="7"/>
      <c r="S111" s="7"/>
      <c r="T111" s="66"/>
    </row>
    <row r="112" spans="1:20" ht="13.2">
      <c r="A112" s="7"/>
      <c r="B112" s="7"/>
      <c r="C112" s="74"/>
      <c r="D112" s="74"/>
      <c r="F112" s="7"/>
      <c r="G112" s="74"/>
      <c r="H112" s="74"/>
      <c r="J112" s="7"/>
      <c r="K112" s="74"/>
      <c r="L112" s="74"/>
      <c r="N112" s="7"/>
      <c r="O112" s="74"/>
      <c r="P112" s="74"/>
      <c r="R112" s="7"/>
      <c r="S112" s="7"/>
      <c r="T112" s="66"/>
    </row>
    <row r="113" spans="1:20" ht="13.2">
      <c r="A113" s="7"/>
      <c r="B113" s="7"/>
      <c r="C113" s="74"/>
      <c r="D113" s="74"/>
      <c r="F113" s="7"/>
      <c r="G113" s="74"/>
      <c r="H113" s="74"/>
      <c r="J113" s="7"/>
      <c r="K113" s="74"/>
      <c r="L113" s="74"/>
      <c r="N113" s="7"/>
      <c r="O113" s="74"/>
      <c r="P113" s="74"/>
      <c r="R113" s="7"/>
      <c r="S113" s="7"/>
      <c r="T113" s="66"/>
    </row>
    <row r="114" spans="1:20" ht="13.2">
      <c r="A114" s="7"/>
      <c r="B114" s="7"/>
      <c r="C114" s="74"/>
      <c r="D114" s="74"/>
      <c r="F114" s="7"/>
      <c r="G114" s="74"/>
      <c r="H114" s="74"/>
      <c r="J114" s="7"/>
      <c r="K114" s="74"/>
      <c r="L114" s="74"/>
      <c r="N114" s="7"/>
      <c r="O114" s="74"/>
      <c r="P114" s="74"/>
      <c r="R114" s="7"/>
      <c r="S114" s="7"/>
      <c r="T114" s="66"/>
    </row>
    <row r="115" spans="1:20" ht="13.2">
      <c r="A115" s="7"/>
      <c r="B115" s="7"/>
      <c r="C115" s="74"/>
      <c r="D115" s="74"/>
      <c r="F115" s="7"/>
      <c r="G115" s="74"/>
      <c r="H115" s="74"/>
      <c r="J115" s="7"/>
      <c r="K115" s="74"/>
      <c r="L115" s="74"/>
      <c r="N115" s="7"/>
      <c r="O115" s="74"/>
      <c r="P115" s="74"/>
      <c r="R115" s="7"/>
      <c r="S115" s="7"/>
      <c r="T115" s="66"/>
    </row>
    <row r="116" spans="1:20" ht="13.2">
      <c r="A116" s="7"/>
      <c r="B116" s="7"/>
      <c r="C116" s="74"/>
      <c r="D116" s="74"/>
      <c r="F116" s="7"/>
      <c r="G116" s="74"/>
      <c r="H116" s="74"/>
      <c r="J116" s="7"/>
      <c r="K116" s="74"/>
      <c r="L116" s="74"/>
      <c r="N116" s="7"/>
      <c r="O116" s="74"/>
      <c r="P116" s="74"/>
      <c r="R116" s="7"/>
      <c r="S116" s="7"/>
      <c r="T116" s="66"/>
    </row>
    <row r="117" spans="1:20" ht="13.2">
      <c r="A117" s="7"/>
      <c r="B117" s="7"/>
      <c r="C117" s="74"/>
      <c r="D117" s="74"/>
      <c r="F117" s="7"/>
      <c r="G117" s="74"/>
      <c r="H117" s="74"/>
      <c r="J117" s="7"/>
      <c r="K117" s="74"/>
      <c r="L117" s="74"/>
      <c r="N117" s="7"/>
      <c r="O117" s="74"/>
      <c r="P117" s="74"/>
      <c r="R117" s="7"/>
      <c r="S117" s="7"/>
      <c r="T117" s="66"/>
    </row>
    <row r="118" spans="1:20" ht="13.2">
      <c r="A118" s="7"/>
      <c r="B118" s="7"/>
      <c r="C118" s="74"/>
      <c r="D118" s="74"/>
      <c r="F118" s="7"/>
      <c r="G118" s="74"/>
      <c r="H118" s="74"/>
      <c r="J118" s="7"/>
      <c r="K118" s="74"/>
      <c r="L118" s="74"/>
      <c r="N118" s="7"/>
      <c r="O118" s="74"/>
      <c r="P118" s="74"/>
      <c r="R118" s="7"/>
      <c r="S118" s="7"/>
      <c r="T118" s="66"/>
    </row>
    <row r="119" spans="1:20" ht="13.2">
      <c r="A119" s="7"/>
      <c r="B119" s="7"/>
      <c r="C119" s="74"/>
      <c r="D119" s="74"/>
      <c r="F119" s="7"/>
      <c r="G119" s="74"/>
      <c r="H119" s="74"/>
      <c r="J119" s="7"/>
      <c r="K119" s="74"/>
      <c r="L119" s="74"/>
      <c r="N119" s="7"/>
      <c r="O119" s="74"/>
      <c r="P119" s="74"/>
      <c r="R119" s="7"/>
      <c r="S119" s="7"/>
      <c r="T119" s="66"/>
    </row>
    <row r="120" spans="1:20" ht="13.2">
      <c r="A120" s="7"/>
      <c r="B120" s="7"/>
      <c r="C120" s="74"/>
      <c r="D120" s="74"/>
      <c r="F120" s="7"/>
      <c r="G120" s="74"/>
      <c r="H120" s="74"/>
      <c r="J120" s="7"/>
      <c r="K120" s="74"/>
      <c r="L120" s="74"/>
      <c r="N120" s="7"/>
      <c r="O120" s="74"/>
      <c r="P120" s="74"/>
      <c r="R120" s="7"/>
      <c r="S120" s="7"/>
      <c r="T120" s="66"/>
    </row>
    <row r="121" spans="1:20" ht="13.2">
      <c r="A121" s="7"/>
      <c r="B121" s="7"/>
      <c r="C121" s="74"/>
      <c r="D121" s="74"/>
      <c r="F121" s="7"/>
      <c r="G121" s="74"/>
      <c r="H121" s="74"/>
      <c r="J121" s="7"/>
      <c r="K121" s="74"/>
      <c r="L121" s="74"/>
      <c r="N121" s="7"/>
      <c r="O121" s="74"/>
      <c r="P121" s="74"/>
      <c r="R121" s="7"/>
      <c r="S121" s="7"/>
      <c r="T121" s="66"/>
    </row>
    <row r="122" spans="1:20" ht="13.2">
      <c r="A122" s="7"/>
      <c r="B122" s="7"/>
      <c r="C122" s="74"/>
      <c r="D122" s="74"/>
      <c r="F122" s="7"/>
      <c r="G122" s="74"/>
      <c r="H122" s="74"/>
      <c r="J122" s="7"/>
      <c r="K122" s="74"/>
      <c r="L122" s="74"/>
      <c r="N122" s="7"/>
      <c r="O122" s="74"/>
      <c r="P122" s="74"/>
      <c r="R122" s="7"/>
      <c r="S122" s="7"/>
      <c r="T122" s="66"/>
    </row>
    <row r="123" spans="1:20" ht="13.2">
      <c r="A123" s="7"/>
      <c r="B123" s="7"/>
      <c r="C123" s="74"/>
      <c r="D123" s="74"/>
      <c r="F123" s="7"/>
      <c r="G123" s="74"/>
      <c r="H123" s="74"/>
      <c r="J123" s="7"/>
      <c r="K123" s="74"/>
      <c r="L123" s="74"/>
      <c r="N123" s="7"/>
      <c r="O123" s="74"/>
      <c r="P123" s="74"/>
      <c r="R123" s="7"/>
      <c r="S123" s="7"/>
      <c r="T123" s="66"/>
    </row>
    <row r="124" spans="1:20" ht="13.2">
      <c r="A124" s="7"/>
      <c r="B124" s="7"/>
      <c r="C124" s="74"/>
      <c r="D124" s="74"/>
      <c r="F124" s="7"/>
      <c r="G124" s="74"/>
      <c r="H124" s="74"/>
      <c r="J124" s="7"/>
      <c r="K124" s="74"/>
      <c r="L124" s="74"/>
      <c r="N124" s="7"/>
      <c r="O124" s="74"/>
      <c r="P124" s="74"/>
      <c r="R124" s="7"/>
      <c r="S124" s="7"/>
      <c r="T124" s="66"/>
    </row>
    <row r="125" spans="1:20" ht="13.2">
      <c r="A125" s="7"/>
      <c r="B125" s="7"/>
      <c r="C125" s="74"/>
      <c r="D125" s="74"/>
      <c r="F125" s="7"/>
      <c r="G125" s="74"/>
      <c r="H125" s="74"/>
      <c r="J125" s="7"/>
      <c r="K125" s="74"/>
      <c r="L125" s="74"/>
      <c r="N125" s="7"/>
      <c r="O125" s="74"/>
      <c r="P125" s="74"/>
      <c r="R125" s="7"/>
      <c r="S125" s="7"/>
      <c r="T125" s="66"/>
    </row>
    <row r="126" spans="1:20" ht="13.2">
      <c r="A126" s="7"/>
      <c r="B126" s="7"/>
      <c r="C126" s="74"/>
      <c r="D126" s="74"/>
      <c r="F126" s="7"/>
      <c r="G126" s="74"/>
      <c r="H126" s="74"/>
      <c r="J126" s="7"/>
      <c r="K126" s="74"/>
      <c r="L126" s="74"/>
      <c r="N126" s="7"/>
      <c r="O126" s="74"/>
      <c r="P126" s="74"/>
      <c r="R126" s="7"/>
      <c r="S126" s="7"/>
      <c r="T126" s="66"/>
    </row>
    <row r="127" spans="1:20" ht="13.2">
      <c r="A127" s="7"/>
      <c r="B127" s="7"/>
      <c r="C127" s="74"/>
      <c r="D127" s="74"/>
      <c r="F127" s="7"/>
      <c r="G127" s="74"/>
      <c r="H127" s="74"/>
      <c r="J127" s="7"/>
      <c r="K127" s="74"/>
      <c r="L127" s="74"/>
      <c r="N127" s="7"/>
      <c r="O127" s="74"/>
      <c r="P127" s="74"/>
      <c r="R127" s="7"/>
      <c r="S127" s="7"/>
      <c r="T127" s="66"/>
    </row>
    <row r="128" spans="1:20" ht="13.2">
      <c r="A128" s="7"/>
      <c r="B128" s="7"/>
      <c r="C128" s="74"/>
      <c r="D128" s="74"/>
      <c r="F128" s="7"/>
      <c r="G128" s="74"/>
      <c r="H128" s="74"/>
      <c r="J128" s="7"/>
      <c r="K128" s="74"/>
      <c r="L128" s="74"/>
      <c r="N128" s="7"/>
      <c r="O128" s="74"/>
      <c r="P128" s="74"/>
      <c r="R128" s="7"/>
      <c r="S128" s="7"/>
      <c r="T128" s="66"/>
    </row>
    <row r="129" spans="1:20" ht="13.2">
      <c r="A129" s="7"/>
      <c r="B129" s="7"/>
      <c r="C129" s="74"/>
      <c r="D129" s="74"/>
      <c r="F129" s="7"/>
      <c r="G129" s="74"/>
      <c r="H129" s="74"/>
      <c r="J129" s="7"/>
      <c r="K129" s="74"/>
      <c r="L129" s="74"/>
      <c r="N129" s="7"/>
      <c r="O129" s="74"/>
      <c r="P129" s="74"/>
      <c r="R129" s="7"/>
      <c r="S129" s="7"/>
      <c r="T129" s="66"/>
    </row>
    <row r="130" spans="1:20" ht="13.2">
      <c r="A130" s="7"/>
      <c r="B130" s="7"/>
      <c r="C130" s="74"/>
      <c r="D130" s="74"/>
      <c r="F130" s="7"/>
      <c r="G130" s="74"/>
      <c r="H130" s="74"/>
      <c r="J130" s="7"/>
      <c r="K130" s="74"/>
      <c r="L130" s="74"/>
      <c r="N130" s="7"/>
      <c r="O130" s="74"/>
      <c r="P130" s="74"/>
      <c r="R130" s="7"/>
      <c r="S130" s="7"/>
      <c r="T130" s="66"/>
    </row>
    <row r="131" spans="1:20" ht="13.2">
      <c r="A131" s="7"/>
      <c r="B131" s="7"/>
      <c r="C131" s="74"/>
      <c r="D131" s="74"/>
      <c r="F131" s="7"/>
      <c r="G131" s="74"/>
      <c r="H131" s="74"/>
      <c r="J131" s="7"/>
      <c r="K131" s="74"/>
      <c r="L131" s="74"/>
      <c r="N131" s="7"/>
      <c r="O131" s="74"/>
      <c r="P131" s="74"/>
      <c r="R131" s="7"/>
      <c r="S131" s="7"/>
      <c r="T131" s="66"/>
    </row>
    <row r="132" spans="1:20" ht="13.2">
      <c r="A132" s="7"/>
      <c r="B132" s="7"/>
      <c r="C132" s="74"/>
      <c r="D132" s="74"/>
      <c r="F132" s="7"/>
      <c r="G132" s="74"/>
      <c r="H132" s="74"/>
      <c r="J132" s="7"/>
      <c r="K132" s="74"/>
      <c r="L132" s="74"/>
      <c r="N132" s="7"/>
      <c r="O132" s="74"/>
      <c r="P132" s="74"/>
      <c r="R132" s="7"/>
      <c r="S132" s="7"/>
      <c r="T132" s="66"/>
    </row>
    <row r="133" spans="1:20" ht="13.2">
      <c r="A133" s="7"/>
      <c r="B133" s="7"/>
      <c r="C133" s="74"/>
      <c r="D133" s="74"/>
      <c r="F133" s="7"/>
      <c r="G133" s="74"/>
      <c r="H133" s="74"/>
      <c r="J133" s="7"/>
      <c r="K133" s="74"/>
      <c r="L133" s="74"/>
      <c r="N133" s="7"/>
      <c r="O133" s="74"/>
      <c r="P133" s="74"/>
      <c r="R133" s="7"/>
      <c r="S133" s="7"/>
      <c r="T133" s="66"/>
    </row>
    <row r="134" spans="1:20" ht="13.2">
      <c r="A134" s="7"/>
      <c r="B134" s="7"/>
      <c r="C134" s="74"/>
      <c r="D134" s="74"/>
      <c r="F134" s="7"/>
      <c r="G134" s="74"/>
      <c r="H134" s="74"/>
      <c r="J134" s="7"/>
      <c r="K134" s="74"/>
      <c r="L134" s="74"/>
      <c r="N134" s="7"/>
      <c r="O134" s="74"/>
      <c r="P134" s="74"/>
      <c r="R134" s="7"/>
      <c r="S134" s="7"/>
      <c r="T134" s="66"/>
    </row>
    <row r="135" spans="1:20" ht="13.2">
      <c r="A135" s="7"/>
      <c r="B135" s="7"/>
      <c r="C135" s="74"/>
      <c r="D135" s="74"/>
      <c r="F135" s="7"/>
      <c r="G135" s="74"/>
      <c r="H135" s="74"/>
      <c r="J135" s="7"/>
      <c r="K135" s="74"/>
      <c r="L135" s="74"/>
      <c r="N135" s="7"/>
      <c r="O135" s="74"/>
      <c r="P135" s="74"/>
      <c r="R135" s="7"/>
      <c r="S135" s="7"/>
      <c r="T135" s="66"/>
    </row>
    <row r="136" spans="1:20" ht="13.2">
      <c r="A136" s="7"/>
      <c r="B136" s="7"/>
      <c r="C136" s="74"/>
      <c r="D136" s="74"/>
      <c r="F136" s="7"/>
      <c r="G136" s="74"/>
      <c r="H136" s="74"/>
      <c r="J136" s="7"/>
      <c r="K136" s="74"/>
      <c r="L136" s="74"/>
      <c r="N136" s="7"/>
      <c r="O136" s="74"/>
      <c r="P136" s="74"/>
      <c r="R136" s="7"/>
      <c r="S136" s="7"/>
      <c r="T136" s="66"/>
    </row>
    <row r="137" spans="1:20" ht="13.2">
      <c r="A137" s="7"/>
      <c r="B137" s="7"/>
      <c r="C137" s="74"/>
      <c r="D137" s="74"/>
      <c r="F137" s="7"/>
      <c r="G137" s="74"/>
      <c r="H137" s="74"/>
      <c r="J137" s="7"/>
      <c r="K137" s="74"/>
      <c r="L137" s="74"/>
      <c r="N137" s="7"/>
      <c r="O137" s="74"/>
      <c r="P137" s="74"/>
      <c r="R137" s="7"/>
      <c r="S137" s="7"/>
      <c r="T137" s="66"/>
    </row>
    <row r="138" spans="1:20" ht="13.2">
      <c r="A138" s="7"/>
      <c r="B138" s="7"/>
      <c r="C138" s="74"/>
      <c r="D138" s="74"/>
      <c r="F138" s="7"/>
      <c r="G138" s="74"/>
      <c r="H138" s="74"/>
      <c r="J138" s="7"/>
      <c r="K138" s="74"/>
      <c r="L138" s="74"/>
      <c r="N138" s="7"/>
      <c r="O138" s="74"/>
      <c r="P138" s="74"/>
      <c r="R138" s="7"/>
      <c r="S138" s="7"/>
      <c r="T138" s="66"/>
    </row>
    <row r="139" spans="1:20" ht="13.2">
      <c r="A139" s="7"/>
      <c r="B139" s="7"/>
      <c r="C139" s="74"/>
      <c r="D139" s="74"/>
      <c r="F139" s="7"/>
      <c r="G139" s="74"/>
      <c r="H139" s="74"/>
      <c r="J139" s="7"/>
      <c r="K139" s="74"/>
      <c r="L139" s="74"/>
      <c r="N139" s="7"/>
      <c r="O139" s="74"/>
      <c r="P139" s="74"/>
      <c r="R139" s="7"/>
      <c r="S139" s="7"/>
      <c r="T139" s="66"/>
    </row>
    <row r="140" spans="1:20" ht="13.2">
      <c r="A140" s="7"/>
      <c r="B140" s="7"/>
      <c r="C140" s="74"/>
      <c r="D140" s="74"/>
      <c r="F140" s="7"/>
      <c r="G140" s="74"/>
      <c r="H140" s="74"/>
      <c r="J140" s="7"/>
      <c r="K140" s="74"/>
      <c r="L140" s="74"/>
      <c r="N140" s="7"/>
      <c r="O140" s="74"/>
      <c r="P140" s="74"/>
      <c r="R140" s="7"/>
      <c r="S140" s="7"/>
      <c r="T140" s="66"/>
    </row>
    <row r="141" spans="1:20" ht="13.2">
      <c r="A141" s="7"/>
      <c r="B141" s="7"/>
      <c r="C141" s="74"/>
      <c r="D141" s="74"/>
      <c r="F141" s="7"/>
      <c r="G141" s="74"/>
      <c r="H141" s="74"/>
      <c r="J141" s="7"/>
      <c r="K141" s="74"/>
      <c r="L141" s="74"/>
      <c r="N141" s="7"/>
      <c r="O141" s="74"/>
      <c r="P141" s="74"/>
      <c r="R141" s="7"/>
      <c r="S141" s="7"/>
      <c r="T141" s="66"/>
    </row>
    <row r="142" spans="1:20" ht="13.2">
      <c r="A142" s="7"/>
      <c r="B142" s="7"/>
      <c r="C142" s="74"/>
      <c r="D142" s="74"/>
      <c r="F142" s="7"/>
      <c r="G142" s="74"/>
      <c r="H142" s="74"/>
      <c r="J142" s="7"/>
      <c r="K142" s="74"/>
      <c r="L142" s="74"/>
      <c r="N142" s="7"/>
      <c r="O142" s="74"/>
      <c r="P142" s="74"/>
      <c r="R142" s="7"/>
      <c r="S142" s="7"/>
      <c r="T142" s="66"/>
    </row>
    <row r="143" spans="1:20" ht="13.2">
      <c r="A143" s="7"/>
      <c r="B143" s="7"/>
      <c r="C143" s="74"/>
      <c r="D143" s="74"/>
      <c r="F143" s="7"/>
      <c r="G143" s="74"/>
      <c r="H143" s="74"/>
      <c r="J143" s="7"/>
      <c r="K143" s="74"/>
      <c r="L143" s="74"/>
      <c r="N143" s="7"/>
      <c r="O143" s="74"/>
      <c r="P143" s="74"/>
      <c r="R143" s="7"/>
      <c r="S143" s="7"/>
      <c r="T143" s="66"/>
    </row>
    <row r="144" spans="1:20" ht="13.2">
      <c r="A144" s="7"/>
      <c r="B144" s="7"/>
      <c r="C144" s="74"/>
      <c r="D144" s="74"/>
      <c r="F144" s="7"/>
      <c r="G144" s="74"/>
      <c r="H144" s="74"/>
      <c r="J144" s="7"/>
      <c r="K144" s="74"/>
      <c r="L144" s="74"/>
      <c r="N144" s="7"/>
      <c r="O144" s="74"/>
      <c r="P144" s="74"/>
      <c r="R144" s="7"/>
      <c r="S144" s="7"/>
      <c r="T144" s="66"/>
    </row>
    <row r="145" spans="1:20" ht="13.2">
      <c r="A145" s="7"/>
      <c r="B145" s="7"/>
      <c r="C145" s="74"/>
      <c r="D145" s="74"/>
      <c r="F145" s="7"/>
      <c r="G145" s="74"/>
      <c r="H145" s="74"/>
      <c r="J145" s="7"/>
      <c r="K145" s="74"/>
      <c r="L145" s="74"/>
      <c r="N145" s="7"/>
      <c r="O145" s="74"/>
      <c r="P145" s="74"/>
      <c r="R145" s="7"/>
      <c r="S145" s="7"/>
      <c r="T145" s="66"/>
    </row>
    <row r="146" spans="1:20" ht="13.2">
      <c r="A146" s="7"/>
      <c r="B146" s="7"/>
      <c r="C146" s="74"/>
      <c r="D146" s="74"/>
      <c r="F146" s="7"/>
      <c r="G146" s="74"/>
      <c r="H146" s="74"/>
      <c r="J146" s="7"/>
      <c r="K146" s="74"/>
      <c r="L146" s="74"/>
      <c r="N146" s="7"/>
      <c r="O146" s="74"/>
      <c r="P146" s="74"/>
      <c r="R146" s="7"/>
      <c r="S146" s="7"/>
      <c r="T146" s="66"/>
    </row>
    <row r="147" spans="1:20" ht="13.2">
      <c r="A147" s="7"/>
      <c r="B147" s="7"/>
      <c r="C147" s="74"/>
      <c r="D147" s="74"/>
      <c r="F147" s="7"/>
      <c r="G147" s="74"/>
      <c r="H147" s="74"/>
      <c r="J147" s="7"/>
      <c r="K147" s="74"/>
      <c r="L147" s="74"/>
      <c r="N147" s="7"/>
      <c r="O147" s="74"/>
      <c r="P147" s="74"/>
      <c r="R147" s="7"/>
      <c r="S147" s="7"/>
      <c r="T147" s="66"/>
    </row>
    <row r="148" spans="1:20" ht="13.2">
      <c r="A148" s="7"/>
      <c r="B148" s="7"/>
      <c r="C148" s="74"/>
      <c r="D148" s="74"/>
      <c r="F148" s="7"/>
      <c r="G148" s="74"/>
      <c r="H148" s="74"/>
      <c r="J148" s="7"/>
      <c r="K148" s="74"/>
      <c r="L148" s="74"/>
      <c r="N148" s="7"/>
      <c r="O148" s="74"/>
      <c r="P148" s="74"/>
      <c r="R148" s="7"/>
      <c r="S148" s="7"/>
      <c r="T148" s="66"/>
    </row>
    <row r="149" spans="1:20" ht="13.2">
      <c r="A149" s="7"/>
      <c r="B149" s="7"/>
      <c r="C149" s="74"/>
      <c r="D149" s="74"/>
      <c r="F149" s="7"/>
      <c r="G149" s="74"/>
      <c r="H149" s="74"/>
      <c r="J149" s="7"/>
      <c r="K149" s="74"/>
      <c r="L149" s="74"/>
      <c r="N149" s="7"/>
      <c r="O149" s="74"/>
      <c r="P149" s="74"/>
      <c r="R149" s="7"/>
      <c r="S149" s="7"/>
      <c r="T149" s="66"/>
    </row>
    <row r="150" spans="1:20" ht="13.2">
      <c r="A150" s="7"/>
      <c r="B150" s="7"/>
      <c r="C150" s="74"/>
      <c r="D150" s="74"/>
      <c r="F150" s="7"/>
      <c r="G150" s="74"/>
      <c r="H150" s="74"/>
      <c r="J150" s="7"/>
      <c r="K150" s="74"/>
      <c r="L150" s="74"/>
      <c r="N150" s="7"/>
      <c r="O150" s="74"/>
      <c r="P150" s="74"/>
      <c r="R150" s="7"/>
      <c r="S150" s="7"/>
      <c r="T150" s="66"/>
    </row>
    <row r="151" spans="1:20" ht="13.2">
      <c r="A151" s="7"/>
      <c r="B151" s="7"/>
      <c r="C151" s="74"/>
      <c r="D151" s="74"/>
      <c r="F151" s="7"/>
      <c r="G151" s="74"/>
      <c r="H151" s="74"/>
      <c r="J151" s="7"/>
      <c r="K151" s="74"/>
      <c r="L151" s="74"/>
      <c r="N151" s="7"/>
      <c r="O151" s="74"/>
      <c r="P151" s="74"/>
      <c r="R151" s="7"/>
      <c r="S151" s="7"/>
      <c r="T151" s="66"/>
    </row>
    <row r="152" spans="1:20" ht="13.2">
      <c r="A152" s="7"/>
      <c r="B152" s="7"/>
      <c r="C152" s="74"/>
      <c r="D152" s="74"/>
      <c r="F152" s="7"/>
      <c r="G152" s="74"/>
      <c r="H152" s="74"/>
      <c r="J152" s="7"/>
      <c r="K152" s="74"/>
      <c r="L152" s="74"/>
      <c r="N152" s="7"/>
      <c r="O152" s="74"/>
      <c r="P152" s="74"/>
      <c r="R152" s="7"/>
      <c r="S152" s="7"/>
      <c r="T152" s="66"/>
    </row>
    <row r="153" spans="1:20" ht="13.2">
      <c r="A153" s="7"/>
      <c r="B153" s="7"/>
      <c r="C153" s="74"/>
      <c r="D153" s="74"/>
      <c r="F153" s="7"/>
      <c r="G153" s="74"/>
      <c r="H153" s="74"/>
      <c r="J153" s="7"/>
      <c r="K153" s="74"/>
      <c r="L153" s="74"/>
      <c r="N153" s="7"/>
      <c r="O153" s="74"/>
      <c r="P153" s="74"/>
      <c r="R153" s="7"/>
      <c r="S153" s="7"/>
      <c r="T153" s="66"/>
    </row>
    <row r="154" spans="1:20" ht="13.2">
      <c r="A154" s="7"/>
      <c r="B154" s="7"/>
      <c r="C154" s="74"/>
      <c r="D154" s="74"/>
      <c r="F154" s="7"/>
      <c r="G154" s="74"/>
      <c r="H154" s="74"/>
      <c r="J154" s="7"/>
      <c r="K154" s="74"/>
      <c r="L154" s="74"/>
      <c r="N154" s="7"/>
      <c r="O154" s="74"/>
      <c r="P154" s="74"/>
      <c r="R154" s="7"/>
      <c r="S154" s="7"/>
      <c r="T154" s="66"/>
    </row>
    <row r="155" spans="1:20" ht="13.2">
      <c r="A155" s="7"/>
      <c r="B155" s="7"/>
      <c r="C155" s="74"/>
      <c r="D155" s="74"/>
      <c r="F155" s="7"/>
      <c r="G155" s="74"/>
      <c r="H155" s="74"/>
      <c r="J155" s="7"/>
      <c r="K155" s="74"/>
      <c r="L155" s="74"/>
      <c r="N155" s="7"/>
      <c r="O155" s="74"/>
      <c r="P155" s="74"/>
      <c r="R155" s="7"/>
      <c r="S155" s="7"/>
      <c r="T155" s="66"/>
    </row>
    <row r="156" spans="1:20" ht="13.2">
      <c r="A156" s="7"/>
      <c r="B156" s="7"/>
      <c r="C156" s="74"/>
      <c r="D156" s="74"/>
      <c r="F156" s="7"/>
      <c r="G156" s="74"/>
      <c r="H156" s="74"/>
      <c r="J156" s="7"/>
      <c r="K156" s="74"/>
      <c r="L156" s="74"/>
      <c r="N156" s="7"/>
      <c r="O156" s="74"/>
      <c r="P156" s="74"/>
      <c r="R156" s="7"/>
      <c r="S156" s="7"/>
      <c r="T156" s="66"/>
    </row>
    <row r="157" spans="1:20" ht="13.2">
      <c r="A157" s="7"/>
      <c r="B157" s="7"/>
      <c r="C157" s="74"/>
      <c r="D157" s="74"/>
      <c r="F157" s="7"/>
      <c r="G157" s="74"/>
      <c r="H157" s="74"/>
      <c r="J157" s="7"/>
      <c r="K157" s="74"/>
      <c r="L157" s="74"/>
      <c r="N157" s="7"/>
      <c r="O157" s="74"/>
      <c r="P157" s="74"/>
      <c r="R157" s="7"/>
      <c r="S157" s="7"/>
      <c r="T157" s="66"/>
    </row>
    <row r="158" spans="1:20" ht="13.2">
      <c r="A158" s="7"/>
      <c r="B158" s="7"/>
      <c r="C158" s="74"/>
      <c r="D158" s="74"/>
      <c r="F158" s="7"/>
      <c r="G158" s="74"/>
      <c r="H158" s="74"/>
      <c r="J158" s="7"/>
      <c r="K158" s="74"/>
      <c r="L158" s="74"/>
      <c r="N158" s="7"/>
      <c r="O158" s="74"/>
      <c r="P158" s="74"/>
      <c r="R158" s="7"/>
      <c r="S158" s="7"/>
      <c r="T158" s="66"/>
    </row>
    <row r="159" spans="1:20" ht="13.2">
      <c r="A159" s="7"/>
      <c r="B159" s="7"/>
      <c r="C159" s="74"/>
      <c r="D159" s="74"/>
      <c r="F159" s="7"/>
      <c r="G159" s="74"/>
      <c r="H159" s="74"/>
      <c r="J159" s="7"/>
      <c r="K159" s="74"/>
      <c r="L159" s="74"/>
      <c r="N159" s="7"/>
      <c r="O159" s="74"/>
      <c r="P159" s="74"/>
      <c r="R159" s="7"/>
      <c r="S159" s="7"/>
      <c r="T159" s="66"/>
    </row>
    <row r="160" spans="1:20" ht="13.2">
      <c r="A160" s="7"/>
      <c r="B160" s="7"/>
      <c r="C160" s="74"/>
      <c r="D160" s="74"/>
      <c r="F160" s="7"/>
      <c r="G160" s="74"/>
      <c r="H160" s="74"/>
      <c r="J160" s="7"/>
      <c r="K160" s="74"/>
      <c r="L160" s="74"/>
      <c r="N160" s="7"/>
      <c r="O160" s="74"/>
      <c r="P160" s="74"/>
      <c r="R160" s="7"/>
      <c r="S160" s="7"/>
      <c r="T160" s="66"/>
    </row>
    <row r="161" spans="1:20" ht="13.2">
      <c r="A161" s="7"/>
      <c r="B161" s="7"/>
      <c r="C161" s="74"/>
      <c r="D161" s="74"/>
      <c r="F161" s="7"/>
      <c r="G161" s="74"/>
      <c r="H161" s="74"/>
      <c r="J161" s="7"/>
      <c r="K161" s="74"/>
      <c r="L161" s="74"/>
      <c r="N161" s="7"/>
      <c r="O161" s="74"/>
      <c r="P161" s="74"/>
      <c r="R161" s="7"/>
      <c r="S161" s="7"/>
      <c r="T161" s="66"/>
    </row>
    <row r="162" spans="1:20" ht="13.2">
      <c r="A162" s="7"/>
      <c r="B162" s="7"/>
      <c r="C162" s="74"/>
      <c r="D162" s="74"/>
      <c r="F162" s="7"/>
      <c r="G162" s="74"/>
      <c r="H162" s="74"/>
      <c r="J162" s="7"/>
      <c r="K162" s="74"/>
      <c r="L162" s="74"/>
      <c r="N162" s="7"/>
      <c r="O162" s="74"/>
      <c r="P162" s="74"/>
      <c r="R162" s="7"/>
      <c r="S162" s="7"/>
      <c r="T162" s="66"/>
    </row>
    <row r="163" spans="1:20" ht="13.2">
      <c r="A163" s="7"/>
      <c r="B163" s="7"/>
      <c r="C163" s="74"/>
      <c r="D163" s="74"/>
      <c r="F163" s="7"/>
      <c r="G163" s="74"/>
      <c r="H163" s="74"/>
      <c r="J163" s="7"/>
      <c r="K163" s="74"/>
      <c r="L163" s="74"/>
      <c r="N163" s="7"/>
      <c r="O163" s="74"/>
      <c r="P163" s="74"/>
      <c r="R163" s="7"/>
      <c r="S163" s="7"/>
      <c r="T163" s="66"/>
    </row>
    <row r="164" spans="1:20" ht="13.2">
      <c r="A164" s="7"/>
      <c r="B164" s="7"/>
      <c r="C164" s="74"/>
      <c r="D164" s="74"/>
      <c r="F164" s="7"/>
      <c r="G164" s="74"/>
      <c r="H164" s="74"/>
      <c r="J164" s="7"/>
      <c r="K164" s="74"/>
      <c r="L164" s="74"/>
      <c r="N164" s="7"/>
      <c r="O164" s="74"/>
      <c r="P164" s="74"/>
      <c r="R164" s="7"/>
      <c r="S164" s="7"/>
      <c r="T164" s="66"/>
    </row>
    <row r="165" spans="1:20" ht="13.2">
      <c r="A165" s="7"/>
      <c r="B165" s="7"/>
      <c r="C165" s="74"/>
      <c r="D165" s="74"/>
      <c r="F165" s="7"/>
      <c r="G165" s="74"/>
      <c r="H165" s="74"/>
      <c r="J165" s="7"/>
      <c r="K165" s="74"/>
      <c r="L165" s="74"/>
      <c r="N165" s="7"/>
      <c r="O165" s="74"/>
      <c r="P165" s="74"/>
      <c r="R165" s="7"/>
      <c r="S165" s="7"/>
      <c r="T165" s="66"/>
    </row>
    <row r="166" spans="1:20" ht="13.2">
      <c r="A166" s="7"/>
      <c r="B166" s="7"/>
      <c r="C166" s="74"/>
      <c r="D166" s="74"/>
      <c r="F166" s="7"/>
      <c r="G166" s="74"/>
      <c r="H166" s="74"/>
      <c r="J166" s="7"/>
      <c r="K166" s="74"/>
      <c r="L166" s="74"/>
      <c r="N166" s="7"/>
      <c r="O166" s="74"/>
      <c r="P166" s="74"/>
      <c r="R166" s="7"/>
      <c r="S166" s="7"/>
      <c r="T166" s="66"/>
    </row>
    <row r="167" spans="1:20" ht="13.2">
      <c r="A167" s="7"/>
      <c r="B167" s="7"/>
      <c r="C167" s="74"/>
      <c r="D167" s="74"/>
      <c r="F167" s="7"/>
      <c r="G167" s="74"/>
      <c r="H167" s="74"/>
      <c r="J167" s="7"/>
      <c r="K167" s="74"/>
      <c r="L167" s="74"/>
      <c r="N167" s="7"/>
      <c r="O167" s="74"/>
      <c r="P167" s="74"/>
      <c r="R167" s="7"/>
      <c r="S167" s="7"/>
      <c r="T167" s="66"/>
    </row>
    <row r="168" spans="1:20" ht="13.2">
      <c r="A168" s="7"/>
      <c r="B168" s="7"/>
      <c r="C168" s="74"/>
      <c r="D168" s="74"/>
      <c r="F168" s="7"/>
      <c r="G168" s="74"/>
      <c r="H168" s="74"/>
      <c r="J168" s="7"/>
      <c r="K168" s="74"/>
      <c r="L168" s="74"/>
      <c r="N168" s="7"/>
      <c r="O168" s="74"/>
      <c r="P168" s="74"/>
      <c r="R168" s="7"/>
      <c r="S168" s="7"/>
      <c r="T168" s="66"/>
    </row>
    <row r="169" spans="1:20" ht="13.2">
      <c r="A169" s="7"/>
      <c r="B169" s="7"/>
      <c r="C169" s="74"/>
      <c r="D169" s="74"/>
      <c r="F169" s="7"/>
      <c r="G169" s="74"/>
      <c r="H169" s="74"/>
      <c r="J169" s="7"/>
      <c r="K169" s="74"/>
      <c r="L169" s="74"/>
      <c r="N169" s="7"/>
      <c r="O169" s="74"/>
      <c r="P169" s="74"/>
      <c r="R169" s="7"/>
      <c r="S169" s="7"/>
      <c r="T169" s="66"/>
    </row>
    <row r="170" spans="1:20" ht="13.2">
      <c r="A170" s="7"/>
      <c r="B170" s="7"/>
      <c r="C170" s="74"/>
      <c r="D170" s="74"/>
      <c r="F170" s="7"/>
      <c r="G170" s="74"/>
      <c r="H170" s="74"/>
      <c r="J170" s="7"/>
      <c r="K170" s="74"/>
      <c r="L170" s="74"/>
      <c r="N170" s="7"/>
      <c r="O170" s="74"/>
      <c r="P170" s="74"/>
      <c r="R170" s="7"/>
      <c r="S170" s="7"/>
      <c r="T170" s="66"/>
    </row>
    <row r="171" spans="1:20" ht="13.2">
      <c r="A171" s="7"/>
      <c r="B171" s="7"/>
      <c r="C171" s="74"/>
      <c r="D171" s="74"/>
      <c r="F171" s="7"/>
      <c r="G171" s="74"/>
      <c r="H171" s="74"/>
      <c r="J171" s="7"/>
      <c r="K171" s="74"/>
      <c r="L171" s="74"/>
      <c r="N171" s="7"/>
      <c r="O171" s="74"/>
      <c r="P171" s="74"/>
      <c r="R171" s="7"/>
      <c r="S171" s="7"/>
      <c r="T171" s="66"/>
    </row>
    <row r="172" spans="1:20" ht="13.2">
      <c r="A172" s="7"/>
      <c r="B172" s="7"/>
      <c r="C172" s="74"/>
      <c r="D172" s="74"/>
      <c r="F172" s="7"/>
      <c r="G172" s="74"/>
      <c r="H172" s="74"/>
      <c r="J172" s="7"/>
      <c r="K172" s="74"/>
      <c r="L172" s="74"/>
      <c r="N172" s="7"/>
      <c r="O172" s="74"/>
      <c r="P172" s="74"/>
      <c r="R172" s="7"/>
      <c r="S172" s="7"/>
      <c r="T172" s="66"/>
    </row>
    <row r="173" spans="1:20" ht="13.2">
      <c r="A173" s="7"/>
      <c r="B173" s="7"/>
      <c r="C173" s="74"/>
      <c r="D173" s="74"/>
      <c r="F173" s="7"/>
      <c r="G173" s="74"/>
      <c r="H173" s="74"/>
      <c r="J173" s="7"/>
      <c r="K173" s="74"/>
      <c r="L173" s="74"/>
      <c r="N173" s="7"/>
      <c r="O173" s="74"/>
      <c r="P173" s="74"/>
      <c r="R173" s="7"/>
      <c r="S173" s="7"/>
      <c r="T173" s="66"/>
    </row>
    <row r="174" spans="1:20" ht="13.2">
      <c r="A174" s="7"/>
      <c r="B174" s="7"/>
      <c r="C174" s="74"/>
      <c r="D174" s="74"/>
      <c r="F174" s="7"/>
      <c r="G174" s="74"/>
      <c r="H174" s="74"/>
      <c r="J174" s="7"/>
      <c r="K174" s="74"/>
      <c r="L174" s="74"/>
      <c r="N174" s="7"/>
      <c r="O174" s="74"/>
      <c r="P174" s="74"/>
      <c r="R174" s="7"/>
      <c r="S174" s="7"/>
      <c r="T174" s="66"/>
    </row>
    <row r="175" spans="1:20" ht="13.2">
      <c r="A175" s="7"/>
      <c r="B175" s="7"/>
      <c r="C175" s="74"/>
      <c r="D175" s="74"/>
      <c r="F175" s="7"/>
      <c r="G175" s="74"/>
      <c r="H175" s="74"/>
      <c r="J175" s="7"/>
      <c r="K175" s="74"/>
      <c r="L175" s="74"/>
      <c r="N175" s="7"/>
      <c r="O175" s="74"/>
      <c r="P175" s="74"/>
      <c r="R175" s="7"/>
      <c r="S175" s="7"/>
      <c r="T175" s="66"/>
    </row>
    <row r="176" spans="1:20" ht="13.2">
      <c r="A176" s="7"/>
      <c r="B176" s="7"/>
      <c r="C176" s="74"/>
      <c r="D176" s="74"/>
      <c r="F176" s="7"/>
      <c r="G176" s="74"/>
      <c r="H176" s="74"/>
      <c r="J176" s="7"/>
      <c r="K176" s="74"/>
      <c r="L176" s="74"/>
      <c r="N176" s="7"/>
      <c r="O176" s="74"/>
      <c r="P176" s="74"/>
      <c r="R176" s="7"/>
      <c r="S176" s="7"/>
      <c r="T176" s="66"/>
    </row>
    <row r="177" spans="1:20" ht="13.2">
      <c r="A177" s="7"/>
      <c r="B177" s="7"/>
      <c r="C177" s="74"/>
      <c r="D177" s="74"/>
      <c r="F177" s="7"/>
      <c r="G177" s="74"/>
      <c r="H177" s="74"/>
      <c r="J177" s="7"/>
      <c r="K177" s="74"/>
      <c r="L177" s="74"/>
      <c r="N177" s="7"/>
      <c r="O177" s="74"/>
      <c r="P177" s="74"/>
      <c r="R177" s="7"/>
      <c r="S177" s="7"/>
      <c r="T177" s="66"/>
    </row>
    <row r="178" spans="1:20" ht="13.2">
      <c r="A178" s="7"/>
      <c r="B178" s="7"/>
      <c r="C178" s="74"/>
      <c r="D178" s="74"/>
      <c r="F178" s="7"/>
      <c r="G178" s="74"/>
      <c r="H178" s="74"/>
      <c r="J178" s="7"/>
      <c r="K178" s="74"/>
      <c r="L178" s="74"/>
      <c r="N178" s="7"/>
      <c r="O178" s="74"/>
      <c r="P178" s="74"/>
      <c r="R178" s="7"/>
      <c r="S178" s="7"/>
      <c r="T178" s="66"/>
    </row>
    <row r="179" spans="1:20" ht="13.2">
      <c r="A179" s="7"/>
      <c r="B179" s="7"/>
      <c r="C179" s="74"/>
      <c r="D179" s="74"/>
      <c r="F179" s="7"/>
      <c r="G179" s="74"/>
      <c r="H179" s="74"/>
      <c r="J179" s="7"/>
      <c r="K179" s="74"/>
      <c r="L179" s="74"/>
      <c r="N179" s="7"/>
      <c r="O179" s="74"/>
      <c r="P179" s="74"/>
      <c r="R179" s="7"/>
      <c r="S179" s="7"/>
      <c r="T179" s="66"/>
    </row>
    <row r="180" spans="1:20" ht="13.2">
      <c r="A180" s="7"/>
      <c r="B180" s="7"/>
      <c r="C180" s="74"/>
      <c r="D180" s="74"/>
      <c r="F180" s="7"/>
      <c r="G180" s="74"/>
      <c r="H180" s="74"/>
      <c r="J180" s="7"/>
      <c r="K180" s="74"/>
      <c r="L180" s="74"/>
      <c r="N180" s="7"/>
      <c r="O180" s="74"/>
      <c r="P180" s="74"/>
      <c r="R180" s="7"/>
      <c r="S180" s="7"/>
      <c r="T180" s="66"/>
    </row>
    <row r="181" spans="1:20" ht="13.2">
      <c r="A181" s="7"/>
      <c r="B181" s="7"/>
      <c r="C181" s="74"/>
      <c r="D181" s="74"/>
      <c r="F181" s="7"/>
      <c r="G181" s="74"/>
      <c r="H181" s="74"/>
      <c r="J181" s="7"/>
      <c r="K181" s="74"/>
      <c r="L181" s="74"/>
      <c r="N181" s="7"/>
      <c r="O181" s="74"/>
      <c r="P181" s="74"/>
      <c r="R181" s="7"/>
      <c r="S181" s="7"/>
      <c r="T181" s="66"/>
    </row>
    <row r="182" spans="1:20" ht="13.2">
      <c r="A182" s="7"/>
      <c r="B182" s="7"/>
      <c r="C182" s="74"/>
      <c r="D182" s="74"/>
      <c r="F182" s="7"/>
      <c r="G182" s="74"/>
      <c r="H182" s="74"/>
      <c r="J182" s="7"/>
      <c r="K182" s="74"/>
      <c r="L182" s="74"/>
      <c r="N182" s="7"/>
      <c r="O182" s="74"/>
      <c r="P182" s="74"/>
      <c r="R182" s="7"/>
      <c r="S182" s="7"/>
      <c r="T182" s="66"/>
    </row>
    <row r="183" spans="1:20" ht="13.2">
      <c r="A183" s="7"/>
      <c r="B183" s="7"/>
      <c r="C183" s="74"/>
      <c r="D183" s="74"/>
      <c r="F183" s="7"/>
      <c r="G183" s="74"/>
      <c r="H183" s="74"/>
      <c r="J183" s="7"/>
      <c r="K183" s="74"/>
      <c r="L183" s="74"/>
      <c r="N183" s="7"/>
      <c r="O183" s="74"/>
      <c r="P183" s="74"/>
      <c r="R183" s="7"/>
      <c r="S183" s="7"/>
      <c r="T183" s="66"/>
    </row>
    <row r="184" spans="1:20" ht="13.2">
      <c r="A184" s="7"/>
      <c r="B184" s="7"/>
      <c r="C184" s="74"/>
      <c r="D184" s="74"/>
      <c r="F184" s="7"/>
      <c r="G184" s="74"/>
      <c r="H184" s="74"/>
      <c r="J184" s="7"/>
      <c r="K184" s="74"/>
      <c r="L184" s="74"/>
      <c r="N184" s="7"/>
      <c r="O184" s="74"/>
      <c r="P184" s="74"/>
      <c r="R184" s="7"/>
      <c r="S184" s="7"/>
      <c r="T184" s="66"/>
    </row>
    <row r="185" spans="1:20" ht="13.2">
      <c r="A185" s="7"/>
      <c r="B185" s="7"/>
      <c r="C185" s="74"/>
      <c r="D185" s="74"/>
      <c r="F185" s="7"/>
      <c r="G185" s="74"/>
      <c r="H185" s="74"/>
      <c r="J185" s="7"/>
      <c r="K185" s="74"/>
      <c r="L185" s="74"/>
      <c r="N185" s="7"/>
      <c r="O185" s="74"/>
      <c r="P185" s="74"/>
      <c r="R185" s="7"/>
      <c r="S185" s="7"/>
      <c r="T185" s="66"/>
    </row>
    <row r="186" spans="1:20" ht="13.2">
      <c r="A186" s="7"/>
      <c r="B186" s="7"/>
      <c r="C186" s="74"/>
      <c r="D186" s="74"/>
      <c r="F186" s="7"/>
      <c r="G186" s="74"/>
      <c r="H186" s="74"/>
      <c r="J186" s="7"/>
      <c r="K186" s="74"/>
      <c r="L186" s="74"/>
      <c r="N186" s="7"/>
      <c r="O186" s="74"/>
      <c r="P186" s="74"/>
      <c r="R186" s="7"/>
      <c r="S186" s="7"/>
      <c r="T186" s="66"/>
    </row>
    <row r="187" spans="1:20" ht="13.2">
      <c r="A187" s="7"/>
      <c r="B187" s="7"/>
      <c r="C187" s="74"/>
      <c r="D187" s="74"/>
      <c r="F187" s="7"/>
      <c r="G187" s="74"/>
      <c r="H187" s="74"/>
      <c r="J187" s="7"/>
      <c r="K187" s="74"/>
      <c r="L187" s="74"/>
      <c r="N187" s="7"/>
      <c r="O187" s="74"/>
      <c r="P187" s="74"/>
      <c r="R187" s="7"/>
      <c r="S187" s="7"/>
      <c r="T187" s="66"/>
    </row>
    <row r="188" spans="1:20" ht="13.2">
      <c r="A188" s="7"/>
      <c r="B188" s="7"/>
      <c r="C188" s="74"/>
      <c r="D188" s="74"/>
      <c r="F188" s="7"/>
      <c r="G188" s="74"/>
      <c r="H188" s="74"/>
      <c r="J188" s="7"/>
      <c r="K188" s="74"/>
      <c r="L188" s="74"/>
      <c r="N188" s="7"/>
      <c r="O188" s="74"/>
      <c r="P188" s="74"/>
      <c r="R188" s="7"/>
      <c r="S188" s="7"/>
      <c r="T188" s="66"/>
    </row>
    <row r="189" spans="1:20" ht="13.2">
      <c r="A189" s="7"/>
      <c r="B189" s="7"/>
      <c r="C189" s="74"/>
      <c r="D189" s="74"/>
      <c r="F189" s="7"/>
      <c r="G189" s="74"/>
      <c r="H189" s="74"/>
      <c r="J189" s="7"/>
      <c r="K189" s="74"/>
      <c r="L189" s="74"/>
      <c r="N189" s="7"/>
      <c r="O189" s="74"/>
      <c r="P189" s="74"/>
      <c r="R189" s="7"/>
      <c r="S189" s="7"/>
      <c r="T189" s="66"/>
    </row>
    <row r="190" spans="1:20" ht="13.2">
      <c r="A190" s="7"/>
      <c r="B190" s="7"/>
      <c r="C190" s="74"/>
      <c r="D190" s="74"/>
      <c r="F190" s="7"/>
      <c r="G190" s="74"/>
      <c r="H190" s="74"/>
      <c r="J190" s="7"/>
      <c r="K190" s="74"/>
      <c r="L190" s="74"/>
      <c r="N190" s="7"/>
      <c r="O190" s="74"/>
      <c r="P190" s="74"/>
      <c r="R190" s="7"/>
      <c r="S190" s="7"/>
      <c r="T190" s="66"/>
    </row>
    <row r="191" spans="1:20" ht="13.2">
      <c r="A191" s="7"/>
      <c r="B191" s="7"/>
      <c r="C191" s="74"/>
      <c r="D191" s="74"/>
      <c r="F191" s="7"/>
      <c r="G191" s="74"/>
      <c r="H191" s="74"/>
      <c r="J191" s="7"/>
      <c r="K191" s="74"/>
      <c r="L191" s="74"/>
      <c r="N191" s="7"/>
      <c r="O191" s="74"/>
      <c r="P191" s="74"/>
      <c r="R191" s="7"/>
      <c r="S191" s="7"/>
      <c r="T191" s="66"/>
    </row>
    <row r="192" spans="1:20" ht="13.2">
      <c r="A192" s="7"/>
      <c r="B192" s="7"/>
      <c r="C192" s="74"/>
      <c r="D192" s="74"/>
      <c r="F192" s="7"/>
      <c r="G192" s="74"/>
      <c r="H192" s="74"/>
      <c r="J192" s="7"/>
      <c r="K192" s="74"/>
      <c r="L192" s="74"/>
      <c r="N192" s="7"/>
      <c r="O192" s="74"/>
      <c r="P192" s="74"/>
      <c r="R192" s="7"/>
      <c r="S192" s="7"/>
      <c r="T192" s="66"/>
    </row>
    <row r="193" spans="1:20" ht="13.2">
      <c r="A193" s="7"/>
      <c r="B193" s="7"/>
      <c r="C193" s="74"/>
      <c r="D193" s="74"/>
      <c r="F193" s="7"/>
      <c r="G193" s="74"/>
      <c r="H193" s="74"/>
      <c r="J193" s="7"/>
      <c r="K193" s="74"/>
      <c r="L193" s="74"/>
      <c r="N193" s="7"/>
      <c r="O193" s="74"/>
      <c r="P193" s="74"/>
      <c r="R193" s="7"/>
      <c r="S193" s="7"/>
      <c r="T193" s="66"/>
    </row>
    <row r="194" spans="1:20" ht="13.2">
      <c r="A194" s="7"/>
      <c r="B194" s="7"/>
      <c r="C194" s="74"/>
      <c r="D194" s="74"/>
      <c r="F194" s="7"/>
      <c r="G194" s="74"/>
      <c r="H194" s="74"/>
      <c r="J194" s="7"/>
      <c r="K194" s="74"/>
      <c r="L194" s="74"/>
      <c r="N194" s="7"/>
      <c r="O194" s="74"/>
      <c r="P194" s="74"/>
      <c r="R194" s="7"/>
      <c r="S194" s="7"/>
      <c r="T194" s="66"/>
    </row>
    <row r="195" spans="1:20" ht="13.2">
      <c r="A195" s="7"/>
      <c r="B195" s="7"/>
      <c r="C195" s="74"/>
      <c r="D195" s="74"/>
      <c r="F195" s="7"/>
      <c r="G195" s="74"/>
      <c r="H195" s="74"/>
      <c r="J195" s="7"/>
      <c r="K195" s="74"/>
      <c r="L195" s="74"/>
      <c r="N195" s="7"/>
      <c r="O195" s="74"/>
      <c r="P195" s="74"/>
      <c r="R195" s="7"/>
      <c r="S195" s="7"/>
      <c r="T195" s="66"/>
    </row>
    <row r="196" spans="1:20" ht="13.2">
      <c r="A196" s="7"/>
      <c r="B196" s="7"/>
      <c r="C196" s="74"/>
      <c r="D196" s="74"/>
      <c r="F196" s="7"/>
      <c r="G196" s="74"/>
      <c r="H196" s="74"/>
      <c r="J196" s="7"/>
      <c r="K196" s="74"/>
      <c r="L196" s="74"/>
      <c r="N196" s="7"/>
      <c r="O196" s="74"/>
      <c r="P196" s="74"/>
      <c r="R196" s="7"/>
      <c r="S196" s="7"/>
      <c r="T196" s="66"/>
    </row>
    <row r="197" spans="1:20" ht="13.2">
      <c r="A197" s="7"/>
      <c r="B197" s="7"/>
      <c r="C197" s="74"/>
      <c r="D197" s="74"/>
      <c r="F197" s="7"/>
      <c r="G197" s="74"/>
      <c r="H197" s="74"/>
      <c r="J197" s="7"/>
      <c r="K197" s="74"/>
      <c r="L197" s="74"/>
      <c r="N197" s="7"/>
      <c r="O197" s="74"/>
      <c r="P197" s="74"/>
      <c r="R197" s="7"/>
      <c r="S197" s="7"/>
      <c r="T197" s="66"/>
    </row>
    <row r="198" spans="1:20" ht="13.2">
      <c r="A198" s="7"/>
      <c r="B198" s="7"/>
      <c r="C198" s="74"/>
      <c r="D198" s="74"/>
      <c r="F198" s="7"/>
      <c r="G198" s="74"/>
      <c r="H198" s="74"/>
      <c r="J198" s="7"/>
      <c r="K198" s="74"/>
      <c r="L198" s="74"/>
      <c r="N198" s="7"/>
      <c r="O198" s="74"/>
      <c r="P198" s="74"/>
      <c r="R198" s="7"/>
      <c r="S198" s="7"/>
      <c r="T198" s="66"/>
    </row>
    <row r="199" spans="1:20" ht="13.2">
      <c r="A199" s="7"/>
      <c r="B199" s="7"/>
      <c r="C199" s="74"/>
      <c r="D199" s="74"/>
      <c r="F199" s="7"/>
      <c r="G199" s="74"/>
      <c r="H199" s="74"/>
      <c r="J199" s="7"/>
      <c r="K199" s="74"/>
      <c r="L199" s="74"/>
      <c r="N199" s="7"/>
      <c r="O199" s="74"/>
      <c r="P199" s="74"/>
      <c r="R199" s="7"/>
      <c r="S199" s="7"/>
      <c r="T199" s="66"/>
    </row>
    <row r="200" spans="1:20" ht="13.2">
      <c r="A200" s="7"/>
      <c r="B200" s="7"/>
      <c r="C200" s="74"/>
      <c r="D200" s="74"/>
      <c r="F200" s="7"/>
      <c r="G200" s="74"/>
      <c r="H200" s="74"/>
      <c r="J200" s="7"/>
      <c r="K200" s="74"/>
      <c r="L200" s="74"/>
      <c r="N200" s="7"/>
      <c r="O200" s="74"/>
      <c r="P200" s="74"/>
      <c r="R200" s="7"/>
      <c r="S200" s="7"/>
      <c r="T200" s="66"/>
    </row>
    <row r="201" spans="1:20" ht="13.2">
      <c r="A201" s="7"/>
      <c r="B201" s="7"/>
      <c r="C201" s="74"/>
      <c r="D201" s="74"/>
      <c r="F201" s="7"/>
      <c r="G201" s="74"/>
      <c r="H201" s="74"/>
      <c r="J201" s="7"/>
      <c r="K201" s="74"/>
      <c r="L201" s="74"/>
      <c r="N201" s="7"/>
      <c r="O201" s="74"/>
      <c r="P201" s="74"/>
      <c r="R201" s="7"/>
      <c r="S201" s="7"/>
      <c r="T201" s="66"/>
    </row>
    <row r="202" spans="1:20" ht="13.2">
      <c r="A202" s="7"/>
      <c r="B202" s="7"/>
      <c r="C202" s="74"/>
      <c r="D202" s="74"/>
      <c r="F202" s="7"/>
      <c r="G202" s="74"/>
      <c r="H202" s="74"/>
      <c r="J202" s="7"/>
      <c r="K202" s="74"/>
      <c r="L202" s="74"/>
      <c r="N202" s="7"/>
      <c r="O202" s="74"/>
      <c r="P202" s="74"/>
      <c r="R202" s="7"/>
      <c r="S202" s="7"/>
      <c r="T202" s="66"/>
    </row>
    <row r="203" spans="1:20" ht="13.2">
      <c r="A203" s="7"/>
      <c r="B203" s="7"/>
      <c r="C203" s="74"/>
      <c r="D203" s="74"/>
      <c r="F203" s="7"/>
      <c r="G203" s="74"/>
      <c r="H203" s="74"/>
      <c r="J203" s="7"/>
      <c r="K203" s="74"/>
      <c r="L203" s="74"/>
      <c r="N203" s="7"/>
      <c r="O203" s="74"/>
      <c r="P203" s="74"/>
      <c r="R203" s="7"/>
      <c r="S203" s="7"/>
      <c r="T203" s="66"/>
    </row>
    <row r="204" spans="1:20" ht="13.2">
      <c r="A204" s="7"/>
      <c r="B204" s="7"/>
      <c r="C204" s="74"/>
      <c r="D204" s="74"/>
      <c r="F204" s="7"/>
      <c r="G204" s="74"/>
      <c r="H204" s="74"/>
      <c r="J204" s="7"/>
      <c r="K204" s="74"/>
      <c r="L204" s="74"/>
      <c r="N204" s="7"/>
      <c r="O204" s="74"/>
      <c r="P204" s="74"/>
      <c r="R204" s="7"/>
      <c r="S204" s="7"/>
      <c r="T204" s="66"/>
    </row>
    <row r="205" spans="1:20" ht="13.2">
      <c r="A205" s="7"/>
      <c r="B205" s="7"/>
      <c r="C205" s="74"/>
      <c r="D205" s="74"/>
      <c r="F205" s="7"/>
      <c r="G205" s="74"/>
      <c r="H205" s="74"/>
      <c r="J205" s="7"/>
      <c r="K205" s="74"/>
      <c r="L205" s="74"/>
      <c r="N205" s="7"/>
      <c r="O205" s="74"/>
      <c r="P205" s="74"/>
      <c r="R205" s="7"/>
      <c r="S205" s="7"/>
      <c r="T205" s="66"/>
    </row>
    <row r="206" spans="1:20" ht="13.2">
      <c r="A206" s="7"/>
      <c r="B206" s="7"/>
      <c r="C206" s="74"/>
      <c r="D206" s="74"/>
      <c r="F206" s="7"/>
      <c r="G206" s="74"/>
      <c r="H206" s="74"/>
      <c r="J206" s="7"/>
      <c r="K206" s="74"/>
      <c r="L206" s="74"/>
      <c r="N206" s="7"/>
      <c r="O206" s="74"/>
      <c r="P206" s="74"/>
      <c r="R206" s="7"/>
      <c r="S206" s="7"/>
      <c r="T206" s="66"/>
    </row>
    <row r="207" spans="1:20" ht="13.2">
      <c r="A207" s="7"/>
      <c r="B207" s="7"/>
      <c r="C207" s="74"/>
      <c r="D207" s="74"/>
      <c r="F207" s="7"/>
      <c r="G207" s="74"/>
      <c r="H207" s="74"/>
      <c r="J207" s="7"/>
      <c r="K207" s="74"/>
      <c r="L207" s="74"/>
      <c r="N207" s="7"/>
      <c r="O207" s="74"/>
      <c r="P207" s="74"/>
      <c r="R207" s="7"/>
      <c r="S207" s="7"/>
      <c r="T207" s="66"/>
    </row>
    <row r="208" spans="1:20" ht="13.2">
      <c r="A208" s="7"/>
      <c r="B208" s="7"/>
      <c r="C208" s="74"/>
      <c r="D208" s="74"/>
      <c r="F208" s="7"/>
      <c r="G208" s="74"/>
      <c r="H208" s="74"/>
      <c r="J208" s="7"/>
      <c r="K208" s="74"/>
      <c r="L208" s="74"/>
      <c r="N208" s="7"/>
      <c r="O208" s="74"/>
      <c r="P208" s="74"/>
      <c r="R208" s="7"/>
      <c r="S208" s="7"/>
      <c r="T208" s="66"/>
    </row>
    <row r="209" spans="1:20" ht="13.2">
      <c r="A209" s="7"/>
      <c r="B209" s="7"/>
      <c r="C209" s="74"/>
      <c r="D209" s="74"/>
      <c r="F209" s="7"/>
      <c r="G209" s="74"/>
      <c r="H209" s="74"/>
      <c r="J209" s="7"/>
      <c r="K209" s="74"/>
      <c r="L209" s="74"/>
      <c r="N209" s="7"/>
      <c r="O209" s="74"/>
      <c r="P209" s="74"/>
      <c r="R209" s="7"/>
      <c r="S209" s="7"/>
      <c r="T209" s="66"/>
    </row>
    <row r="210" spans="1:20" ht="13.2">
      <c r="A210" s="7"/>
      <c r="B210" s="7"/>
      <c r="C210" s="74"/>
      <c r="D210" s="74"/>
      <c r="F210" s="7"/>
      <c r="G210" s="74"/>
      <c r="H210" s="74"/>
      <c r="J210" s="7"/>
      <c r="K210" s="74"/>
      <c r="L210" s="74"/>
      <c r="N210" s="7"/>
      <c r="O210" s="74"/>
      <c r="P210" s="74"/>
      <c r="R210" s="7"/>
      <c r="S210" s="7"/>
      <c r="T210" s="66"/>
    </row>
    <row r="211" spans="1:20" ht="13.2">
      <c r="A211" s="7"/>
      <c r="B211" s="7"/>
      <c r="C211" s="74"/>
      <c r="D211" s="74"/>
      <c r="F211" s="7"/>
      <c r="G211" s="74"/>
      <c r="H211" s="74"/>
      <c r="J211" s="7"/>
      <c r="K211" s="74"/>
      <c r="L211" s="74"/>
      <c r="N211" s="7"/>
      <c r="O211" s="74"/>
      <c r="P211" s="74"/>
      <c r="R211" s="7"/>
      <c r="S211" s="7"/>
      <c r="T211" s="66"/>
    </row>
    <row r="212" spans="1:20" ht="13.2">
      <c r="A212" s="7"/>
      <c r="B212" s="7"/>
      <c r="C212" s="74"/>
      <c r="D212" s="74"/>
      <c r="F212" s="7"/>
      <c r="G212" s="74"/>
      <c r="H212" s="74"/>
      <c r="J212" s="7"/>
      <c r="K212" s="74"/>
      <c r="L212" s="74"/>
      <c r="N212" s="7"/>
      <c r="O212" s="74"/>
      <c r="P212" s="74"/>
      <c r="R212" s="7"/>
      <c r="S212" s="7"/>
      <c r="T212" s="66"/>
    </row>
    <row r="213" spans="1:20" ht="13.2">
      <c r="A213" s="7"/>
      <c r="B213" s="7"/>
      <c r="C213" s="74"/>
      <c r="D213" s="74"/>
      <c r="F213" s="7"/>
      <c r="G213" s="74"/>
      <c r="H213" s="74"/>
      <c r="J213" s="7"/>
      <c r="K213" s="74"/>
      <c r="L213" s="74"/>
      <c r="N213" s="7"/>
      <c r="O213" s="74"/>
      <c r="P213" s="74"/>
      <c r="R213" s="7"/>
      <c r="S213" s="7"/>
      <c r="T213" s="66"/>
    </row>
    <row r="214" spans="1:20" ht="13.2">
      <c r="A214" s="7"/>
      <c r="B214" s="7"/>
      <c r="C214" s="74"/>
      <c r="D214" s="74"/>
      <c r="F214" s="7"/>
      <c r="G214" s="74"/>
      <c r="H214" s="74"/>
      <c r="J214" s="7"/>
      <c r="K214" s="74"/>
      <c r="L214" s="74"/>
      <c r="N214" s="7"/>
      <c r="O214" s="74"/>
      <c r="P214" s="74"/>
      <c r="R214" s="7"/>
      <c r="S214" s="7"/>
      <c r="T214" s="66"/>
    </row>
    <row r="215" spans="1:20" ht="13.2">
      <c r="A215" s="7"/>
      <c r="B215" s="7"/>
      <c r="C215" s="74"/>
      <c r="D215" s="74"/>
      <c r="F215" s="7"/>
      <c r="G215" s="74"/>
      <c r="H215" s="74"/>
      <c r="J215" s="7"/>
      <c r="K215" s="74"/>
      <c r="L215" s="74"/>
      <c r="N215" s="7"/>
      <c r="O215" s="74"/>
      <c r="P215" s="74"/>
      <c r="R215" s="7"/>
      <c r="S215" s="7"/>
      <c r="T215" s="66"/>
    </row>
    <row r="216" spans="1:20" ht="13.2">
      <c r="A216" s="7"/>
      <c r="B216" s="7"/>
      <c r="C216" s="74"/>
      <c r="D216" s="74"/>
      <c r="F216" s="7"/>
      <c r="G216" s="74"/>
      <c r="H216" s="74"/>
      <c r="J216" s="7"/>
      <c r="K216" s="74"/>
      <c r="L216" s="74"/>
      <c r="N216" s="7"/>
      <c r="O216" s="74"/>
      <c r="P216" s="74"/>
      <c r="R216" s="7"/>
      <c r="S216" s="7"/>
      <c r="T216" s="66"/>
    </row>
    <row r="217" spans="1:20" ht="13.2">
      <c r="A217" s="7"/>
      <c r="B217" s="7"/>
      <c r="C217" s="74"/>
      <c r="D217" s="74"/>
      <c r="F217" s="7"/>
      <c r="G217" s="74"/>
      <c r="H217" s="74"/>
      <c r="J217" s="7"/>
      <c r="K217" s="74"/>
      <c r="L217" s="74"/>
      <c r="N217" s="7"/>
      <c r="O217" s="74"/>
      <c r="P217" s="74"/>
      <c r="R217" s="7"/>
      <c r="S217" s="7"/>
      <c r="T217" s="66"/>
    </row>
    <row r="218" spans="1:20" ht="13.2">
      <c r="A218" s="7"/>
      <c r="B218" s="7"/>
      <c r="C218" s="74"/>
      <c r="D218" s="74"/>
      <c r="F218" s="7"/>
      <c r="G218" s="74"/>
      <c r="H218" s="74"/>
      <c r="J218" s="7"/>
      <c r="K218" s="74"/>
      <c r="L218" s="74"/>
      <c r="N218" s="7"/>
      <c r="O218" s="74"/>
      <c r="P218" s="74"/>
      <c r="R218" s="7"/>
      <c r="S218" s="7"/>
      <c r="T218" s="66"/>
    </row>
    <row r="219" spans="1:20" ht="13.2">
      <c r="A219" s="7"/>
      <c r="B219" s="7"/>
      <c r="C219" s="74"/>
      <c r="D219" s="74"/>
      <c r="F219" s="7"/>
      <c r="G219" s="74"/>
      <c r="H219" s="74"/>
      <c r="J219" s="7"/>
      <c r="K219" s="74"/>
      <c r="L219" s="74"/>
      <c r="N219" s="7"/>
      <c r="O219" s="74"/>
      <c r="P219" s="74"/>
      <c r="R219" s="7"/>
      <c r="S219" s="7"/>
      <c r="T219" s="66"/>
    </row>
    <row r="220" spans="1:20" ht="13.2">
      <c r="A220" s="7"/>
      <c r="B220" s="7"/>
      <c r="C220" s="74"/>
      <c r="D220" s="74"/>
      <c r="F220" s="7"/>
      <c r="G220" s="74"/>
      <c r="H220" s="74"/>
      <c r="J220" s="7"/>
      <c r="K220" s="74"/>
      <c r="L220" s="74"/>
      <c r="N220" s="7"/>
      <c r="O220" s="74"/>
      <c r="P220" s="74"/>
      <c r="R220" s="7"/>
      <c r="S220" s="7"/>
      <c r="T220" s="66"/>
    </row>
    <row r="221" spans="1:20" ht="13.2">
      <c r="A221" s="7"/>
      <c r="B221" s="7"/>
      <c r="C221" s="74"/>
      <c r="D221" s="74"/>
      <c r="F221" s="7"/>
      <c r="G221" s="74"/>
      <c r="H221" s="74"/>
      <c r="J221" s="7"/>
      <c r="K221" s="74"/>
      <c r="L221" s="74"/>
      <c r="N221" s="7"/>
      <c r="O221" s="74"/>
      <c r="P221" s="74"/>
      <c r="R221" s="7"/>
      <c r="S221" s="7"/>
      <c r="T221" s="66"/>
    </row>
    <row r="222" spans="1:20" ht="13.2">
      <c r="A222" s="7"/>
      <c r="B222" s="7"/>
      <c r="C222" s="74"/>
      <c r="D222" s="74"/>
      <c r="F222" s="7"/>
      <c r="G222" s="74"/>
      <c r="H222" s="74"/>
      <c r="J222" s="7"/>
      <c r="K222" s="74"/>
      <c r="L222" s="74"/>
      <c r="N222" s="7"/>
      <c r="O222" s="74"/>
      <c r="P222" s="74"/>
      <c r="R222" s="7"/>
      <c r="S222" s="7"/>
      <c r="T222" s="66"/>
    </row>
    <row r="223" spans="1:20" ht="13.2">
      <c r="A223" s="7"/>
      <c r="B223" s="7"/>
      <c r="C223" s="74"/>
      <c r="D223" s="74"/>
      <c r="F223" s="7"/>
      <c r="G223" s="74"/>
      <c r="H223" s="74"/>
      <c r="J223" s="7"/>
      <c r="K223" s="74"/>
      <c r="L223" s="74"/>
      <c r="N223" s="7"/>
      <c r="O223" s="74"/>
      <c r="P223" s="74"/>
      <c r="R223" s="7"/>
      <c r="S223" s="7"/>
      <c r="T223" s="66"/>
    </row>
    <row r="224" spans="1:20" ht="13.2">
      <c r="A224" s="7"/>
      <c r="B224" s="7"/>
      <c r="C224" s="74"/>
      <c r="D224" s="74"/>
      <c r="F224" s="7"/>
      <c r="G224" s="74"/>
      <c r="H224" s="74"/>
      <c r="J224" s="7"/>
      <c r="K224" s="74"/>
      <c r="L224" s="74"/>
      <c r="N224" s="7"/>
      <c r="O224" s="74"/>
      <c r="P224" s="74"/>
      <c r="R224" s="7"/>
      <c r="S224" s="7"/>
      <c r="T224" s="66"/>
    </row>
    <row r="225" spans="1:20" ht="13.2">
      <c r="A225" s="7"/>
      <c r="B225" s="7"/>
      <c r="C225" s="74"/>
      <c r="D225" s="74"/>
      <c r="F225" s="7"/>
      <c r="G225" s="74"/>
      <c r="H225" s="74"/>
      <c r="J225" s="7"/>
      <c r="K225" s="74"/>
      <c r="L225" s="74"/>
      <c r="N225" s="7"/>
      <c r="O225" s="74"/>
      <c r="P225" s="74"/>
      <c r="R225" s="7"/>
      <c r="S225" s="7"/>
      <c r="T225" s="66"/>
    </row>
    <row r="226" spans="1:20" ht="13.2">
      <c r="A226" s="7"/>
      <c r="B226" s="7"/>
      <c r="C226" s="74"/>
      <c r="D226" s="74"/>
      <c r="F226" s="7"/>
      <c r="G226" s="74"/>
      <c r="H226" s="74"/>
      <c r="J226" s="7"/>
      <c r="K226" s="74"/>
      <c r="L226" s="74"/>
      <c r="N226" s="7"/>
      <c r="O226" s="74"/>
      <c r="P226" s="74"/>
      <c r="R226" s="7"/>
      <c r="S226" s="7"/>
      <c r="T226" s="66"/>
    </row>
    <row r="227" spans="1:20" ht="13.2">
      <c r="A227" s="7"/>
      <c r="B227" s="7"/>
      <c r="C227" s="74"/>
      <c r="D227" s="74"/>
      <c r="F227" s="7"/>
      <c r="G227" s="74"/>
      <c r="H227" s="74"/>
      <c r="J227" s="7"/>
      <c r="K227" s="74"/>
      <c r="L227" s="74"/>
      <c r="N227" s="7"/>
      <c r="O227" s="74"/>
      <c r="P227" s="74"/>
      <c r="R227" s="7"/>
      <c r="S227" s="7"/>
      <c r="T227" s="66"/>
    </row>
    <row r="228" spans="1:20" ht="13.2">
      <c r="A228" s="7"/>
      <c r="B228" s="7"/>
      <c r="C228" s="74"/>
      <c r="D228" s="74"/>
      <c r="F228" s="7"/>
      <c r="G228" s="74"/>
      <c r="H228" s="74"/>
      <c r="J228" s="7"/>
      <c r="K228" s="74"/>
      <c r="L228" s="74"/>
      <c r="N228" s="7"/>
      <c r="O228" s="74"/>
      <c r="P228" s="74"/>
      <c r="R228" s="7"/>
      <c r="S228" s="7"/>
      <c r="T228" s="66"/>
    </row>
    <row r="229" spans="1:20" ht="13.2">
      <c r="A229" s="7"/>
      <c r="B229" s="7"/>
      <c r="C229" s="74"/>
      <c r="D229" s="74"/>
      <c r="F229" s="7"/>
      <c r="G229" s="74"/>
      <c r="H229" s="74"/>
      <c r="J229" s="7"/>
      <c r="K229" s="74"/>
      <c r="L229" s="74"/>
      <c r="N229" s="7"/>
      <c r="O229" s="74"/>
      <c r="P229" s="74"/>
      <c r="R229" s="7"/>
      <c r="S229" s="7"/>
      <c r="T229" s="66"/>
    </row>
    <row r="230" spans="1:20" ht="13.2">
      <c r="A230" s="7"/>
      <c r="B230" s="7"/>
      <c r="C230" s="74"/>
      <c r="D230" s="74"/>
      <c r="F230" s="7"/>
      <c r="G230" s="74"/>
      <c r="H230" s="74"/>
      <c r="J230" s="7"/>
      <c r="K230" s="74"/>
      <c r="L230" s="74"/>
      <c r="N230" s="7"/>
      <c r="O230" s="74"/>
      <c r="P230" s="74"/>
      <c r="R230" s="7"/>
      <c r="S230" s="7"/>
      <c r="T230" s="66"/>
    </row>
    <row r="231" spans="1:20" ht="13.2">
      <c r="A231" s="7"/>
      <c r="B231" s="7"/>
      <c r="C231" s="74"/>
      <c r="D231" s="74"/>
      <c r="F231" s="7"/>
      <c r="G231" s="74"/>
      <c r="H231" s="74"/>
      <c r="J231" s="7"/>
      <c r="K231" s="74"/>
      <c r="L231" s="74"/>
      <c r="N231" s="7"/>
      <c r="O231" s="74"/>
      <c r="P231" s="74"/>
      <c r="R231" s="7"/>
      <c r="S231" s="7"/>
      <c r="T231" s="66"/>
    </row>
    <row r="232" spans="1:20" ht="13.2">
      <c r="A232" s="7"/>
      <c r="B232" s="7"/>
      <c r="C232" s="74"/>
      <c r="D232" s="74"/>
      <c r="F232" s="7"/>
      <c r="G232" s="74"/>
      <c r="H232" s="74"/>
      <c r="J232" s="7"/>
      <c r="K232" s="74"/>
      <c r="L232" s="74"/>
      <c r="N232" s="7"/>
      <c r="O232" s="74"/>
      <c r="P232" s="74"/>
      <c r="R232" s="7"/>
      <c r="S232" s="7"/>
      <c r="T232" s="66"/>
    </row>
    <row r="233" spans="1:20" ht="13.2">
      <c r="A233" s="7"/>
      <c r="B233" s="7"/>
      <c r="C233" s="74"/>
      <c r="D233" s="74"/>
      <c r="F233" s="7"/>
      <c r="G233" s="74"/>
      <c r="H233" s="74"/>
      <c r="J233" s="7"/>
      <c r="K233" s="74"/>
      <c r="L233" s="74"/>
      <c r="N233" s="7"/>
      <c r="O233" s="74"/>
      <c r="P233" s="74"/>
      <c r="R233" s="7"/>
      <c r="S233" s="7"/>
      <c r="T233" s="66"/>
    </row>
    <row r="234" spans="1:20" ht="13.2">
      <c r="A234" s="7"/>
      <c r="B234" s="7"/>
      <c r="C234" s="74"/>
      <c r="D234" s="74"/>
      <c r="F234" s="7"/>
      <c r="G234" s="74"/>
      <c r="H234" s="74"/>
      <c r="J234" s="7"/>
      <c r="K234" s="74"/>
      <c r="L234" s="74"/>
      <c r="N234" s="7"/>
      <c r="O234" s="74"/>
      <c r="P234" s="74"/>
      <c r="R234" s="7"/>
      <c r="S234" s="7"/>
      <c r="T234" s="66"/>
    </row>
    <row r="235" spans="1:20" ht="13.2">
      <c r="A235" s="7"/>
      <c r="B235" s="7"/>
      <c r="C235" s="74"/>
      <c r="D235" s="74"/>
      <c r="F235" s="7"/>
      <c r="G235" s="74"/>
      <c r="H235" s="74"/>
      <c r="J235" s="7"/>
      <c r="K235" s="74"/>
      <c r="L235" s="74"/>
      <c r="N235" s="7"/>
      <c r="O235" s="74"/>
      <c r="P235" s="74"/>
      <c r="R235" s="7"/>
      <c r="S235" s="7"/>
      <c r="T235" s="66"/>
    </row>
    <row r="236" spans="1:20" ht="13.2">
      <c r="A236" s="7"/>
      <c r="B236" s="7"/>
      <c r="C236" s="74"/>
      <c r="D236" s="74"/>
      <c r="F236" s="7"/>
      <c r="G236" s="74"/>
      <c r="H236" s="74"/>
      <c r="J236" s="7"/>
      <c r="K236" s="74"/>
      <c r="L236" s="74"/>
      <c r="N236" s="7"/>
      <c r="O236" s="74"/>
      <c r="P236" s="74"/>
      <c r="R236" s="7"/>
      <c r="S236" s="7"/>
      <c r="T236" s="66"/>
    </row>
    <row r="237" spans="1:20" ht="13.2">
      <c r="A237" s="7"/>
      <c r="B237" s="7"/>
      <c r="C237" s="74"/>
      <c r="D237" s="74"/>
      <c r="F237" s="7"/>
      <c r="G237" s="74"/>
      <c r="H237" s="74"/>
      <c r="J237" s="7"/>
      <c r="K237" s="74"/>
      <c r="L237" s="74"/>
      <c r="N237" s="7"/>
      <c r="O237" s="74"/>
      <c r="P237" s="74"/>
      <c r="R237" s="7"/>
      <c r="S237" s="7"/>
      <c r="T237" s="66"/>
    </row>
    <row r="238" spans="1:20" ht="13.2">
      <c r="A238" s="7"/>
      <c r="B238" s="7"/>
      <c r="C238" s="74"/>
      <c r="D238" s="74"/>
      <c r="F238" s="7"/>
      <c r="G238" s="74"/>
      <c r="H238" s="74"/>
      <c r="J238" s="7"/>
      <c r="K238" s="74"/>
      <c r="L238" s="74"/>
      <c r="N238" s="7"/>
      <c r="O238" s="74"/>
      <c r="P238" s="74"/>
      <c r="R238" s="7"/>
      <c r="S238" s="7"/>
      <c r="T238" s="66"/>
    </row>
    <row r="239" spans="1:20" ht="13.2">
      <c r="A239" s="7"/>
      <c r="B239" s="7"/>
      <c r="C239" s="74"/>
      <c r="D239" s="74"/>
      <c r="F239" s="7"/>
      <c r="G239" s="74"/>
      <c r="H239" s="74"/>
      <c r="J239" s="7"/>
      <c r="K239" s="74"/>
      <c r="L239" s="74"/>
      <c r="N239" s="7"/>
      <c r="O239" s="74"/>
      <c r="P239" s="74"/>
      <c r="R239" s="7"/>
      <c r="S239" s="7"/>
      <c r="T239" s="66"/>
    </row>
    <row r="240" spans="1:20" ht="13.2">
      <c r="A240" s="7"/>
      <c r="B240" s="7"/>
      <c r="C240" s="74"/>
      <c r="D240" s="74"/>
      <c r="F240" s="7"/>
      <c r="G240" s="74"/>
      <c r="H240" s="74"/>
      <c r="J240" s="7"/>
      <c r="K240" s="74"/>
      <c r="L240" s="74"/>
      <c r="N240" s="7"/>
      <c r="O240" s="74"/>
      <c r="P240" s="74"/>
      <c r="R240" s="7"/>
      <c r="S240" s="7"/>
      <c r="T240" s="66"/>
    </row>
    <row r="241" spans="1:20" ht="13.2">
      <c r="A241" s="7"/>
      <c r="B241" s="7"/>
      <c r="C241" s="74"/>
      <c r="D241" s="74"/>
      <c r="F241" s="7"/>
      <c r="G241" s="74"/>
      <c r="H241" s="74"/>
      <c r="J241" s="7"/>
      <c r="K241" s="74"/>
      <c r="L241" s="74"/>
      <c r="N241" s="7"/>
      <c r="O241" s="74"/>
      <c r="P241" s="74"/>
      <c r="R241" s="7"/>
      <c r="S241" s="7"/>
      <c r="T241" s="66"/>
    </row>
    <row r="242" spans="1:20" ht="13.2">
      <c r="A242" s="7"/>
      <c r="B242" s="7"/>
      <c r="C242" s="74"/>
      <c r="D242" s="74"/>
      <c r="F242" s="7"/>
      <c r="G242" s="74"/>
      <c r="H242" s="74"/>
      <c r="J242" s="7"/>
      <c r="K242" s="74"/>
      <c r="L242" s="74"/>
      <c r="N242" s="7"/>
      <c r="O242" s="74"/>
      <c r="P242" s="74"/>
      <c r="R242" s="7"/>
      <c r="S242" s="7"/>
      <c r="T242" s="66"/>
    </row>
    <row r="243" spans="1:20" ht="13.2">
      <c r="A243" s="7"/>
      <c r="B243" s="7"/>
      <c r="C243" s="74"/>
      <c r="D243" s="74"/>
      <c r="F243" s="7"/>
      <c r="G243" s="74"/>
      <c r="H243" s="74"/>
      <c r="J243" s="7"/>
      <c r="K243" s="74"/>
      <c r="L243" s="74"/>
      <c r="N243" s="7"/>
      <c r="O243" s="74"/>
      <c r="P243" s="74"/>
      <c r="R243" s="7"/>
      <c r="S243" s="7"/>
      <c r="T243" s="66"/>
    </row>
    <row r="244" spans="1:20" ht="13.2">
      <c r="A244" s="7"/>
      <c r="B244" s="7"/>
      <c r="C244" s="74"/>
      <c r="D244" s="74"/>
      <c r="F244" s="7"/>
      <c r="G244" s="74"/>
      <c r="H244" s="74"/>
      <c r="J244" s="7"/>
      <c r="K244" s="74"/>
      <c r="L244" s="74"/>
      <c r="N244" s="7"/>
      <c r="O244" s="74"/>
      <c r="P244" s="74"/>
      <c r="R244" s="7"/>
      <c r="S244" s="7"/>
      <c r="T244" s="66"/>
    </row>
    <row r="245" spans="1:20" ht="13.2">
      <c r="A245" s="7"/>
      <c r="B245" s="7"/>
      <c r="C245" s="74"/>
      <c r="D245" s="74"/>
      <c r="F245" s="7"/>
      <c r="G245" s="74"/>
      <c r="H245" s="74"/>
      <c r="J245" s="7"/>
      <c r="K245" s="74"/>
      <c r="L245" s="74"/>
      <c r="N245" s="7"/>
      <c r="O245" s="74"/>
      <c r="P245" s="74"/>
      <c r="R245" s="7"/>
      <c r="S245" s="7"/>
      <c r="T245" s="66"/>
    </row>
    <row r="246" spans="1:20" ht="13.2">
      <c r="A246" s="7"/>
      <c r="B246" s="7"/>
      <c r="C246" s="74"/>
      <c r="D246" s="74"/>
      <c r="F246" s="7"/>
      <c r="G246" s="74"/>
      <c r="H246" s="74"/>
      <c r="J246" s="7"/>
      <c r="K246" s="74"/>
      <c r="L246" s="74"/>
      <c r="N246" s="7"/>
      <c r="O246" s="74"/>
      <c r="P246" s="74"/>
      <c r="R246" s="7"/>
      <c r="S246" s="7"/>
      <c r="T246" s="66"/>
    </row>
    <row r="247" spans="1:20" ht="13.2">
      <c r="A247" s="7"/>
      <c r="B247" s="7"/>
      <c r="C247" s="74"/>
      <c r="D247" s="74"/>
      <c r="F247" s="7"/>
      <c r="G247" s="74"/>
      <c r="H247" s="74"/>
      <c r="J247" s="7"/>
      <c r="K247" s="74"/>
      <c r="L247" s="74"/>
      <c r="N247" s="7"/>
      <c r="O247" s="74"/>
      <c r="P247" s="74"/>
      <c r="R247" s="7"/>
      <c r="S247" s="7"/>
      <c r="T247" s="66"/>
    </row>
    <row r="248" spans="1:20" ht="13.2">
      <c r="A248" s="7"/>
      <c r="B248" s="7"/>
      <c r="C248" s="74"/>
      <c r="D248" s="74"/>
      <c r="F248" s="7"/>
      <c r="G248" s="74"/>
      <c r="H248" s="74"/>
      <c r="J248" s="7"/>
      <c r="K248" s="74"/>
      <c r="L248" s="74"/>
      <c r="N248" s="7"/>
      <c r="O248" s="74"/>
      <c r="P248" s="74"/>
      <c r="R248" s="7"/>
      <c r="S248" s="7"/>
      <c r="T248" s="66"/>
    </row>
    <row r="249" spans="1:20" ht="13.2">
      <c r="A249" s="7"/>
      <c r="B249" s="7"/>
      <c r="C249" s="74"/>
      <c r="D249" s="74"/>
      <c r="F249" s="7"/>
      <c r="G249" s="74"/>
      <c r="H249" s="74"/>
      <c r="J249" s="7"/>
      <c r="K249" s="74"/>
      <c r="L249" s="74"/>
      <c r="N249" s="7"/>
      <c r="O249" s="74"/>
      <c r="P249" s="74"/>
      <c r="R249" s="7"/>
      <c r="S249" s="7"/>
      <c r="T249" s="66"/>
    </row>
    <row r="250" spans="1:20" ht="13.2">
      <c r="A250" s="7"/>
      <c r="B250" s="7"/>
      <c r="C250" s="74"/>
      <c r="D250" s="74"/>
      <c r="F250" s="7"/>
      <c r="G250" s="74"/>
      <c r="H250" s="74"/>
      <c r="J250" s="7"/>
      <c r="K250" s="74"/>
      <c r="L250" s="74"/>
      <c r="N250" s="7"/>
      <c r="O250" s="74"/>
      <c r="P250" s="74"/>
      <c r="R250" s="7"/>
      <c r="S250" s="7"/>
      <c r="T250" s="66"/>
    </row>
    <row r="251" spans="1:20" ht="13.2">
      <c r="A251" s="7"/>
      <c r="B251" s="7"/>
      <c r="C251" s="74"/>
      <c r="D251" s="74"/>
      <c r="F251" s="7"/>
      <c r="G251" s="74"/>
      <c r="H251" s="74"/>
      <c r="J251" s="7"/>
      <c r="K251" s="74"/>
      <c r="L251" s="74"/>
      <c r="N251" s="7"/>
      <c r="O251" s="74"/>
      <c r="P251" s="74"/>
      <c r="R251" s="7"/>
      <c r="S251" s="7"/>
      <c r="T251" s="66"/>
    </row>
    <row r="252" spans="1:20" ht="13.2">
      <c r="A252" s="7"/>
      <c r="B252" s="7"/>
      <c r="C252" s="74"/>
      <c r="D252" s="74"/>
      <c r="F252" s="7"/>
      <c r="G252" s="74"/>
      <c r="H252" s="74"/>
      <c r="J252" s="7"/>
      <c r="K252" s="74"/>
      <c r="L252" s="74"/>
      <c r="N252" s="7"/>
      <c r="O252" s="74"/>
      <c r="P252" s="74"/>
      <c r="R252" s="7"/>
      <c r="S252" s="7"/>
      <c r="T252" s="66"/>
    </row>
    <row r="253" spans="1:20" ht="13.2">
      <c r="A253" s="7"/>
      <c r="B253" s="7"/>
      <c r="C253" s="74"/>
      <c r="D253" s="74"/>
      <c r="F253" s="7"/>
      <c r="G253" s="74"/>
      <c r="H253" s="74"/>
      <c r="J253" s="7"/>
      <c r="K253" s="74"/>
      <c r="L253" s="74"/>
      <c r="N253" s="7"/>
      <c r="O253" s="74"/>
      <c r="P253" s="74"/>
      <c r="R253" s="7"/>
      <c r="S253" s="7"/>
      <c r="T253" s="66"/>
    </row>
    <row r="254" spans="1:20" ht="13.2">
      <c r="A254" s="7"/>
      <c r="B254" s="7"/>
      <c r="C254" s="74"/>
      <c r="D254" s="74"/>
      <c r="F254" s="7"/>
      <c r="G254" s="74"/>
      <c r="H254" s="74"/>
      <c r="J254" s="7"/>
      <c r="K254" s="74"/>
      <c r="L254" s="74"/>
      <c r="N254" s="7"/>
      <c r="O254" s="74"/>
      <c r="P254" s="74"/>
      <c r="R254" s="7"/>
      <c r="S254" s="7"/>
      <c r="T254" s="66"/>
    </row>
    <row r="255" spans="1:20" ht="13.2">
      <c r="A255" s="7"/>
      <c r="B255" s="7"/>
      <c r="C255" s="74"/>
      <c r="D255" s="74"/>
      <c r="F255" s="7"/>
      <c r="G255" s="74"/>
      <c r="H255" s="74"/>
      <c r="J255" s="7"/>
      <c r="K255" s="74"/>
      <c r="L255" s="74"/>
      <c r="N255" s="7"/>
      <c r="O255" s="74"/>
      <c r="P255" s="74"/>
      <c r="R255" s="7"/>
      <c r="S255" s="7"/>
      <c r="T255" s="66"/>
    </row>
    <row r="256" spans="1:20" ht="13.2">
      <c r="A256" s="7"/>
      <c r="B256" s="7"/>
      <c r="C256" s="74"/>
      <c r="D256" s="74"/>
      <c r="F256" s="7"/>
      <c r="G256" s="74"/>
      <c r="H256" s="74"/>
      <c r="J256" s="7"/>
      <c r="K256" s="74"/>
      <c r="L256" s="74"/>
      <c r="N256" s="7"/>
      <c r="O256" s="74"/>
      <c r="P256" s="74"/>
      <c r="R256" s="7"/>
      <c r="S256" s="7"/>
      <c r="T256" s="66"/>
    </row>
    <row r="257" spans="1:20" ht="13.2">
      <c r="A257" s="7"/>
      <c r="B257" s="7"/>
      <c r="C257" s="74"/>
      <c r="D257" s="74"/>
      <c r="F257" s="7"/>
      <c r="G257" s="74"/>
      <c r="H257" s="74"/>
      <c r="J257" s="7"/>
      <c r="K257" s="74"/>
      <c r="L257" s="74"/>
      <c r="N257" s="7"/>
      <c r="O257" s="74"/>
      <c r="P257" s="74"/>
      <c r="R257" s="7"/>
      <c r="S257" s="7"/>
      <c r="T257" s="66"/>
    </row>
    <row r="258" spans="1:20" ht="13.2">
      <c r="A258" s="7"/>
      <c r="B258" s="7"/>
      <c r="C258" s="74"/>
      <c r="D258" s="74"/>
      <c r="F258" s="7"/>
      <c r="G258" s="74"/>
      <c r="H258" s="74"/>
      <c r="J258" s="7"/>
      <c r="K258" s="74"/>
      <c r="L258" s="74"/>
      <c r="N258" s="7"/>
      <c r="O258" s="74"/>
      <c r="P258" s="74"/>
      <c r="R258" s="7"/>
      <c r="S258" s="7"/>
      <c r="T258" s="66"/>
    </row>
    <row r="259" spans="1:20" ht="13.2">
      <c r="A259" s="7"/>
      <c r="B259" s="7"/>
      <c r="C259" s="74"/>
      <c r="D259" s="74"/>
      <c r="F259" s="7"/>
      <c r="G259" s="74"/>
      <c r="H259" s="74"/>
      <c r="J259" s="7"/>
      <c r="K259" s="74"/>
      <c r="L259" s="74"/>
      <c r="N259" s="7"/>
      <c r="O259" s="74"/>
      <c r="P259" s="74"/>
      <c r="R259" s="7"/>
      <c r="S259" s="7"/>
      <c r="T259" s="66"/>
    </row>
    <row r="260" spans="1:20" ht="13.2">
      <c r="A260" s="7"/>
      <c r="B260" s="7"/>
      <c r="C260" s="74"/>
      <c r="D260" s="74"/>
      <c r="F260" s="7"/>
      <c r="G260" s="74"/>
      <c r="H260" s="74"/>
      <c r="J260" s="7"/>
      <c r="K260" s="74"/>
      <c r="L260" s="74"/>
      <c r="N260" s="7"/>
      <c r="O260" s="74"/>
      <c r="P260" s="74"/>
      <c r="R260" s="7"/>
      <c r="S260" s="7"/>
      <c r="T260" s="66"/>
    </row>
    <row r="261" spans="1:20" ht="13.2">
      <c r="A261" s="7"/>
      <c r="B261" s="7"/>
      <c r="C261" s="74"/>
      <c r="D261" s="74"/>
      <c r="F261" s="7"/>
      <c r="G261" s="74"/>
      <c r="H261" s="74"/>
      <c r="J261" s="7"/>
      <c r="K261" s="74"/>
      <c r="L261" s="74"/>
      <c r="N261" s="7"/>
      <c r="O261" s="74"/>
      <c r="P261" s="74"/>
      <c r="R261" s="7"/>
      <c r="S261" s="7"/>
      <c r="T261" s="66"/>
    </row>
    <row r="262" spans="1:20" ht="13.2">
      <c r="A262" s="7"/>
      <c r="B262" s="7"/>
      <c r="C262" s="74"/>
      <c r="D262" s="74"/>
      <c r="F262" s="7"/>
      <c r="G262" s="74"/>
      <c r="H262" s="74"/>
      <c r="J262" s="7"/>
      <c r="K262" s="74"/>
      <c r="L262" s="74"/>
      <c r="N262" s="7"/>
      <c r="O262" s="74"/>
      <c r="P262" s="74"/>
      <c r="R262" s="7"/>
      <c r="S262" s="7"/>
      <c r="T262" s="66"/>
    </row>
    <row r="263" spans="1:20" ht="13.2">
      <c r="A263" s="7"/>
      <c r="B263" s="7"/>
      <c r="C263" s="74"/>
      <c r="D263" s="74"/>
      <c r="F263" s="7"/>
      <c r="G263" s="74"/>
      <c r="H263" s="74"/>
      <c r="J263" s="7"/>
      <c r="K263" s="74"/>
      <c r="L263" s="74"/>
      <c r="N263" s="7"/>
      <c r="O263" s="74"/>
      <c r="P263" s="74"/>
      <c r="R263" s="7"/>
      <c r="S263" s="7"/>
      <c r="T263" s="66"/>
    </row>
    <row r="264" spans="1:20" ht="13.2">
      <c r="A264" s="7"/>
      <c r="B264" s="7"/>
      <c r="C264" s="74"/>
      <c r="D264" s="74"/>
      <c r="F264" s="7"/>
      <c r="G264" s="74"/>
      <c r="H264" s="74"/>
      <c r="J264" s="7"/>
      <c r="K264" s="74"/>
      <c r="L264" s="74"/>
      <c r="N264" s="7"/>
      <c r="O264" s="74"/>
      <c r="P264" s="74"/>
      <c r="R264" s="7"/>
      <c r="S264" s="7"/>
      <c r="T264" s="66"/>
    </row>
    <row r="265" spans="1:20" ht="13.2">
      <c r="A265" s="7"/>
      <c r="B265" s="7"/>
      <c r="C265" s="74"/>
      <c r="D265" s="74"/>
      <c r="F265" s="7"/>
      <c r="G265" s="74"/>
      <c r="H265" s="74"/>
      <c r="J265" s="7"/>
      <c r="K265" s="74"/>
      <c r="L265" s="74"/>
      <c r="N265" s="7"/>
      <c r="O265" s="74"/>
      <c r="P265" s="74"/>
      <c r="R265" s="7"/>
      <c r="S265" s="7"/>
      <c r="T265" s="66"/>
    </row>
    <row r="266" spans="1:20" ht="13.2">
      <c r="A266" s="7"/>
      <c r="B266" s="7"/>
      <c r="C266" s="74"/>
      <c r="D266" s="74"/>
      <c r="F266" s="7"/>
      <c r="G266" s="74"/>
      <c r="H266" s="74"/>
      <c r="J266" s="7"/>
      <c r="K266" s="74"/>
      <c r="L266" s="74"/>
      <c r="N266" s="7"/>
      <c r="O266" s="74"/>
      <c r="P266" s="74"/>
      <c r="R266" s="7"/>
      <c r="S266" s="7"/>
      <c r="T266" s="66"/>
    </row>
    <row r="267" spans="1:20" ht="13.2">
      <c r="A267" s="7"/>
      <c r="B267" s="7"/>
      <c r="C267" s="74"/>
      <c r="D267" s="74"/>
      <c r="F267" s="7"/>
      <c r="G267" s="74"/>
      <c r="H267" s="74"/>
      <c r="J267" s="7"/>
      <c r="K267" s="74"/>
      <c r="L267" s="74"/>
      <c r="N267" s="7"/>
      <c r="O267" s="74"/>
      <c r="P267" s="74"/>
      <c r="R267" s="7"/>
      <c r="S267" s="7"/>
      <c r="T267" s="66"/>
    </row>
    <row r="268" spans="1:20" ht="13.2">
      <c r="A268" s="7"/>
      <c r="B268" s="7"/>
      <c r="C268" s="74"/>
      <c r="D268" s="74"/>
      <c r="F268" s="7"/>
      <c r="G268" s="74"/>
      <c r="H268" s="74"/>
      <c r="J268" s="7"/>
      <c r="K268" s="74"/>
      <c r="L268" s="74"/>
      <c r="N268" s="7"/>
      <c r="O268" s="74"/>
      <c r="P268" s="74"/>
      <c r="R268" s="7"/>
      <c r="S268" s="7"/>
      <c r="T268" s="66"/>
    </row>
    <row r="269" spans="1:20" ht="13.2">
      <c r="A269" s="7"/>
      <c r="B269" s="7"/>
      <c r="C269" s="74"/>
      <c r="D269" s="74"/>
      <c r="F269" s="7"/>
      <c r="G269" s="74"/>
      <c r="H269" s="74"/>
      <c r="J269" s="7"/>
      <c r="K269" s="74"/>
      <c r="L269" s="74"/>
      <c r="N269" s="7"/>
      <c r="O269" s="74"/>
      <c r="P269" s="74"/>
      <c r="R269" s="7"/>
      <c r="S269" s="7"/>
      <c r="T269" s="66"/>
    </row>
    <row r="270" spans="1:20" ht="13.2">
      <c r="A270" s="7"/>
      <c r="B270" s="7"/>
      <c r="C270" s="74"/>
      <c r="D270" s="74"/>
      <c r="F270" s="7"/>
      <c r="G270" s="74"/>
      <c r="H270" s="74"/>
      <c r="J270" s="7"/>
      <c r="K270" s="74"/>
      <c r="L270" s="74"/>
      <c r="N270" s="7"/>
      <c r="O270" s="74"/>
      <c r="P270" s="74"/>
      <c r="R270" s="7"/>
      <c r="S270" s="7"/>
      <c r="T270" s="66"/>
    </row>
    <row r="271" spans="1:20" ht="13.2">
      <c r="A271" s="7"/>
      <c r="B271" s="7"/>
      <c r="C271" s="74"/>
      <c r="D271" s="74"/>
      <c r="F271" s="7"/>
      <c r="G271" s="74"/>
      <c r="H271" s="74"/>
      <c r="J271" s="7"/>
      <c r="K271" s="74"/>
      <c r="L271" s="74"/>
      <c r="N271" s="7"/>
      <c r="O271" s="74"/>
      <c r="P271" s="74"/>
      <c r="R271" s="7"/>
      <c r="S271" s="7"/>
      <c r="T271" s="66"/>
    </row>
    <row r="272" spans="1:20" ht="13.2">
      <c r="A272" s="7"/>
      <c r="B272" s="7"/>
      <c r="C272" s="74"/>
      <c r="D272" s="74"/>
      <c r="F272" s="7"/>
      <c r="G272" s="74"/>
      <c r="H272" s="74"/>
      <c r="J272" s="7"/>
      <c r="K272" s="74"/>
      <c r="L272" s="74"/>
      <c r="N272" s="7"/>
      <c r="O272" s="74"/>
      <c r="P272" s="74"/>
      <c r="R272" s="7"/>
      <c r="S272" s="7"/>
      <c r="T272" s="66"/>
    </row>
    <row r="273" spans="1:20" ht="13.2">
      <c r="A273" s="7"/>
      <c r="B273" s="7"/>
      <c r="C273" s="74"/>
      <c r="D273" s="74"/>
      <c r="F273" s="7"/>
      <c r="G273" s="74"/>
      <c r="H273" s="74"/>
      <c r="J273" s="7"/>
      <c r="K273" s="74"/>
      <c r="L273" s="74"/>
      <c r="N273" s="7"/>
      <c r="O273" s="74"/>
      <c r="P273" s="74"/>
      <c r="R273" s="7"/>
      <c r="S273" s="7"/>
      <c r="T273" s="66"/>
    </row>
    <row r="274" spans="1:20" ht="13.2">
      <c r="A274" s="7"/>
      <c r="B274" s="7"/>
      <c r="C274" s="74"/>
      <c r="D274" s="74"/>
      <c r="F274" s="7"/>
      <c r="G274" s="74"/>
      <c r="H274" s="74"/>
      <c r="J274" s="7"/>
      <c r="K274" s="74"/>
      <c r="L274" s="74"/>
      <c r="N274" s="7"/>
      <c r="O274" s="74"/>
      <c r="P274" s="74"/>
      <c r="R274" s="7"/>
      <c r="S274" s="7"/>
      <c r="T274" s="66"/>
    </row>
    <row r="275" spans="1:20" ht="13.2">
      <c r="A275" s="7"/>
      <c r="B275" s="7"/>
      <c r="C275" s="74"/>
      <c r="D275" s="74"/>
      <c r="F275" s="7"/>
      <c r="G275" s="74"/>
      <c r="H275" s="74"/>
      <c r="J275" s="7"/>
      <c r="K275" s="74"/>
      <c r="L275" s="74"/>
      <c r="N275" s="7"/>
      <c r="O275" s="74"/>
      <c r="P275" s="74"/>
      <c r="R275" s="7"/>
      <c r="S275" s="7"/>
      <c r="T275" s="66"/>
    </row>
    <row r="276" spans="1:20" ht="13.2">
      <c r="A276" s="7"/>
      <c r="B276" s="7"/>
      <c r="C276" s="74"/>
      <c r="D276" s="74"/>
      <c r="F276" s="7"/>
      <c r="G276" s="74"/>
      <c r="H276" s="74"/>
      <c r="J276" s="7"/>
      <c r="K276" s="74"/>
      <c r="L276" s="74"/>
      <c r="N276" s="7"/>
      <c r="O276" s="74"/>
      <c r="P276" s="74"/>
      <c r="R276" s="7"/>
      <c r="S276" s="7"/>
      <c r="T276" s="66"/>
    </row>
    <row r="277" spans="1:20" ht="13.2">
      <c r="A277" s="7"/>
      <c r="B277" s="7"/>
      <c r="C277" s="74"/>
      <c r="D277" s="74"/>
      <c r="F277" s="7"/>
      <c r="G277" s="74"/>
      <c r="H277" s="74"/>
      <c r="J277" s="7"/>
      <c r="K277" s="74"/>
      <c r="L277" s="74"/>
      <c r="N277" s="7"/>
      <c r="O277" s="74"/>
      <c r="P277" s="74"/>
      <c r="R277" s="7"/>
      <c r="S277" s="7"/>
      <c r="T277" s="66"/>
    </row>
    <row r="278" spans="1:20" ht="13.2">
      <c r="A278" s="7"/>
      <c r="B278" s="7"/>
      <c r="C278" s="74"/>
      <c r="D278" s="74"/>
      <c r="F278" s="7"/>
      <c r="G278" s="74"/>
      <c r="H278" s="74"/>
      <c r="J278" s="7"/>
      <c r="K278" s="74"/>
      <c r="L278" s="74"/>
      <c r="N278" s="7"/>
      <c r="O278" s="74"/>
      <c r="P278" s="74"/>
      <c r="R278" s="7"/>
      <c r="S278" s="7"/>
      <c r="T278" s="66"/>
    </row>
    <row r="279" spans="1:20" ht="13.2">
      <c r="A279" s="7"/>
      <c r="B279" s="7"/>
      <c r="C279" s="74"/>
      <c r="D279" s="74"/>
      <c r="F279" s="7"/>
      <c r="G279" s="74"/>
      <c r="H279" s="74"/>
      <c r="J279" s="7"/>
      <c r="K279" s="74"/>
      <c r="L279" s="74"/>
      <c r="N279" s="7"/>
      <c r="O279" s="74"/>
      <c r="P279" s="74"/>
      <c r="R279" s="7"/>
      <c r="S279" s="7"/>
      <c r="T279" s="66"/>
    </row>
    <row r="280" spans="1:20" ht="13.2">
      <c r="A280" s="7"/>
      <c r="B280" s="7"/>
      <c r="C280" s="74"/>
      <c r="D280" s="74"/>
      <c r="F280" s="7"/>
      <c r="G280" s="74"/>
      <c r="H280" s="74"/>
      <c r="J280" s="7"/>
      <c r="K280" s="74"/>
      <c r="L280" s="74"/>
      <c r="N280" s="7"/>
      <c r="O280" s="74"/>
      <c r="P280" s="74"/>
      <c r="R280" s="7"/>
      <c r="S280" s="7"/>
      <c r="T280" s="66"/>
    </row>
    <row r="281" spans="1:20" ht="13.2">
      <c r="A281" s="7"/>
      <c r="B281" s="7"/>
      <c r="C281" s="74"/>
      <c r="D281" s="74"/>
      <c r="F281" s="7"/>
      <c r="G281" s="74"/>
      <c r="H281" s="74"/>
      <c r="J281" s="7"/>
      <c r="K281" s="74"/>
      <c r="L281" s="74"/>
      <c r="N281" s="7"/>
      <c r="O281" s="74"/>
      <c r="P281" s="74"/>
      <c r="R281" s="7"/>
      <c r="S281" s="7"/>
      <c r="T281" s="66"/>
    </row>
    <row r="282" spans="1:20" ht="13.2">
      <c r="A282" s="7"/>
      <c r="B282" s="7"/>
      <c r="C282" s="74"/>
      <c r="D282" s="74"/>
      <c r="F282" s="7"/>
      <c r="G282" s="74"/>
      <c r="H282" s="74"/>
      <c r="J282" s="7"/>
      <c r="K282" s="74"/>
      <c r="L282" s="74"/>
      <c r="N282" s="7"/>
      <c r="O282" s="74"/>
      <c r="P282" s="74"/>
      <c r="R282" s="7"/>
      <c r="S282" s="7"/>
      <c r="T282" s="66"/>
    </row>
    <row r="283" spans="1:20" ht="13.2">
      <c r="A283" s="7"/>
      <c r="B283" s="7"/>
      <c r="C283" s="74"/>
      <c r="D283" s="74"/>
      <c r="F283" s="7"/>
      <c r="G283" s="74"/>
      <c r="H283" s="74"/>
      <c r="J283" s="7"/>
      <c r="K283" s="74"/>
      <c r="L283" s="74"/>
      <c r="N283" s="7"/>
      <c r="O283" s="74"/>
      <c r="P283" s="74"/>
      <c r="R283" s="7"/>
      <c r="S283" s="7"/>
      <c r="T283" s="66"/>
    </row>
    <row r="284" spans="1:20" ht="13.2">
      <c r="A284" s="7"/>
      <c r="B284" s="7"/>
      <c r="C284" s="74"/>
      <c r="D284" s="74"/>
      <c r="F284" s="7"/>
      <c r="G284" s="74"/>
      <c r="H284" s="74"/>
      <c r="J284" s="7"/>
      <c r="K284" s="74"/>
      <c r="L284" s="74"/>
      <c r="N284" s="7"/>
      <c r="O284" s="74"/>
      <c r="P284" s="74"/>
      <c r="R284" s="7"/>
      <c r="S284" s="7"/>
      <c r="T284" s="66"/>
    </row>
    <row r="285" spans="1:20" ht="13.2">
      <c r="A285" s="7"/>
      <c r="B285" s="7"/>
      <c r="C285" s="74"/>
      <c r="D285" s="74"/>
      <c r="F285" s="7"/>
      <c r="G285" s="74"/>
      <c r="H285" s="74"/>
      <c r="J285" s="7"/>
      <c r="K285" s="74"/>
      <c r="L285" s="74"/>
      <c r="N285" s="7"/>
      <c r="O285" s="74"/>
      <c r="P285" s="74"/>
      <c r="R285" s="7"/>
      <c r="S285" s="7"/>
      <c r="T285" s="66"/>
    </row>
    <row r="286" spans="1:20" ht="13.2">
      <c r="A286" s="7"/>
      <c r="B286" s="7"/>
      <c r="C286" s="74"/>
      <c r="D286" s="74"/>
      <c r="F286" s="7"/>
      <c r="G286" s="74"/>
      <c r="H286" s="74"/>
      <c r="J286" s="7"/>
      <c r="K286" s="74"/>
      <c r="L286" s="74"/>
      <c r="N286" s="7"/>
      <c r="O286" s="74"/>
      <c r="P286" s="74"/>
      <c r="R286" s="7"/>
      <c r="S286" s="7"/>
      <c r="T286" s="66"/>
    </row>
    <row r="287" spans="1:20" ht="13.2">
      <c r="A287" s="7"/>
      <c r="B287" s="7"/>
      <c r="C287" s="74"/>
      <c r="D287" s="74"/>
      <c r="F287" s="7"/>
      <c r="G287" s="74"/>
      <c r="H287" s="74"/>
      <c r="J287" s="7"/>
      <c r="K287" s="74"/>
      <c r="L287" s="74"/>
      <c r="N287" s="7"/>
      <c r="O287" s="74"/>
      <c r="P287" s="74"/>
      <c r="R287" s="7"/>
      <c r="S287" s="7"/>
      <c r="T287" s="66"/>
    </row>
    <row r="288" spans="1:20" ht="13.2">
      <c r="A288" s="7"/>
      <c r="B288" s="7"/>
      <c r="C288" s="74"/>
      <c r="D288" s="74"/>
      <c r="F288" s="7"/>
      <c r="G288" s="74"/>
      <c r="H288" s="74"/>
      <c r="J288" s="7"/>
      <c r="K288" s="74"/>
      <c r="L288" s="74"/>
      <c r="N288" s="7"/>
      <c r="O288" s="74"/>
      <c r="P288" s="74"/>
      <c r="R288" s="7"/>
      <c r="S288" s="7"/>
      <c r="T288" s="66"/>
    </row>
    <row r="289" spans="1:20" ht="13.2">
      <c r="A289" s="7"/>
      <c r="B289" s="7"/>
      <c r="C289" s="74"/>
      <c r="D289" s="74"/>
      <c r="F289" s="7"/>
      <c r="G289" s="74"/>
      <c r="H289" s="74"/>
      <c r="J289" s="7"/>
      <c r="K289" s="74"/>
      <c r="L289" s="74"/>
      <c r="N289" s="7"/>
      <c r="O289" s="74"/>
      <c r="P289" s="74"/>
      <c r="R289" s="7"/>
      <c r="S289" s="7"/>
      <c r="T289" s="66"/>
    </row>
    <row r="290" spans="1:20" ht="13.2">
      <c r="A290" s="7"/>
      <c r="B290" s="7"/>
      <c r="C290" s="74"/>
      <c r="D290" s="74"/>
      <c r="F290" s="7"/>
      <c r="G290" s="74"/>
      <c r="H290" s="74"/>
      <c r="J290" s="7"/>
      <c r="K290" s="74"/>
      <c r="L290" s="74"/>
      <c r="N290" s="7"/>
      <c r="O290" s="74"/>
      <c r="P290" s="74"/>
      <c r="R290" s="7"/>
      <c r="S290" s="7"/>
      <c r="T290" s="66"/>
    </row>
    <row r="291" spans="1:20" ht="13.2">
      <c r="A291" s="7"/>
      <c r="B291" s="7"/>
      <c r="C291" s="74"/>
      <c r="D291" s="74"/>
      <c r="F291" s="7"/>
      <c r="G291" s="74"/>
      <c r="H291" s="74"/>
      <c r="J291" s="7"/>
      <c r="K291" s="74"/>
      <c r="L291" s="74"/>
      <c r="N291" s="7"/>
      <c r="O291" s="74"/>
      <c r="P291" s="74"/>
      <c r="R291" s="7"/>
      <c r="S291" s="7"/>
      <c r="T291" s="66"/>
    </row>
    <row r="292" spans="1:20" ht="13.2">
      <c r="A292" s="7"/>
      <c r="B292" s="7"/>
      <c r="C292" s="74"/>
      <c r="D292" s="74"/>
      <c r="F292" s="7"/>
      <c r="G292" s="74"/>
      <c r="H292" s="74"/>
      <c r="J292" s="7"/>
      <c r="K292" s="74"/>
      <c r="L292" s="74"/>
      <c r="N292" s="7"/>
      <c r="O292" s="74"/>
      <c r="P292" s="74"/>
      <c r="R292" s="7"/>
      <c r="S292" s="7"/>
      <c r="T292" s="66"/>
    </row>
    <row r="293" spans="1:20" ht="13.2">
      <c r="A293" s="7"/>
      <c r="B293" s="7"/>
      <c r="C293" s="74"/>
      <c r="D293" s="74"/>
      <c r="F293" s="7"/>
      <c r="G293" s="74"/>
      <c r="H293" s="74"/>
      <c r="J293" s="7"/>
      <c r="K293" s="74"/>
      <c r="L293" s="74"/>
      <c r="N293" s="7"/>
      <c r="O293" s="74"/>
      <c r="P293" s="74"/>
      <c r="R293" s="7"/>
      <c r="S293" s="7"/>
      <c r="T293" s="66"/>
    </row>
    <row r="294" spans="1:20" ht="13.2">
      <c r="A294" s="7"/>
      <c r="B294" s="7"/>
      <c r="C294" s="74"/>
      <c r="D294" s="74"/>
      <c r="F294" s="7"/>
      <c r="G294" s="74"/>
      <c r="H294" s="74"/>
      <c r="J294" s="7"/>
      <c r="K294" s="74"/>
      <c r="L294" s="74"/>
      <c r="N294" s="7"/>
      <c r="O294" s="74"/>
      <c r="P294" s="74"/>
      <c r="R294" s="7"/>
      <c r="S294" s="7"/>
      <c r="T294" s="66"/>
    </row>
    <row r="295" spans="1:20" ht="13.2">
      <c r="A295" s="7"/>
      <c r="B295" s="7"/>
      <c r="C295" s="74"/>
      <c r="D295" s="74"/>
      <c r="F295" s="7"/>
      <c r="G295" s="74"/>
      <c r="H295" s="74"/>
      <c r="J295" s="7"/>
      <c r="K295" s="74"/>
      <c r="L295" s="74"/>
      <c r="N295" s="7"/>
      <c r="O295" s="74"/>
      <c r="P295" s="74"/>
      <c r="R295" s="7"/>
      <c r="S295" s="7"/>
      <c r="T295" s="66"/>
    </row>
    <row r="296" spans="1:20" ht="13.2">
      <c r="A296" s="7"/>
      <c r="B296" s="7"/>
      <c r="C296" s="74"/>
      <c r="D296" s="74"/>
      <c r="F296" s="7"/>
      <c r="G296" s="74"/>
      <c r="H296" s="74"/>
      <c r="J296" s="7"/>
      <c r="K296" s="74"/>
      <c r="L296" s="74"/>
      <c r="N296" s="7"/>
      <c r="O296" s="74"/>
      <c r="P296" s="74"/>
      <c r="R296" s="7"/>
      <c r="S296" s="7"/>
      <c r="T296" s="66"/>
    </row>
    <row r="297" spans="1:20" ht="13.2">
      <c r="A297" s="7"/>
      <c r="B297" s="7"/>
      <c r="C297" s="74"/>
      <c r="D297" s="74"/>
      <c r="F297" s="7"/>
      <c r="G297" s="74"/>
      <c r="H297" s="74"/>
      <c r="J297" s="7"/>
      <c r="K297" s="74"/>
      <c r="L297" s="74"/>
      <c r="N297" s="7"/>
      <c r="O297" s="74"/>
      <c r="P297" s="74"/>
      <c r="R297" s="7"/>
      <c r="S297" s="7"/>
      <c r="T297" s="66"/>
    </row>
    <row r="298" spans="1:20" ht="13.2">
      <c r="A298" s="7"/>
      <c r="B298" s="7"/>
      <c r="C298" s="74"/>
      <c r="D298" s="74"/>
      <c r="F298" s="7"/>
      <c r="G298" s="74"/>
      <c r="H298" s="74"/>
      <c r="J298" s="7"/>
      <c r="K298" s="74"/>
      <c r="L298" s="74"/>
      <c r="N298" s="7"/>
      <c r="O298" s="74"/>
      <c r="P298" s="74"/>
      <c r="R298" s="7"/>
      <c r="S298" s="7"/>
      <c r="T298" s="66"/>
    </row>
    <row r="299" spans="1:20" ht="13.2">
      <c r="A299" s="7"/>
      <c r="B299" s="7"/>
      <c r="C299" s="74"/>
      <c r="D299" s="74"/>
      <c r="F299" s="7"/>
      <c r="G299" s="74"/>
      <c r="H299" s="74"/>
      <c r="J299" s="7"/>
      <c r="K299" s="74"/>
      <c r="L299" s="74"/>
      <c r="N299" s="7"/>
      <c r="O299" s="74"/>
      <c r="P299" s="74"/>
      <c r="R299" s="7"/>
      <c r="S299" s="7"/>
      <c r="T299" s="66"/>
    </row>
    <row r="300" spans="1:20" ht="13.2">
      <c r="A300" s="7"/>
      <c r="B300" s="7"/>
      <c r="C300" s="74"/>
      <c r="D300" s="74"/>
      <c r="F300" s="7"/>
      <c r="G300" s="74"/>
      <c r="H300" s="74"/>
      <c r="J300" s="7"/>
      <c r="K300" s="74"/>
      <c r="L300" s="74"/>
      <c r="N300" s="7"/>
      <c r="O300" s="74"/>
      <c r="P300" s="74"/>
      <c r="R300" s="7"/>
      <c r="S300" s="7"/>
      <c r="T300" s="66"/>
    </row>
    <row r="301" spans="1:20" ht="13.2">
      <c r="A301" s="7"/>
      <c r="B301" s="7"/>
      <c r="C301" s="74"/>
      <c r="D301" s="74"/>
      <c r="F301" s="7"/>
      <c r="G301" s="74"/>
      <c r="H301" s="74"/>
      <c r="J301" s="7"/>
      <c r="K301" s="74"/>
      <c r="L301" s="74"/>
      <c r="N301" s="7"/>
      <c r="O301" s="74"/>
      <c r="P301" s="74"/>
      <c r="R301" s="7"/>
      <c r="S301" s="7"/>
      <c r="T301" s="66"/>
    </row>
    <row r="302" spans="1:20" ht="13.2">
      <c r="A302" s="7"/>
      <c r="B302" s="7"/>
      <c r="C302" s="74"/>
      <c r="D302" s="74"/>
      <c r="F302" s="7"/>
      <c r="G302" s="74"/>
      <c r="H302" s="74"/>
      <c r="J302" s="7"/>
      <c r="K302" s="74"/>
      <c r="L302" s="74"/>
      <c r="N302" s="7"/>
      <c r="O302" s="74"/>
      <c r="P302" s="74"/>
      <c r="R302" s="7"/>
      <c r="S302" s="7"/>
      <c r="T302" s="66"/>
    </row>
    <row r="303" spans="1:20" ht="13.2">
      <c r="A303" s="7"/>
      <c r="B303" s="7"/>
      <c r="C303" s="74"/>
      <c r="D303" s="74"/>
      <c r="F303" s="7"/>
      <c r="G303" s="74"/>
      <c r="H303" s="74"/>
      <c r="J303" s="7"/>
      <c r="K303" s="74"/>
      <c r="L303" s="74"/>
      <c r="N303" s="7"/>
      <c r="O303" s="74"/>
      <c r="P303" s="74"/>
      <c r="R303" s="7"/>
      <c r="S303" s="7"/>
      <c r="T303" s="66"/>
    </row>
    <row r="304" spans="1:20" ht="13.2">
      <c r="A304" s="7"/>
      <c r="B304" s="7"/>
      <c r="C304" s="74"/>
      <c r="D304" s="74"/>
      <c r="F304" s="7"/>
      <c r="G304" s="74"/>
      <c r="H304" s="74"/>
      <c r="J304" s="7"/>
      <c r="K304" s="74"/>
      <c r="L304" s="74"/>
      <c r="N304" s="7"/>
      <c r="O304" s="74"/>
      <c r="P304" s="74"/>
      <c r="R304" s="7"/>
      <c r="S304" s="7"/>
      <c r="T304" s="66"/>
    </row>
    <row r="305" spans="1:20" ht="13.2">
      <c r="A305" s="7"/>
      <c r="B305" s="7"/>
      <c r="C305" s="74"/>
      <c r="D305" s="74"/>
      <c r="F305" s="7"/>
      <c r="G305" s="74"/>
      <c r="H305" s="74"/>
      <c r="J305" s="7"/>
      <c r="K305" s="74"/>
      <c r="L305" s="74"/>
      <c r="N305" s="7"/>
      <c r="O305" s="74"/>
      <c r="P305" s="74"/>
      <c r="R305" s="7"/>
      <c r="S305" s="7"/>
      <c r="T305" s="66"/>
    </row>
    <row r="306" spans="1:20" ht="13.2">
      <c r="A306" s="7"/>
      <c r="B306" s="7"/>
      <c r="C306" s="74"/>
      <c r="D306" s="74"/>
      <c r="F306" s="7"/>
      <c r="G306" s="74"/>
      <c r="H306" s="74"/>
      <c r="J306" s="7"/>
      <c r="K306" s="74"/>
      <c r="L306" s="74"/>
      <c r="N306" s="7"/>
      <c r="O306" s="74"/>
      <c r="P306" s="74"/>
      <c r="R306" s="7"/>
      <c r="S306" s="7"/>
      <c r="T306" s="66"/>
    </row>
    <row r="307" spans="1:20" ht="13.2">
      <c r="A307" s="7"/>
      <c r="B307" s="7"/>
      <c r="C307" s="74"/>
      <c r="D307" s="74"/>
      <c r="F307" s="7"/>
      <c r="G307" s="74"/>
      <c r="H307" s="74"/>
      <c r="J307" s="7"/>
      <c r="K307" s="74"/>
      <c r="L307" s="74"/>
      <c r="N307" s="7"/>
      <c r="O307" s="74"/>
      <c r="P307" s="74"/>
      <c r="R307" s="7"/>
      <c r="S307" s="7"/>
      <c r="T307" s="66"/>
    </row>
    <row r="308" spans="1:20" ht="13.2">
      <c r="A308" s="7"/>
      <c r="B308" s="7"/>
      <c r="C308" s="74"/>
      <c r="D308" s="74"/>
      <c r="F308" s="7"/>
      <c r="G308" s="74"/>
      <c r="H308" s="74"/>
      <c r="J308" s="7"/>
      <c r="K308" s="74"/>
      <c r="L308" s="74"/>
      <c r="N308" s="7"/>
      <c r="O308" s="74"/>
      <c r="P308" s="74"/>
      <c r="R308" s="7"/>
      <c r="S308" s="7"/>
      <c r="T308" s="66"/>
    </row>
    <row r="309" spans="1:20" ht="13.2">
      <c r="A309" s="7"/>
      <c r="B309" s="7"/>
      <c r="C309" s="74"/>
      <c r="D309" s="74"/>
      <c r="F309" s="7"/>
      <c r="G309" s="74"/>
      <c r="H309" s="74"/>
      <c r="J309" s="7"/>
      <c r="K309" s="74"/>
      <c r="L309" s="74"/>
      <c r="N309" s="7"/>
      <c r="O309" s="74"/>
      <c r="P309" s="74"/>
      <c r="R309" s="7"/>
      <c r="S309" s="7"/>
      <c r="T309" s="66"/>
    </row>
    <row r="310" spans="1:20" ht="13.2">
      <c r="A310" s="7"/>
      <c r="B310" s="7"/>
      <c r="C310" s="74"/>
      <c r="D310" s="74"/>
      <c r="F310" s="7"/>
      <c r="G310" s="74"/>
      <c r="H310" s="74"/>
      <c r="J310" s="7"/>
      <c r="K310" s="74"/>
      <c r="L310" s="74"/>
      <c r="N310" s="7"/>
      <c r="O310" s="74"/>
      <c r="P310" s="74"/>
      <c r="R310" s="7"/>
      <c r="S310" s="7"/>
      <c r="T310" s="66"/>
    </row>
    <row r="311" spans="1:20" ht="13.2">
      <c r="A311" s="7"/>
      <c r="B311" s="7"/>
      <c r="C311" s="74"/>
      <c r="D311" s="74"/>
      <c r="F311" s="7"/>
      <c r="G311" s="74"/>
      <c r="H311" s="74"/>
      <c r="J311" s="7"/>
      <c r="K311" s="74"/>
      <c r="L311" s="74"/>
      <c r="N311" s="7"/>
      <c r="O311" s="74"/>
      <c r="P311" s="74"/>
      <c r="R311" s="7"/>
      <c r="S311" s="7"/>
      <c r="T311" s="66"/>
    </row>
    <row r="312" spans="1:20" ht="13.2">
      <c r="A312" s="7"/>
      <c r="B312" s="7"/>
      <c r="C312" s="74"/>
      <c r="D312" s="74"/>
      <c r="F312" s="7"/>
      <c r="G312" s="74"/>
      <c r="H312" s="74"/>
      <c r="J312" s="7"/>
      <c r="K312" s="74"/>
      <c r="L312" s="74"/>
      <c r="N312" s="7"/>
      <c r="O312" s="74"/>
      <c r="P312" s="74"/>
      <c r="R312" s="7"/>
      <c r="S312" s="7"/>
      <c r="T312" s="66"/>
    </row>
    <row r="313" spans="1:20" ht="13.2">
      <c r="A313" s="7"/>
      <c r="B313" s="7"/>
      <c r="C313" s="74"/>
      <c r="D313" s="74"/>
      <c r="F313" s="7"/>
      <c r="G313" s="74"/>
      <c r="H313" s="74"/>
      <c r="J313" s="7"/>
      <c r="K313" s="74"/>
      <c r="L313" s="74"/>
      <c r="N313" s="7"/>
      <c r="O313" s="74"/>
      <c r="P313" s="74"/>
      <c r="R313" s="7"/>
      <c r="S313" s="7"/>
      <c r="T313" s="66"/>
    </row>
    <row r="314" spans="1:20" ht="13.2">
      <c r="A314" s="7"/>
      <c r="B314" s="7"/>
      <c r="C314" s="74"/>
      <c r="D314" s="74"/>
      <c r="F314" s="7"/>
      <c r="G314" s="74"/>
      <c r="H314" s="74"/>
      <c r="J314" s="7"/>
      <c r="K314" s="74"/>
      <c r="L314" s="74"/>
      <c r="N314" s="7"/>
      <c r="O314" s="74"/>
      <c r="P314" s="74"/>
      <c r="R314" s="7"/>
      <c r="S314" s="7"/>
      <c r="T314" s="66"/>
    </row>
    <row r="315" spans="1:20" ht="13.2">
      <c r="A315" s="7"/>
      <c r="B315" s="7"/>
      <c r="C315" s="74"/>
      <c r="D315" s="74"/>
      <c r="F315" s="7"/>
      <c r="G315" s="74"/>
      <c r="H315" s="74"/>
      <c r="J315" s="7"/>
      <c r="K315" s="74"/>
      <c r="L315" s="74"/>
      <c r="N315" s="7"/>
      <c r="O315" s="74"/>
      <c r="P315" s="74"/>
      <c r="R315" s="7"/>
      <c r="S315" s="7"/>
      <c r="T315" s="66"/>
    </row>
    <row r="316" spans="1:20" ht="13.2">
      <c r="A316" s="7"/>
      <c r="B316" s="7"/>
      <c r="C316" s="74"/>
      <c r="D316" s="74"/>
      <c r="F316" s="7"/>
      <c r="G316" s="74"/>
      <c r="H316" s="74"/>
      <c r="J316" s="7"/>
      <c r="K316" s="74"/>
      <c r="L316" s="74"/>
      <c r="N316" s="7"/>
      <c r="O316" s="74"/>
      <c r="P316" s="74"/>
      <c r="R316" s="7"/>
      <c r="S316" s="7"/>
      <c r="T316" s="66"/>
    </row>
    <row r="317" spans="1:20" ht="13.2">
      <c r="A317" s="7"/>
      <c r="B317" s="7"/>
      <c r="C317" s="74"/>
      <c r="D317" s="74"/>
      <c r="F317" s="7"/>
      <c r="G317" s="74"/>
      <c r="H317" s="74"/>
      <c r="J317" s="7"/>
      <c r="K317" s="74"/>
      <c r="L317" s="74"/>
      <c r="N317" s="7"/>
      <c r="O317" s="74"/>
      <c r="P317" s="74"/>
      <c r="R317" s="7"/>
      <c r="S317" s="7"/>
      <c r="T317" s="66"/>
    </row>
    <row r="318" spans="1:20" ht="13.2">
      <c r="A318" s="7"/>
      <c r="B318" s="7"/>
      <c r="C318" s="74"/>
      <c r="D318" s="74"/>
      <c r="F318" s="7"/>
      <c r="G318" s="74"/>
      <c r="H318" s="74"/>
      <c r="J318" s="7"/>
      <c r="K318" s="74"/>
      <c r="L318" s="74"/>
      <c r="N318" s="7"/>
      <c r="O318" s="74"/>
      <c r="P318" s="74"/>
      <c r="R318" s="7"/>
      <c r="S318" s="7"/>
      <c r="T318" s="66"/>
    </row>
    <row r="319" spans="1:20" ht="13.2">
      <c r="A319" s="7"/>
      <c r="B319" s="7"/>
      <c r="C319" s="74"/>
      <c r="D319" s="74"/>
      <c r="F319" s="7"/>
      <c r="G319" s="74"/>
      <c r="H319" s="74"/>
      <c r="J319" s="7"/>
      <c r="K319" s="74"/>
      <c r="L319" s="74"/>
      <c r="N319" s="7"/>
      <c r="O319" s="74"/>
      <c r="P319" s="74"/>
      <c r="R319" s="7"/>
      <c r="S319" s="7"/>
      <c r="T319" s="66"/>
    </row>
    <row r="320" spans="1:20" ht="13.2">
      <c r="A320" s="7"/>
      <c r="B320" s="7"/>
      <c r="C320" s="74"/>
      <c r="D320" s="74"/>
      <c r="F320" s="7"/>
      <c r="G320" s="74"/>
      <c r="H320" s="74"/>
      <c r="J320" s="7"/>
      <c r="K320" s="74"/>
      <c r="L320" s="74"/>
      <c r="N320" s="7"/>
      <c r="O320" s="74"/>
      <c r="P320" s="74"/>
      <c r="R320" s="7"/>
      <c r="S320" s="7"/>
      <c r="T320" s="66"/>
    </row>
    <row r="321" spans="1:20" ht="13.2">
      <c r="A321" s="7"/>
      <c r="B321" s="7"/>
      <c r="C321" s="74"/>
      <c r="D321" s="74"/>
      <c r="F321" s="7"/>
      <c r="G321" s="74"/>
      <c r="H321" s="74"/>
      <c r="J321" s="7"/>
      <c r="K321" s="74"/>
      <c r="L321" s="74"/>
      <c r="N321" s="7"/>
      <c r="O321" s="74"/>
      <c r="P321" s="74"/>
      <c r="R321" s="7"/>
      <c r="S321" s="7"/>
      <c r="T321" s="66"/>
    </row>
    <row r="322" spans="1:20" ht="13.2">
      <c r="A322" s="7"/>
      <c r="B322" s="7"/>
      <c r="C322" s="74"/>
      <c r="D322" s="74"/>
      <c r="F322" s="7"/>
      <c r="G322" s="74"/>
      <c r="H322" s="74"/>
      <c r="J322" s="7"/>
      <c r="K322" s="74"/>
      <c r="L322" s="74"/>
      <c r="N322" s="7"/>
      <c r="O322" s="74"/>
      <c r="P322" s="74"/>
      <c r="R322" s="7"/>
      <c r="S322" s="7"/>
      <c r="T322" s="66"/>
    </row>
    <row r="323" spans="1:20" ht="13.2">
      <c r="A323" s="7"/>
      <c r="B323" s="7"/>
      <c r="C323" s="74"/>
      <c r="D323" s="74"/>
      <c r="F323" s="7"/>
      <c r="G323" s="74"/>
      <c r="H323" s="74"/>
      <c r="J323" s="7"/>
      <c r="K323" s="74"/>
      <c r="L323" s="74"/>
      <c r="N323" s="7"/>
      <c r="O323" s="74"/>
      <c r="P323" s="74"/>
      <c r="R323" s="7"/>
      <c r="S323" s="7"/>
      <c r="T323" s="66"/>
    </row>
    <row r="324" spans="1:20" ht="13.2">
      <c r="A324" s="7"/>
      <c r="B324" s="7"/>
      <c r="C324" s="74"/>
      <c r="D324" s="74"/>
      <c r="F324" s="7"/>
      <c r="G324" s="74"/>
      <c r="H324" s="74"/>
      <c r="J324" s="7"/>
      <c r="K324" s="74"/>
      <c r="L324" s="74"/>
      <c r="N324" s="7"/>
      <c r="O324" s="74"/>
      <c r="P324" s="74"/>
      <c r="R324" s="7"/>
      <c r="S324" s="7"/>
      <c r="T324" s="66"/>
    </row>
    <row r="325" spans="1:20" ht="13.2">
      <c r="A325" s="7"/>
      <c r="B325" s="7"/>
      <c r="C325" s="74"/>
      <c r="D325" s="74"/>
      <c r="F325" s="7"/>
      <c r="G325" s="74"/>
      <c r="H325" s="74"/>
      <c r="J325" s="7"/>
      <c r="K325" s="74"/>
      <c r="L325" s="74"/>
      <c r="N325" s="7"/>
      <c r="O325" s="74"/>
      <c r="P325" s="74"/>
      <c r="R325" s="7"/>
      <c r="S325" s="7"/>
      <c r="T325" s="66"/>
    </row>
    <row r="326" spans="1:20" ht="13.2">
      <c r="A326" s="7"/>
      <c r="B326" s="7"/>
      <c r="C326" s="74"/>
      <c r="D326" s="74"/>
      <c r="F326" s="7"/>
      <c r="G326" s="74"/>
      <c r="H326" s="74"/>
      <c r="J326" s="7"/>
      <c r="K326" s="74"/>
      <c r="L326" s="74"/>
      <c r="N326" s="7"/>
      <c r="O326" s="74"/>
      <c r="P326" s="74"/>
      <c r="R326" s="7"/>
      <c r="S326" s="7"/>
      <c r="T326" s="66"/>
    </row>
    <row r="327" spans="1:20" ht="13.2">
      <c r="A327" s="7"/>
      <c r="B327" s="7"/>
      <c r="C327" s="74"/>
      <c r="D327" s="74"/>
      <c r="F327" s="7"/>
      <c r="G327" s="74"/>
      <c r="H327" s="74"/>
      <c r="J327" s="7"/>
      <c r="K327" s="74"/>
      <c r="L327" s="74"/>
      <c r="N327" s="7"/>
      <c r="O327" s="74"/>
      <c r="P327" s="74"/>
      <c r="R327" s="7"/>
      <c r="S327" s="7"/>
      <c r="T327" s="66"/>
    </row>
    <row r="328" spans="1:20" ht="13.2">
      <c r="A328" s="7"/>
      <c r="B328" s="7"/>
      <c r="C328" s="74"/>
      <c r="D328" s="74"/>
      <c r="F328" s="7"/>
      <c r="G328" s="74"/>
      <c r="H328" s="74"/>
      <c r="J328" s="7"/>
      <c r="K328" s="74"/>
      <c r="L328" s="74"/>
      <c r="N328" s="7"/>
      <c r="O328" s="74"/>
      <c r="P328" s="74"/>
      <c r="R328" s="7"/>
      <c r="S328" s="7"/>
      <c r="T328" s="66"/>
    </row>
    <row r="329" spans="1:20" ht="13.2">
      <c r="A329" s="7"/>
      <c r="B329" s="7"/>
      <c r="C329" s="74"/>
      <c r="D329" s="74"/>
      <c r="F329" s="7"/>
      <c r="G329" s="74"/>
      <c r="H329" s="74"/>
      <c r="J329" s="7"/>
      <c r="K329" s="74"/>
      <c r="L329" s="74"/>
      <c r="N329" s="7"/>
      <c r="O329" s="74"/>
      <c r="P329" s="74"/>
      <c r="R329" s="7"/>
      <c r="S329" s="7"/>
      <c r="T329" s="66"/>
    </row>
    <row r="330" spans="1:20" ht="13.2">
      <c r="A330" s="7"/>
      <c r="B330" s="7"/>
      <c r="C330" s="74"/>
      <c r="D330" s="74"/>
      <c r="F330" s="7"/>
      <c r="G330" s="74"/>
      <c r="H330" s="74"/>
      <c r="J330" s="7"/>
      <c r="K330" s="74"/>
      <c r="L330" s="74"/>
      <c r="N330" s="7"/>
      <c r="O330" s="74"/>
      <c r="P330" s="74"/>
      <c r="R330" s="7"/>
      <c r="S330" s="7"/>
      <c r="T330" s="66"/>
    </row>
    <row r="331" spans="1:20" ht="13.2">
      <c r="A331" s="7"/>
      <c r="B331" s="7"/>
      <c r="C331" s="74"/>
      <c r="D331" s="74"/>
      <c r="F331" s="7"/>
      <c r="G331" s="74"/>
      <c r="H331" s="74"/>
      <c r="J331" s="7"/>
      <c r="K331" s="74"/>
      <c r="L331" s="74"/>
      <c r="N331" s="7"/>
      <c r="O331" s="74"/>
      <c r="P331" s="74"/>
      <c r="R331" s="7"/>
      <c r="S331" s="7"/>
      <c r="T331" s="66"/>
    </row>
    <row r="332" spans="1:20" ht="13.2">
      <c r="A332" s="7"/>
      <c r="B332" s="7"/>
      <c r="C332" s="74"/>
      <c r="D332" s="74"/>
      <c r="F332" s="7"/>
      <c r="G332" s="74"/>
      <c r="H332" s="74"/>
      <c r="J332" s="7"/>
      <c r="K332" s="74"/>
      <c r="L332" s="74"/>
      <c r="N332" s="7"/>
      <c r="O332" s="74"/>
      <c r="P332" s="74"/>
      <c r="R332" s="7"/>
      <c r="S332" s="7"/>
      <c r="T332" s="66"/>
    </row>
    <row r="333" spans="1:20" ht="13.2">
      <c r="A333" s="7"/>
      <c r="B333" s="7"/>
      <c r="C333" s="74"/>
      <c r="D333" s="74"/>
      <c r="F333" s="7"/>
      <c r="G333" s="74"/>
      <c r="H333" s="74"/>
      <c r="J333" s="7"/>
      <c r="K333" s="74"/>
      <c r="L333" s="74"/>
      <c r="N333" s="7"/>
      <c r="O333" s="74"/>
      <c r="P333" s="74"/>
      <c r="R333" s="7"/>
      <c r="S333" s="7"/>
      <c r="T333" s="66"/>
    </row>
    <row r="334" spans="1:20" ht="13.2">
      <c r="A334" s="7"/>
      <c r="B334" s="7"/>
      <c r="C334" s="74"/>
      <c r="D334" s="74"/>
      <c r="F334" s="7"/>
      <c r="G334" s="74"/>
      <c r="H334" s="74"/>
      <c r="J334" s="7"/>
      <c r="K334" s="74"/>
      <c r="L334" s="74"/>
      <c r="N334" s="7"/>
      <c r="O334" s="74"/>
      <c r="P334" s="74"/>
      <c r="R334" s="7"/>
      <c r="S334" s="7"/>
      <c r="T334" s="66"/>
    </row>
    <row r="335" spans="1:20" ht="13.2">
      <c r="A335" s="7"/>
      <c r="B335" s="7"/>
      <c r="C335" s="74"/>
      <c r="D335" s="74"/>
      <c r="F335" s="7"/>
      <c r="G335" s="74"/>
      <c r="H335" s="74"/>
      <c r="J335" s="7"/>
      <c r="K335" s="74"/>
      <c r="L335" s="74"/>
      <c r="N335" s="7"/>
      <c r="O335" s="74"/>
      <c r="P335" s="74"/>
      <c r="R335" s="7"/>
      <c r="S335" s="7"/>
      <c r="T335" s="66"/>
    </row>
    <row r="336" spans="1:20" ht="13.2">
      <c r="A336" s="7"/>
      <c r="B336" s="7"/>
      <c r="C336" s="74"/>
      <c r="D336" s="74"/>
      <c r="F336" s="7"/>
      <c r="G336" s="74"/>
      <c r="H336" s="74"/>
      <c r="J336" s="7"/>
      <c r="K336" s="74"/>
      <c r="L336" s="74"/>
      <c r="N336" s="7"/>
      <c r="O336" s="74"/>
      <c r="P336" s="74"/>
      <c r="R336" s="7"/>
      <c r="S336" s="7"/>
      <c r="T336" s="66"/>
    </row>
    <row r="337" spans="1:20" ht="13.2">
      <c r="A337" s="7"/>
      <c r="B337" s="7"/>
      <c r="C337" s="74"/>
      <c r="D337" s="74"/>
      <c r="F337" s="7"/>
      <c r="G337" s="74"/>
      <c r="H337" s="74"/>
      <c r="J337" s="7"/>
      <c r="K337" s="74"/>
      <c r="L337" s="74"/>
      <c r="N337" s="7"/>
      <c r="O337" s="74"/>
      <c r="P337" s="74"/>
      <c r="R337" s="7"/>
      <c r="S337" s="7"/>
      <c r="T337" s="66"/>
    </row>
    <row r="338" spans="1:20" ht="13.2">
      <c r="A338" s="7"/>
      <c r="B338" s="7"/>
      <c r="C338" s="74"/>
      <c r="D338" s="74"/>
      <c r="F338" s="7"/>
      <c r="G338" s="74"/>
      <c r="H338" s="74"/>
      <c r="J338" s="7"/>
      <c r="K338" s="74"/>
      <c r="L338" s="74"/>
      <c r="N338" s="7"/>
      <c r="O338" s="74"/>
      <c r="P338" s="74"/>
      <c r="R338" s="7"/>
      <c r="S338" s="7"/>
      <c r="T338" s="66"/>
    </row>
    <row r="339" spans="1:20" ht="13.2">
      <c r="A339" s="7"/>
      <c r="B339" s="7"/>
      <c r="C339" s="74"/>
      <c r="D339" s="74"/>
      <c r="F339" s="7"/>
      <c r="G339" s="74"/>
      <c r="H339" s="74"/>
      <c r="J339" s="7"/>
      <c r="K339" s="74"/>
      <c r="L339" s="74"/>
      <c r="N339" s="7"/>
      <c r="O339" s="74"/>
      <c r="P339" s="74"/>
      <c r="R339" s="7"/>
      <c r="S339" s="7"/>
      <c r="T339" s="66"/>
    </row>
    <row r="340" spans="1:20" ht="13.2">
      <c r="A340" s="7"/>
      <c r="B340" s="7"/>
      <c r="C340" s="74"/>
      <c r="D340" s="74"/>
      <c r="F340" s="7"/>
      <c r="G340" s="74"/>
      <c r="H340" s="74"/>
      <c r="J340" s="7"/>
      <c r="K340" s="74"/>
      <c r="L340" s="74"/>
      <c r="N340" s="7"/>
      <c r="O340" s="74"/>
      <c r="P340" s="74"/>
      <c r="R340" s="7"/>
      <c r="S340" s="7"/>
      <c r="T340" s="66"/>
    </row>
    <row r="341" spans="1:20" ht="13.2">
      <c r="A341" s="7"/>
      <c r="B341" s="7"/>
      <c r="C341" s="74"/>
      <c r="D341" s="74"/>
      <c r="F341" s="7"/>
      <c r="G341" s="74"/>
      <c r="H341" s="74"/>
      <c r="J341" s="7"/>
      <c r="K341" s="74"/>
      <c r="L341" s="74"/>
      <c r="N341" s="7"/>
      <c r="O341" s="74"/>
      <c r="P341" s="74"/>
      <c r="R341" s="7"/>
      <c r="S341" s="7"/>
      <c r="T341" s="66"/>
    </row>
    <row r="342" spans="1:20" ht="13.2">
      <c r="A342" s="7"/>
      <c r="B342" s="7"/>
      <c r="C342" s="74"/>
      <c r="D342" s="74"/>
      <c r="F342" s="7"/>
      <c r="G342" s="74"/>
      <c r="H342" s="74"/>
      <c r="J342" s="7"/>
      <c r="K342" s="74"/>
      <c r="L342" s="74"/>
      <c r="N342" s="7"/>
      <c r="O342" s="74"/>
      <c r="P342" s="74"/>
      <c r="R342" s="7"/>
      <c r="S342" s="7"/>
      <c r="T342" s="66"/>
    </row>
    <row r="343" spans="1:20" ht="13.2">
      <c r="A343" s="7"/>
      <c r="B343" s="7"/>
      <c r="C343" s="74"/>
      <c r="D343" s="74"/>
      <c r="F343" s="7"/>
      <c r="G343" s="74"/>
      <c r="H343" s="74"/>
      <c r="J343" s="7"/>
      <c r="K343" s="74"/>
      <c r="L343" s="74"/>
      <c r="N343" s="7"/>
      <c r="O343" s="74"/>
      <c r="P343" s="74"/>
      <c r="R343" s="7"/>
      <c r="S343" s="7"/>
      <c r="T343" s="66"/>
    </row>
    <row r="344" spans="1:20" ht="13.2">
      <c r="A344" s="7"/>
      <c r="B344" s="7"/>
      <c r="C344" s="74"/>
      <c r="D344" s="74"/>
      <c r="F344" s="7"/>
      <c r="G344" s="74"/>
      <c r="H344" s="74"/>
      <c r="J344" s="7"/>
      <c r="K344" s="74"/>
      <c r="L344" s="74"/>
      <c r="N344" s="7"/>
      <c r="O344" s="74"/>
      <c r="P344" s="74"/>
      <c r="R344" s="7"/>
      <c r="S344" s="7"/>
      <c r="T344" s="66"/>
    </row>
    <row r="345" spans="1:20" ht="13.2">
      <c r="A345" s="7"/>
      <c r="B345" s="7"/>
      <c r="C345" s="74"/>
      <c r="D345" s="74"/>
      <c r="F345" s="7"/>
      <c r="G345" s="74"/>
      <c r="H345" s="74"/>
      <c r="J345" s="7"/>
      <c r="K345" s="74"/>
      <c r="L345" s="74"/>
      <c r="N345" s="7"/>
      <c r="O345" s="74"/>
      <c r="P345" s="74"/>
      <c r="R345" s="7"/>
      <c r="S345" s="7"/>
      <c r="T345" s="66"/>
    </row>
    <row r="346" spans="1:20" ht="13.2">
      <c r="A346" s="7"/>
      <c r="B346" s="7"/>
      <c r="C346" s="74"/>
      <c r="D346" s="74"/>
      <c r="F346" s="7"/>
      <c r="G346" s="74"/>
      <c r="H346" s="74"/>
      <c r="J346" s="7"/>
      <c r="K346" s="74"/>
      <c r="L346" s="74"/>
      <c r="N346" s="7"/>
      <c r="O346" s="74"/>
      <c r="P346" s="74"/>
      <c r="R346" s="7"/>
      <c r="S346" s="7"/>
      <c r="T346" s="66"/>
    </row>
    <row r="347" spans="1:20" ht="13.2">
      <c r="A347" s="7"/>
      <c r="B347" s="7"/>
      <c r="C347" s="74"/>
      <c r="D347" s="74"/>
      <c r="F347" s="7"/>
      <c r="G347" s="74"/>
      <c r="H347" s="74"/>
      <c r="J347" s="7"/>
      <c r="K347" s="74"/>
      <c r="L347" s="74"/>
      <c r="N347" s="7"/>
      <c r="O347" s="74"/>
      <c r="P347" s="74"/>
      <c r="R347" s="7"/>
      <c r="S347" s="7"/>
      <c r="T347" s="66"/>
    </row>
    <row r="348" spans="1:20" ht="13.2">
      <c r="A348" s="7"/>
      <c r="B348" s="7"/>
      <c r="C348" s="74"/>
      <c r="D348" s="74"/>
      <c r="F348" s="7"/>
      <c r="G348" s="74"/>
      <c r="H348" s="74"/>
      <c r="J348" s="7"/>
      <c r="K348" s="74"/>
      <c r="L348" s="74"/>
      <c r="N348" s="7"/>
      <c r="O348" s="74"/>
      <c r="P348" s="74"/>
      <c r="R348" s="7"/>
      <c r="S348" s="7"/>
      <c r="T348" s="66"/>
    </row>
    <row r="349" spans="1:20" ht="13.2">
      <c r="A349" s="7"/>
      <c r="B349" s="7"/>
      <c r="C349" s="74"/>
      <c r="D349" s="74"/>
      <c r="F349" s="7"/>
      <c r="G349" s="74"/>
      <c r="H349" s="74"/>
      <c r="J349" s="7"/>
      <c r="K349" s="74"/>
      <c r="L349" s="74"/>
      <c r="N349" s="7"/>
      <c r="O349" s="74"/>
      <c r="P349" s="74"/>
      <c r="R349" s="7"/>
      <c r="S349" s="7"/>
      <c r="T349" s="66"/>
    </row>
    <row r="350" spans="1:20" ht="13.2">
      <c r="A350" s="7"/>
      <c r="B350" s="7"/>
      <c r="C350" s="74"/>
      <c r="D350" s="74"/>
      <c r="F350" s="7"/>
      <c r="G350" s="74"/>
      <c r="H350" s="74"/>
      <c r="J350" s="7"/>
      <c r="K350" s="74"/>
      <c r="L350" s="74"/>
      <c r="N350" s="7"/>
      <c r="O350" s="74"/>
      <c r="P350" s="74"/>
      <c r="R350" s="7"/>
      <c r="S350" s="7"/>
      <c r="T350" s="66"/>
    </row>
    <row r="351" spans="1:20" ht="13.2">
      <c r="A351" s="7"/>
      <c r="B351" s="7"/>
      <c r="C351" s="74"/>
      <c r="D351" s="74"/>
      <c r="F351" s="7"/>
      <c r="G351" s="74"/>
      <c r="H351" s="74"/>
      <c r="J351" s="7"/>
      <c r="K351" s="74"/>
      <c r="L351" s="74"/>
      <c r="N351" s="7"/>
      <c r="O351" s="74"/>
      <c r="P351" s="74"/>
      <c r="R351" s="7"/>
      <c r="S351" s="7"/>
      <c r="T351" s="66"/>
    </row>
    <row r="352" spans="1:20" ht="13.2">
      <c r="A352" s="7"/>
      <c r="B352" s="7"/>
      <c r="C352" s="74"/>
      <c r="D352" s="74"/>
      <c r="F352" s="7"/>
      <c r="G352" s="74"/>
      <c r="H352" s="74"/>
      <c r="J352" s="7"/>
      <c r="K352" s="74"/>
      <c r="L352" s="74"/>
      <c r="N352" s="7"/>
      <c r="O352" s="74"/>
      <c r="P352" s="74"/>
      <c r="R352" s="7"/>
      <c r="S352" s="7"/>
      <c r="T352" s="66"/>
    </row>
    <row r="353" spans="1:20" ht="13.2">
      <c r="A353" s="7"/>
      <c r="B353" s="7"/>
      <c r="C353" s="74"/>
      <c r="D353" s="74"/>
      <c r="F353" s="7"/>
      <c r="G353" s="74"/>
      <c r="H353" s="74"/>
      <c r="J353" s="7"/>
      <c r="K353" s="74"/>
      <c r="L353" s="74"/>
      <c r="N353" s="7"/>
      <c r="O353" s="74"/>
      <c r="P353" s="74"/>
      <c r="R353" s="7"/>
      <c r="S353" s="7"/>
      <c r="T353" s="66"/>
    </row>
    <row r="354" spans="1:20" ht="13.2">
      <c r="A354" s="7"/>
      <c r="B354" s="7"/>
      <c r="C354" s="74"/>
      <c r="D354" s="74"/>
      <c r="F354" s="7"/>
      <c r="G354" s="74"/>
      <c r="H354" s="74"/>
      <c r="J354" s="7"/>
      <c r="K354" s="74"/>
      <c r="L354" s="74"/>
      <c r="N354" s="7"/>
      <c r="O354" s="74"/>
      <c r="P354" s="74"/>
      <c r="R354" s="7"/>
      <c r="S354" s="7"/>
      <c r="T354" s="66"/>
    </row>
    <row r="355" spans="1:20" ht="13.2">
      <c r="A355" s="7"/>
      <c r="B355" s="7"/>
      <c r="C355" s="74"/>
      <c r="D355" s="74"/>
      <c r="F355" s="7"/>
      <c r="G355" s="74"/>
      <c r="H355" s="74"/>
      <c r="J355" s="7"/>
      <c r="K355" s="74"/>
      <c r="L355" s="74"/>
      <c r="N355" s="7"/>
      <c r="O355" s="74"/>
      <c r="P355" s="74"/>
      <c r="R355" s="7"/>
      <c r="S355" s="7"/>
      <c r="T355" s="66"/>
    </row>
    <row r="356" spans="1:20" ht="13.2">
      <c r="A356" s="7"/>
      <c r="B356" s="7"/>
      <c r="C356" s="74"/>
      <c r="D356" s="74"/>
      <c r="F356" s="7"/>
      <c r="G356" s="74"/>
      <c r="H356" s="74"/>
      <c r="J356" s="7"/>
      <c r="K356" s="74"/>
      <c r="L356" s="74"/>
      <c r="N356" s="7"/>
      <c r="O356" s="74"/>
      <c r="P356" s="74"/>
      <c r="R356" s="7"/>
      <c r="S356" s="7"/>
      <c r="T356" s="66"/>
    </row>
    <row r="357" spans="1:20" ht="13.2">
      <c r="A357" s="7"/>
      <c r="B357" s="7"/>
      <c r="C357" s="74"/>
      <c r="D357" s="74"/>
      <c r="F357" s="7"/>
      <c r="G357" s="74"/>
      <c r="H357" s="74"/>
      <c r="J357" s="7"/>
      <c r="K357" s="74"/>
      <c r="L357" s="74"/>
      <c r="N357" s="7"/>
      <c r="O357" s="74"/>
      <c r="P357" s="74"/>
      <c r="R357" s="7"/>
      <c r="S357" s="7"/>
      <c r="T357" s="66"/>
    </row>
    <row r="358" spans="1:20" ht="13.2">
      <c r="A358" s="7"/>
      <c r="B358" s="7"/>
      <c r="C358" s="74"/>
      <c r="D358" s="74"/>
      <c r="F358" s="7"/>
      <c r="G358" s="74"/>
      <c r="H358" s="74"/>
      <c r="J358" s="7"/>
      <c r="K358" s="74"/>
      <c r="L358" s="74"/>
      <c r="N358" s="7"/>
      <c r="O358" s="74"/>
      <c r="P358" s="74"/>
      <c r="R358" s="7"/>
      <c r="S358" s="7"/>
      <c r="T358" s="66"/>
    </row>
    <row r="359" spans="1:20" ht="13.2">
      <c r="A359" s="7"/>
      <c r="B359" s="7"/>
      <c r="C359" s="74"/>
      <c r="D359" s="74"/>
      <c r="F359" s="7"/>
      <c r="G359" s="74"/>
      <c r="H359" s="74"/>
      <c r="J359" s="7"/>
      <c r="K359" s="74"/>
      <c r="L359" s="74"/>
      <c r="N359" s="7"/>
      <c r="O359" s="74"/>
      <c r="P359" s="74"/>
      <c r="R359" s="7"/>
      <c r="S359" s="7"/>
      <c r="T359" s="66"/>
    </row>
    <row r="360" spans="1:20" ht="13.2">
      <c r="A360" s="7"/>
      <c r="B360" s="7"/>
      <c r="C360" s="74"/>
      <c r="D360" s="74"/>
      <c r="F360" s="7"/>
      <c r="G360" s="74"/>
      <c r="H360" s="74"/>
      <c r="J360" s="7"/>
      <c r="K360" s="74"/>
      <c r="L360" s="74"/>
      <c r="N360" s="7"/>
      <c r="O360" s="74"/>
      <c r="P360" s="74"/>
      <c r="R360" s="7"/>
      <c r="S360" s="7"/>
      <c r="T360" s="66"/>
    </row>
    <row r="361" spans="1:20" ht="13.2">
      <c r="A361" s="7"/>
      <c r="B361" s="7"/>
      <c r="C361" s="74"/>
      <c r="D361" s="74"/>
      <c r="F361" s="7"/>
      <c r="G361" s="74"/>
      <c r="H361" s="74"/>
      <c r="J361" s="7"/>
      <c r="K361" s="74"/>
      <c r="L361" s="74"/>
      <c r="N361" s="7"/>
      <c r="O361" s="74"/>
      <c r="P361" s="74"/>
      <c r="R361" s="7"/>
      <c r="S361" s="7"/>
      <c r="T361" s="66"/>
    </row>
    <row r="362" spans="1:20" ht="13.2">
      <c r="A362" s="7"/>
      <c r="B362" s="7"/>
      <c r="C362" s="74"/>
      <c r="D362" s="74"/>
      <c r="F362" s="7"/>
      <c r="G362" s="74"/>
      <c r="H362" s="74"/>
      <c r="J362" s="7"/>
      <c r="K362" s="74"/>
      <c r="L362" s="74"/>
      <c r="N362" s="7"/>
      <c r="O362" s="74"/>
      <c r="P362" s="74"/>
      <c r="R362" s="7"/>
      <c r="S362" s="7"/>
      <c r="T362" s="66"/>
    </row>
    <row r="363" spans="1:20" ht="13.2">
      <c r="A363" s="7"/>
      <c r="B363" s="7"/>
      <c r="C363" s="74"/>
      <c r="D363" s="74"/>
      <c r="F363" s="7"/>
      <c r="G363" s="74"/>
      <c r="H363" s="74"/>
      <c r="J363" s="7"/>
      <c r="K363" s="74"/>
      <c r="L363" s="74"/>
      <c r="N363" s="7"/>
      <c r="O363" s="74"/>
      <c r="P363" s="74"/>
      <c r="R363" s="7"/>
      <c r="S363" s="7"/>
      <c r="T363" s="66"/>
    </row>
    <row r="364" spans="1:20" ht="13.2">
      <c r="A364" s="7"/>
      <c r="B364" s="7"/>
      <c r="C364" s="74"/>
      <c r="D364" s="74"/>
      <c r="F364" s="7"/>
      <c r="G364" s="74"/>
      <c r="H364" s="74"/>
      <c r="J364" s="7"/>
      <c r="K364" s="74"/>
      <c r="L364" s="74"/>
      <c r="N364" s="7"/>
      <c r="O364" s="74"/>
      <c r="P364" s="74"/>
      <c r="R364" s="7"/>
      <c r="S364" s="7"/>
      <c r="T364" s="66"/>
    </row>
    <row r="365" spans="1:20" ht="13.2">
      <c r="A365" s="7"/>
      <c r="B365" s="7"/>
      <c r="C365" s="74"/>
      <c r="D365" s="74"/>
      <c r="F365" s="7"/>
      <c r="G365" s="74"/>
      <c r="H365" s="74"/>
      <c r="J365" s="7"/>
      <c r="K365" s="74"/>
      <c r="L365" s="74"/>
      <c r="N365" s="7"/>
      <c r="O365" s="74"/>
      <c r="P365" s="74"/>
      <c r="R365" s="7"/>
      <c r="S365" s="7"/>
      <c r="T365" s="66"/>
    </row>
    <row r="366" spans="1:20" ht="13.2">
      <c r="A366" s="7"/>
      <c r="B366" s="7"/>
      <c r="C366" s="74"/>
      <c r="D366" s="74"/>
      <c r="F366" s="7"/>
      <c r="G366" s="74"/>
      <c r="H366" s="74"/>
      <c r="J366" s="7"/>
      <c r="K366" s="74"/>
      <c r="L366" s="74"/>
      <c r="N366" s="7"/>
      <c r="O366" s="74"/>
      <c r="P366" s="74"/>
      <c r="R366" s="7"/>
      <c r="S366" s="7"/>
      <c r="T366" s="66"/>
    </row>
    <row r="367" spans="1:20" ht="13.2">
      <c r="A367" s="7"/>
      <c r="B367" s="7"/>
      <c r="C367" s="74"/>
      <c r="D367" s="74"/>
      <c r="F367" s="7"/>
      <c r="G367" s="74"/>
      <c r="H367" s="74"/>
      <c r="J367" s="7"/>
      <c r="K367" s="74"/>
      <c r="L367" s="74"/>
      <c r="N367" s="7"/>
      <c r="O367" s="74"/>
      <c r="P367" s="74"/>
      <c r="R367" s="7"/>
      <c r="S367" s="7"/>
      <c r="T367" s="66"/>
    </row>
    <row r="368" spans="1:20" ht="13.2">
      <c r="A368" s="7"/>
      <c r="B368" s="7"/>
      <c r="C368" s="74"/>
      <c r="D368" s="74"/>
      <c r="F368" s="7"/>
      <c r="G368" s="74"/>
      <c r="H368" s="74"/>
      <c r="J368" s="7"/>
      <c r="K368" s="74"/>
      <c r="L368" s="74"/>
      <c r="N368" s="7"/>
      <c r="O368" s="74"/>
      <c r="P368" s="74"/>
      <c r="R368" s="7"/>
      <c r="S368" s="7"/>
      <c r="T368" s="66"/>
    </row>
    <row r="369" spans="1:20" ht="13.2">
      <c r="A369" s="7"/>
      <c r="B369" s="7"/>
      <c r="C369" s="74"/>
      <c r="D369" s="74"/>
      <c r="F369" s="7"/>
      <c r="G369" s="74"/>
      <c r="H369" s="74"/>
      <c r="J369" s="7"/>
      <c r="K369" s="74"/>
      <c r="L369" s="74"/>
      <c r="N369" s="7"/>
      <c r="O369" s="74"/>
      <c r="P369" s="74"/>
      <c r="R369" s="7"/>
      <c r="S369" s="7"/>
      <c r="T369" s="66"/>
    </row>
    <row r="370" spans="1:20" ht="13.2">
      <c r="A370" s="7"/>
      <c r="B370" s="7"/>
      <c r="C370" s="74"/>
      <c r="D370" s="74"/>
      <c r="F370" s="7"/>
      <c r="G370" s="74"/>
      <c r="H370" s="74"/>
      <c r="J370" s="7"/>
      <c r="K370" s="74"/>
      <c r="L370" s="74"/>
      <c r="N370" s="7"/>
      <c r="O370" s="74"/>
      <c r="P370" s="74"/>
      <c r="R370" s="7"/>
      <c r="S370" s="7"/>
      <c r="T370" s="66"/>
    </row>
    <row r="371" spans="1:20" ht="13.2">
      <c r="A371" s="7"/>
      <c r="B371" s="7"/>
      <c r="C371" s="74"/>
      <c r="D371" s="74"/>
      <c r="F371" s="7"/>
      <c r="G371" s="74"/>
      <c r="H371" s="74"/>
      <c r="J371" s="7"/>
      <c r="K371" s="74"/>
      <c r="L371" s="74"/>
      <c r="N371" s="7"/>
      <c r="O371" s="74"/>
      <c r="P371" s="74"/>
      <c r="R371" s="7"/>
      <c r="S371" s="7"/>
      <c r="T371" s="66"/>
    </row>
    <row r="372" spans="1:20" ht="13.2">
      <c r="A372" s="7"/>
      <c r="B372" s="7"/>
      <c r="C372" s="74"/>
      <c r="D372" s="74"/>
      <c r="F372" s="7"/>
      <c r="G372" s="74"/>
      <c r="H372" s="74"/>
      <c r="J372" s="7"/>
      <c r="K372" s="74"/>
      <c r="L372" s="74"/>
      <c r="N372" s="7"/>
      <c r="O372" s="74"/>
      <c r="P372" s="74"/>
      <c r="R372" s="7"/>
      <c r="S372" s="7"/>
      <c r="T372" s="66"/>
    </row>
    <row r="373" spans="1:20" ht="13.2">
      <c r="A373" s="7"/>
      <c r="B373" s="7"/>
      <c r="C373" s="74"/>
      <c r="D373" s="74"/>
      <c r="F373" s="7"/>
      <c r="G373" s="74"/>
      <c r="H373" s="74"/>
      <c r="J373" s="7"/>
      <c r="K373" s="74"/>
      <c r="L373" s="74"/>
      <c r="N373" s="7"/>
      <c r="O373" s="74"/>
      <c r="P373" s="74"/>
      <c r="R373" s="7"/>
      <c r="S373" s="7"/>
      <c r="T373" s="66"/>
    </row>
    <row r="374" spans="1:20" ht="13.2">
      <c r="A374" s="7"/>
      <c r="B374" s="7"/>
      <c r="C374" s="74"/>
      <c r="D374" s="74"/>
      <c r="F374" s="7"/>
      <c r="G374" s="74"/>
      <c r="H374" s="74"/>
      <c r="J374" s="7"/>
      <c r="K374" s="74"/>
      <c r="L374" s="74"/>
      <c r="N374" s="7"/>
      <c r="O374" s="74"/>
      <c r="P374" s="74"/>
      <c r="R374" s="7"/>
      <c r="S374" s="7"/>
      <c r="T374" s="66"/>
    </row>
    <row r="375" spans="1:20" ht="13.2">
      <c r="A375" s="7"/>
      <c r="B375" s="7"/>
      <c r="C375" s="74"/>
      <c r="D375" s="74"/>
      <c r="F375" s="7"/>
      <c r="G375" s="74"/>
      <c r="H375" s="74"/>
      <c r="J375" s="7"/>
      <c r="K375" s="74"/>
      <c r="L375" s="74"/>
      <c r="N375" s="7"/>
      <c r="O375" s="74"/>
      <c r="P375" s="74"/>
      <c r="R375" s="7"/>
      <c r="S375" s="7"/>
      <c r="T375" s="66"/>
    </row>
    <row r="376" spans="1:20" ht="13.2">
      <c r="A376" s="7"/>
      <c r="B376" s="7"/>
      <c r="C376" s="74"/>
      <c r="D376" s="74"/>
      <c r="F376" s="7"/>
      <c r="G376" s="74"/>
      <c r="H376" s="74"/>
      <c r="J376" s="7"/>
      <c r="K376" s="74"/>
      <c r="L376" s="74"/>
      <c r="N376" s="7"/>
      <c r="O376" s="74"/>
      <c r="P376" s="74"/>
      <c r="R376" s="7"/>
      <c r="S376" s="7"/>
      <c r="T376" s="66"/>
    </row>
    <row r="377" spans="1:20" ht="13.2">
      <c r="A377" s="7"/>
      <c r="B377" s="7"/>
      <c r="C377" s="74"/>
      <c r="D377" s="74"/>
      <c r="F377" s="7"/>
      <c r="G377" s="74"/>
      <c r="H377" s="74"/>
      <c r="J377" s="7"/>
      <c r="K377" s="74"/>
      <c r="L377" s="74"/>
      <c r="N377" s="7"/>
      <c r="O377" s="74"/>
      <c r="P377" s="74"/>
      <c r="R377" s="7"/>
      <c r="S377" s="7"/>
      <c r="T377" s="66"/>
    </row>
    <row r="378" spans="1:20" ht="13.2">
      <c r="A378" s="7"/>
      <c r="B378" s="7"/>
      <c r="C378" s="74"/>
      <c r="D378" s="74"/>
      <c r="F378" s="7"/>
      <c r="G378" s="74"/>
      <c r="H378" s="74"/>
      <c r="J378" s="7"/>
      <c r="K378" s="74"/>
      <c r="L378" s="74"/>
      <c r="N378" s="7"/>
      <c r="O378" s="74"/>
      <c r="P378" s="74"/>
      <c r="R378" s="7"/>
      <c r="S378" s="7"/>
      <c r="T378" s="66"/>
    </row>
    <row r="379" spans="1:20" ht="13.2">
      <c r="A379" s="7"/>
      <c r="B379" s="7"/>
      <c r="C379" s="74"/>
      <c r="D379" s="74"/>
      <c r="F379" s="7"/>
      <c r="G379" s="74"/>
      <c r="H379" s="74"/>
      <c r="J379" s="7"/>
      <c r="K379" s="74"/>
      <c r="L379" s="74"/>
      <c r="N379" s="7"/>
      <c r="O379" s="74"/>
      <c r="P379" s="74"/>
      <c r="R379" s="7"/>
      <c r="S379" s="7"/>
      <c r="T379" s="66"/>
    </row>
    <row r="380" spans="1:20" ht="13.2">
      <c r="A380" s="7"/>
      <c r="B380" s="7"/>
      <c r="C380" s="74"/>
      <c r="D380" s="74"/>
      <c r="F380" s="7"/>
      <c r="G380" s="74"/>
      <c r="H380" s="74"/>
      <c r="J380" s="7"/>
      <c r="K380" s="74"/>
      <c r="L380" s="74"/>
      <c r="N380" s="7"/>
      <c r="O380" s="74"/>
      <c r="P380" s="74"/>
      <c r="R380" s="7"/>
      <c r="S380" s="7"/>
      <c r="T380" s="66"/>
    </row>
    <row r="381" spans="1:20" ht="13.2">
      <c r="A381" s="7"/>
      <c r="B381" s="7"/>
      <c r="C381" s="74"/>
      <c r="D381" s="74"/>
      <c r="F381" s="7"/>
      <c r="G381" s="74"/>
      <c r="H381" s="74"/>
      <c r="J381" s="7"/>
      <c r="K381" s="74"/>
      <c r="L381" s="74"/>
      <c r="N381" s="7"/>
      <c r="O381" s="74"/>
      <c r="P381" s="74"/>
      <c r="R381" s="7"/>
      <c r="S381" s="7"/>
      <c r="T381" s="66"/>
    </row>
    <row r="382" spans="1:20" ht="13.2">
      <c r="A382" s="7"/>
      <c r="B382" s="7"/>
      <c r="C382" s="74"/>
      <c r="D382" s="74"/>
      <c r="F382" s="7"/>
      <c r="G382" s="74"/>
      <c r="H382" s="74"/>
      <c r="J382" s="7"/>
      <c r="K382" s="74"/>
      <c r="L382" s="74"/>
      <c r="N382" s="7"/>
      <c r="O382" s="74"/>
      <c r="P382" s="74"/>
      <c r="R382" s="7"/>
      <c r="S382" s="7"/>
      <c r="T382" s="66"/>
    </row>
    <row r="383" spans="1:20" ht="13.2">
      <c r="A383" s="7"/>
      <c r="B383" s="7"/>
      <c r="C383" s="74"/>
      <c r="D383" s="74"/>
      <c r="F383" s="7"/>
      <c r="G383" s="74"/>
      <c r="H383" s="74"/>
      <c r="J383" s="7"/>
      <c r="K383" s="74"/>
      <c r="L383" s="74"/>
      <c r="N383" s="7"/>
      <c r="O383" s="74"/>
      <c r="P383" s="74"/>
      <c r="R383" s="7"/>
      <c r="S383" s="7"/>
      <c r="T383" s="66"/>
    </row>
    <row r="384" spans="1:20" ht="13.2">
      <c r="A384" s="7"/>
      <c r="B384" s="7"/>
      <c r="C384" s="74"/>
      <c r="D384" s="74"/>
      <c r="F384" s="7"/>
      <c r="G384" s="74"/>
      <c r="H384" s="74"/>
      <c r="J384" s="7"/>
      <c r="K384" s="74"/>
      <c r="L384" s="74"/>
      <c r="N384" s="7"/>
      <c r="O384" s="74"/>
      <c r="P384" s="74"/>
      <c r="R384" s="7"/>
      <c r="S384" s="7"/>
      <c r="T384" s="66"/>
    </row>
    <row r="385" spans="1:20" ht="13.2">
      <c r="A385" s="7"/>
      <c r="B385" s="7"/>
      <c r="C385" s="74"/>
      <c r="D385" s="74"/>
      <c r="F385" s="7"/>
      <c r="G385" s="74"/>
      <c r="H385" s="74"/>
      <c r="J385" s="7"/>
      <c r="K385" s="74"/>
      <c r="L385" s="74"/>
      <c r="N385" s="7"/>
      <c r="O385" s="74"/>
      <c r="P385" s="74"/>
      <c r="R385" s="7"/>
      <c r="S385" s="7"/>
      <c r="T385" s="66"/>
    </row>
    <row r="386" spans="1:20" ht="13.2">
      <c r="A386" s="7"/>
      <c r="B386" s="7"/>
      <c r="C386" s="74"/>
      <c r="D386" s="74"/>
      <c r="F386" s="7"/>
      <c r="G386" s="74"/>
      <c r="H386" s="74"/>
      <c r="J386" s="7"/>
      <c r="K386" s="74"/>
      <c r="L386" s="74"/>
      <c r="N386" s="7"/>
      <c r="O386" s="74"/>
      <c r="P386" s="74"/>
      <c r="R386" s="7"/>
      <c r="S386" s="7"/>
      <c r="T386" s="66"/>
    </row>
    <row r="387" spans="1:20" ht="13.2">
      <c r="A387" s="7"/>
      <c r="B387" s="7"/>
      <c r="C387" s="74"/>
      <c r="D387" s="74"/>
      <c r="F387" s="7"/>
      <c r="G387" s="74"/>
      <c r="H387" s="74"/>
      <c r="J387" s="7"/>
      <c r="K387" s="74"/>
      <c r="L387" s="74"/>
      <c r="N387" s="7"/>
      <c r="O387" s="74"/>
      <c r="P387" s="74"/>
      <c r="R387" s="7"/>
      <c r="S387" s="7"/>
      <c r="T387" s="66"/>
    </row>
    <row r="388" spans="1:20" ht="13.2">
      <c r="A388" s="7"/>
      <c r="B388" s="7"/>
      <c r="C388" s="74"/>
      <c r="D388" s="74"/>
      <c r="F388" s="7"/>
      <c r="G388" s="74"/>
      <c r="H388" s="74"/>
      <c r="J388" s="7"/>
      <c r="K388" s="74"/>
      <c r="L388" s="74"/>
      <c r="N388" s="7"/>
      <c r="O388" s="74"/>
      <c r="P388" s="74"/>
      <c r="R388" s="7"/>
      <c r="S388" s="7"/>
      <c r="T388" s="66"/>
    </row>
    <row r="389" spans="1:20" ht="13.2">
      <c r="A389" s="7"/>
      <c r="B389" s="7"/>
      <c r="C389" s="74"/>
      <c r="D389" s="74"/>
      <c r="F389" s="7"/>
      <c r="G389" s="74"/>
      <c r="H389" s="74"/>
      <c r="J389" s="7"/>
      <c r="K389" s="74"/>
      <c r="L389" s="74"/>
      <c r="N389" s="7"/>
      <c r="O389" s="74"/>
      <c r="P389" s="74"/>
      <c r="R389" s="7"/>
      <c r="S389" s="7"/>
      <c r="T389" s="66"/>
    </row>
    <row r="390" spans="1:20" ht="13.2">
      <c r="A390" s="7"/>
      <c r="B390" s="7"/>
      <c r="C390" s="74"/>
      <c r="D390" s="74"/>
      <c r="F390" s="7"/>
      <c r="G390" s="74"/>
      <c r="H390" s="74"/>
      <c r="J390" s="7"/>
      <c r="K390" s="74"/>
      <c r="L390" s="74"/>
      <c r="N390" s="7"/>
      <c r="O390" s="74"/>
      <c r="P390" s="74"/>
      <c r="R390" s="7"/>
      <c r="S390" s="7"/>
      <c r="T390" s="66"/>
    </row>
    <row r="391" spans="1:20" ht="13.2">
      <c r="A391" s="7"/>
      <c r="B391" s="7"/>
      <c r="C391" s="74"/>
      <c r="D391" s="74"/>
      <c r="F391" s="7"/>
      <c r="G391" s="74"/>
      <c r="H391" s="74"/>
      <c r="J391" s="7"/>
      <c r="K391" s="74"/>
      <c r="L391" s="74"/>
      <c r="N391" s="7"/>
      <c r="O391" s="74"/>
      <c r="P391" s="74"/>
      <c r="R391" s="7"/>
      <c r="S391" s="7"/>
      <c r="T391" s="66"/>
    </row>
    <row r="392" spans="1:20" ht="13.2">
      <c r="A392" s="7"/>
      <c r="B392" s="7"/>
      <c r="C392" s="74"/>
      <c r="D392" s="74"/>
      <c r="F392" s="7"/>
      <c r="G392" s="74"/>
      <c r="H392" s="74"/>
      <c r="J392" s="7"/>
      <c r="K392" s="74"/>
      <c r="L392" s="74"/>
      <c r="N392" s="7"/>
      <c r="O392" s="74"/>
      <c r="P392" s="74"/>
      <c r="R392" s="7"/>
      <c r="S392" s="7"/>
      <c r="T392" s="66"/>
    </row>
    <row r="393" spans="1:20" ht="13.2">
      <c r="A393" s="7"/>
      <c r="B393" s="7"/>
      <c r="C393" s="74"/>
      <c r="D393" s="74"/>
      <c r="F393" s="7"/>
      <c r="G393" s="74"/>
      <c r="H393" s="74"/>
      <c r="J393" s="7"/>
      <c r="K393" s="74"/>
      <c r="L393" s="74"/>
      <c r="N393" s="7"/>
      <c r="O393" s="74"/>
      <c r="P393" s="74"/>
      <c r="R393" s="7"/>
      <c r="S393" s="7"/>
      <c r="T393" s="66"/>
    </row>
    <row r="394" spans="1:20" ht="13.2">
      <c r="A394" s="7"/>
      <c r="B394" s="7"/>
      <c r="C394" s="74"/>
      <c r="D394" s="74"/>
      <c r="F394" s="7"/>
      <c r="G394" s="74"/>
      <c r="H394" s="74"/>
      <c r="J394" s="7"/>
      <c r="K394" s="74"/>
      <c r="L394" s="74"/>
      <c r="N394" s="7"/>
      <c r="O394" s="74"/>
      <c r="P394" s="74"/>
      <c r="R394" s="7"/>
      <c r="S394" s="7"/>
      <c r="T394" s="66"/>
    </row>
    <row r="395" spans="1:20" ht="13.2">
      <c r="A395" s="7"/>
      <c r="B395" s="7"/>
      <c r="C395" s="74"/>
      <c r="D395" s="74"/>
      <c r="F395" s="7"/>
      <c r="G395" s="74"/>
      <c r="H395" s="74"/>
      <c r="J395" s="7"/>
      <c r="K395" s="74"/>
      <c r="L395" s="74"/>
      <c r="N395" s="7"/>
      <c r="O395" s="74"/>
      <c r="P395" s="74"/>
      <c r="R395" s="7"/>
      <c r="S395" s="7"/>
      <c r="T395" s="66"/>
    </row>
    <row r="396" spans="1:20" ht="13.2">
      <c r="A396" s="7"/>
      <c r="B396" s="7"/>
      <c r="C396" s="74"/>
      <c r="D396" s="74"/>
      <c r="F396" s="7"/>
      <c r="G396" s="74"/>
      <c r="H396" s="74"/>
      <c r="J396" s="7"/>
      <c r="K396" s="74"/>
      <c r="L396" s="74"/>
      <c r="N396" s="7"/>
      <c r="O396" s="74"/>
      <c r="P396" s="74"/>
      <c r="R396" s="7"/>
      <c r="S396" s="7"/>
      <c r="T396" s="66"/>
    </row>
    <row r="397" spans="1:20" ht="13.2">
      <c r="A397" s="7"/>
      <c r="B397" s="7"/>
      <c r="C397" s="74"/>
      <c r="D397" s="74"/>
      <c r="F397" s="7"/>
      <c r="G397" s="74"/>
      <c r="H397" s="74"/>
      <c r="J397" s="7"/>
      <c r="K397" s="74"/>
      <c r="L397" s="74"/>
      <c r="N397" s="7"/>
      <c r="O397" s="74"/>
      <c r="P397" s="74"/>
      <c r="R397" s="7"/>
      <c r="S397" s="7"/>
      <c r="T397" s="66"/>
    </row>
    <row r="398" spans="1:20" ht="13.2">
      <c r="A398" s="7"/>
      <c r="B398" s="7"/>
      <c r="C398" s="74"/>
      <c r="D398" s="74"/>
      <c r="F398" s="7"/>
      <c r="G398" s="74"/>
      <c r="H398" s="74"/>
      <c r="J398" s="7"/>
      <c r="K398" s="74"/>
      <c r="L398" s="74"/>
      <c r="N398" s="7"/>
      <c r="O398" s="74"/>
      <c r="P398" s="74"/>
      <c r="R398" s="7"/>
      <c r="S398" s="7"/>
      <c r="T398" s="66"/>
    </row>
    <row r="399" spans="1:20" ht="13.2">
      <c r="A399" s="7"/>
      <c r="B399" s="7"/>
      <c r="C399" s="74"/>
      <c r="D399" s="74"/>
      <c r="F399" s="7"/>
      <c r="G399" s="74"/>
      <c r="H399" s="74"/>
      <c r="J399" s="7"/>
      <c r="K399" s="74"/>
      <c r="L399" s="74"/>
      <c r="N399" s="7"/>
      <c r="O399" s="74"/>
      <c r="P399" s="74"/>
      <c r="R399" s="7"/>
      <c r="S399" s="7"/>
      <c r="T399" s="66"/>
    </row>
    <row r="400" spans="1:20" ht="13.2">
      <c r="A400" s="7"/>
      <c r="B400" s="7"/>
      <c r="C400" s="74"/>
      <c r="D400" s="74"/>
      <c r="F400" s="7"/>
      <c r="G400" s="74"/>
      <c r="H400" s="74"/>
      <c r="J400" s="7"/>
      <c r="K400" s="74"/>
      <c r="L400" s="74"/>
      <c r="N400" s="7"/>
      <c r="O400" s="74"/>
      <c r="P400" s="74"/>
      <c r="R400" s="7"/>
      <c r="S400" s="7"/>
      <c r="T400" s="66"/>
    </row>
    <row r="401" spans="1:20" ht="13.2">
      <c r="A401" s="7"/>
      <c r="B401" s="7"/>
      <c r="C401" s="74"/>
      <c r="D401" s="74"/>
      <c r="F401" s="7"/>
      <c r="G401" s="74"/>
      <c r="H401" s="74"/>
      <c r="J401" s="7"/>
      <c r="K401" s="74"/>
      <c r="L401" s="74"/>
      <c r="N401" s="7"/>
      <c r="O401" s="74"/>
      <c r="P401" s="74"/>
      <c r="R401" s="7"/>
      <c r="S401" s="7"/>
      <c r="T401" s="66"/>
    </row>
    <row r="402" spans="1:20" ht="13.2">
      <c r="A402" s="7"/>
      <c r="B402" s="7"/>
      <c r="C402" s="74"/>
      <c r="D402" s="74"/>
      <c r="F402" s="7"/>
      <c r="G402" s="74"/>
      <c r="H402" s="74"/>
      <c r="J402" s="7"/>
      <c r="K402" s="74"/>
      <c r="L402" s="74"/>
      <c r="N402" s="7"/>
      <c r="O402" s="74"/>
      <c r="P402" s="74"/>
      <c r="R402" s="7"/>
      <c r="S402" s="7"/>
      <c r="T402" s="66"/>
    </row>
    <row r="403" spans="1:20" ht="13.2">
      <c r="A403" s="7"/>
      <c r="B403" s="7"/>
      <c r="C403" s="74"/>
      <c r="D403" s="74"/>
      <c r="F403" s="7"/>
      <c r="G403" s="74"/>
      <c r="H403" s="74"/>
      <c r="J403" s="7"/>
      <c r="K403" s="74"/>
      <c r="L403" s="74"/>
      <c r="N403" s="7"/>
      <c r="O403" s="74"/>
      <c r="P403" s="74"/>
      <c r="R403" s="7"/>
      <c r="S403" s="7"/>
      <c r="T403" s="66"/>
    </row>
    <row r="404" spans="1:20" ht="13.2">
      <c r="A404" s="7"/>
      <c r="B404" s="7"/>
      <c r="C404" s="74"/>
      <c r="D404" s="74"/>
      <c r="F404" s="7"/>
      <c r="G404" s="74"/>
      <c r="H404" s="74"/>
      <c r="J404" s="7"/>
      <c r="K404" s="74"/>
      <c r="L404" s="74"/>
      <c r="N404" s="7"/>
      <c r="O404" s="74"/>
      <c r="P404" s="74"/>
      <c r="R404" s="7"/>
      <c r="S404" s="7"/>
      <c r="T404" s="66"/>
    </row>
    <row r="405" spans="1:20" ht="13.2">
      <c r="A405" s="7"/>
      <c r="B405" s="7"/>
      <c r="C405" s="74"/>
      <c r="D405" s="74"/>
      <c r="F405" s="7"/>
      <c r="G405" s="74"/>
      <c r="H405" s="74"/>
      <c r="J405" s="7"/>
      <c r="K405" s="74"/>
      <c r="L405" s="74"/>
      <c r="N405" s="7"/>
      <c r="O405" s="74"/>
      <c r="P405" s="74"/>
      <c r="R405" s="7"/>
      <c r="S405" s="7"/>
      <c r="T405" s="66"/>
    </row>
    <row r="406" spans="1:20" ht="13.2">
      <c r="A406" s="7"/>
      <c r="B406" s="7"/>
      <c r="C406" s="74"/>
      <c r="D406" s="74"/>
      <c r="F406" s="7"/>
      <c r="G406" s="74"/>
      <c r="H406" s="74"/>
      <c r="J406" s="7"/>
      <c r="K406" s="74"/>
      <c r="L406" s="74"/>
      <c r="N406" s="7"/>
      <c r="O406" s="74"/>
      <c r="P406" s="74"/>
      <c r="R406" s="7"/>
      <c r="S406" s="7"/>
      <c r="T406" s="66"/>
    </row>
    <row r="407" spans="1:20" ht="13.2">
      <c r="A407" s="7"/>
      <c r="B407" s="7"/>
      <c r="C407" s="74"/>
      <c r="D407" s="74"/>
      <c r="F407" s="7"/>
      <c r="G407" s="74"/>
      <c r="H407" s="74"/>
      <c r="J407" s="7"/>
      <c r="K407" s="74"/>
      <c r="L407" s="74"/>
      <c r="N407" s="7"/>
      <c r="O407" s="74"/>
      <c r="P407" s="74"/>
      <c r="R407" s="7"/>
      <c r="S407" s="7"/>
      <c r="T407" s="66"/>
    </row>
    <row r="408" spans="1:20" ht="13.2">
      <c r="A408" s="7"/>
      <c r="B408" s="7"/>
      <c r="C408" s="74"/>
      <c r="D408" s="74"/>
      <c r="F408" s="7"/>
      <c r="G408" s="74"/>
      <c r="H408" s="74"/>
      <c r="J408" s="7"/>
      <c r="K408" s="74"/>
      <c r="L408" s="74"/>
      <c r="N408" s="7"/>
      <c r="O408" s="74"/>
      <c r="P408" s="74"/>
      <c r="R408" s="7"/>
      <c r="S408" s="7"/>
      <c r="T408" s="66"/>
    </row>
    <row r="409" spans="1:20" ht="13.2">
      <c r="A409" s="7"/>
      <c r="B409" s="7"/>
      <c r="C409" s="74"/>
      <c r="D409" s="74"/>
      <c r="F409" s="7"/>
      <c r="G409" s="74"/>
      <c r="H409" s="74"/>
      <c r="J409" s="7"/>
      <c r="K409" s="74"/>
      <c r="L409" s="74"/>
      <c r="N409" s="7"/>
      <c r="O409" s="74"/>
      <c r="P409" s="74"/>
      <c r="R409" s="7"/>
      <c r="S409" s="7"/>
      <c r="T409" s="66"/>
    </row>
    <row r="410" spans="1:20" ht="13.2">
      <c r="A410" s="7"/>
      <c r="B410" s="7"/>
      <c r="C410" s="74"/>
      <c r="D410" s="74"/>
      <c r="F410" s="7"/>
      <c r="G410" s="74"/>
      <c r="H410" s="74"/>
      <c r="J410" s="7"/>
      <c r="K410" s="74"/>
      <c r="L410" s="74"/>
      <c r="N410" s="7"/>
      <c r="O410" s="74"/>
      <c r="P410" s="74"/>
      <c r="R410" s="7"/>
      <c r="S410" s="7"/>
      <c r="T410" s="66"/>
    </row>
    <row r="411" spans="1:20" ht="13.2">
      <c r="A411" s="7"/>
      <c r="B411" s="7"/>
      <c r="C411" s="74"/>
      <c r="D411" s="74"/>
      <c r="F411" s="7"/>
      <c r="G411" s="74"/>
      <c r="H411" s="74"/>
      <c r="J411" s="7"/>
      <c r="K411" s="74"/>
      <c r="L411" s="74"/>
      <c r="N411" s="7"/>
      <c r="O411" s="74"/>
      <c r="P411" s="74"/>
      <c r="R411" s="7"/>
      <c r="S411" s="7"/>
      <c r="T411" s="66"/>
    </row>
    <row r="412" spans="1:20" ht="13.2">
      <c r="A412" s="7"/>
      <c r="B412" s="7"/>
      <c r="C412" s="74"/>
      <c r="D412" s="74"/>
      <c r="F412" s="7"/>
      <c r="G412" s="74"/>
      <c r="H412" s="74"/>
      <c r="J412" s="7"/>
      <c r="K412" s="74"/>
      <c r="L412" s="74"/>
      <c r="N412" s="7"/>
      <c r="O412" s="74"/>
      <c r="P412" s="74"/>
      <c r="R412" s="7"/>
      <c r="S412" s="7"/>
      <c r="T412" s="66"/>
    </row>
    <row r="413" spans="1:20" ht="13.2">
      <c r="A413" s="7"/>
      <c r="B413" s="7"/>
      <c r="C413" s="74"/>
      <c r="D413" s="74"/>
      <c r="F413" s="7"/>
      <c r="G413" s="74"/>
      <c r="H413" s="74"/>
      <c r="J413" s="7"/>
      <c r="K413" s="74"/>
      <c r="L413" s="74"/>
      <c r="N413" s="7"/>
      <c r="O413" s="74"/>
      <c r="P413" s="74"/>
      <c r="R413" s="7"/>
      <c r="S413" s="7"/>
      <c r="T413" s="66"/>
    </row>
    <row r="414" spans="1:20" ht="13.2">
      <c r="A414" s="7"/>
      <c r="B414" s="7"/>
      <c r="C414" s="74"/>
      <c r="D414" s="74"/>
      <c r="F414" s="7"/>
      <c r="G414" s="74"/>
      <c r="H414" s="74"/>
      <c r="J414" s="7"/>
      <c r="K414" s="74"/>
      <c r="L414" s="74"/>
      <c r="N414" s="7"/>
      <c r="O414" s="74"/>
      <c r="P414" s="74"/>
      <c r="R414" s="7"/>
      <c r="S414" s="7"/>
      <c r="T414" s="66"/>
    </row>
    <row r="415" spans="1:20" ht="13.2">
      <c r="A415" s="7"/>
      <c r="B415" s="7"/>
      <c r="C415" s="74"/>
      <c r="D415" s="74"/>
      <c r="F415" s="7"/>
      <c r="G415" s="74"/>
      <c r="H415" s="74"/>
      <c r="J415" s="7"/>
      <c r="K415" s="74"/>
      <c r="L415" s="74"/>
      <c r="N415" s="7"/>
      <c r="O415" s="74"/>
      <c r="P415" s="74"/>
      <c r="R415" s="7"/>
      <c r="S415" s="7"/>
      <c r="T415" s="66"/>
    </row>
    <row r="416" spans="1:20" ht="13.2">
      <c r="A416" s="7"/>
      <c r="B416" s="7"/>
      <c r="C416" s="74"/>
      <c r="D416" s="74"/>
      <c r="F416" s="7"/>
      <c r="G416" s="74"/>
      <c r="H416" s="74"/>
      <c r="J416" s="7"/>
      <c r="K416" s="74"/>
      <c r="L416" s="74"/>
      <c r="N416" s="7"/>
      <c r="O416" s="74"/>
      <c r="P416" s="74"/>
      <c r="R416" s="7"/>
      <c r="S416" s="7"/>
      <c r="T416" s="66"/>
    </row>
    <row r="417" spans="1:20" ht="13.2">
      <c r="A417" s="7"/>
      <c r="B417" s="7"/>
      <c r="C417" s="74"/>
      <c r="D417" s="74"/>
      <c r="F417" s="7"/>
      <c r="G417" s="74"/>
      <c r="H417" s="74"/>
      <c r="J417" s="7"/>
      <c r="K417" s="74"/>
      <c r="L417" s="74"/>
      <c r="N417" s="7"/>
      <c r="O417" s="74"/>
      <c r="P417" s="74"/>
      <c r="R417" s="7"/>
      <c r="S417" s="7"/>
      <c r="T417" s="66"/>
    </row>
    <row r="418" spans="1:20" ht="13.2">
      <c r="A418" s="7"/>
      <c r="B418" s="7"/>
      <c r="C418" s="74"/>
      <c r="D418" s="74"/>
      <c r="F418" s="7"/>
      <c r="G418" s="74"/>
      <c r="H418" s="74"/>
      <c r="J418" s="7"/>
      <c r="K418" s="74"/>
      <c r="L418" s="74"/>
      <c r="N418" s="7"/>
      <c r="O418" s="74"/>
      <c r="P418" s="74"/>
      <c r="R418" s="7"/>
      <c r="S418" s="7"/>
      <c r="T418" s="66"/>
    </row>
    <row r="419" spans="1:20" ht="13.2">
      <c r="A419" s="7"/>
      <c r="B419" s="7"/>
      <c r="C419" s="74"/>
      <c r="D419" s="74"/>
      <c r="F419" s="7"/>
      <c r="G419" s="74"/>
      <c r="H419" s="74"/>
      <c r="J419" s="7"/>
      <c r="K419" s="74"/>
      <c r="L419" s="74"/>
      <c r="N419" s="7"/>
      <c r="O419" s="74"/>
      <c r="P419" s="74"/>
      <c r="R419" s="7"/>
      <c r="S419" s="7"/>
      <c r="T419" s="66"/>
    </row>
    <row r="420" spans="1:20" ht="13.2">
      <c r="A420" s="7"/>
      <c r="B420" s="7"/>
      <c r="C420" s="74"/>
      <c r="D420" s="74"/>
      <c r="F420" s="7"/>
      <c r="G420" s="74"/>
      <c r="H420" s="74"/>
      <c r="J420" s="7"/>
      <c r="K420" s="74"/>
      <c r="L420" s="74"/>
      <c r="N420" s="7"/>
      <c r="O420" s="74"/>
      <c r="P420" s="74"/>
      <c r="R420" s="7"/>
      <c r="S420" s="7"/>
      <c r="T420" s="66"/>
    </row>
    <row r="421" spans="1:20" ht="13.2">
      <c r="A421" s="7"/>
      <c r="B421" s="7"/>
      <c r="C421" s="74"/>
      <c r="D421" s="74"/>
      <c r="F421" s="7"/>
      <c r="G421" s="74"/>
      <c r="H421" s="74"/>
      <c r="J421" s="7"/>
      <c r="K421" s="74"/>
      <c r="L421" s="74"/>
      <c r="N421" s="7"/>
      <c r="O421" s="74"/>
      <c r="P421" s="74"/>
      <c r="R421" s="7"/>
      <c r="S421" s="7"/>
      <c r="T421" s="66"/>
    </row>
    <row r="422" spans="1:20" ht="13.2">
      <c r="A422" s="7"/>
      <c r="B422" s="7"/>
      <c r="C422" s="74"/>
      <c r="D422" s="74"/>
      <c r="F422" s="7"/>
      <c r="G422" s="74"/>
      <c r="H422" s="74"/>
      <c r="J422" s="7"/>
      <c r="K422" s="74"/>
      <c r="L422" s="74"/>
      <c r="N422" s="7"/>
      <c r="O422" s="74"/>
      <c r="P422" s="74"/>
      <c r="R422" s="7"/>
      <c r="S422" s="7"/>
      <c r="T422" s="66"/>
    </row>
    <row r="423" spans="1:20" ht="13.2">
      <c r="A423" s="7"/>
      <c r="B423" s="7"/>
      <c r="C423" s="74"/>
      <c r="D423" s="74"/>
      <c r="F423" s="7"/>
      <c r="G423" s="74"/>
      <c r="H423" s="74"/>
      <c r="J423" s="7"/>
      <c r="K423" s="74"/>
      <c r="L423" s="74"/>
      <c r="N423" s="7"/>
      <c r="O423" s="74"/>
      <c r="P423" s="74"/>
      <c r="R423" s="7"/>
      <c r="S423" s="7"/>
      <c r="T423" s="66"/>
    </row>
    <row r="424" spans="1:20" ht="13.2">
      <c r="A424" s="7"/>
      <c r="B424" s="7"/>
      <c r="C424" s="74"/>
      <c r="D424" s="74"/>
      <c r="F424" s="7"/>
      <c r="G424" s="74"/>
      <c r="H424" s="74"/>
      <c r="J424" s="7"/>
      <c r="K424" s="74"/>
      <c r="L424" s="74"/>
      <c r="N424" s="7"/>
      <c r="O424" s="74"/>
      <c r="P424" s="74"/>
      <c r="R424" s="7"/>
      <c r="S424" s="7"/>
      <c r="T424" s="66"/>
    </row>
    <row r="425" spans="1:20" ht="13.2">
      <c r="A425" s="7"/>
      <c r="B425" s="7"/>
      <c r="C425" s="74"/>
      <c r="D425" s="74"/>
      <c r="F425" s="7"/>
      <c r="G425" s="74"/>
      <c r="H425" s="74"/>
      <c r="J425" s="7"/>
      <c r="K425" s="74"/>
      <c r="L425" s="74"/>
      <c r="N425" s="7"/>
      <c r="O425" s="74"/>
      <c r="P425" s="74"/>
      <c r="R425" s="7"/>
      <c r="S425" s="7"/>
      <c r="T425" s="66"/>
    </row>
    <row r="426" spans="1:20" ht="13.2">
      <c r="A426" s="7"/>
      <c r="B426" s="7"/>
      <c r="C426" s="74"/>
      <c r="D426" s="74"/>
      <c r="F426" s="7"/>
      <c r="G426" s="74"/>
      <c r="H426" s="74"/>
      <c r="J426" s="7"/>
      <c r="K426" s="74"/>
      <c r="L426" s="74"/>
      <c r="N426" s="7"/>
      <c r="O426" s="74"/>
      <c r="P426" s="74"/>
      <c r="R426" s="7"/>
      <c r="S426" s="7"/>
      <c r="T426" s="66"/>
    </row>
    <row r="427" spans="1:20" ht="13.2">
      <c r="A427" s="7"/>
      <c r="B427" s="7"/>
      <c r="C427" s="74"/>
      <c r="D427" s="74"/>
      <c r="F427" s="7"/>
      <c r="G427" s="74"/>
      <c r="H427" s="74"/>
      <c r="J427" s="7"/>
      <c r="K427" s="74"/>
      <c r="L427" s="74"/>
      <c r="N427" s="7"/>
      <c r="O427" s="74"/>
      <c r="P427" s="74"/>
      <c r="R427" s="7"/>
      <c r="S427" s="7"/>
      <c r="T427" s="66"/>
    </row>
    <row r="428" spans="1:20" ht="13.2">
      <c r="A428" s="7"/>
      <c r="B428" s="7"/>
      <c r="C428" s="74"/>
      <c r="D428" s="74"/>
      <c r="F428" s="7"/>
      <c r="G428" s="74"/>
      <c r="H428" s="74"/>
      <c r="J428" s="7"/>
      <c r="K428" s="74"/>
      <c r="L428" s="74"/>
      <c r="N428" s="7"/>
      <c r="O428" s="74"/>
      <c r="P428" s="74"/>
      <c r="R428" s="7"/>
      <c r="S428" s="7"/>
      <c r="T428" s="66"/>
    </row>
    <row r="429" spans="1:20" ht="13.2">
      <c r="A429" s="7"/>
      <c r="B429" s="7"/>
      <c r="C429" s="74"/>
      <c r="D429" s="74"/>
      <c r="F429" s="7"/>
      <c r="G429" s="74"/>
      <c r="H429" s="74"/>
      <c r="J429" s="7"/>
      <c r="K429" s="74"/>
      <c r="L429" s="74"/>
      <c r="N429" s="7"/>
      <c r="O429" s="74"/>
      <c r="P429" s="74"/>
      <c r="R429" s="7"/>
      <c r="S429" s="7"/>
      <c r="T429" s="66"/>
    </row>
    <row r="430" spans="1:20" ht="13.2">
      <c r="A430" s="7"/>
      <c r="B430" s="7"/>
      <c r="C430" s="74"/>
      <c r="D430" s="74"/>
      <c r="F430" s="7"/>
      <c r="G430" s="74"/>
      <c r="H430" s="74"/>
      <c r="J430" s="7"/>
      <c r="K430" s="74"/>
      <c r="L430" s="74"/>
      <c r="N430" s="7"/>
      <c r="O430" s="74"/>
      <c r="P430" s="74"/>
      <c r="R430" s="7"/>
      <c r="S430" s="7"/>
      <c r="T430" s="66"/>
    </row>
    <row r="431" spans="1:20" ht="13.2">
      <c r="A431" s="7"/>
      <c r="B431" s="7"/>
      <c r="C431" s="74"/>
      <c r="D431" s="74"/>
      <c r="F431" s="7"/>
      <c r="G431" s="74"/>
      <c r="H431" s="74"/>
      <c r="J431" s="7"/>
      <c r="K431" s="74"/>
      <c r="L431" s="74"/>
      <c r="N431" s="7"/>
      <c r="O431" s="74"/>
      <c r="P431" s="74"/>
      <c r="R431" s="7"/>
      <c r="S431" s="7"/>
      <c r="T431" s="66"/>
    </row>
    <row r="432" spans="1:20" ht="13.2">
      <c r="A432" s="7"/>
      <c r="B432" s="7"/>
      <c r="C432" s="74"/>
      <c r="D432" s="74"/>
      <c r="F432" s="7"/>
      <c r="G432" s="74"/>
      <c r="H432" s="74"/>
      <c r="J432" s="7"/>
      <c r="K432" s="74"/>
      <c r="L432" s="74"/>
      <c r="N432" s="7"/>
      <c r="O432" s="74"/>
      <c r="P432" s="74"/>
      <c r="R432" s="7"/>
      <c r="S432" s="7"/>
      <c r="T432" s="66"/>
    </row>
    <row r="433" spans="1:20" ht="13.2">
      <c r="A433" s="7"/>
      <c r="B433" s="7"/>
      <c r="C433" s="74"/>
      <c r="D433" s="74"/>
      <c r="F433" s="7"/>
      <c r="G433" s="74"/>
      <c r="H433" s="74"/>
      <c r="J433" s="7"/>
      <c r="K433" s="74"/>
      <c r="L433" s="74"/>
      <c r="N433" s="7"/>
      <c r="O433" s="74"/>
      <c r="P433" s="74"/>
      <c r="R433" s="7"/>
      <c r="S433" s="7"/>
      <c r="T433" s="66"/>
    </row>
    <row r="434" spans="1:20" ht="13.2">
      <c r="A434" s="7"/>
      <c r="B434" s="7"/>
      <c r="C434" s="74"/>
      <c r="D434" s="74"/>
      <c r="F434" s="7"/>
      <c r="G434" s="74"/>
      <c r="H434" s="74"/>
      <c r="J434" s="7"/>
      <c r="K434" s="74"/>
      <c r="L434" s="74"/>
      <c r="N434" s="7"/>
      <c r="O434" s="74"/>
      <c r="P434" s="74"/>
      <c r="R434" s="7"/>
      <c r="S434" s="7"/>
      <c r="T434" s="66"/>
    </row>
    <row r="435" spans="1:20" ht="13.2">
      <c r="A435" s="7"/>
      <c r="B435" s="7"/>
      <c r="C435" s="74"/>
      <c r="D435" s="74"/>
      <c r="F435" s="7"/>
      <c r="G435" s="74"/>
      <c r="H435" s="74"/>
      <c r="J435" s="7"/>
      <c r="K435" s="74"/>
      <c r="L435" s="74"/>
      <c r="N435" s="7"/>
      <c r="O435" s="74"/>
      <c r="P435" s="74"/>
      <c r="R435" s="7"/>
      <c r="S435" s="7"/>
      <c r="T435" s="66"/>
    </row>
    <row r="436" spans="1:20" ht="13.2">
      <c r="A436" s="7"/>
      <c r="B436" s="7"/>
      <c r="C436" s="74"/>
      <c r="D436" s="74"/>
      <c r="F436" s="7"/>
      <c r="G436" s="74"/>
      <c r="H436" s="74"/>
      <c r="J436" s="7"/>
      <c r="K436" s="74"/>
      <c r="L436" s="74"/>
      <c r="N436" s="7"/>
      <c r="O436" s="74"/>
      <c r="P436" s="74"/>
      <c r="R436" s="7"/>
      <c r="S436" s="7"/>
      <c r="T436" s="66"/>
    </row>
    <row r="437" spans="1:20" ht="13.2">
      <c r="A437" s="7"/>
      <c r="B437" s="7"/>
      <c r="C437" s="74"/>
      <c r="D437" s="74"/>
      <c r="F437" s="7"/>
      <c r="G437" s="74"/>
      <c r="H437" s="74"/>
      <c r="J437" s="7"/>
      <c r="K437" s="74"/>
      <c r="L437" s="74"/>
      <c r="N437" s="7"/>
      <c r="O437" s="74"/>
      <c r="P437" s="74"/>
      <c r="R437" s="7"/>
      <c r="S437" s="7"/>
      <c r="T437" s="66"/>
    </row>
    <row r="438" spans="1:20" ht="13.2">
      <c r="A438" s="7"/>
      <c r="B438" s="7"/>
      <c r="C438" s="74"/>
      <c r="D438" s="74"/>
      <c r="F438" s="7"/>
      <c r="G438" s="74"/>
      <c r="H438" s="74"/>
      <c r="J438" s="7"/>
      <c r="K438" s="74"/>
      <c r="L438" s="74"/>
      <c r="N438" s="7"/>
      <c r="O438" s="74"/>
      <c r="P438" s="74"/>
      <c r="R438" s="7"/>
      <c r="S438" s="7"/>
      <c r="T438" s="66"/>
    </row>
    <row r="439" spans="1:20" ht="13.2">
      <c r="A439" s="7"/>
      <c r="B439" s="7"/>
      <c r="C439" s="74"/>
      <c r="D439" s="74"/>
      <c r="F439" s="7"/>
      <c r="G439" s="74"/>
      <c r="H439" s="74"/>
      <c r="J439" s="7"/>
      <c r="K439" s="74"/>
      <c r="L439" s="74"/>
      <c r="N439" s="7"/>
      <c r="O439" s="74"/>
      <c r="P439" s="74"/>
      <c r="R439" s="7"/>
      <c r="S439" s="7"/>
      <c r="T439" s="66"/>
    </row>
    <row r="440" spans="1:20" ht="13.2">
      <c r="A440" s="7"/>
      <c r="B440" s="7"/>
      <c r="C440" s="74"/>
      <c r="D440" s="74"/>
      <c r="F440" s="7"/>
      <c r="G440" s="74"/>
      <c r="H440" s="74"/>
      <c r="J440" s="7"/>
      <c r="K440" s="74"/>
      <c r="L440" s="74"/>
      <c r="N440" s="7"/>
      <c r="O440" s="74"/>
      <c r="P440" s="74"/>
      <c r="R440" s="7"/>
      <c r="S440" s="7"/>
      <c r="T440" s="66"/>
    </row>
    <row r="441" spans="1:20" ht="13.2">
      <c r="A441" s="7"/>
      <c r="B441" s="7"/>
      <c r="C441" s="74"/>
      <c r="D441" s="74"/>
      <c r="F441" s="7"/>
      <c r="G441" s="74"/>
      <c r="H441" s="74"/>
      <c r="J441" s="7"/>
      <c r="K441" s="74"/>
      <c r="L441" s="74"/>
      <c r="N441" s="7"/>
      <c r="O441" s="74"/>
      <c r="P441" s="74"/>
      <c r="R441" s="7"/>
      <c r="S441" s="7"/>
      <c r="T441" s="66"/>
    </row>
    <row r="442" spans="1:20" ht="13.2">
      <c r="A442" s="7"/>
      <c r="B442" s="7"/>
      <c r="C442" s="74"/>
      <c r="D442" s="74"/>
      <c r="F442" s="7"/>
      <c r="G442" s="74"/>
      <c r="H442" s="74"/>
      <c r="J442" s="7"/>
      <c r="K442" s="74"/>
      <c r="L442" s="74"/>
      <c r="N442" s="7"/>
      <c r="O442" s="74"/>
      <c r="P442" s="74"/>
      <c r="R442" s="7"/>
      <c r="S442" s="7"/>
      <c r="T442" s="66"/>
    </row>
    <row r="443" spans="1:20" ht="13.2">
      <c r="A443" s="7"/>
      <c r="B443" s="7"/>
      <c r="C443" s="74"/>
      <c r="D443" s="74"/>
      <c r="F443" s="7"/>
      <c r="G443" s="74"/>
      <c r="H443" s="74"/>
      <c r="J443" s="7"/>
      <c r="K443" s="74"/>
      <c r="L443" s="74"/>
      <c r="N443" s="7"/>
      <c r="O443" s="74"/>
      <c r="P443" s="74"/>
      <c r="R443" s="7"/>
      <c r="S443" s="7"/>
      <c r="T443" s="66"/>
    </row>
    <row r="444" spans="1:20" ht="13.2">
      <c r="A444" s="7"/>
      <c r="B444" s="7"/>
      <c r="C444" s="74"/>
      <c r="D444" s="74"/>
      <c r="F444" s="7"/>
      <c r="G444" s="74"/>
      <c r="H444" s="74"/>
      <c r="J444" s="7"/>
      <c r="K444" s="74"/>
      <c r="L444" s="74"/>
      <c r="N444" s="7"/>
      <c r="O444" s="74"/>
      <c r="P444" s="74"/>
      <c r="R444" s="7"/>
      <c r="S444" s="7"/>
      <c r="T444" s="66"/>
    </row>
    <row r="445" spans="1:20" ht="13.2">
      <c r="A445" s="7"/>
      <c r="B445" s="7"/>
      <c r="C445" s="74"/>
      <c r="D445" s="74"/>
      <c r="F445" s="7"/>
      <c r="G445" s="74"/>
      <c r="H445" s="74"/>
      <c r="J445" s="7"/>
      <c r="K445" s="74"/>
      <c r="L445" s="74"/>
      <c r="N445" s="7"/>
      <c r="O445" s="74"/>
      <c r="P445" s="74"/>
      <c r="R445" s="7"/>
      <c r="S445" s="7"/>
      <c r="T445" s="66"/>
    </row>
    <row r="446" spans="1:20" ht="13.2">
      <c r="A446" s="7"/>
      <c r="B446" s="7"/>
      <c r="C446" s="74"/>
      <c r="D446" s="74"/>
      <c r="F446" s="7"/>
      <c r="G446" s="74"/>
      <c r="H446" s="74"/>
      <c r="J446" s="7"/>
      <c r="K446" s="74"/>
      <c r="L446" s="74"/>
      <c r="N446" s="7"/>
      <c r="O446" s="74"/>
      <c r="P446" s="74"/>
      <c r="R446" s="7"/>
      <c r="S446" s="7"/>
      <c r="T446" s="66"/>
    </row>
    <row r="447" spans="1:20" ht="13.2">
      <c r="A447" s="7"/>
      <c r="B447" s="7"/>
      <c r="C447" s="74"/>
      <c r="D447" s="74"/>
      <c r="F447" s="7"/>
      <c r="G447" s="74"/>
      <c r="H447" s="74"/>
      <c r="J447" s="7"/>
      <c r="K447" s="74"/>
      <c r="L447" s="74"/>
      <c r="N447" s="7"/>
      <c r="O447" s="74"/>
      <c r="P447" s="74"/>
      <c r="R447" s="7"/>
      <c r="S447" s="7"/>
      <c r="T447" s="66"/>
    </row>
    <row r="448" spans="1:20" ht="13.2">
      <c r="A448" s="7"/>
      <c r="B448" s="7"/>
      <c r="C448" s="74"/>
      <c r="D448" s="74"/>
      <c r="F448" s="7"/>
      <c r="G448" s="74"/>
      <c r="H448" s="74"/>
      <c r="J448" s="7"/>
      <c r="K448" s="74"/>
      <c r="L448" s="74"/>
      <c r="N448" s="7"/>
      <c r="O448" s="74"/>
      <c r="P448" s="74"/>
      <c r="R448" s="7"/>
      <c r="S448" s="7"/>
      <c r="T448" s="66"/>
    </row>
    <row r="449" spans="1:20" ht="13.2">
      <c r="A449" s="7"/>
      <c r="B449" s="7"/>
      <c r="C449" s="74"/>
      <c r="D449" s="74"/>
      <c r="F449" s="7"/>
      <c r="G449" s="74"/>
      <c r="H449" s="74"/>
      <c r="J449" s="7"/>
      <c r="K449" s="74"/>
      <c r="L449" s="74"/>
      <c r="N449" s="7"/>
      <c r="O449" s="74"/>
      <c r="P449" s="74"/>
      <c r="R449" s="7"/>
      <c r="S449" s="7"/>
      <c r="T449" s="66"/>
    </row>
    <row r="450" spans="1:20" ht="13.2">
      <c r="A450" s="7"/>
      <c r="B450" s="7"/>
      <c r="C450" s="74"/>
      <c r="D450" s="74"/>
      <c r="F450" s="7"/>
      <c r="G450" s="74"/>
      <c r="H450" s="74"/>
      <c r="J450" s="7"/>
      <c r="K450" s="74"/>
      <c r="L450" s="74"/>
      <c r="N450" s="7"/>
      <c r="O450" s="74"/>
      <c r="P450" s="74"/>
      <c r="R450" s="7"/>
      <c r="S450" s="7"/>
      <c r="T450" s="66"/>
    </row>
    <row r="451" spans="1:20" ht="13.2">
      <c r="A451" s="7"/>
      <c r="B451" s="7"/>
      <c r="C451" s="74"/>
      <c r="D451" s="74"/>
      <c r="F451" s="7"/>
      <c r="G451" s="74"/>
      <c r="H451" s="74"/>
      <c r="J451" s="7"/>
      <c r="K451" s="74"/>
      <c r="L451" s="74"/>
      <c r="N451" s="7"/>
      <c r="O451" s="74"/>
      <c r="P451" s="74"/>
      <c r="R451" s="7"/>
      <c r="S451" s="7"/>
      <c r="T451" s="66"/>
    </row>
    <row r="452" spans="1:20" ht="13.2">
      <c r="A452" s="7"/>
      <c r="B452" s="7"/>
      <c r="C452" s="74"/>
      <c r="D452" s="74"/>
      <c r="F452" s="7"/>
      <c r="G452" s="74"/>
      <c r="H452" s="74"/>
      <c r="J452" s="7"/>
      <c r="K452" s="74"/>
      <c r="L452" s="74"/>
      <c r="N452" s="7"/>
      <c r="O452" s="74"/>
      <c r="P452" s="74"/>
      <c r="R452" s="7"/>
      <c r="S452" s="7"/>
      <c r="T452" s="66"/>
    </row>
    <row r="453" spans="1:20" ht="13.2">
      <c r="A453" s="7"/>
      <c r="B453" s="7"/>
      <c r="C453" s="74"/>
      <c r="D453" s="74"/>
      <c r="F453" s="7"/>
      <c r="G453" s="74"/>
      <c r="H453" s="74"/>
      <c r="J453" s="7"/>
      <c r="K453" s="74"/>
      <c r="L453" s="74"/>
      <c r="N453" s="7"/>
      <c r="O453" s="74"/>
      <c r="P453" s="74"/>
      <c r="R453" s="7"/>
      <c r="S453" s="7"/>
      <c r="T453" s="66"/>
    </row>
    <row r="454" spans="1:20" ht="13.2">
      <c r="A454" s="7"/>
      <c r="B454" s="7"/>
      <c r="C454" s="74"/>
      <c r="D454" s="74"/>
      <c r="F454" s="7"/>
      <c r="G454" s="74"/>
      <c r="H454" s="74"/>
      <c r="J454" s="7"/>
      <c r="K454" s="74"/>
      <c r="L454" s="74"/>
      <c r="N454" s="7"/>
      <c r="O454" s="74"/>
      <c r="P454" s="74"/>
      <c r="R454" s="7"/>
      <c r="S454" s="7"/>
      <c r="T454" s="66"/>
    </row>
    <row r="455" spans="1:20" ht="13.2">
      <c r="A455" s="7"/>
      <c r="B455" s="7"/>
      <c r="C455" s="74"/>
      <c r="D455" s="74"/>
      <c r="F455" s="7"/>
      <c r="G455" s="74"/>
      <c r="H455" s="74"/>
      <c r="J455" s="7"/>
      <c r="K455" s="74"/>
      <c r="L455" s="74"/>
      <c r="N455" s="7"/>
      <c r="O455" s="74"/>
      <c r="P455" s="74"/>
      <c r="R455" s="7"/>
      <c r="S455" s="7"/>
      <c r="T455" s="66"/>
    </row>
    <row r="456" spans="1:20" ht="13.2">
      <c r="A456" s="7"/>
      <c r="B456" s="7"/>
      <c r="C456" s="74"/>
      <c r="D456" s="74"/>
      <c r="F456" s="7"/>
      <c r="G456" s="74"/>
      <c r="H456" s="74"/>
      <c r="J456" s="7"/>
      <c r="K456" s="74"/>
      <c r="L456" s="74"/>
      <c r="N456" s="7"/>
      <c r="O456" s="74"/>
      <c r="P456" s="74"/>
      <c r="R456" s="7"/>
      <c r="S456" s="7"/>
      <c r="T456" s="66"/>
    </row>
    <row r="457" spans="1:20" ht="13.2">
      <c r="A457" s="7"/>
      <c r="B457" s="7"/>
      <c r="C457" s="74"/>
      <c r="D457" s="74"/>
      <c r="F457" s="7"/>
      <c r="G457" s="74"/>
      <c r="H457" s="74"/>
      <c r="J457" s="7"/>
      <c r="K457" s="74"/>
      <c r="L457" s="74"/>
      <c r="N457" s="7"/>
      <c r="O457" s="74"/>
      <c r="P457" s="74"/>
      <c r="R457" s="7"/>
      <c r="S457" s="7"/>
      <c r="T457" s="66"/>
    </row>
    <row r="458" spans="1:20" ht="13.2">
      <c r="A458" s="7"/>
      <c r="B458" s="7"/>
      <c r="C458" s="74"/>
      <c r="D458" s="74"/>
      <c r="F458" s="7"/>
      <c r="G458" s="74"/>
      <c r="H458" s="74"/>
      <c r="J458" s="7"/>
      <c r="K458" s="74"/>
      <c r="L458" s="74"/>
      <c r="N458" s="7"/>
      <c r="O458" s="74"/>
      <c r="P458" s="74"/>
      <c r="R458" s="7"/>
      <c r="S458" s="7"/>
      <c r="T458" s="66"/>
    </row>
    <row r="459" spans="1:20" ht="13.2">
      <c r="A459" s="7"/>
      <c r="B459" s="7"/>
      <c r="C459" s="74"/>
      <c r="D459" s="74"/>
      <c r="F459" s="7"/>
      <c r="G459" s="74"/>
      <c r="H459" s="74"/>
      <c r="J459" s="7"/>
      <c r="K459" s="74"/>
      <c r="L459" s="74"/>
      <c r="N459" s="7"/>
      <c r="O459" s="74"/>
      <c r="P459" s="74"/>
      <c r="R459" s="7"/>
      <c r="S459" s="7"/>
      <c r="T459" s="66"/>
    </row>
    <row r="460" spans="1:20" ht="13.2">
      <c r="A460" s="7"/>
      <c r="B460" s="7"/>
      <c r="C460" s="74"/>
      <c r="D460" s="74"/>
      <c r="F460" s="7"/>
      <c r="G460" s="74"/>
      <c r="H460" s="74"/>
      <c r="J460" s="7"/>
      <c r="K460" s="74"/>
      <c r="L460" s="74"/>
      <c r="N460" s="7"/>
      <c r="O460" s="74"/>
      <c r="P460" s="74"/>
      <c r="R460" s="7"/>
      <c r="S460" s="7"/>
      <c r="T460" s="66"/>
    </row>
    <row r="461" spans="1:20" ht="13.2">
      <c r="A461" s="7"/>
      <c r="B461" s="7"/>
      <c r="C461" s="74"/>
      <c r="D461" s="74"/>
      <c r="F461" s="7"/>
      <c r="G461" s="74"/>
      <c r="H461" s="74"/>
      <c r="J461" s="7"/>
      <c r="K461" s="74"/>
      <c r="L461" s="74"/>
      <c r="N461" s="7"/>
      <c r="O461" s="74"/>
      <c r="P461" s="74"/>
      <c r="R461" s="7"/>
      <c r="S461" s="7"/>
      <c r="T461" s="66"/>
    </row>
    <row r="462" spans="1:20" ht="13.2">
      <c r="A462" s="7"/>
      <c r="B462" s="7"/>
      <c r="C462" s="74"/>
      <c r="D462" s="74"/>
      <c r="F462" s="7"/>
      <c r="G462" s="74"/>
      <c r="H462" s="74"/>
      <c r="J462" s="7"/>
      <c r="K462" s="74"/>
      <c r="L462" s="74"/>
      <c r="N462" s="7"/>
      <c r="O462" s="74"/>
      <c r="P462" s="74"/>
      <c r="R462" s="7"/>
      <c r="S462" s="7"/>
      <c r="T462" s="66"/>
    </row>
    <row r="463" spans="1:20" ht="13.2">
      <c r="A463" s="7"/>
      <c r="B463" s="7"/>
      <c r="C463" s="74"/>
      <c r="D463" s="74"/>
      <c r="F463" s="7"/>
      <c r="G463" s="74"/>
      <c r="H463" s="74"/>
      <c r="J463" s="7"/>
      <c r="K463" s="74"/>
      <c r="L463" s="74"/>
      <c r="N463" s="7"/>
      <c r="O463" s="74"/>
      <c r="P463" s="74"/>
      <c r="R463" s="7"/>
      <c r="S463" s="7"/>
      <c r="T463" s="66"/>
    </row>
    <row r="464" spans="1:20" ht="13.2">
      <c r="A464" s="7"/>
      <c r="B464" s="7"/>
      <c r="C464" s="74"/>
      <c r="D464" s="74"/>
      <c r="F464" s="7"/>
      <c r="G464" s="74"/>
      <c r="H464" s="74"/>
      <c r="J464" s="7"/>
      <c r="K464" s="74"/>
      <c r="L464" s="74"/>
      <c r="N464" s="7"/>
      <c r="O464" s="74"/>
      <c r="P464" s="74"/>
      <c r="R464" s="7"/>
      <c r="S464" s="7"/>
      <c r="T464" s="66"/>
    </row>
    <row r="465" spans="1:20" ht="13.2">
      <c r="A465" s="7"/>
      <c r="B465" s="7"/>
      <c r="C465" s="74"/>
      <c r="D465" s="74"/>
      <c r="F465" s="7"/>
      <c r="G465" s="74"/>
      <c r="H465" s="74"/>
      <c r="J465" s="7"/>
      <c r="K465" s="74"/>
      <c r="L465" s="74"/>
      <c r="N465" s="7"/>
      <c r="O465" s="74"/>
      <c r="P465" s="74"/>
      <c r="R465" s="7"/>
      <c r="S465" s="7"/>
      <c r="T465" s="66"/>
    </row>
    <row r="466" spans="1:20" ht="13.2">
      <c r="A466" s="7"/>
      <c r="B466" s="7"/>
      <c r="C466" s="74"/>
      <c r="D466" s="74"/>
      <c r="F466" s="7"/>
      <c r="G466" s="74"/>
      <c r="H466" s="74"/>
      <c r="J466" s="7"/>
      <c r="K466" s="74"/>
      <c r="L466" s="74"/>
      <c r="N466" s="7"/>
      <c r="O466" s="74"/>
      <c r="P466" s="74"/>
      <c r="R466" s="7"/>
      <c r="S466" s="7"/>
      <c r="T466" s="66"/>
    </row>
    <row r="467" spans="1:20" ht="13.2">
      <c r="A467" s="7"/>
      <c r="B467" s="7"/>
      <c r="C467" s="74"/>
      <c r="D467" s="74"/>
      <c r="F467" s="7"/>
      <c r="G467" s="74"/>
      <c r="H467" s="74"/>
      <c r="J467" s="7"/>
      <c r="K467" s="74"/>
      <c r="L467" s="74"/>
      <c r="N467" s="7"/>
      <c r="O467" s="74"/>
      <c r="P467" s="74"/>
      <c r="R467" s="7"/>
      <c r="S467" s="7"/>
      <c r="T467" s="66"/>
    </row>
    <row r="468" spans="1:20" ht="13.2">
      <c r="A468" s="7"/>
      <c r="B468" s="7"/>
      <c r="C468" s="74"/>
      <c r="D468" s="74"/>
      <c r="F468" s="7"/>
      <c r="G468" s="74"/>
      <c r="H468" s="74"/>
      <c r="J468" s="7"/>
      <c r="K468" s="74"/>
      <c r="L468" s="74"/>
      <c r="N468" s="7"/>
      <c r="O468" s="74"/>
      <c r="P468" s="74"/>
      <c r="R468" s="7"/>
      <c r="S468" s="7"/>
      <c r="T468" s="66"/>
    </row>
    <row r="469" spans="1:20" ht="13.2">
      <c r="A469" s="7"/>
      <c r="B469" s="7"/>
      <c r="C469" s="74"/>
      <c r="D469" s="74"/>
      <c r="F469" s="7"/>
      <c r="G469" s="74"/>
      <c r="H469" s="74"/>
      <c r="J469" s="7"/>
      <c r="K469" s="74"/>
      <c r="L469" s="74"/>
      <c r="N469" s="7"/>
      <c r="O469" s="74"/>
      <c r="P469" s="74"/>
      <c r="R469" s="7"/>
      <c r="S469" s="7"/>
      <c r="T469" s="66"/>
    </row>
    <row r="470" spans="1:20" ht="13.2">
      <c r="A470" s="7"/>
      <c r="B470" s="7"/>
      <c r="C470" s="74"/>
      <c r="D470" s="74"/>
      <c r="F470" s="7"/>
      <c r="G470" s="74"/>
      <c r="H470" s="74"/>
      <c r="J470" s="7"/>
      <c r="K470" s="74"/>
      <c r="L470" s="74"/>
      <c r="N470" s="7"/>
      <c r="O470" s="74"/>
      <c r="P470" s="74"/>
      <c r="R470" s="7"/>
      <c r="S470" s="7"/>
      <c r="T470" s="66"/>
    </row>
    <row r="471" spans="1:20" ht="13.2">
      <c r="A471" s="7"/>
      <c r="B471" s="7"/>
      <c r="C471" s="74"/>
      <c r="D471" s="74"/>
      <c r="F471" s="7"/>
      <c r="G471" s="74"/>
      <c r="H471" s="74"/>
      <c r="J471" s="7"/>
      <c r="K471" s="74"/>
      <c r="L471" s="74"/>
      <c r="N471" s="7"/>
      <c r="O471" s="74"/>
      <c r="P471" s="74"/>
      <c r="R471" s="7"/>
      <c r="S471" s="7"/>
      <c r="T471" s="66"/>
    </row>
    <row r="472" spans="1:20" ht="13.2">
      <c r="A472" s="7"/>
      <c r="B472" s="7"/>
      <c r="C472" s="74"/>
      <c r="D472" s="74"/>
      <c r="F472" s="7"/>
      <c r="G472" s="74"/>
      <c r="H472" s="74"/>
      <c r="J472" s="7"/>
      <c r="K472" s="74"/>
      <c r="L472" s="74"/>
      <c r="N472" s="7"/>
      <c r="O472" s="74"/>
      <c r="P472" s="74"/>
      <c r="R472" s="7"/>
      <c r="S472" s="7"/>
      <c r="T472" s="66"/>
    </row>
    <row r="473" spans="1:20" ht="13.2">
      <c r="A473" s="7"/>
      <c r="B473" s="7"/>
      <c r="C473" s="74"/>
      <c r="D473" s="74"/>
      <c r="F473" s="7"/>
      <c r="G473" s="74"/>
      <c r="H473" s="74"/>
      <c r="J473" s="7"/>
      <c r="K473" s="74"/>
      <c r="L473" s="74"/>
      <c r="N473" s="7"/>
      <c r="O473" s="74"/>
      <c r="P473" s="74"/>
      <c r="R473" s="7"/>
      <c r="S473" s="7"/>
      <c r="T473" s="66"/>
    </row>
    <row r="474" spans="1:20" ht="13.2">
      <c r="A474" s="7"/>
      <c r="B474" s="7"/>
      <c r="C474" s="74"/>
      <c r="D474" s="74"/>
      <c r="F474" s="7"/>
      <c r="G474" s="74"/>
      <c r="H474" s="74"/>
      <c r="J474" s="7"/>
      <c r="K474" s="74"/>
      <c r="L474" s="74"/>
      <c r="N474" s="7"/>
      <c r="O474" s="74"/>
      <c r="P474" s="74"/>
      <c r="R474" s="7"/>
      <c r="S474" s="7"/>
      <c r="T474" s="66"/>
    </row>
    <row r="475" spans="1:20" ht="13.2">
      <c r="A475" s="7"/>
      <c r="B475" s="7"/>
      <c r="C475" s="74"/>
      <c r="D475" s="74"/>
      <c r="F475" s="7"/>
      <c r="G475" s="74"/>
      <c r="H475" s="74"/>
      <c r="J475" s="7"/>
      <c r="K475" s="74"/>
      <c r="L475" s="74"/>
      <c r="N475" s="7"/>
      <c r="O475" s="74"/>
      <c r="P475" s="74"/>
      <c r="R475" s="7"/>
      <c r="S475" s="7"/>
      <c r="T475" s="66"/>
    </row>
    <row r="476" spans="1:20" ht="13.2">
      <c r="A476" s="7"/>
      <c r="B476" s="7"/>
      <c r="C476" s="74"/>
      <c r="D476" s="74"/>
      <c r="F476" s="7"/>
      <c r="G476" s="74"/>
      <c r="H476" s="74"/>
      <c r="J476" s="7"/>
      <c r="K476" s="74"/>
      <c r="L476" s="74"/>
      <c r="N476" s="7"/>
      <c r="O476" s="74"/>
      <c r="P476" s="74"/>
      <c r="R476" s="7"/>
      <c r="S476" s="7"/>
      <c r="T476" s="66"/>
    </row>
    <row r="477" spans="1:20" ht="13.2">
      <c r="A477" s="7"/>
      <c r="B477" s="7"/>
      <c r="C477" s="74"/>
      <c r="D477" s="74"/>
      <c r="F477" s="7"/>
      <c r="G477" s="74"/>
      <c r="H477" s="74"/>
      <c r="J477" s="7"/>
      <c r="K477" s="74"/>
      <c r="L477" s="74"/>
      <c r="N477" s="7"/>
      <c r="O477" s="74"/>
      <c r="P477" s="74"/>
      <c r="R477" s="7"/>
      <c r="S477" s="7"/>
      <c r="T477" s="66"/>
    </row>
    <row r="478" spans="1:20" ht="13.2">
      <c r="A478" s="7"/>
      <c r="B478" s="7"/>
      <c r="C478" s="74"/>
      <c r="D478" s="74"/>
      <c r="F478" s="7"/>
      <c r="G478" s="74"/>
      <c r="H478" s="74"/>
      <c r="J478" s="7"/>
      <c r="K478" s="74"/>
      <c r="L478" s="74"/>
      <c r="N478" s="7"/>
      <c r="O478" s="74"/>
      <c r="P478" s="74"/>
      <c r="R478" s="7"/>
      <c r="S478" s="7"/>
      <c r="T478" s="66"/>
    </row>
    <row r="479" spans="1:20" ht="13.2">
      <c r="A479" s="7"/>
      <c r="B479" s="7"/>
      <c r="C479" s="74"/>
      <c r="D479" s="74"/>
      <c r="F479" s="7"/>
      <c r="G479" s="74"/>
      <c r="H479" s="74"/>
      <c r="J479" s="7"/>
      <c r="K479" s="74"/>
      <c r="L479" s="74"/>
      <c r="N479" s="7"/>
      <c r="O479" s="74"/>
      <c r="P479" s="74"/>
      <c r="R479" s="7"/>
      <c r="S479" s="7"/>
      <c r="T479" s="66"/>
    </row>
    <row r="480" spans="1:20" ht="13.2">
      <c r="A480" s="7"/>
      <c r="B480" s="7"/>
      <c r="C480" s="74"/>
      <c r="D480" s="74"/>
      <c r="F480" s="7"/>
      <c r="G480" s="74"/>
      <c r="H480" s="74"/>
      <c r="J480" s="7"/>
      <c r="K480" s="74"/>
      <c r="L480" s="74"/>
      <c r="N480" s="7"/>
      <c r="O480" s="74"/>
      <c r="P480" s="74"/>
      <c r="R480" s="7"/>
      <c r="S480" s="7"/>
      <c r="T480" s="66"/>
    </row>
    <row r="481" spans="1:20" ht="13.2">
      <c r="A481" s="7"/>
      <c r="B481" s="7"/>
      <c r="C481" s="74"/>
      <c r="D481" s="74"/>
      <c r="F481" s="7"/>
      <c r="G481" s="74"/>
      <c r="H481" s="74"/>
      <c r="J481" s="7"/>
      <c r="K481" s="74"/>
      <c r="L481" s="74"/>
      <c r="N481" s="7"/>
      <c r="O481" s="74"/>
      <c r="P481" s="74"/>
      <c r="R481" s="7"/>
      <c r="S481" s="7"/>
      <c r="T481" s="66"/>
    </row>
    <row r="482" spans="1:20" ht="13.2">
      <c r="A482" s="7"/>
      <c r="B482" s="7"/>
      <c r="C482" s="74"/>
      <c r="D482" s="74"/>
      <c r="F482" s="7"/>
      <c r="G482" s="74"/>
      <c r="H482" s="74"/>
      <c r="J482" s="7"/>
      <c r="K482" s="74"/>
      <c r="L482" s="74"/>
      <c r="N482" s="7"/>
      <c r="O482" s="74"/>
      <c r="P482" s="74"/>
      <c r="R482" s="7"/>
      <c r="S482" s="7"/>
      <c r="T482" s="66"/>
    </row>
    <row r="483" spans="1:20" ht="13.2">
      <c r="A483" s="7"/>
      <c r="B483" s="7"/>
      <c r="C483" s="74"/>
      <c r="D483" s="74"/>
      <c r="F483" s="7"/>
      <c r="G483" s="74"/>
      <c r="H483" s="74"/>
      <c r="J483" s="7"/>
      <c r="K483" s="74"/>
      <c r="L483" s="74"/>
      <c r="N483" s="7"/>
      <c r="O483" s="74"/>
      <c r="P483" s="74"/>
      <c r="R483" s="7"/>
      <c r="S483" s="7"/>
      <c r="T483" s="66"/>
    </row>
    <row r="484" spans="1:20" ht="13.2">
      <c r="A484" s="7"/>
      <c r="B484" s="7"/>
      <c r="C484" s="74"/>
      <c r="D484" s="74"/>
      <c r="F484" s="7"/>
      <c r="G484" s="74"/>
      <c r="H484" s="74"/>
      <c r="J484" s="7"/>
      <c r="K484" s="74"/>
      <c r="L484" s="74"/>
      <c r="N484" s="7"/>
      <c r="O484" s="74"/>
      <c r="P484" s="74"/>
      <c r="R484" s="7"/>
      <c r="S484" s="7"/>
      <c r="T484" s="66"/>
    </row>
    <row r="485" spans="1:20" ht="13.2">
      <c r="A485" s="7"/>
      <c r="B485" s="7"/>
      <c r="C485" s="74"/>
      <c r="D485" s="74"/>
      <c r="F485" s="7"/>
      <c r="G485" s="74"/>
      <c r="H485" s="74"/>
      <c r="J485" s="7"/>
      <c r="K485" s="74"/>
      <c r="L485" s="74"/>
      <c r="N485" s="7"/>
      <c r="O485" s="74"/>
      <c r="P485" s="74"/>
      <c r="R485" s="7"/>
      <c r="S485" s="7"/>
      <c r="T485" s="66"/>
    </row>
    <row r="486" spans="1:20" ht="13.2">
      <c r="A486" s="7"/>
      <c r="B486" s="7"/>
      <c r="C486" s="74"/>
      <c r="D486" s="74"/>
      <c r="F486" s="7"/>
      <c r="G486" s="74"/>
      <c r="H486" s="74"/>
      <c r="J486" s="7"/>
      <c r="K486" s="74"/>
      <c r="L486" s="74"/>
      <c r="N486" s="7"/>
      <c r="O486" s="74"/>
      <c r="P486" s="74"/>
      <c r="R486" s="7"/>
      <c r="S486" s="7"/>
      <c r="T486" s="66"/>
    </row>
    <row r="487" spans="1:20" ht="13.2">
      <c r="A487" s="7"/>
      <c r="B487" s="7"/>
      <c r="C487" s="74"/>
      <c r="D487" s="74"/>
      <c r="F487" s="7"/>
      <c r="G487" s="74"/>
      <c r="H487" s="74"/>
      <c r="J487" s="7"/>
      <c r="K487" s="74"/>
      <c r="L487" s="74"/>
      <c r="N487" s="7"/>
      <c r="O487" s="74"/>
      <c r="P487" s="74"/>
      <c r="R487" s="7"/>
      <c r="S487" s="7"/>
      <c r="T487" s="66"/>
    </row>
    <row r="488" spans="1:20" ht="13.2">
      <c r="A488" s="7"/>
      <c r="B488" s="7"/>
      <c r="C488" s="74"/>
      <c r="D488" s="74"/>
      <c r="F488" s="7"/>
      <c r="G488" s="74"/>
      <c r="H488" s="74"/>
      <c r="J488" s="7"/>
      <c r="K488" s="74"/>
      <c r="L488" s="74"/>
      <c r="N488" s="7"/>
      <c r="O488" s="74"/>
      <c r="P488" s="74"/>
      <c r="R488" s="7"/>
      <c r="S488" s="7"/>
      <c r="T488" s="66"/>
    </row>
    <row r="489" spans="1:20" ht="13.2">
      <c r="A489" s="7"/>
      <c r="B489" s="7"/>
      <c r="C489" s="74"/>
      <c r="D489" s="74"/>
      <c r="F489" s="7"/>
      <c r="G489" s="74"/>
      <c r="H489" s="74"/>
      <c r="J489" s="7"/>
      <c r="K489" s="74"/>
      <c r="L489" s="74"/>
      <c r="N489" s="7"/>
      <c r="O489" s="74"/>
      <c r="P489" s="74"/>
      <c r="R489" s="7"/>
      <c r="S489" s="7"/>
      <c r="T489" s="66"/>
    </row>
    <row r="490" spans="1:20" ht="13.2">
      <c r="A490" s="7"/>
      <c r="B490" s="7"/>
      <c r="C490" s="74"/>
      <c r="D490" s="74"/>
      <c r="F490" s="7"/>
      <c r="G490" s="74"/>
      <c r="H490" s="74"/>
      <c r="J490" s="7"/>
      <c r="K490" s="74"/>
      <c r="L490" s="74"/>
      <c r="N490" s="7"/>
      <c r="O490" s="74"/>
      <c r="P490" s="74"/>
      <c r="R490" s="7"/>
      <c r="S490" s="7"/>
      <c r="T490" s="66"/>
    </row>
    <row r="491" spans="1:20" ht="13.2">
      <c r="A491" s="7"/>
      <c r="B491" s="7"/>
      <c r="C491" s="74"/>
      <c r="D491" s="74"/>
      <c r="F491" s="7"/>
      <c r="G491" s="74"/>
      <c r="H491" s="74"/>
      <c r="J491" s="7"/>
      <c r="K491" s="74"/>
      <c r="L491" s="74"/>
      <c r="N491" s="7"/>
      <c r="O491" s="74"/>
      <c r="P491" s="74"/>
      <c r="R491" s="7"/>
      <c r="S491" s="7"/>
      <c r="T491" s="66"/>
    </row>
    <row r="492" spans="1:20" ht="13.2">
      <c r="A492" s="7"/>
      <c r="B492" s="7"/>
      <c r="C492" s="74"/>
      <c r="D492" s="74"/>
      <c r="F492" s="7"/>
      <c r="G492" s="74"/>
      <c r="H492" s="74"/>
      <c r="J492" s="7"/>
      <c r="K492" s="74"/>
      <c r="L492" s="74"/>
      <c r="N492" s="7"/>
      <c r="O492" s="74"/>
      <c r="P492" s="74"/>
      <c r="R492" s="7"/>
      <c r="S492" s="7"/>
      <c r="T492" s="66"/>
    </row>
    <row r="493" spans="1:20" ht="13.2">
      <c r="A493" s="7"/>
      <c r="B493" s="7"/>
      <c r="C493" s="74"/>
      <c r="D493" s="74"/>
      <c r="F493" s="7"/>
      <c r="G493" s="74"/>
      <c r="H493" s="74"/>
      <c r="J493" s="7"/>
      <c r="K493" s="74"/>
      <c r="L493" s="74"/>
      <c r="N493" s="7"/>
      <c r="O493" s="74"/>
      <c r="P493" s="74"/>
      <c r="R493" s="7"/>
      <c r="S493" s="7"/>
      <c r="T493" s="66"/>
    </row>
    <row r="494" spans="1:20" ht="13.2">
      <c r="A494" s="7"/>
      <c r="B494" s="7"/>
      <c r="C494" s="74"/>
      <c r="D494" s="74"/>
      <c r="F494" s="7"/>
      <c r="G494" s="74"/>
      <c r="H494" s="74"/>
      <c r="J494" s="7"/>
      <c r="K494" s="74"/>
      <c r="L494" s="74"/>
      <c r="N494" s="7"/>
      <c r="O494" s="74"/>
      <c r="P494" s="74"/>
      <c r="R494" s="7"/>
      <c r="S494" s="7"/>
      <c r="T494" s="66"/>
    </row>
    <row r="495" spans="1:20" ht="13.2">
      <c r="A495" s="7"/>
      <c r="B495" s="7"/>
      <c r="C495" s="74"/>
      <c r="D495" s="74"/>
      <c r="F495" s="7"/>
      <c r="G495" s="74"/>
      <c r="H495" s="74"/>
      <c r="J495" s="7"/>
      <c r="K495" s="74"/>
      <c r="L495" s="74"/>
      <c r="N495" s="7"/>
      <c r="O495" s="74"/>
      <c r="P495" s="74"/>
      <c r="R495" s="7"/>
      <c r="S495" s="7"/>
      <c r="T495" s="66"/>
    </row>
    <row r="496" spans="1:20" ht="13.2">
      <c r="A496" s="7"/>
      <c r="B496" s="7"/>
      <c r="C496" s="74"/>
      <c r="D496" s="74"/>
      <c r="F496" s="7"/>
      <c r="G496" s="74"/>
      <c r="H496" s="74"/>
      <c r="J496" s="7"/>
      <c r="K496" s="74"/>
      <c r="L496" s="74"/>
      <c r="N496" s="7"/>
      <c r="O496" s="74"/>
      <c r="P496" s="74"/>
      <c r="R496" s="7"/>
      <c r="S496" s="7"/>
      <c r="T496" s="66"/>
    </row>
    <row r="497" spans="1:20" ht="13.2">
      <c r="A497" s="7"/>
      <c r="B497" s="7"/>
      <c r="C497" s="74"/>
      <c r="D497" s="74"/>
      <c r="F497" s="7"/>
      <c r="G497" s="74"/>
      <c r="H497" s="74"/>
      <c r="J497" s="7"/>
      <c r="K497" s="74"/>
      <c r="L497" s="74"/>
      <c r="N497" s="7"/>
      <c r="O497" s="74"/>
      <c r="P497" s="74"/>
      <c r="R497" s="7"/>
      <c r="S497" s="7"/>
      <c r="T497" s="66"/>
    </row>
    <row r="498" spans="1:20" ht="13.2">
      <c r="A498" s="7"/>
      <c r="B498" s="7"/>
      <c r="C498" s="74"/>
      <c r="D498" s="74"/>
      <c r="F498" s="7"/>
      <c r="G498" s="74"/>
      <c r="H498" s="74"/>
      <c r="J498" s="7"/>
      <c r="K498" s="74"/>
      <c r="L498" s="74"/>
      <c r="N498" s="7"/>
      <c r="O498" s="74"/>
      <c r="P498" s="74"/>
      <c r="R498" s="7"/>
      <c r="S498" s="7"/>
      <c r="T498" s="66"/>
    </row>
    <row r="499" spans="1:20" ht="13.2">
      <c r="A499" s="7"/>
      <c r="B499" s="7"/>
      <c r="C499" s="74"/>
      <c r="D499" s="74"/>
      <c r="F499" s="7"/>
      <c r="G499" s="74"/>
      <c r="H499" s="74"/>
      <c r="J499" s="7"/>
      <c r="K499" s="74"/>
      <c r="L499" s="74"/>
      <c r="N499" s="7"/>
      <c r="O499" s="74"/>
      <c r="P499" s="74"/>
      <c r="R499" s="7"/>
      <c r="S499" s="7"/>
      <c r="T499" s="66"/>
    </row>
    <row r="500" spans="1:20" ht="13.2">
      <c r="A500" s="7"/>
      <c r="B500" s="7"/>
      <c r="C500" s="74"/>
      <c r="D500" s="74"/>
      <c r="F500" s="7"/>
      <c r="G500" s="74"/>
      <c r="H500" s="74"/>
      <c r="J500" s="7"/>
      <c r="K500" s="74"/>
      <c r="L500" s="74"/>
      <c r="N500" s="7"/>
      <c r="O500" s="74"/>
      <c r="P500" s="74"/>
      <c r="R500" s="7"/>
      <c r="S500" s="7"/>
      <c r="T500" s="66"/>
    </row>
    <row r="501" spans="1:20" ht="13.2">
      <c r="A501" s="7"/>
      <c r="B501" s="7"/>
      <c r="C501" s="74"/>
      <c r="D501" s="74"/>
      <c r="F501" s="7"/>
      <c r="G501" s="74"/>
      <c r="H501" s="74"/>
      <c r="J501" s="7"/>
      <c r="K501" s="74"/>
      <c r="L501" s="74"/>
      <c r="N501" s="7"/>
      <c r="O501" s="74"/>
      <c r="P501" s="74"/>
      <c r="R501" s="7"/>
      <c r="S501" s="7"/>
      <c r="T501" s="66"/>
    </row>
    <row r="502" spans="1:20" ht="13.2">
      <c r="A502" s="7"/>
      <c r="B502" s="7"/>
      <c r="C502" s="74"/>
      <c r="D502" s="74"/>
      <c r="F502" s="7"/>
      <c r="G502" s="74"/>
      <c r="H502" s="74"/>
      <c r="J502" s="7"/>
      <c r="K502" s="74"/>
      <c r="L502" s="74"/>
      <c r="N502" s="7"/>
      <c r="O502" s="74"/>
      <c r="P502" s="74"/>
      <c r="R502" s="7"/>
      <c r="S502" s="7"/>
      <c r="T502" s="66"/>
    </row>
    <row r="503" spans="1:20" ht="13.2">
      <c r="A503" s="7"/>
      <c r="B503" s="7"/>
      <c r="C503" s="74"/>
      <c r="D503" s="74"/>
      <c r="F503" s="7"/>
      <c r="G503" s="74"/>
      <c r="H503" s="74"/>
      <c r="J503" s="7"/>
      <c r="K503" s="74"/>
      <c r="L503" s="74"/>
      <c r="N503" s="7"/>
      <c r="O503" s="74"/>
      <c r="P503" s="74"/>
      <c r="R503" s="7"/>
      <c r="S503" s="7"/>
      <c r="T503" s="66"/>
    </row>
    <row r="504" spans="1:20" ht="13.2">
      <c r="A504" s="7"/>
      <c r="B504" s="7"/>
      <c r="C504" s="74"/>
      <c r="D504" s="74"/>
      <c r="F504" s="7"/>
      <c r="G504" s="74"/>
      <c r="H504" s="74"/>
      <c r="J504" s="7"/>
      <c r="K504" s="74"/>
      <c r="L504" s="74"/>
      <c r="N504" s="7"/>
      <c r="O504" s="74"/>
      <c r="P504" s="74"/>
      <c r="R504" s="7"/>
      <c r="S504" s="7"/>
      <c r="T504" s="66"/>
    </row>
    <row r="505" spans="1:20" ht="13.2">
      <c r="A505" s="7"/>
      <c r="B505" s="7"/>
      <c r="C505" s="74"/>
      <c r="D505" s="74"/>
      <c r="F505" s="7"/>
      <c r="G505" s="74"/>
      <c r="H505" s="74"/>
      <c r="J505" s="7"/>
      <c r="K505" s="74"/>
      <c r="L505" s="74"/>
      <c r="N505" s="7"/>
      <c r="O505" s="74"/>
      <c r="P505" s="74"/>
      <c r="R505" s="7"/>
      <c r="S505" s="7"/>
      <c r="T505" s="66"/>
    </row>
    <row r="506" spans="1:20" ht="13.2">
      <c r="A506" s="7"/>
      <c r="B506" s="7"/>
      <c r="C506" s="74"/>
      <c r="D506" s="74"/>
      <c r="F506" s="7"/>
      <c r="G506" s="74"/>
      <c r="H506" s="74"/>
      <c r="J506" s="7"/>
      <c r="K506" s="74"/>
      <c r="L506" s="74"/>
      <c r="N506" s="7"/>
      <c r="O506" s="74"/>
      <c r="P506" s="74"/>
      <c r="R506" s="7"/>
      <c r="S506" s="7"/>
      <c r="T506" s="66"/>
    </row>
    <row r="507" spans="1:20" ht="13.2">
      <c r="A507" s="7"/>
      <c r="B507" s="7"/>
      <c r="C507" s="74"/>
      <c r="D507" s="74"/>
      <c r="F507" s="7"/>
      <c r="G507" s="74"/>
      <c r="H507" s="74"/>
      <c r="J507" s="7"/>
      <c r="K507" s="74"/>
      <c r="L507" s="74"/>
      <c r="N507" s="7"/>
      <c r="O507" s="74"/>
      <c r="P507" s="74"/>
      <c r="R507" s="7"/>
      <c r="S507" s="7"/>
      <c r="T507" s="66"/>
    </row>
    <row r="508" spans="1:20" ht="13.2">
      <c r="A508" s="7"/>
      <c r="B508" s="7"/>
      <c r="C508" s="74"/>
      <c r="D508" s="74"/>
      <c r="F508" s="7"/>
      <c r="G508" s="74"/>
      <c r="H508" s="74"/>
      <c r="J508" s="7"/>
      <c r="K508" s="74"/>
      <c r="L508" s="74"/>
      <c r="N508" s="7"/>
      <c r="O508" s="74"/>
      <c r="P508" s="74"/>
      <c r="R508" s="7"/>
      <c r="S508" s="7"/>
      <c r="T508" s="66"/>
    </row>
    <row r="509" spans="1:20" ht="13.2">
      <c r="A509" s="7"/>
      <c r="B509" s="7"/>
      <c r="C509" s="74"/>
      <c r="D509" s="74"/>
      <c r="F509" s="7"/>
      <c r="G509" s="74"/>
      <c r="H509" s="74"/>
      <c r="J509" s="7"/>
      <c r="K509" s="74"/>
      <c r="L509" s="74"/>
      <c r="N509" s="7"/>
      <c r="O509" s="74"/>
      <c r="P509" s="74"/>
      <c r="R509" s="7"/>
      <c r="S509" s="7"/>
      <c r="T509" s="66"/>
    </row>
    <row r="510" spans="1:20" ht="13.2">
      <c r="A510" s="7"/>
      <c r="B510" s="7"/>
      <c r="C510" s="74"/>
      <c r="D510" s="74"/>
      <c r="F510" s="7"/>
      <c r="G510" s="74"/>
      <c r="H510" s="74"/>
      <c r="J510" s="7"/>
      <c r="K510" s="74"/>
      <c r="L510" s="74"/>
      <c r="N510" s="7"/>
      <c r="O510" s="74"/>
      <c r="P510" s="74"/>
      <c r="R510" s="7"/>
      <c r="S510" s="7"/>
      <c r="T510" s="66"/>
    </row>
    <row r="511" spans="1:20" ht="13.2">
      <c r="A511" s="7"/>
      <c r="B511" s="7"/>
      <c r="C511" s="74"/>
      <c r="D511" s="74"/>
      <c r="F511" s="7"/>
      <c r="G511" s="74"/>
      <c r="H511" s="74"/>
      <c r="J511" s="7"/>
      <c r="K511" s="74"/>
      <c r="L511" s="74"/>
      <c r="N511" s="7"/>
      <c r="O511" s="74"/>
      <c r="P511" s="74"/>
      <c r="R511" s="7"/>
      <c r="S511" s="7"/>
      <c r="T511" s="66"/>
    </row>
    <row r="512" spans="1:20" ht="13.2">
      <c r="A512" s="7"/>
      <c r="B512" s="7"/>
      <c r="C512" s="74"/>
      <c r="D512" s="74"/>
      <c r="F512" s="7"/>
      <c r="G512" s="74"/>
      <c r="H512" s="74"/>
      <c r="J512" s="7"/>
      <c r="K512" s="74"/>
      <c r="L512" s="74"/>
      <c r="N512" s="7"/>
      <c r="O512" s="74"/>
      <c r="P512" s="74"/>
      <c r="R512" s="7"/>
      <c r="S512" s="7"/>
      <c r="T512" s="66"/>
    </row>
    <row r="513" spans="1:20" ht="13.2">
      <c r="A513" s="7"/>
      <c r="B513" s="7"/>
      <c r="C513" s="74"/>
      <c r="D513" s="74"/>
      <c r="F513" s="7"/>
      <c r="G513" s="74"/>
      <c r="H513" s="74"/>
      <c r="J513" s="7"/>
      <c r="K513" s="74"/>
      <c r="L513" s="74"/>
      <c r="N513" s="7"/>
      <c r="O513" s="74"/>
      <c r="P513" s="74"/>
      <c r="R513" s="7"/>
      <c r="S513" s="7"/>
      <c r="T513" s="66"/>
    </row>
    <row r="514" spans="1:20" ht="13.2">
      <c r="A514" s="7"/>
      <c r="B514" s="7"/>
      <c r="C514" s="74"/>
      <c r="D514" s="74"/>
      <c r="F514" s="7"/>
      <c r="G514" s="74"/>
      <c r="H514" s="74"/>
      <c r="J514" s="7"/>
      <c r="K514" s="74"/>
      <c r="L514" s="74"/>
      <c r="N514" s="7"/>
      <c r="O514" s="74"/>
      <c r="P514" s="74"/>
      <c r="R514" s="7"/>
      <c r="S514" s="7"/>
      <c r="T514" s="66"/>
    </row>
    <row r="515" spans="1:20" ht="13.2">
      <c r="A515" s="7"/>
      <c r="B515" s="7"/>
      <c r="C515" s="74"/>
      <c r="D515" s="74"/>
      <c r="F515" s="7"/>
      <c r="G515" s="74"/>
      <c r="H515" s="74"/>
      <c r="J515" s="7"/>
      <c r="K515" s="74"/>
      <c r="L515" s="74"/>
      <c r="N515" s="7"/>
      <c r="O515" s="74"/>
      <c r="P515" s="74"/>
      <c r="R515" s="7"/>
      <c r="S515" s="7"/>
      <c r="T515" s="66"/>
    </row>
    <row r="516" spans="1:20" ht="13.2">
      <c r="A516" s="7"/>
      <c r="B516" s="7"/>
      <c r="C516" s="74"/>
      <c r="D516" s="74"/>
      <c r="F516" s="7"/>
      <c r="G516" s="74"/>
      <c r="H516" s="74"/>
      <c r="J516" s="7"/>
      <c r="K516" s="74"/>
      <c r="L516" s="74"/>
      <c r="N516" s="7"/>
      <c r="O516" s="74"/>
      <c r="P516" s="74"/>
      <c r="R516" s="7"/>
      <c r="S516" s="7"/>
      <c r="T516" s="66"/>
    </row>
    <row r="517" spans="1:20" ht="13.2">
      <c r="A517" s="7"/>
      <c r="B517" s="7"/>
      <c r="C517" s="74"/>
      <c r="D517" s="74"/>
      <c r="F517" s="7"/>
      <c r="G517" s="74"/>
      <c r="H517" s="74"/>
      <c r="J517" s="7"/>
      <c r="K517" s="74"/>
      <c r="L517" s="74"/>
      <c r="N517" s="7"/>
      <c r="O517" s="74"/>
      <c r="P517" s="74"/>
      <c r="R517" s="7"/>
      <c r="S517" s="7"/>
      <c r="T517" s="66"/>
    </row>
    <row r="518" spans="1:20" ht="13.2">
      <c r="A518" s="7"/>
      <c r="B518" s="7"/>
      <c r="C518" s="74"/>
      <c r="D518" s="74"/>
      <c r="F518" s="7"/>
      <c r="G518" s="74"/>
      <c r="H518" s="74"/>
      <c r="J518" s="7"/>
      <c r="K518" s="74"/>
      <c r="L518" s="74"/>
      <c r="N518" s="7"/>
      <c r="O518" s="74"/>
      <c r="P518" s="74"/>
      <c r="R518" s="7"/>
      <c r="S518" s="7"/>
      <c r="T518" s="66"/>
    </row>
    <row r="519" spans="1:20" ht="13.2">
      <c r="A519" s="7"/>
      <c r="B519" s="7"/>
      <c r="C519" s="74"/>
      <c r="D519" s="74"/>
      <c r="F519" s="7"/>
      <c r="G519" s="74"/>
      <c r="H519" s="74"/>
      <c r="J519" s="7"/>
      <c r="K519" s="74"/>
      <c r="L519" s="74"/>
      <c r="N519" s="7"/>
      <c r="O519" s="74"/>
      <c r="P519" s="74"/>
      <c r="R519" s="7"/>
      <c r="S519" s="7"/>
      <c r="T519" s="66"/>
    </row>
    <row r="520" spans="1:20" ht="13.2">
      <c r="A520" s="7"/>
      <c r="B520" s="7"/>
      <c r="C520" s="74"/>
      <c r="D520" s="74"/>
      <c r="F520" s="7"/>
      <c r="G520" s="74"/>
      <c r="H520" s="74"/>
      <c r="J520" s="7"/>
      <c r="K520" s="74"/>
      <c r="L520" s="74"/>
      <c r="N520" s="7"/>
      <c r="O520" s="74"/>
      <c r="P520" s="74"/>
      <c r="R520" s="7"/>
      <c r="S520" s="7"/>
      <c r="T520" s="66"/>
    </row>
    <row r="521" spans="1:20" ht="13.2">
      <c r="A521" s="7"/>
      <c r="B521" s="7"/>
      <c r="C521" s="74"/>
      <c r="D521" s="74"/>
      <c r="F521" s="7"/>
      <c r="G521" s="74"/>
      <c r="H521" s="74"/>
      <c r="J521" s="7"/>
      <c r="K521" s="74"/>
      <c r="L521" s="74"/>
      <c r="N521" s="7"/>
      <c r="O521" s="74"/>
      <c r="P521" s="74"/>
      <c r="R521" s="7"/>
      <c r="S521" s="7"/>
      <c r="T521" s="66"/>
    </row>
    <row r="522" spans="1:20" ht="13.2">
      <c r="A522" s="7"/>
      <c r="B522" s="7"/>
      <c r="C522" s="74"/>
      <c r="D522" s="74"/>
      <c r="F522" s="7"/>
      <c r="G522" s="74"/>
      <c r="H522" s="74"/>
      <c r="J522" s="7"/>
      <c r="K522" s="74"/>
      <c r="L522" s="74"/>
      <c r="N522" s="7"/>
      <c r="O522" s="74"/>
      <c r="P522" s="74"/>
      <c r="R522" s="7"/>
      <c r="S522" s="7"/>
      <c r="T522" s="66"/>
    </row>
    <row r="523" spans="1:20" ht="13.2">
      <c r="A523" s="7"/>
      <c r="B523" s="7"/>
      <c r="C523" s="74"/>
      <c r="D523" s="74"/>
      <c r="F523" s="7"/>
      <c r="G523" s="74"/>
      <c r="H523" s="74"/>
      <c r="J523" s="7"/>
      <c r="K523" s="74"/>
      <c r="L523" s="74"/>
      <c r="N523" s="7"/>
      <c r="O523" s="74"/>
      <c r="P523" s="74"/>
      <c r="R523" s="7"/>
      <c r="S523" s="7"/>
      <c r="T523" s="66"/>
    </row>
    <row r="524" spans="1:20" ht="13.2">
      <c r="A524" s="7"/>
      <c r="B524" s="7"/>
      <c r="C524" s="74"/>
      <c r="D524" s="74"/>
      <c r="F524" s="7"/>
      <c r="G524" s="74"/>
      <c r="H524" s="74"/>
      <c r="J524" s="7"/>
      <c r="K524" s="74"/>
      <c r="L524" s="74"/>
      <c r="N524" s="7"/>
      <c r="O524" s="74"/>
      <c r="P524" s="74"/>
      <c r="R524" s="7"/>
      <c r="S524" s="7"/>
      <c r="T524" s="66"/>
    </row>
    <row r="525" spans="1:20" ht="13.2">
      <c r="A525" s="7"/>
      <c r="B525" s="7"/>
      <c r="C525" s="74"/>
      <c r="D525" s="74"/>
      <c r="F525" s="7"/>
      <c r="G525" s="74"/>
      <c r="H525" s="74"/>
      <c r="J525" s="7"/>
      <c r="K525" s="74"/>
      <c r="L525" s="74"/>
      <c r="N525" s="7"/>
      <c r="O525" s="74"/>
      <c r="P525" s="74"/>
      <c r="R525" s="7"/>
      <c r="S525" s="7"/>
      <c r="T525" s="66"/>
    </row>
    <row r="526" spans="1:20" ht="13.2">
      <c r="A526" s="7"/>
      <c r="B526" s="7"/>
      <c r="C526" s="74"/>
      <c r="D526" s="74"/>
      <c r="F526" s="7"/>
      <c r="G526" s="74"/>
      <c r="H526" s="74"/>
      <c r="J526" s="7"/>
      <c r="K526" s="74"/>
      <c r="L526" s="74"/>
      <c r="N526" s="7"/>
      <c r="O526" s="74"/>
      <c r="P526" s="74"/>
      <c r="R526" s="7"/>
      <c r="S526" s="7"/>
      <c r="T526" s="66"/>
    </row>
    <row r="527" spans="1:20" ht="13.2">
      <c r="A527" s="7"/>
      <c r="B527" s="7"/>
      <c r="C527" s="74"/>
      <c r="D527" s="74"/>
      <c r="F527" s="7"/>
      <c r="G527" s="74"/>
      <c r="H527" s="74"/>
      <c r="J527" s="7"/>
      <c r="K527" s="74"/>
      <c r="L527" s="74"/>
      <c r="N527" s="7"/>
      <c r="O527" s="74"/>
      <c r="P527" s="74"/>
      <c r="R527" s="7"/>
      <c r="S527" s="7"/>
      <c r="T527" s="66"/>
    </row>
    <row r="528" spans="1:20" ht="13.2">
      <c r="A528" s="7"/>
      <c r="B528" s="7"/>
      <c r="C528" s="74"/>
      <c r="D528" s="74"/>
      <c r="F528" s="7"/>
      <c r="G528" s="74"/>
      <c r="H528" s="74"/>
      <c r="J528" s="7"/>
      <c r="K528" s="74"/>
      <c r="L528" s="74"/>
      <c r="N528" s="7"/>
      <c r="O528" s="74"/>
      <c r="P528" s="74"/>
      <c r="R528" s="7"/>
      <c r="S528" s="7"/>
      <c r="T528" s="66"/>
    </row>
    <row r="529" spans="1:20" ht="13.2">
      <c r="A529" s="7"/>
      <c r="B529" s="7"/>
      <c r="C529" s="74"/>
      <c r="D529" s="74"/>
      <c r="F529" s="7"/>
      <c r="G529" s="74"/>
      <c r="H529" s="74"/>
      <c r="J529" s="7"/>
      <c r="K529" s="74"/>
      <c r="L529" s="74"/>
      <c r="N529" s="7"/>
      <c r="O529" s="74"/>
      <c r="P529" s="74"/>
      <c r="R529" s="7"/>
      <c r="S529" s="7"/>
      <c r="T529" s="66"/>
    </row>
    <row r="530" spans="1:20" ht="13.2">
      <c r="A530" s="7"/>
      <c r="B530" s="7"/>
      <c r="C530" s="74"/>
      <c r="D530" s="74"/>
      <c r="F530" s="7"/>
      <c r="G530" s="74"/>
      <c r="H530" s="74"/>
      <c r="J530" s="7"/>
      <c r="K530" s="74"/>
      <c r="L530" s="74"/>
      <c r="N530" s="7"/>
      <c r="O530" s="74"/>
      <c r="P530" s="74"/>
      <c r="R530" s="7"/>
      <c r="S530" s="7"/>
      <c r="T530" s="66"/>
    </row>
    <row r="531" spans="1:20" ht="13.2">
      <c r="A531" s="7"/>
      <c r="B531" s="7"/>
      <c r="C531" s="74"/>
      <c r="D531" s="74"/>
      <c r="F531" s="7"/>
      <c r="G531" s="74"/>
      <c r="H531" s="74"/>
      <c r="J531" s="7"/>
      <c r="K531" s="74"/>
      <c r="L531" s="74"/>
      <c r="N531" s="7"/>
      <c r="O531" s="74"/>
      <c r="P531" s="74"/>
      <c r="R531" s="7"/>
      <c r="S531" s="7"/>
      <c r="T531" s="66"/>
    </row>
    <row r="532" spans="1:20" ht="13.2">
      <c r="A532" s="7"/>
      <c r="B532" s="7"/>
      <c r="C532" s="74"/>
      <c r="D532" s="74"/>
      <c r="F532" s="7"/>
      <c r="G532" s="74"/>
      <c r="H532" s="74"/>
      <c r="J532" s="7"/>
      <c r="K532" s="74"/>
      <c r="L532" s="74"/>
      <c r="N532" s="7"/>
      <c r="O532" s="74"/>
      <c r="P532" s="74"/>
      <c r="R532" s="7"/>
      <c r="S532" s="7"/>
      <c r="T532" s="66"/>
    </row>
    <row r="533" spans="1:20" ht="13.2">
      <c r="A533" s="7"/>
      <c r="B533" s="7"/>
      <c r="C533" s="74"/>
      <c r="D533" s="74"/>
      <c r="F533" s="7"/>
      <c r="G533" s="74"/>
      <c r="H533" s="74"/>
      <c r="J533" s="7"/>
      <c r="K533" s="74"/>
      <c r="L533" s="74"/>
      <c r="N533" s="7"/>
      <c r="O533" s="74"/>
      <c r="P533" s="74"/>
      <c r="R533" s="7"/>
      <c r="S533" s="7"/>
      <c r="T533" s="66"/>
    </row>
    <row r="534" spans="1:20" ht="13.2">
      <c r="A534" s="7"/>
      <c r="B534" s="7"/>
      <c r="C534" s="74"/>
      <c r="D534" s="74"/>
      <c r="F534" s="7"/>
      <c r="G534" s="74"/>
      <c r="H534" s="74"/>
      <c r="J534" s="7"/>
      <c r="K534" s="74"/>
      <c r="L534" s="74"/>
      <c r="N534" s="7"/>
      <c r="O534" s="74"/>
      <c r="P534" s="74"/>
      <c r="R534" s="7"/>
      <c r="S534" s="7"/>
      <c r="T534" s="66"/>
    </row>
    <row r="535" spans="1:20" ht="13.2">
      <c r="A535" s="7"/>
      <c r="B535" s="7"/>
      <c r="C535" s="74"/>
      <c r="D535" s="74"/>
      <c r="F535" s="7"/>
      <c r="G535" s="74"/>
      <c r="H535" s="74"/>
      <c r="J535" s="7"/>
      <c r="K535" s="74"/>
      <c r="L535" s="74"/>
      <c r="N535" s="7"/>
      <c r="O535" s="74"/>
      <c r="P535" s="74"/>
      <c r="R535" s="7"/>
      <c r="S535" s="7"/>
      <c r="T535" s="66"/>
    </row>
    <row r="536" spans="1:20" ht="13.2">
      <c r="A536" s="7"/>
      <c r="B536" s="7"/>
      <c r="C536" s="74"/>
      <c r="D536" s="74"/>
      <c r="F536" s="7"/>
      <c r="G536" s="74"/>
      <c r="H536" s="74"/>
      <c r="J536" s="7"/>
      <c r="K536" s="74"/>
      <c r="L536" s="74"/>
      <c r="N536" s="7"/>
      <c r="O536" s="74"/>
      <c r="P536" s="74"/>
      <c r="R536" s="7"/>
      <c r="S536" s="7"/>
      <c r="T536" s="66"/>
    </row>
    <row r="537" spans="1:20" ht="13.2">
      <c r="A537" s="7"/>
      <c r="B537" s="7"/>
      <c r="C537" s="74"/>
      <c r="D537" s="74"/>
      <c r="F537" s="7"/>
      <c r="G537" s="74"/>
      <c r="H537" s="74"/>
      <c r="J537" s="7"/>
      <c r="K537" s="74"/>
      <c r="L537" s="74"/>
      <c r="N537" s="7"/>
      <c r="O537" s="74"/>
      <c r="P537" s="74"/>
      <c r="R537" s="7"/>
      <c r="S537" s="7"/>
      <c r="T537" s="66"/>
    </row>
    <row r="538" spans="1:20" ht="13.2">
      <c r="A538" s="7"/>
      <c r="B538" s="7"/>
      <c r="C538" s="74"/>
      <c r="D538" s="74"/>
      <c r="F538" s="7"/>
      <c r="G538" s="74"/>
      <c r="H538" s="74"/>
      <c r="J538" s="7"/>
      <c r="K538" s="74"/>
      <c r="L538" s="74"/>
      <c r="N538" s="7"/>
      <c r="O538" s="74"/>
      <c r="P538" s="74"/>
      <c r="R538" s="7"/>
      <c r="S538" s="7"/>
      <c r="T538" s="66"/>
    </row>
    <row r="539" spans="1:20" ht="13.2">
      <c r="A539" s="7"/>
      <c r="B539" s="7"/>
      <c r="C539" s="74"/>
      <c r="D539" s="74"/>
      <c r="F539" s="7"/>
      <c r="G539" s="74"/>
      <c r="H539" s="74"/>
      <c r="J539" s="7"/>
      <c r="K539" s="74"/>
      <c r="L539" s="74"/>
      <c r="N539" s="7"/>
      <c r="O539" s="74"/>
      <c r="P539" s="74"/>
      <c r="R539" s="7"/>
      <c r="S539" s="7"/>
      <c r="T539" s="66"/>
    </row>
    <row r="540" spans="1:20" ht="13.2">
      <c r="A540" s="7"/>
      <c r="B540" s="7"/>
      <c r="C540" s="74"/>
      <c r="D540" s="74"/>
      <c r="F540" s="7"/>
      <c r="G540" s="74"/>
      <c r="H540" s="74"/>
      <c r="J540" s="7"/>
      <c r="K540" s="74"/>
      <c r="L540" s="74"/>
      <c r="N540" s="7"/>
      <c r="O540" s="74"/>
      <c r="P540" s="74"/>
      <c r="R540" s="7"/>
      <c r="S540" s="7"/>
      <c r="T540" s="66"/>
    </row>
    <row r="541" spans="1:20" ht="13.2">
      <c r="A541" s="7"/>
      <c r="B541" s="7"/>
      <c r="C541" s="74"/>
      <c r="D541" s="74"/>
      <c r="F541" s="7"/>
      <c r="G541" s="74"/>
      <c r="H541" s="74"/>
      <c r="J541" s="7"/>
      <c r="K541" s="74"/>
      <c r="L541" s="74"/>
      <c r="N541" s="7"/>
      <c r="O541" s="74"/>
      <c r="P541" s="74"/>
      <c r="R541" s="7"/>
      <c r="S541" s="7"/>
      <c r="T541" s="66"/>
    </row>
    <row r="542" spans="1:20" ht="13.2">
      <c r="A542" s="7"/>
      <c r="B542" s="7"/>
      <c r="C542" s="74"/>
      <c r="D542" s="74"/>
      <c r="F542" s="7"/>
      <c r="G542" s="74"/>
      <c r="H542" s="74"/>
      <c r="J542" s="7"/>
      <c r="K542" s="74"/>
      <c r="L542" s="74"/>
      <c r="N542" s="7"/>
      <c r="O542" s="74"/>
      <c r="P542" s="74"/>
      <c r="R542" s="7"/>
      <c r="S542" s="7"/>
      <c r="T542" s="66"/>
    </row>
    <row r="543" spans="1:20" ht="13.2">
      <c r="A543" s="7"/>
      <c r="B543" s="7"/>
      <c r="C543" s="74"/>
      <c r="D543" s="74"/>
      <c r="F543" s="7"/>
      <c r="G543" s="74"/>
      <c r="H543" s="74"/>
      <c r="J543" s="7"/>
      <c r="K543" s="74"/>
      <c r="L543" s="74"/>
      <c r="N543" s="7"/>
      <c r="O543" s="74"/>
      <c r="P543" s="74"/>
      <c r="R543" s="7"/>
      <c r="S543" s="7"/>
      <c r="T543" s="66"/>
    </row>
    <row r="544" spans="1:20" ht="13.2">
      <c r="A544" s="7"/>
      <c r="B544" s="7"/>
      <c r="C544" s="74"/>
      <c r="D544" s="74"/>
      <c r="F544" s="7"/>
      <c r="G544" s="74"/>
      <c r="H544" s="74"/>
      <c r="J544" s="7"/>
      <c r="K544" s="74"/>
      <c r="L544" s="74"/>
      <c r="N544" s="7"/>
      <c r="O544" s="74"/>
      <c r="P544" s="74"/>
      <c r="R544" s="7"/>
      <c r="S544" s="7"/>
      <c r="T544" s="66"/>
    </row>
    <row r="545" spans="1:20" ht="13.2">
      <c r="A545" s="7"/>
      <c r="B545" s="7"/>
      <c r="C545" s="74"/>
      <c r="D545" s="74"/>
      <c r="F545" s="7"/>
      <c r="G545" s="74"/>
      <c r="H545" s="74"/>
      <c r="J545" s="7"/>
      <c r="K545" s="74"/>
      <c r="L545" s="74"/>
      <c r="N545" s="7"/>
      <c r="O545" s="74"/>
      <c r="P545" s="74"/>
      <c r="R545" s="7"/>
      <c r="S545" s="7"/>
      <c r="T545" s="66"/>
    </row>
    <row r="546" spans="1:20" ht="13.2">
      <c r="A546" s="7"/>
      <c r="B546" s="7"/>
      <c r="C546" s="74"/>
      <c r="D546" s="74"/>
      <c r="F546" s="7"/>
      <c r="G546" s="74"/>
      <c r="H546" s="74"/>
      <c r="J546" s="7"/>
      <c r="K546" s="74"/>
      <c r="L546" s="74"/>
      <c r="N546" s="7"/>
      <c r="O546" s="74"/>
      <c r="P546" s="74"/>
      <c r="R546" s="7"/>
      <c r="S546" s="7"/>
      <c r="T546" s="66"/>
    </row>
    <row r="547" spans="1:20" ht="13.2">
      <c r="A547" s="7"/>
      <c r="B547" s="7"/>
      <c r="C547" s="74"/>
      <c r="D547" s="74"/>
      <c r="F547" s="7"/>
      <c r="G547" s="74"/>
      <c r="H547" s="74"/>
      <c r="J547" s="7"/>
      <c r="K547" s="74"/>
      <c r="L547" s="74"/>
      <c r="N547" s="7"/>
      <c r="O547" s="74"/>
      <c r="P547" s="74"/>
      <c r="R547" s="7"/>
      <c r="S547" s="7"/>
      <c r="T547" s="66"/>
    </row>
    <row r="548" spans="1:20" ht="13.2">
      <c r="A548" s="7"/>
      <c r="B548" s="7"/>
      <c r="C548" s="74"/>
      <c r="D548" s="74"/>
      <c r="F548" s="7"/>
      <c r="G548" s="74"/>
      <c r="H548" s="74"/>
      <c r="J548" s="7"/>
      <c r="K548" s="74"/>
      <c r="L548" s="74"/>
      <c r="N548" s="7"/>
      <c r="O548" s="74"/>
      <c r="P548" s="74"/>
      <c r="R548" s="7"/>
      <c r="S548" s="7"/>
      <c r="T548" s="66"/>
    </row>
    <row r="549" spans="1:20" ht="13.2">
      <c r="A549" s="7"/>
      <c r="B549" s="7"/>
      <c r="C549" s="74"/>
      <c r="D549" s="74"/>
      <c r="F549" s="7"/>
      <c r="G549" s="74"/>
      <c r="H549" s="74"/>
      <c r="J549" s="7"/>
      <c r="K549" s="74"/>
      <c r="L549" s="74"/>
      <c r="N549" s="7"/>
      <c r="O549" s="74"/>
      <c r="P549" s="74"/>
      <c r="R549" s="7"/>
      <c r="S549" s="7"/>
      <c r="T549" s="66"/>
    </row>
    <row r="550" spans="1:20" ht="13.2">
      <c r="A550" s="7"/>
      <c r="B550" s="7"/>
      <c r="C550" s="74"/>
      <c r="D550" s="74"/>
      <c r="F550" s="7"/>
      <c r="G550" s="74"/>
      <c r="H550" s="74"/>
      <c r="J550" s="7"/>
      <c r="K550" s="74"/>
      <c r="L550" s="74"/>
      <c r="N550" s="7"/>
      <c r="O550" s="74"/>
      <c r="P550" s="74"/>
      <c r="R550" s="7"/>
      <c r="S550" s="7"/>
      <c r="T550" s="66"/>
    </row>
    <row r="551" spans="1:20" ht="13.2">
      <c r="A551" s="7"/>
      <c r="B551" s="7"/>
      <c r="C551" s="74"/>
      <c r="D551" s="74"/>
      <c r="F551" s="7"/>
      <c r="G551" s="74"/>
      <c r="H551" s="74"/>
      <c r="J551" s="7"/>
      <c r="K551" s="74"/>
      <c r="L551" s="74"/>
      <c r="N551" s="7"/>
      <c r="O551" s="74"/>
      <c r="P551" s="74"/>
      <c r="R551" s="7"/>
      <c r="S551" s="7"/>
      <c r="T551" s="66"/>
    </row>
    <row r="552" spans="1:20" ht="13.2">
      <c r="A552" s="7"/>
      <c r="B552" s="7"/>
      <c r="C552" s="74"/>
      <c r="D552" s="74"/>
      <c r="F552" s="7"/>
      <c r="G552" s="74"/>
      <c r="H552" s="74"/>
      <c r="J552" s="7"/>
      <c r="K552" s="74"/>
      <c r="L552" s="74"/>
      <c r="N552" s="7"/>
      <c r="O552" s="74"/>
      <c r="P552" s="74"/>
      <c r="R552" s="7"/>
      <c r="S552" s="7"/>
      <c r="T552" s="66"/>
    </row>
    <row r="553" spans="1:20" ht="13.2">
      <c r="A553" s="7"/>
      <c r="B553" s="7"/>
      <c r="C553" s="74"/>
      <c r="D553" s="74"/>
      <c r="F553" s="7"/>
      <c r="G553" s="74"/>
      <c r="H553" s="74"/>
      <c r="J553" s="7"/>
      <c r="K553" s="74"/>
      <c r="L553" s="74"/>
      <c r="N553" s="7"/>
      <c r="O553" s="74"/>
      <c r="P553" s="74"/>
      <c r="R553" s="7"/>
      <c r="S553" s="7"/>
      <c r="T553" s="66"/>
    </row>
    <row r="554" spans="1:20" ht="13.2">
      <c r="A554" s="7"/>
      <c r="B554" s="7"/>
      <c r="C554" s="74"/>
      <c r="D554" s="74"/>
      <c r="F554" s="7"/>
      <c r="G554" s="74"/>
      <c r="H554" s="74"/>
      <c r="J554" s="7"/>
      <c r="K554" s="74"/>
      <c r="L554" s="74"/>
      <c r="N554" s="7"/>
      <c r="O554" s="74"/>
      <c r="P554" s="74"/>
      <c r="R554" s="7"/>
      <c r="S554" s="7"/>
      <c r="T554" s="66"/>
    </row>
    <row r="555" spans="1:20" ht="13.2">
      <c r="A555" s="7"/>
      <c r="B555" s="7"/>
      <c r="C555" s="74"/>
      <c r="D555" s="74"/>
      <c r="F555" s="7"/>
      <c r="G555" s="74"/>
      <c r="H555" s="74"/>
      <c r="J555" s="7"/>
      <c r="K555" s="74"/>
      <c r="L555" s="74"/>
      <c r="N555" s="7"/>
      <c r="O555" s="74"/>
      <c r="P555" s="74"/>
      <c r="R555" s="7"/>
      <c r="S555" s="7"/>
      <c r="T555" s="66"/>
    </row>
    <row r="556" spans="1:20" ht="13.2">
      <c r="A556" s="7"/>
      <c r="B556" s="7"/>
      <c r="C556" s="74"/>
      <c r="D556" s="74"/>
      <c r="F556" s="7"/>
      <c r="G556" s="74"/>
      <c r="H556" s="74"/>
      <c r="J556" s="7"/>
      <c r="K556" s="74"/>
      <c r="L556" s="74"/>
      <c r="N556" s="7"/>
      <c r="O556" s="74"/>
      <c r="P556" s="74"/>
      <c r="R556" s="7"/>
      <c r="S556" s="7"/>
      <c r="T556" s="66"/>
    </row>
    <row r="557" spans="1:20" ht="13.2">
      <c r="A557" s="7"/>
      <c r="B557" s="7"/>
      <c r="C557" s="74"/>
      <c r="D557" s="74"/>
      <c r="F557" s="7"/>
      <c r="G557" s="74"/>
      <c r="H557" s="74"/>
      <c r="J557" s="7"/>
      <c r="K557" s="74"/>
      <c r="L557" s="74"/>
      <c r="N557" s="7"/>
      <c r="O557" s="74"/>
      <c r="P557" s="74"/>
      <c r="R557" s="7"/>
      <c r="S557" s="7"/>
      <c r="T557" s="66"/>
    </row>
    <row r="558" spans="1:20" ht="13.2">
      <c r="A558" s="7"/>
      <c r="B558" s="7"/>
      <c r="C558" s="74"/>
      <c r="D558" s="74"/>
      <c r="F558" s="7"/>
      <c r="G558" s="74"/>
      <c r="H558" s="74"/>
      <c r="J558" s="7"/>
      <c r="K558" s="74"/>
      <c r="L558" s="74"/>
      <c r="N558" s="7"/>
      <c r="O558" s="74"/>
      <c r="P558" s="74"/>
      <c r="R558" s="7"/>
      <c r="S558" s="7"/>
      <c r="T558" s="66"/>
    </row>
    <row r="559" spans="1:20" ht="13.2">
      <c r="A559" s="7"/>
      <c r="B559" s="7"/>
      <c r="C559" s="74"/>
      <c r="D559" s="74"/>
      <c r="F559" s="7"/>
      <c r="G559" s="74"/>
      <c r="H559" s="74"/>
      <c r="J559" s="7"/>
      <c r="K559" s="74"/>
      <c r="L559" s="74"/>
      <c r="N559" s="7"/>
      <c r="O559" s="74"/>
      <c r="P559" s="74"/>
      <c r="R559" s="7"/>
      <c r="S559" s="7"/>
      <c r="T559" s="66"/>
    </row>
    <row r="560" spans="1:20" ht="13.2">
      <c r="A560" s="7"/>
      <c r="B560" s="7"/>
      <c r="C560" s="74"/>
      <c r="D560" s="74"/>
      <c r="F560" s="7"/>
      <c r="G560" s="74"/>
      <c r="H560" s="74"/>
      <c r="J560" s="7"/>
      <c r="K560" s="74"/>
      <c r="L560" s="74"/>
      <c r="N560" s="7"/>
      <c r="O560" s="74"/>
      <c r="P560" s="74"/>
      <c r="R560" s="7"/>
      <c r="S560" s="7"/>
      <c r="T560" s="66"/>
    </row>
    <row r="561" spans="1:20" ht="13.2">
      <c r="A561" s="7"/>
      <c r="B561" s="7"/>
      <c r="C561" s="74"/>
      <c r="D561" s="74"/>
      <c r="F561" s="7"/>
      <c r="G561" s="74"/>
      <c r="H561" s="74"/>
      <c r="J561" s="7"/>
      <c r="K561" s="74"/>
      <c r="L561" s="74"/>
      <c r="N561" s="7"/>
      <c r="O561" s="74"/>
      <c r="P561" s="74"/>
      <c r="R561" s="7"/>
      <c r="S561" s="7"/>
      <c r="T561" s="66"/>
    </row>
    <row r="562" spans="1:20" ht="13.2">
      <c r="A562" s="7"/>
      <c r="B562" s="7"/>
      <c r="C562" s="74"/>
      <c r="D562" s="74"/>
      <c r="F562" s="7"/>
      <c r="G562" s="74"/>
      <c r="H562" s="74"/>
      <c r="J562" s="7"/>
      <c r="K562" s="74"/>
      <c r="L562" s="74"/>
      <c r="N562" s="7"/>
      <c r="O562" s="74"/>
      <c r="P562" s="74"/>
      <c r="R562" s="7"/>
      <c r="S562" s="7"/>
      <c r="T562" s="66"/>
    </row>
    <row r="563" spans="1:20" ht="13.2">
      <c r="A563" s="7"/>
      <c r="B563" s="7"/>
      <c r="C563" s="74"/>
      <c r="D563" s="74"/>
      <c r="F563" s="7"/>
      <c r="G563" s="74"/>
      <c r="H563" s="74"/>
      <c r="J563" s="7"/>
      <c r="K563" s="74"/>
      <c r="L563" s="74"/>
      <c r="N563" s="7"/>
      <c r="O563" s="74"/>
      <c r="P563" s="74"/>
      <c r="R563" s="7"/>
      <c r="S563" s="7"/>
      <c r="T563" s="66"/>
    </row>
    <row r="564" spans="1:20" ht="13.2">
      <c r="A564" s="7"/>
      <c r="B564" s="7"/>
      <c r="C564" s="74"/>
      <c r="D564" s="74"/>
      <c r="F564" s="7"/>
      <c r="G564" s="74"/>
      <c r="H564" s="74"/>
      <c r="J564" s="7"/>
      <c r="K564" s="74"/>
      <c r="L564" s="74"/>
      <c r="N564" s="7"/>
      <c r="O564" s="74"/>
      <c r="P564" s="74"/>
      <c r="R564" s="7"/>
      <c r="S564" s="7"/>
      <c r="T564" s="66"/>
    </row>
    <row r="565" spans="1:20" ht="13.2">
      <c r="A565" s="7"/>
      <c r="B565" s="7"/>
      <c r="C565" s="74"/>
      <c r="D565" s="74"/>
      <c r="F565" s="7"/>
      <c r="G565" s="74"/>
      <c r="H565" s="74"/>
      <c r="J565" s="7"/>
      <c r="K565" s="74"/>
      <c r="L565" s="74"/>
      <c r="N565" s="7"/>
      <c r="O565" s="74"/>
      <c r="P565" s="74"/>
      <c r="R565" s="7"/>
      <c r="S565" s="7"/>
      <c r="T565" s="66"/>
    </row>
    <row r="566" spans="1:20" ht="13.2">
      <c r="A566" s="7"/>
      <c r="B566" s="7"/>
      <c r="C566" s="74"/>
      <c r="D566" s="74"/>
      <c r="F566" s="7"/>
      <c r="G566" s="74"/>
      <c r="H566" s="74"/>
      <c r="J566" s="7"/>
      <c r="K566" s="74"/>
      <c r="L566" s="74"/>
      <c r="N566" s="7"/>
      <c r="O566" s="74"/>
      <c r="P566" s="74"/>
      <c r="R566" s="7"/>
      <c r="S566" s="7"/>
      <c r="T566" s="66"/>
    </row>
    <row r="567" spans="1:20" ht="13.2">
      <c r="A567" s="7"/>
      <c r="B567" s="7"/>
      <c r="C567" s="74"/>
      <c r="D567" s="74"/>
      <c r="F567" s="7"/>
      <c r="G567" s="74"/>
      <c r="H567" s="74"/>
      <c r="J567" s="7"/>
      <c r="K567" s="74"/>
      <c r="L567" s="74"/>
      <c r="N567" s="7"/>
      <c r="O567" s="74"/>
      <c r="P567" s="74"/>
      <c r="R567" s="7"/>
      <c r="S567" s="7"/>
      <c r="T567" s="66"/>
    </row>
    <row r="568" spans="1:20" ht="13.2">
      <c r="A568" s="7"/>
      <c r="B568" s="7"/>
      <c r="C568" s="74"/>
      <c r="D568" s="74"/>
      <c r="F568" s="7"/>
      <c r="G568" s="74"/>
      <c r="H568" s="74"/>
      <c r="J568" s="7"/>
      <c r="K568" s="74"/>
      <c r="L568" s="74"/>
      <c r="N568" s="7"/>
      <c r="O568" s="74"/>
      <c r="P568" s="74"/>
      <c r="R568" s="7"/>
      <c r="S568" s="7"/>
      <c r="T568" s="66"/>
    </row>
    <row r="569" spans="1:20" ht="13.2">
      <c r="A569" s="7"/>
      <c r="B569" s="7"/>
      <c r="C569" s="74"/>
      <c r="D569" s="74"/>
      <c r="F569" s="7"/>
      <c r="G569" s="74"/>
      <c r="H569" s="74"/>
      <c r="J569" s="7"/>
      <c r="K569" s="74"/>
      <c r="L569" s="74"/>
      <c r="N569" s="7"/>
      <c r="O569" s="74"/>
      <c r="P569" s="74"/>
      <c r="R569" s="7"/>
      <c r="S569" s="7"/>
      <c r="T569" s="66"/>
    </row>
    <row r="570" spans="1:20" ht="13.2">
      <c r="A570" s="7"/>
      <c r="B570" s="7"/>
      <c r="C570" s="74"/>
      <c r="D570" s="74"/>
      <c r="F570" s="7"/>
      <c r="G570" s="74"/>
      <c r="H570" s="74"/>
      <c r="J570" s="7"/>
      <c r="K570" s="74"/>
      <c r="L570" s="74"/>
      <c r="N570" s="7"/>
      <c r="O570" s="74"/>
      <c r="P570" s="74"/>
      <c r="R570" s="7"/>
      <c r="S570" s="7"/>
      <c r="T570" s="66"/>
    </row>
    <row r="571" spans="1:20" ht="13.2">
      <c r="A571" s="7"/>
      <c r="B571" s="7"/>
      <c r="C571" s="74"/>
      <c r="D571" s="74"/>
      <c r="F571" s="7"/>
      <c r="G571" s="74"/>
      <c r="H571" s="74"/>
      <c r="J571" s="7"/>
      <c r="K571" s="74"/>
      <c r="L571" s="74"/>
      <c r="N571" s="7"/>
      <c r="O571" s="74"/>
      <c r="P571" s="74"/>
      <c r="R571" s="7"/>
      <c r="S571" s="7"/>
      <c r="T571" s="66"/>
    </row>
    <row r="572" spans="1:20" ht="13.2">
      <c r="A572" s="7"/>
      <c r="B572" s="7"/>
      <c r="C572" s="74"/>
      <c r="D572" s="74"/>
      <c r="F572" s="7"/>
      <c r="G572" s="74"/>
      <c r="H572" s="74"/>
      <c r="J572" s="7"/>
      <c r="K572" s="74"/>
      <c r="L572" s="74"/>
      <c r="N572" s="7"/>
      <c r="O572" s="74"/>
      <c r="P572" s="74"/>
      <c r="R572" s="7"/>
      <c r="S572" s="7"/>
      <c r="T572" s="66"/>
    </row>
    <row r="573" spans="1:20" ht="13.2">
      <c r="A573" s="7"/>
      <c r="B573" s="7"/>
      <c r="C573" s="74"/>
      <c r="D573" s="74"/>
      <c r="F573" s="7"/>
      <c r="G573" s="74"/>
      <c r="H573" s="74"/>
      <c r="J573" s="7"/>
      <c r="K573" s="74"/>
      <c r="L573" s="74"/>
      <c r="N573" s="7"/>
      <c r="O573" s="74"/>
      <c r="P573" s="74"/>
      <c r="R573" s="7"/>
      <c r="S573" s="7"/>
      <c r="T573" s="66"/>
    </row>
    <row r="574" spans="1:20" ht="13.2">
      <c r="A574" s="7"/>
      <c r="B574" s="7"/>
      <c r="C574" s="74"/>
      <c r="D574" s="74"/>
      <c r="F574" s="7"/>
      <c r="G574" s="74"/>
      <c r="H574" s="74"/>
      <c r="J574" s="7"/>
      <c r="K574" s="74"/>
      <c r="L574" s="74"/>
      <c r="N574" s="7"/>
      <c r="O574" s="74"/>
      <c r="P574" s="74"/>
      <c r="R574" s="7"/>
      <c r="S574" s="7"/>
      <c r="T574" s="66"/>
    </row>
    <row r="575" spans="1:20" ht="13.2">
      <c r="A575" s="7"/>
      <c r="B575" s="7"/>
      <c r="C575" s="74"/>
      <c r="D575" s="74"/>
      <c r="F575" s="7"/>
      <c r="G575" s="74"/>
      <c r="H575" s="74"/>
      <c r="J575" s="7"/>
      <c r="K575" s="74"/>
      <c r="L575" s="74"/>
      <c r="N575" s="7"/>
      <c r="O575" s="74"/>
      <c r="P575" s="74"/>
      <c r="R575" s="7"/>
      <c r="S575" s="7"/>
      <c r="T575" s="66"/>
    </row>
    <row r="576" spans="1:20" ht="13.2">
      <c r="A576" s="7"/>
      <c r="B576" s="7"/>
      <c r="C576" s="74"/>
      <c r="D576" s="74"/>
      <c r="F576" s="7"/>
      <c r="G576" s="74"/>
      <c r="H576" s="74"/>
      <c r="J576" s="7"/>
      <c r="K576" s="74"/>
      <c r="L576" s="74"/>
      <c r="N576" s="7"/>
      <c r="O576" s="74"/>
      <c r="P576" s="74"/>
      <c r="R576" s="7"/>
      <c r="S576" s="7"/>
      <c r="T576" s="66"/>
    </row>
    <row r="577" spans="1:20" ht="13.2">
      <c r="A577" s="7"/>
      <c r="B577" s="7"/>
      <c r="C577" s="74"/>
      <c r="D577" s="74"/>
      <c r="F577" s="7"/>
      <c r="G577" s="74"/>
      <c r="H577" s="74"/>
      <c r="J577" s="7"/>
      <c r="K577" s="74"/>
      <c r="L577" s="74"/>
      <c r="N577" s="7"/>
      <c r="O577" s="74"/>
      <c r="P577" s="74"/>
      <c r="R577" s="7"/>
      <c r="S577" s="7"/>
      <c r="T577" s="66"/>
    </row>
    <row r="578" spans="1:20" ht="13.2">
      <c r="A578" s="7"/>
      <c r="B578" s="7"/>
      <c r="C578" s="74"/>
      <c r="D578" s="74"/>
      <c r="F578" s="7"/>
      <c r="G578" s="74"/>
      <c r="H578" s="74"/>
      <c r="J578" s="7"/>
      <c r="K578" s="74"/>
      <c r="L578" s="74"/>
      <c r="N578" s="7"/>
      <c r="O578" s="74"/>
      <c r="P578" s="74"/>
      <c r="R578" s="7"/>
      <c r="S578" s="7"/>
      <c r="T578" s="66"/>
    </row>
    <row r="579" spans="1:20" ht="13.2">
      <c r="A579" s="7"/>
      <c r="B579" s="7"/>
      <c r="C579" s="74"/>
      <c r="D579" s="74"/>
      <c r="F579" s="7"/>
      <c r="G579" s="74"/>
      <c r="H579" s="74"/>
      <c r="J579" s="7"/>
      <c r="K579" s="74"/>
      <c r="L579" s="74"/>
      <c r="N579" s="7"/>
      <c r="O579" s="74"/>
      <c r="P579" s="74"/>
      <c r="R579" s="7"/>
      <c r="S579" s="7"/>
      <c r="T579" s="66"/>
    </row>
    <row r="580" spans="1:20" ht="13.2">
      <c r="A580" s="7"/>
      <c r="B580" s="7"/>
      <c r="C580" s="74"/>
      <c r="D580" s="74"/>
      <c r="F580" s="7"/>
      <c r="G580" s="74"/>
      <c r="H580" s="74"/>
      <c r="J580" s="7"/>
      <c r="K580" s="74"/>
      <c r="L580" s="74"/>
      <c r="N580" s="7"/>
      <c r="O580" s="74"/>
      <c r="P580" s="74"/>
      <c r="R580" s="7"/>
      <c r="S580" s="7"/>
      <c r="T580" s="66"/>
    </row>
    <row r="581" spans="1:20" ht="13.2">
      <c r="A581" s="7"/>
      <c r="B581" s="7"/>
      <c r="C581" s="74"/>
      <c r="D581" s="74"/>
      <c r="F581" s="7"/>
      <c r="G581" s="74"/>
      <c r="H581" s="74"/>
      <c r="J581" s="7"/>
      <c r="K581" s="74"/>
      <c r="L581" s="74"/>
      <c r="N581" s="7"/>
      <c r="O581" s="74"/>
      <c r="P581" s="74"/>
      <c r="R581" s="7"/>
      <c r="S581" s="7"/>
      <c r="T581" s="66"/>
    </row>
    <row r="582" spans="1:20" ht="13.2">
      <c r="A582" s="7"/>
      <c r="B582" s="7"/>
      <c r="C582" s="74"/>
      <c r="D582" s="74"/>
      <c r="F582" s="7"/>
      <c r="G582" s="74"/>
      <c r="H582" s="74"/>
      <c r="J582" s="7"/>
      <c r="K582" s="74"/>
      <c r="L582" s="74"/>
      <c r="N582" s="7"/>
      <c r="O582" s="74"/>
      <c r="P582" s="74"/>
      <c r="R582" s="7"/>
      <c r="S582" s="7"/>
      <c r="T582" s="66"/>
    </row>
    <row r="583" spans="1:20" ht="13.2">
      <c r="A583" s="7"/>
      <c r="B583" s="7"/>
      <c r="C583" s="74"/>
      <c r="D583" s="74"/>
      <c r="F583" s="7"/>
      <c r="G583" s="74"/>
      <c r="H583" s="74"/>
      <c r="J583" s="7"/>
      <c r="K583" s="74"/>
      <c r="L583" s="74"/>
      <c r="N583" s="7"/>
      <c r="O583" s="74"/>
      <c r="P583" s="74"/>
      <c r="R583" s="7"/>
      <c r="S583" s="7"/>
      <c r="T583" s="66"/>
    </row>
    <row r="584" spans="1:20" ht="13.2">
      <c r="A584" s="7"/>
      <c r="B584" s="7"/>
      <c r="C584" s="74"/>
      <c r="D584" s="74"/>
      <c r="F584" s="7"/>
      <c r="G584" s="74"/>
      <c r="H584" s="74"/>
      <c r="J584" s="7"/>
      <c r="K584" s="74"/>
      <c r="L584" s="74"/>
      <c r="N584" s="7"/>
      <c r="O584" s="74"/>
      <c r="P584" s="74"/>
      <c r="R584" s="7"/>
      <c r="S584" s="7"/>
      <c r="T584" s="66"/>
    </row>
    <row r="585" spans="1:20" ht="13.2">
      <c r="A585" s="7"/>
      <c r="B585" s="7"/>
      <c r="C585" s="74"/>
      <c r="D585" s="74"/>
      <c r="F585" s="7"/>
      <c r="G585" s="74"/>
      <c r="H585" s="74"/>
      <c r="J585" s="7"/>
      <c r="K585" s="74"/>
      <c r="L585" s="74"/>
      <c r="N585" s="7"/>
      <c r="O585" s="74"/>
      <c r="P585" s="74"/>
      <c r="R585" s="7"/>
      <c r="S585" s="7"/>
      <c r="T585" s="66"/>
    </row>
    <row r="586" spans="1:20" ht="13.2">
      <c r="A586" s="7"/>
      <c r="B586" s="7"/>
      <c r="C586" s="74"/>
      <c r="D586" s="74"/>
      <c r="F586" s="7"/>
      <c r="G586" s="74"/>
      <c r="H586" s="74"/>
      <c r="J586" s="7"/>
      <c r="K586" s="74"/>
      <c r="L586" s="74"/>
      <c r="N586" s="7"/>
      <c r="O586" s="74"/>
      <c r="P586" s="74"/>
      <c r="R586" s="7"/>
      <c r="S586" s="7"/>
      <c r="T586" s="66"/>
    </row>
    <row r="587" spans="1:20" ht="13.2">
      <c r="A587" s="7"/>
      <c r="B587" s="7"/>
      <c r="C587" s="74"/>
      <c r="D587" s="74"/>
      <c r="F587" s="7"/>
      <c r="G587" s="74"/>
      <c r="H587" s="74"/>
      <c r="J587" s="7"/>
      <c r="K587" s="74"/>
      <c r="L587" s="74"/>
      <c r="N587" s="7"/>
      <c r="O587" s="74"/>
      <c r="P587" s="74"/>
      <c r="R587" s="7"/>
      <c r="S587" s="7"/>
      <c r="T587" s="66"/>
    </row>
    <row r="588" spans="1:20" ht="13.2">
      <c r="A588" s="7"/>
      <c r="B588" s="7"/>
      <c r="C588" s="74"/>
      <c r="D588" s="74"/>
      <c r="F588" s="7"/>
      <c r="G588" s="74"/>
      <c r="H588" s="74"/>
      <c r="J588" s="7"/>
      <c r="K588" s="74"/>
      <c r="L588" s="74"/>
      <c r="N588" s="7"/>
      <c r="O588" s="74"/>
      <c r="P588" s="74"/>
      <c r="R588" s="7"/>
      <c r="S588" s="7"/>
      <c r="T588" s="66"/>
    </row>
    <row r="589" spans="1:20" ht="13.2">
      <c r="A589" s="7"/>
      <c r="B589" s="7"/>
      <c r="C589" s="74"/>
      <c r="D589" s="74"/>
      <c r="F589" s="7"/>
      <c r="G589" s="74"/>
      <c r="H589" s="74"/>
      <c r="J589" s="7"/>
      <c r="K589" s="74"/>
      <c r="L589" s="74"/>
      <c r="N589" s="7"/>
      <c r="O589" s="74"/>
      <c r="P589" s="74"/>
      <c r="R589" s="7"/>
      <c r="S589" s="7"/>
      <c r="T589" s="66"/>
    </row>
    <row r="590" spans="1:20" ht="13.2">
      <c r="A590" s="7"/>
      <c r="B590" s="7"/>
      <c r="C590" s="74"/>
      <c r="D590" s="74"/>
      <c r="F590" s="7"/>
      <c r="G590" s="74"/>
      <c r="H590" s="74"/>
      <c r="J590" s="7"/>
      <c r="K590" s="74"/>
      <c r="L590" s="74"/>
      <c r="N590" s="7"/>
      <c r="O590" s="74"/>
      <c r="P590" s="74"/>
      <c r="R590" s="7"/>
      <c r="S590" s="7"/>
      <c r="T590" s="66"/>
    </row>
    <row r="591" spans="1:20" ht="13.2">
      <c r="A591" s="7"/>
      <c r="B591" s="7"/>
      <c r="C591" s="74"/>
      <c r="D591" s="74"/>
      <c r="F591" s="7"/>
      <c r="G591" s="74"/>
      <c r="H591" s="74"/>
      <c r="J591" s="7"/>
      <c r="K591" s="74"/>
      <c r="L591" s="74"/>
      <c r="N591" s="7"/>
      <c r="O591" s="74"/>
      <c r="P591" s="74"/>
      <c r="R591" s="7"/>
      <c r="S591" s="7"/>
      <c r="T591" s="66"/>
    </row>
    <row r="592" spans="1:20" ht="13.2">
      <c r="A592" s="7"/>
      <c r="B592" s="7"/>
      <c r="C592" s="74"/>
      <c r="D592" s="74"/>
      <c r="F592" s="7"/>
      <c r="G592" s="74"/>
      <c r="H592" s="74"/>
      <c r="J592" s="7"/>
      <c r="K592" s="74"/>
      <c r="L592" s="74"/>
      <c r="N592" s="7"/>
      <c r="O592" s="74"/>
      <c r="P592" s="74"/>
      <c r="R592" s="7"/>
      <c r="S592" s="7"/>
      <c r="T592" s="66"/>
    </row>
    <row r="593" spans="1:20" ht="13.2">
      <c r="A593" s="7"/>
      <c r="B593" s="7"/>
      <c r="C593" s="74"/>
      <c r="D593" s="74"/>
      <c r="F593" s="7"/>
      <c r="G593" s="74"/>
      <c r="H593" s="74"/>
      <c r="J593" s="7"/>
      <c r="K593" s="74"/>
      <c r="L593" s="74"/>
      <c r="N593" s="7"/>
      <c r="O593" s="74"/>
      <c r="P593" s="74"/>
      <c r="R593" s="7"/>
      <c r="S593" s="7"/>
      <c r="T593" s="66"/>
    </row>
    <row r="594" spans="1:20" ht="13.2">
      <c r="A594" s="7"/>
      <c r="B594" s="7"/>
      <c r="C594" s="74"/>
      <c r="D594" s="74"/>
      <c r="F594" s="7"/>
      <c r="G594" s="74"/>
      <c r="H594" s="74"/>
      <c r="J594" s="7"/>
      <c r="K594" s="74"/>
      <c r="L594" s="74"/>
      <c r="N594" s="7"/>
      <c r="O594" s="74"/>
      <c r="P594" s="74"/>
      <c r="R594" s="7"/>
      <c r="S594" s="7"/>
      <c r="T594" s="66"/>
    </row>
    <row r="595" spans="1:20" ht="13.2">
      <c r="A595" s="7"/>
      <c r="B595" s="7"/>
      <c r="C595" s="74"/>
      <c r="D595" s="74"/>
      <c r="F595" s="7"/>
      <c r="G595" s="74"/>
      <c r="H595" s="74"/>
      <c r="J595" s="7"/>
      <c r="K595" s="74"/>
      <c r="L595" s="74"/>
      <c r="N595" s="7"/>
      <c r="O595" s="74"/>
      <c r="P595" s="74"/>
      <c r="R595" s="7"/>
      <c r="S595" s="7"/>
      <c r="T595" s="66"/>
    </row>
    <row r="596" spans="1:20" ht="13.2">
      <c r="A596" s="7"/>
      <c r="B596" s="7"/>
      <c r="C596" s="74"/>
      <c r="D596" s="74"/>
      <c r="F596" s="7"/>
      <c r="G596" s="74"/>
      <c r="H596" s="74"/>
      <c r="J596" s="7"/>
      <c r="K596" s="74"/>
      <c r="L596" s="74"/>
      <c r="N596" s="7"/>
      <c r="O596" s="74"/>
      <c r="P596" s="74"/>
      <c r="R596" s="7"/>
      <c r="S596" s="7"/>
      <c r="T596" s="66"/>
    </row>
    <row r="597" spans="1:20" ht="13.2">
      <c r="A597" s="7"/>
      <c r="B597" s="7"/>
      <c r="C597" s="74"/>
      <c r="D597" s="74"/>
      <c r="F597" s="7"/>
      <c r="G597" s="74"/>
      <c r="H597" s="74"/>
      <c r="J597" s="7"/>
      <c r="K597" s="74"/>
      <c r="L597" s="74"/>
      <c r="N597" s="7"/>
      <c r="O597" s="74"/>
      <c r="P597" s="74"/>
      <c r="R597" s="7"/>
      <c r="S597" s="7"/>
      <c r="T597" s="66"/>
    </row>
    <row r="598" spans="1:20" ht="13.2">
      <c r="A598" s="7"/>
      <c r="B598" s="7"/>
      <c r="C598" s="74"/>
      <c r="D598" s="74"/>
      <c r="F598" s="7"/>
      <c r="G598" s="74"/>
      <c r="H598" s="74"/>
      <c r="J598" s="7"/>
      <c r="K598" s="74"/>
      <c r="L598" s="74"/>
      <c r="N598" s="7"/>
      <c r="O598" s="74"/>
      <c r="P598" s="74"/>
      <c r="R598" s="7"/>
      <c r="S598" s="7"/>
      <c r="T598" s="66"/>
    </row>
    <row r="599" spans="1:20" ht="13.2">
      <c r="A599" s="7"/>
      <c r="B599" s="7"/>
      <c r="C599" s="74"/>
      <c r="D599" s="74"/>
      <c r="F599" s="7"/>
      <c r="G599" s="74"/>
      <c r="H599" s="74"/>
      <c r="J599" s="7"/>
      <c r="K599" s="74"/>
      <c r="L599" s="74"/>
      <c r="N599" s="7"/>
      <c r="O599" s="74"/>
      <c r="P599" s="74"/>
      <c r="R599" s="7"/>
      <c r="S599" s="7"/>
      <c r="T599" s="66"/>
    </row>
    <row r="600" spans="1:20" ht="13.2">
      <c r="A600" s="7"/>
      <c r="B600" s="7"/>
      <c r="C600" s="74"/>
      <c r="D600" s="74"/>
      <c r="F600" s="7"/>
      <c r="G600" s="74"/>
      <c r="H600" s="74"/>
      <c r="J600" s="7"/>
      <c r="K600" s="74"/>
      <c r="L600" s="74"/>
      <c r="N600" s="7"/>
      <c r="O600" s="74"/>
      <c r="P600" s="74"/>
      <c r="R600" s="7"/>
      <c r="S600" s="7"/>
      <c r="T600" s="66"/>
    </row>
    <row r="601" spans="1:20" ht="13.2">
      <c r="A601" s="7"/>
      <c r="B601" s="7"/>
      <c r="C601" s="74"/>
      <c r="D601" s="74"/>
      <c r="F601" s="7"/>
      <c r="G601" s="74"/>
      <c r="H601" s="74"/>
      <c r="J601" s="7"/>
      <c r="K601" s="74"/>
      <c r="L601" s="74"/>
      <c r="N601" s="7"/>
      <c r="O601" s="74"/>
      <c r="P601" s="74"/>
      <c r="R601" s="7"/>
      <c r="S601" s="7"/>
      <c r="T601" s="66"/>
    </row>
    <row r="602" spans="1:20" ht="13.2">
      <c r="A602" s="7"/>
      <c r="B602" s="7"/>
      <c r="C602" s="74"/>
      <c r="D602" s="74"/>
      <c r="F602" s="7"/>
      <c r="G602" s="74"/>
      <c r="H602" s="74"/>
      <c r="J602" s="7"/>
      <c r="K602" s="74"/>
      <c r="L602" s="74"/>
      <c r="N602" s="7"/>
      <c r="O602" s="74"/>
      <c r="P602" s="74"/>
      <c r="R602" s="7"/>
      <c r="S602" s="7"/>
      <c r="T602" s="66"/>
    </row>
    <row r="603" spans="1:20" ht="13.2">
      <c r="A603" s="7"/>
      <c r="B603" s="7"/>
      <c r="C603" s="74"/>
      <c r="D603" s="74"/>
      <c r="F603" s="7"/>
      <c r="G603" s="74"/>
      <c r="H603" s="74"/>
      <c r="J603" s="7"/>
      <c r="K603" s="74"/>
      <c r="L603" s="74"/>
      <c r="N603" s="7"/>
      <c r="O603" s="74"/>
      <c r="P603" s="74"/>
      <c r="R603" s="7"/>
      <c r="S603" s="7"/>
      <c r="T603" s="66"/>
    </row>
    <row r="604" spans="1:20" ht="13.2">
      <c r="A604" s="7"/>
      <c r="B604" s="7"/>
      <c r="C604" s="74"/>
      <c r="D604" s="74"/>
      <c r="F604" s="7"/>
      <c r="G604" s="74"/>
      <c r="H604" s="74"/>
      <c r="J604" s="7"/>
      <c r="K604" s="74"/>
      <c r="L604" s="74"/>
      <c r="N604" s="7"/>
      <c r="O604" s="74"/>
      <c r="P604" s="74"/>
      <c r="R604" s="7"/>
      <c r="S604" s="7"/>
      <c r="T604" s="66"/>
    </row>
    <row r="605" spans="1:20" ht="13.2">
      <c r="A605" s="7"/>
      <c r="B605" s="7"/>
      <c r="C605" s="74"/>
      <c r="D605" s="74"/>
      <c r="F605" s="7"/>
      <c r="G605" s="74"/>
      <c r="H605" s="74"/>
      <c r="J605" s="7"/>
      <c r="K605" s="74"/>
      <c r="L605" s="74"/>
      <c r="N605" s="7"/>
      <c r="O605" s="74"/>
      <c r="P605" s="74"/>
      <c r="R605" s="7"/>
      <c r="S605" s="7"/>
      <c r="T605" s="66"/>
    </row>
    <row r="606" spans="1:20" ht="13.2">
      <c r="A606" s="7"/>
      <c r="B606" s="7"/>
      <c r="C606" s="74"/>
      <c r="D606" s="74"/>
      <c r="F606" s="7"/>
      <c r="G606" s="74"/>
      <c r="H606" s="74"/>
      <c r="J606" s="7"/>
      <c r="K606" s="74"/>
      <c r="L606" s="74"/>
      <c r="N606" s="7"/>
      <c r="O606" s="74"/>
      <c r="P606" s="74"/>
      <c r="R606" s="7"/>
      <c r="S606" s="7"/>
      <c r="T606" s="66"/>
    </row>
    <row r="607" spans="1:20" ht="13.2">
      <c r="A607" s="7"/>
      <c r="B607" s="7"/>
      <c r="C607" s="74"/>
      <c r="D607" s="74"/>
      <c r="F607" s="7"/>
      <c r="G607" s="74"/>
      <c r="H607" s="74"/>
      <c r="J607" s="7"/>
      <c r="K607" s="74"/>
      <c r="L607" s="74"/>
      <c r="N607" s="7"/>
      <c r="O607" s="74"/>
      <c r="P607" s="74"/>
      <c r="R607" s="7"/>
      <c r="S607" s="7"/>
      <c r="T607" s="66"/>
    </row>
    <row r="608" spans="1:20" ht="13.2">
      <c r="A608" s="7"/>
      <c r="B608" s="7"/>
      <c r="C608" s="74"/>
      <c r="D608" s="74"/>
      <c r="F608" s="7"/>
      <c r="G608" s="74"/>
      <c r="H608" s="74"/>
      <c r="J608" s="7"/>
      <c r="K608" s="74"/>
      <c r="L608" s="74"/>
      <c r="N608" s="7"/>
      <c r="O608" s="74"/>
      <c r="P608" s="74"/>
      <c r="R608" s="7"/>
      <c r="S608" s="7"/>
      <c r="T608" s="66"/>
    </row>
    <row r="609" spans="1:20" ht="13.2">
      <c r="A609" s="7"/>
      <c r="B609" s="7"/>
      <c r="C609" s="74"/>
      <c r="D609" s="74"/>
      <c r="F609" s="7"/>
      <c r="G609" s="74"/>
      <c r="H609" s="74"/>
      <c r="J609" s="7"/>
      <c r="K609" s="74"/>
      <c r="L609" s="74"/>
      <c r="N609" s="7"/>
      <c r="O609" s="74"/>
      <c r="P609" s="74"/>
      <c r="R609" s="7"/>
      <c r="S609" s="7"/>
      <c r="T609" s="66"/>
    </row>
    <row r="610" spans="1:20" ht="13.2">
      <c r="A610" s="7"/>
      <c r="B610" s="7"/>
      <c r="C610" s="74"/>
      <c r="D610" s="74"/>
      <c r="F610" s="7"/>
      <c r="G610" s="74"/>
      <c r="H610" s="74"/>
      <c r="J610" s="7"/>
      <c r="K610" s="74"/>
      <c r="L610" s="74"/>
      <c r="N610" s="7"/>
      <c r="O610" s="74"/>
      <c r="P610" s="74"/>
      <c r="R610" s="7"/>
      <c r="S610" s="7"/>
      <c r="T610" s="66"/>
    </row>
    <row r="611" spans="1:20" ht="13.2">
      <c r="A611" s="7"/>
      <c r="B611" s="7"/>
      <c r="C611" s="74"/>
      <c r="D611" s="74"/>
      <c r="F611" s="7"/>
      <c r="G611" s="74"/>
      <c r="H611" s="74"/>
      <c r="J611" s="7"/>
      <c r="K611" s="74"/>
      <c r="L611" s="74"/>
      <c r="N611" s="7"/>
      <c r="O611" s="74"/>
      <c r="P611" s="74"/>
      <c r="R611" s="7"/>
      <c r="S611" s="7"/>
      <c r="T611" s="66"/>
    </row>
    <row r="612" spans="1:20" ht="13.2">
      <c r="A612" s="7"/>
      <c r="B612" s="7"/>
      <c r="C612" s="74"/>
      <c r="D612" s="74"/>
      <c r="F612" s="7"/>
      <c r="G612" s="74"/>
      <c r="H612" s="74"/>
      <c r="J612" s="7"/>
      <c r="K612" s="74"/>
      <c r="L612" s="74"/>
      <c r="N612" s="7"/>
      <c r="O612" s="74"/>
      <c r="P612" s="74"/>
      <c r="R612" s="7"/>
      <c r="S612" s="7"/>
      <c r="T612" s="66"/>
    </row>
    <row r="613" spans="1:20" ht="13.2">
      <c r="A613" s="7"/>
      <c r="B613" s="7"/>
      <c r="C613" s="74"/>
      <c r="D613" s="74"/>
      <c r="F613" s="7"/>
      <c r="G613" s="74"/>
      <c r="H613" s="74"/>
      <c r="J613" s="7"/>
      <c r="K613" s="74"/>
      <c r="L613" s="74"/>
      <c r="N613" s="7"/>
      <c r="O613" s="74"/>
      <c r="P613" s="74"/>
      <c r="R613" s="7"/>
      <c r="S613" s="7"/>
      <c r="T613" s="66"/>
    </row>
    <row r="614" spans="1:20" ht="13.2">
      <c r="A614" s="7"/>
      <c r="B614" s="7"/>
      <c r="C614" s="74"/>
      <c r="D614" s="74"/>
      <c r="F614" s="7"/>
      <c r="G614" s="74"/>
      <c r="H614" s="74"/>
      <c r="J614" s="7"/>
      <c r="K614" s="74"/>
      <c r="L614" s="74"/>
      <c r="N614" s="7"/>
      <c r="O614" s="74"/>
      <c r="P614" s="74"/>
      <c r="R614" s="7"/>
      <c r="S614" s="7"/>
      <c r="T614" s="66"/>
    </row>
    <row r="615" spans="1:20" ht="13.2">
      <c r="A615" s="7"/>
      <c r="B615" s="7"/>
      <c r="C615" s="74"/>
      <c r="D615" s="74"/>
      <c r="F615" s="7"/>
      <c r="G615" s="74"/>
      <c r="H615" s="74"/>
      <c r="J615" s="7"/>
      <c r="K615" s="74"/>
      <c r="L615" s="74"/>
      <c r="N615" s="7"/>
      <c r="O615" s="74"/>
      <c r="P615" s="74"/>
      <c r="R615" s="7"/>
      <c r="S615" s="7"/>
      <c r="T615" s="66"/>
    </row>
    <row r="616" spans="1:20" ht="13.2">
      <c r="A616" s="7"/>
      <c r="B616" s="7"/>
      <c r="C616" s="74"/>
      <c r="D616" s="74"/>
      <c r="F616" s="7"/>
      <c r="G616" s="74"/>
      <c r="H616" s="74"/>
      <c r="J616" s="7"/>
      <c r="K616" s="74"/>
      <c r="L616" s="74"/>
      <c r="N616" s="7"/>
      <c r="O616" s="74"/>
      <c r="P616" s="74"/>
      <c r="R616" s="7"/>
      <c r="S616" s="7"/>
      <c r="T616" s="66"/>
    </row>
    <row r="617" spans="1:20" ht="13.2">
      <c r="A617" s="7"/>
      <c r="B617" s="7"/>
      <c r="C617" s="74"/>
      <c r="D617" s="74"/>
      <c r="F617" s="7"/>
      <c r="G617" s="74"/>
      <c r="H617" s="74"/>
      <c r="J617" s="7"/>
      <c r="K617" s="74"/>
      <c r="L617" s="74"/>
      <c r="N617" s="7"/>
      <c r="O617" s="74"/>
      <c r="P617" s="74"/>
      <c r="R617" s="7"/>
      <c r="S617" s="7"/>
      <c r="T617" s="66"/>
    </row>
    <row r="618" spans="1:20" ht="13.2">
      <c r="A618" s="7"/>
      <c r="B618" s="7"/>
      <c r="C618" s="74"/>
      <c r="D618" s="74"/>
      <c r="F618" s="7"/>
      <c r="G618" s="74"/>
      <c r="H618" s="74"/>
      <c r="J618" s="7"/>
      <c r="K618" s="74"/>
      <c r="L618" s="74"/>
      <c r="N618" s="7"/>
      <c r="O618" s="74"/>
      <c r="P618" s="74"/>
      <c r="R618" s="7"/>
      <c r="S618" s="7"/>
      <c r="T618" s="66"/>
    </row>
    <row r="619" spans="1:20" ht="13.2">
      <c r="A619" s="7"/>
      <c r="B619" s="7"/>
      <c r="C619" s="74"/>
      <c r="D619" s="74"/>
      <c r="F619" s="7"/>
      <c r="G619" s="74"/>
      <c r="H619" s="74"/>
      <c r="J619" s="7"/>
      <c r="K619" s="74"/>
      <c r="L619" s="74"/>
      <c r="N619" s="7"/>
      <c r="O619" s="74"/>
      <c r="P619" s="74"/>
      <c r="R619" s="7"/>
      <c r="S619" s="7"/>
      <c r="T619" s="66"/>
    </row>
    <row r="620" spans="1:20" ht="13.2">
      <c r="A620" s="7"/>
      <c r="B620" s="7"/>
      <c r="C620" s="74"/>
      <c r="D620" s="74"/>
      <c r="F620" s="7"/>
      <c r="G620" s="74"/>
      <c r="H620" s="74"/>
      <c r="J620" s="7"/>
      <c r="K620" s="74"/>
      <c r="L620" s="74"/>
      <c r="N620" s="7"/>
      <c r="O620" s="74"/>
      <c r="P620" s="74"/>
      <c r="R620" s="7"/>
      <c r="S620" s="7"/>
      <c r="T620" s="66"/>
    </row>
    <row r="621" spans="1:20" ht="13.2">
      <c r="A621" s="7"/>
      <c r="B621" s="7"/>
      <c r="C621" s="74"/>
      <c r="D621" s="74"/>
      <c r="F621" s="7"/>
      <c r="G621" s="74"/>
      <c r="H621" s="74"/>
      <c r="J621" s="7"/>
      <c r="K621" s="74"/>
      <c r="L621" s="74"/>
      <c r="N621" s="7"/>
      <c r="O621" s="74"/>
      <c r="P621" s="74"/>
      <c r="R621" s="7"/>
      <c r="S621" s="7"/>
      <c r="T621" s="66"/>
    </row>
    <row r="622" spans="1:20" ht="13.2">
      <c r="A622" s="7"/>
      <c r="B622" s="7"/>
      <c r="C622" s="74"/>
      <c r="D622" s="74"/>
      <c r="F622" s="7"/>
      <c r="G622" s="74"/>
      <c r="H622" s="74"/>
      <c r="J622" s="7"/>
      <c r="K622" s="74"/>
      <c r="L622" s="74"/>
      <c r="N622" s="7"/>
      <c r="O622" s="74"/>
      <c r="P622" s="74"/>
      <c r="R622" s="7"/>
      <c r="S622" s="7"/>
      <c r="T622" s="66"/>
    </row>
    <row r="623" spans="1:20" ht="13.2">
      <c r="A623" s="7"/>
      <c r="B623" s="7"/>
      <c r="C623" s="74"/>
      <c r="D623" s="74"/>
      <c r="F623" s="7"/>
      <c r="G623" s="74"/>
      <c r="H623" s="74"/>
      <c r="J623" s="7"/>
      <c r="K623" s="74"/>
      <c r="L623" s="74"/>
      <c r="N623" s="7"/>
      <c r="O623" s="74"/>
      <c r="P623" s="74"/>
      <c r="R623" s="7"/>
      <c r="S623" s="7"/>
      <c r="T623" s="66"/>
    </row>
    <row r="624" spans="1:20" ht="13.2">
      <c r="A624" s="7"/>
      <c r="B624" s="7"/>
      <c r="C624" s="74"/>
      <c r="D624" s="74"/>
      <c r="F624" s="7"/>
      <c r="G624" s="74"/>
      <c r="H624" s="74"/>
      <c r="J624" s="7"/>
      <c r="K624" s="74"/>
      <c r="L624" s="74"/>
      <c r="N624" s="7"/>
      <c r="O624" s="74"/>
      <c r="P624" s="74"/>
      <c r="R624" s="7"/>
      <c r="S624" s="7"/>
      <c r="T624" s="66"/>
    </row>
    <row r="625" spans="1:20" ht="13.2">
      <c r="A625" s="7"/>
      <c r="B625" s="7"/>
      <c r="C625" s="74"/>
      <c r="D625" s="74"/>
      <c r="F625" s="7"/>
      <c r="G625" s="74"/>
      <c r="H625" s="74"/>
      <c r="J625" s="7"/>
      <c r="K625" s="74"/>
      <c r="L625" s="74"/>
      <c r="N625" s="7"/>
      <c r="O625" s="74"/>
      <c r="P625" s="74"/>
      <c r="R625" s="7"/>
      <c r="S625" s="7"/>
      <c r="T625" s="66"/>
    </row>
    <row r="626" spans="1:20" ht="13.2">
      <c r="A626" s="7"/>
      <c r="B626" s="7"/>
      <c r="C626" s="74"/>
      <c r="D626" s="74"/>
      <c r="F626" s="7"/>
      <c r="G626" s="74"/>
      <c r="H626" s="74"/>
      <c r="J626" s="7"/>
      <c r="K626" s="74"/>
      <c r="L626" s="74"/>
      <c r="N626" s="7"/>
      <c r="O626" s="74"/>
      <c r="P626" s="74"/>
      <c r="R626" s="7"/>
      <c r="S626" s="7"/>
      <c r="T626" s="66"/>
    </row>
    <row r="627" spans="1:20" ht="13.2">
      <c r="A627" s="7"/>
      <c r="B627" s="7"/>
      <c r="C627" s="74"/>
      <c r="D627" s="74"/>
      <c r="F627" s="7"/>
      <c r="G627" s="74"/>
      <c r="H627" s="74"/>
      <c r="J627" s="7"/>
      <c r="K627" s="74"/>
      <c r="L627" s="74"/>
      <c r="N627" s="7"/>
      <c r="O627" s="74"/>
      <c r="P627" s="74"/>
      <c r="R627" s="7"/>
      <c r="S627" s="7"/>
      <c r="T627" s="66"/>
    </row>
    <row r="628" spans="1:20" ht="13.2">
      <c r="A628" s="7"/>
      <c r="B628" s="7"/>
      <c r="C628" s="74"/>
      <c r="D628" s="74"/>
      <c r="F628" s="7"/>
      <c r="G628" s="74"/>
      <c r="H628" s="74"/>
      <c r="J628" s="7"/>
      <c r="K628" s="74"/>
      <c r="L628" s="74"/>
      <c r="N628" s="7"/>
      <c r="O628" s="74"/>
      <c r="P628" s="74"/>
      <c r="R628" s="7"/>
      <c r="S628" s="7"/>
      <c r="T628" s="66"/>
    </row>
    <row r="629" spans="1:20" ht="13.2">
      <c r="A629" s="7"/>
      <c r="B629" s="7"/>
      <c r="C629" s="74"/>
      <c r="D629" s="74"/>
      <c r="F629" s="7"/>
      <c r="G629" s="74"/>
      <c r="H629" s="74"/>
      <c r="J629" s="7"/>
      <c r="K629" s="74"/>
      <c r="L629" s="74"/>
      <c r="N629" s="7"/>
      <c r="O629" s="74"/>
      <c r="P629" s="74"/>
      <c r="R629" s="7"/>
      <c r="S629" s="7"/>
      <c r="T629" s="66"/>
    </row>
    <row r="630" spans="1:20" ht="13.2">
      <c r="A630" s="7"/>
      <c r="B630" s="7"/>
      <c r="C630" s="74"/>
      <c r="D630" s="74"/>
      <c r="F630" s="7"/>
      <c r="G630" s="74"/>
      <c r="H630" s="74"/>
      <c r="J630" s="7"/>
      <c r="K630" s="74"/>
      <c r="L630" s="74"/>
      <c r="N630" s="7"/>
      <c r="O630" s="74"/>
      <c r="P630" s="74"/>
      <c r="R630" s="7"/>
      <c r="S630" s="7"/>
      <c r="T630" s="66"/>
    </row>
    <row r="631" spans="1:20" ht="13.2">
      <c r="A631" s="7"/>
      <c r="B631" s="7"/>
      <c r="C631" s="74"/>
      <c r="D631" s="74"/>
      <c r="F631" s="7"/>
      <c r="G631" s="74"/>
      <c r="H631" s="74"/>
      <c r="J631" s="7"/>
      <c r="K631" s="74"/>
      <c r="L631" s="74"/>
      <c r="N631" s="7"/>
      <c r="O631" s="74"/>
      <c r="P631" s="74"/>
      <c r="R631" s="7"/>
      <c r="S631" s="7"/>
      <c r="T631" s="66"/>
    </row>
    <row r="632" spans="1:20" ht="13.2">
      <c r="A632" s="7"/>
      <c r="B632" s="7"/>
      <c r="C632" s="74"/>
      <c r="D632" s="74"/>
      <c r="F632" s="7"/>
      <c r="G632" s="74"/>
      <c r="H632" s="74"/>
      <c r="J632" s="7"/>
      <c r="K632" s="74"/>
      <c r="L632" s="74"/>
      <c r="N632" s="7"/>
      <c r="O632" s="74"/>
      <c r="P632" s="74"/>
      <c r="R632" s="7"/>
      <c r="S632" s="7"/>
      <c r="T632" s="66"/>
    </row>
    <row r="633" spans="1:20" ht="13.2">
      <c r="A633" s="7"/>
      <c r="B633" s="7"/>
      <c r="C633" s="74"/>
      <c r="D633" s="74"/>
      <c r="F633" s="7"/>
      <c r="G633" s="74"/>
      <c r="H633" s="74"/>
      <c r="J633" s="7"/>
      <c r="K633" s="74"/>
      <c r="L633" s="74"/>
      <c r="N633" s="7"/>
      <c r="O633" s="74"/>
      <c r="P633" s="74"/>
      <c r="R633" s="7"/>
      <c r="S633" s="7"/>
      <c r="T633" s="66"/>
    </row>
    <row r="634" spans="1:20" ht="13.2">
      <c r="A634" s="7"/>
      <c r="B634" s="7"/>
      <c r="C634" s="74"/>
      <c r="D634" s="74"/>
      <c r="F634" s="7"/>
      <c r="G634" s="74"/>
      <c r="H634" s="74"/>
      <c r="J634" s="7"/>
      <c r="K634" s="74"/>
      <c r="L634" s="74"/>
      <c r="N634" s="7"/>
      <c r="O634" s="74"/>
      <c r="P634" s="74"/>
      <c r="R634" s="7"/>
      <c r="S634" s="7"/>
      <c r="T634" s="66"/>
    </row>
    <row r="635" spans="1:20" ht="13.2">
      <c r="A635" s="7"/>
      <c r="B635" s="7"/>
      <c r="C635" s="74"/>
      <c r="D635" s="74"/>
      <c r="F635" s="7"/>
      <c r="G635" s="74"/>
      <c r="H635" s="74"/>
      <c r="J635" s="7"/>
      <c r="K635" s="74"/>
      <c r="L635" s="74"/>
      <c r="N635" s="7"/>
      <c r="O635" s="74"/>
      <c r="P635" s="74"/>
      <c r="R635" s="7"/>
      <c r="S635" s="7"/>
      <c r="T635" s="66"/>
    </row>
    <row r="636" spans="1:20" ht="13.2">
      <c r="A636" s="7"/>
      <c r="B636" s="7"/>
      <c r="C636" s="74"/>
      <c r="D636" s="74"/>
      <c r="F636" s="7"/>
      <c r="G636" s="74"/>
      <c r="H636" s="74"/>
      <c r="J636" s="7"/>
      <c r="K636" s="74"/>
      <c r="L636" s="74"/>
      <c r="N636" s="7"/>
      <c r="O636" s="74"/>
      <c r="P636" s="74"/>
      <c r="R636" s="7"/>
      <c r="S636" s="7"/>
      <c r="T636" s="66"/>
    </row>
    <row r="637" spans="1:20" ht="13.2">
      <c r="A637" s="7"/>
      <c r="B637" s="7"/>
      <c r="C637" s="74"/>
      <c r="D637" s="74"/>
      <c r="F637" s="7"/>
      <c r="G637" s="74"/>
      <c r="H637" s="74"/>
      <c r="J637" s="7"/>
      <c r="K637" s="74"/>
      <c r="L637" s="74"/>
      <c r="N637" s="7"/>
      <c r="O637" s="74"/>
      <c r="P637" s="74"/>
      <c r="R637" s="7"/>
      <c r="S637" s="7"/>
      <c r="T637" s="66"/>
    </row>
    <row r="638" spans="1:20" ht="13.2">
      <c r="A638" s="7"/>
      <c r="B638" s="7"/>
      <c r="C638" s="74"/>
      <c r="D638" s="74"/>
      <c r="F638" s="7"/>
      <c r="G638" s="74"/>
      <c r="H638" s="74"/>
      <c r="J638" s="7"/>
      <c r="K638" s="74"/>
      <c r="L638" s="74"/>
      <c r="N638" s="7"/>
      <c r="O638" s="74"/>
      <c r="P638" s="74"/>
      <c r="R638" s="7"/>
      <c r="S638" s="7"/>
      <c r="T638" s="66"/>
    </row>
    <row r="639" spans="1:20" ht="13.2">
      <c r="A639" s="7"/>
      <c r="B639" s="7"/>
      <c r="C639" s="74"/>
      <c r="D639" s="74"/>
      <c r="F639" s="7"/>
      <c r="G639" s="74"/>
      <c r="H639" s="74"/>
      <c r="J639" s="7"/>
      <c r="K639" s="74"/>
      <c r="L639" s="74"/>
      <c r="N639" s="7"/>
      <c r="O639" s="74"/>
      <c r="P639" s="74"/>
      <c r="R639" s="7"/>
      <c r="S639" s="7"/>
      <c r="T639" s="66"/>
    </row>
    <row r="640" spans="1:20" ht="13.2">
      <c r="A640" s="7"/>
      <c r="B640" s="7"/>
      <c r="C640" s="74"/>
      <c r="D640" s="74"/>
      <c r="F640" s="7"/>
      <c r="G640" s="74"/>
      <c r="H640" s="74"/>
      <c r="J640" s="7"/>
      <c r="K640" s="74"/>
      <c r="L640" s="74"/>
      <c r="N640" s="7"/>
      <c r="O640" s="74"/>
      <c r="P640" s="74"/>
      <c r="R640" s="7"/>
      <c r="S640" s="7"/>
      <c r="T640" s="66"/>
    </row>
    <row r="641" spans="1:20" ht="13.2">
      <c r="A641" s="7"/>
      <c r="B641" s="7"/>
      <c r="C641" s="74"/>
      <c r="D641" s="74"/>
      <c r="F641" s="7"/>
      <c r="G641" s="74"/>
      <c r="H641" s="74"/>
      <c r="J641" s="7"/>
      <c r="K641" s="74"/>
      <c r="L641" s="74"/>
      <c r="N641" s="7"/>
      <c r="O641" s="74"/>
      <c r="P641" s="74"/>
      <c r="R641" s="7"/>
      <c r="S641" s="7"/>
      <c r="T641" s="66"/>
    </row>
    <row r="642" spans="1:20" ht="13.2">
      <c r="A642" s="7"/>
      <c r="B642" s="7"/>
      <c r="C642" s="74"/>
      <c r="D642" s="74"/>
      <c r="F642" s="7"/>
      <c r="G642" s="74"/>
      <c r="H642" s="74"/>
      <c r="J642" s="7"/>
      <c r="K642" s="74"/>
      <c r="L642" s="74"/>
      <c r="N642" s="7"/>
      <c r="O642" s="74"/>
      <c r="P642" s="74"/>
      <c r="R642" s="7"/>
      <c r="S642" s="7"/>
      <c r="T642" s="66"/>
    </row>
    <row r="643" spans="1:20" ht="13.2">
      <c r="A643" s="7"/>
      <c r="B643" s="7"/>
      <c r="C643" s="74"/>
      <c r="D643" s="74"/>
      <c r="F643" s="7"/>
      <c r="G643" s="74"/>
      <c r="H643" s="74"/>
      <c r="J643" s="7"/>
      <c r="K643" s="74"/>
      <c r="L643" s="74"/>
      <c r="N643" s="7"/>
      <c r="O643" s="74"/>
      <c r="P643" s="74"/>
      <c r="R643" s="7"/>
      <c r="S643" s="7"/>
      <c r="T643" s="66"/>
    </row>
    <row r="644" spans="1:20" ht="13.2">
      <c r="A644" s="7"/>
      <c r="B644" s="7"/>
      <c r="C644" s="74"/>
      <c r="D644" s="74"/>
      <c r="F644" s="7"/>
      <c r="G644" s="74"/>
      <c r="H644" s="74"/>
      <c r="J644" s="7"/>
      <c r="K644" s="74"/>
      <c r="L644" s="74"/>
      <c r="N644" s="7"/>
      <c r="O644" s="74"/>
      <c r="P644" s="74"/>
      <c r="R644" s="7"/>
      <c r="S644" s="7"/>
      <c r="T644" s="66"/>
    </row>
    <row r="645" spans="1:20" ht="13.2">
      <c r="A645" s="7"/>
      <c r="B645" s="7"/>
      <c r="C645" s="74"/>
      <c r="D645" s="74"/>
      <c r="F645" s="7"/>
      <c r="G645" s="74"/>
      <c r="H645" s="74"/>
      <c r="J645" s="7"/>
      <c r="K645" s="74"/>
      <c r="L645" s="74"/>
      <c r="N645" s="7"/>
      <c r="O645" s="74"/>
      <c r="P645" s="74"/>
      <c r="R645" s="7"/>
      <c r="S645" s="7"/>
      <c r="T645" s="66"/>
    </row>
    <row r="646" spans="1:20" ht="13.2">
      <c r="A646" s="7"/>
      <c r="B646" s="7"/>
      <c r="C646" s="74"/>
      <c r="D646" s="74"/>
      <c r="F646" s="7"/>
      <c r="G646" s="74"/>
      <c r="H646" s="74"/>
      <c r="J646" s="7"/>
      <c r="K646" s="74"/>
      <c r="L646" s="74"/>
      <c r="N646" s="7"/>
      <c r="O646" s="74"/>
      <c r="P646" s="74"/>
      <c r="R646" s="7"/>
      <c r="S646" s="7"/>
      <c r="T646" s="66"/>
    </row>
    <row r="647" spans="1:20" ht="13.2">
      <c r="A647" s="7"/>
      <c r="B647" s="7"/>
      <c r="C647" s="74"/>
      <c r="D647" s="74"/>
      <c r="F647" s="7"/>
      <c r="G647" s="74"/>
      <c r="H647" s="74"/>
      <c r="J647" s="7"/>
      <c r="K647" s="74"/>
      <c r="L647" s="74"/>
      <c r="N647" s="7"/>
      <c r="O647" s="74"/>
      <c r="P647" s="74"/>
      <c r="R647" s="7"/>
      <c r="S647" s="7"/>
      <c r="T647" s="66"/>
    </row>
    <row r="648" spans="1:20" ht="13.2">
      <c r="A648" s="7"/>
      <c r="B648" s="7"/>
      <c r="C648" s="74"/>
      <c r="D648" s="74"/>
      <c r="F648" s="7"/>
      <c r="G648" s="74"/>
      <c r="H648" s="74"/>
      <c r="J648" s="7"/>
      <c r="K648" s="74"/>
      <c r="L648" s="74"/>
      <c r="N648" s="7"/>
      <c r="O648" s="74"/>
      <c r="P648" s="74"/>
      <c r="R648" s="7"/>
      <c r="S648" s="7"/>
      <c r="T648" s="66"/>
    </row>
    <row r="649" spans="1:20" ht="13.2">
      <c r="A649" s="7"/>
      <c r="B649" s="7"/>
      <c r="C649" s="74"/>
      <c r="D649" s="74"/>
      <c r="F649" s="7"/>
      <c r="G649" s="74"/>
      <c r="H649" s="74"/>
      <c r="J649" s="7"/>
      <c r="K649" s="74"/>
      <c r="L649" s="74"/>
      <c r="N649" s="7"/>
      <c r="O649" s="74"/>
      <c r="P649" s="74"/>
      <c r="R649" s="7"/>
      <c r="S649" s="7"/>
      <c r="T649" s="66"/>
    </row>
    <row r="650" spans="1:20" ht="13.2">
      <c r="A650" s="7"/>
      <c r="B650" s="7"/>
      <c r="C650" s="74"/>
      <c r="D650" s="74"/>
      <c r="F650" s="7"/>
      <c r="G650" s="74"/>
      <c r="H650" s="74"/>
      <c r="J650" s="7"/>
      <c r="K650" s="74"/>
      <c r="L650" s="74"/>
      <c r="N650" s="7"/>
      <c r="O650" s="74"/>
      <c r="P650" s="74"/>
      <c r="R650" s="7"/>
      <c r="S650" s="7"/>
      <c r="T650" s="66"/>
    </row>
    <row r="651" spans="1:20" ht="13.2">
      <c r="A651" s="7"/>
      <c r="B651" s="7"/>
      <c r="C651" s="74"/>
      <c r="D651" s="74"/>
      <c r="F651" s="7"/>
      <c r="G651" s="74"/>
      <c r="H651" s="74"/>
      <c r="J651" s="7"/>
      <c r="K651" s="74"/>
      <c r="L651" s="74"/>
      <c r="N651" s="7"/>
      <c r="O651" s="74"/>
      <c r="P651" s="74"/>
      <c r="R651" s="7"/>
      <c r="S651" s="7"/>
      <c r="T651" s="66"/>
    </row>
    <row r="652" spans="1:20" ht="13.2">
      <c r="A652" s="7"/>
      <c r="B652" s="7"/>
      <c r="C652" s="74"/>
      <c r="D652" s="74"/>
      <c r="F652" s="7"/>
      <c r="G652" s="74"/>
      <c r="H652" s="74"/>
      <c r="J652" s="7"/>
      <c r="K652" s="74"/>
      <c r="L652" s="74"/>
      <c r="N652" s="7"/>
      <c r="O652" s="74"/>
      <c r="P652" s="74"/>
      <c r="R652" s="7"/>
      <c r="S652" s="7"/>
      <c r="T652" s="66"/>
    </row>
    <row r="653" spans="1:20" ht="13.2">
      <c r="A653" s="7"/>
      <c r="B653" s="7"/>
      <c r="C653" s="74"/>
      <c r="D653" s="74"/>
      <c r="F653" s="7"/>
      <c r="G653" s="74"/>
      <c r="H653" s="74"/>
      <c r="J653" s="7"/>
      <c r="K653" s="74"/>
      <c r="L653" s="74"/>
      <c r="N653" s="7"/>
      <c r="O653" s="74"/>
      <c r="P653" s="74"/>
      <c r="R653" s="7"/>
      <c r="S653" s="7"/>
      <c r="T653" s="66"/>
    </row>
    <row r="654" spans="1:20" ht="13.2">
      <c r="A654" s="7"/>
      <c r="B654" s="7"/>
      <c r="C654" s="74"/>
      <c r="D654" s="74"/>
      <c r="F654" s="7"/>
      <c r="G654" s="74"/>
      <c r="H654" s="74"/>
      <c r="J654" s="7"/>
      <c r="K654" s="74"/>
      <c r="L654" s="74"/>
      <c r="N654" s="7"/>
      <c r="O654" s="74"/>
      <c r="P654" s="74"/>
      <c r="R654" s="7"/>
      <c r="S654" s="7"/>
      <c r="T654" s="66"/>
    </row>
    <row r="655" spans="1:20" ht="13.2">
      <c r="A655" s="7"/>
      <c r="B655" s="7"/>
      <c r="C655" s="74"/>
      <c r="D655" s="74"/>
      <c r="F655" s="7"/>
      <c r="G655" s="74"/>
      <c r="H655" s="74"/>
      <c r="J655" s="7"/>
      <c r="K655" s="74"/>
      <c r="L655" s="74"/>
      <c r="N655" s="7"/>
      <c r="O655" s="74"/>
      <c r="P655" s="74"/>
      <c r="R655" s="7"/>
      <c r="S655" s="7"/>
      <c r="T655" s="66"/>
    </row>
    <row r="656" spans="1:20" ht="13.2">
      <c r="A656" s="7"/>
      <c r="B656" s="7"/>
      <c r="C656" s="74"/>
      <c r="D656" s="74"/>
      <c r="F656" s="7"/>
      <c r="G656" s="74"/>
      <c r="H656" s="74"/>
      <c r="J656" s="7"/>
      <c r="K656" s="74"/>
      <c r="L656" s="74"/>
      <c r="N656" s="7"/>
      <c r="O656" s="74"/>
      <c r="P656" s="74"/>
      <c r="R656" s="7"/>
      <c r="S656" s="7"/>
      <c r="T656" s="66"/>
    </row>
    <row r="657" spans="1:20" ht="13.2">
      <c r="A657" s="7"/>
      <c r="B657" s="7"/>
      <c r="C657" s="74"/>
      <c r="D657" s="74"/>
      <c r="F657" s="7"/>
      <c r="G657" s="74"/>
      <c r="H657" s="74"/>
      <c r="J657" s="7"/>
      <c r="K657" s="74"/>
      <c r="L657" s="74"/>
      <c r="N657" s="7"/>
      <c r="O657" s="74"/>
      <c r="P657" s="74"/>
      <c r="R657" s="7"/>
      <c r="S657" s="7"/>
      <c r="T657" s="66"/>
    </row>
    <row r="658" spans="1:20" ht="13.2">
      <c r="A658" s="7"/>
      <c r="B658" s="7"/>
      <c r="C658" s="74"/>
      <c r="D658" s="74"/>
      <c r="F658" s="7"/>
      <c r="G658" s="74"/>
      <c r="H658" s="74"/>
      <c r="J658" s="7"/>
      <c r="K658" s="74"/>
      <c r="L658" s="74"/>
      <c r="N658" s="7"/>
      <c r="O658" s="74"/>
      <c r="P658" s="74"/>
      <c r="R658" s="7"/>
      <c r="S658" s="7"/>
      <c r="T658" s="66"/>
    </row>
    <row r="659" spans="1:20" ht="13.2">
      <c r="A659" s="7"/>
      <c r="B659" s="7"/>
      <c r="C659" s="74"/>
      <c r="D659" s="74"/>
      <c r="F659" s="7"/>
      <c r="G659" s="74"/>
      <c r="H659" s="74"/>
      <c r="J659" s="7"/>
      <c r="K659" s="74"/>
      <c r="L659" s="74"/>
      <c r="N659" s="7"/>
      <c r="O659" s="74"/>
      <c r="P659" s="74"/>
      <c r="R659" s="7"/>
      <c r="S659" s="7"/>
      <c r="T659" s="66"/>
    </row>
    <row r="660" spans="1:20" ht="13.2">
      <c r="A660" s="7"/>
      <c r="B660" s="7"/>
      <c r="C660" s="74"/>
      <c r="D660" s="74"/>
      <c r="F660" s="7"/>
      <c r="G660" s="74"/>
      <c r="H660" s="74"/>
      <c r="J660" s="7"/>
      <c r="K660" s="74"/>
      <c r="L660" s="74"/>
      <c r="N660" s="7"/>
      <c r="O660" s="74"/>
      <c r="P660" s="74"/>
      <c r="R660" s="7"/>
      <c r="S660" s="7"/>
      <c r="T660" s="66"/>
    </row>
    <row r="661" spans="1:20" ht="13.2">
      <c r="A661" s="7"/>
      <c r="B661" s="7"/>
      <c r="C661" s="74"/>
      <c r="D661" s="74"/>
      <c r="F661" s="7"/>
      <c r="G661" s="74"/>
      <c r="H661" s="74"/>
      <c r="J661" s="7"/>
      <c r="K661" s="74"/>
      <c r="L661" s="74"/>
      <c r="N661" s="7"/>
      <c r="O661" s="74"/>
      <c r="P661" s="74"/>
      <c r="R661" s="7"/>
      <c r="S661" s="7"/>
      <c r="T661" s="66"/>
    </row>
    <row r="662" spans="1:20" ht="13.2">
      <c r="A662" s="7"/>
      <c r="B662" s="7"/>
      <c r="C662" s="74"/>
      <c r="D662" s="74"/>
      <c r="F662" s="7"/>
      <c r="G662" s="74"/>
      <c r="H662" s="74"/>
      <c r="J662" s="7"/>
      <c r="K662" s="74"/>
      <c r="L662" s="74"/>
      <c r="N662" s="7"/>
      <c r="O662" s="74"/>
      <c r="P662" s="74"/>
      <c r="R662" s="7"/>
      <c r="S662" s="7"/>
      <c r="T662" s="66"/>
    </row>
    <row r="663" spans="1:20" ht="13.2">
      <c r="A663" s="7"/>
      <c r="B663" s="7"/>
      <c r="C663" s="74"/>
      <c r="D663" s="74"/>
      <c r="F663" s="7"/>
      <c r="G663" s="74"/>
      <c r="H663" s="74"/>
      <c r="J663" s="7"/>
      <c r="K663" s="74"/>
      <c r="L663" s="74"/>
      <c r="N663" s="7"/>
      <c r="O663" s="74"/>
      <c r="P663" s="74"/>
      <c r="R663" s="7"/>
      <c r="S663" s="7"/>
      <c r="T663" s="66"/>
    </row>
    <row r="664" spans="1:20" ht="13.2">
      <c r="A664" s="7"/>
      <c r="B664" s="7"/>
      <c r="C664" s="74"/>
      <c r="D664" s="74"/>
      <c r="F664" s="7"/>
      <c r="G664" s="74"/>
      <c r="H664" s="74"/>
      <c r="J664" s="7"/>
      <c r="K664" s="74"/>
      <c r="L664" s="74"/>
      <c r="N664" s="7"/>
      <c r="O664" s="74"/>
      <c r="P664" s="74"/>
      <c r="R664" s="7"/>
      <c r="S664" s="7"/>
      <c r="T664" s="66"/>
    </row>
    <row r="665" spans="1:20" ht="13.2">
      <c r="A665" s="7"/>
      <c r="B665" s="7"/>
      <c r="C665" s="74"/>
      <c r="D665" s="74"/>
      <c r="F665" s="7"/>
      <c r="G665" s="74"/>
      <c r="H665" s="74"/>
      <c r="J665" s="7"/>
      <c r="K665" s="74"/>
      <c r="L665" s="74"/>
      <c r="N665" s="7"/>
      <c r="O665" s="74"/>
      <c r="P665" s="74"/>
      <c r="R665" s="7"/>
      <c r="S665" s="7"/>
      <c r="T665" s="66"/>
    </row>
    <row r="666" spans="1:20" ht="13.2">
      <c r="A666" s="7"/>
      <c r="B666" s="7"/>
      <c r="C666" s="74"/>
      <c r="D666" s="74"/>
      <c r="F666" s="7"/>
      <c r="G666" s="74"/>
      <c r="H666" s="74"/>
      <c r="J666" s="7"/>
      <c r="K666" s="74"/>
      <c r="L666" s="74"/>
      <c r="N666" s="7"/>
      <c r="O666" s="74"/>
      <c r="P666" s="74"/>
      <c r="R666" s="7"/>
      <c r="S666" s="7"/>
      <c r="T666" s="66"/>
    </row>
    <row r="667" spans="1:20" ht="13.2">
      <c r="A667" s="7"/>
      <c r="B667" s="7"/>
      <c r="C667" s="74"/>
      <c r="D667" s="74"/>
      <c r="F667" s="7"/>
      <c r="G667" s="74"/>
      <c r="H667" s="74"/>
      <c r="J667" s="7"/>
      <c r="K667" s="74"/>
      <c r="L667" s="74"/>
      <c r="N667" s="7"/>
      <c r="O667" s="74"/>
      <c r="P667" s="74"/>
      <c r="R667" s="7"/>
      <c r="S667" s="7"/>
      <c r="T667" s="66"/>
    </row>
    <row r="668" spans="1:20" ht="13.2">
      <c r="A668" s="7"/>
      <c r="B668" s="7"/>
      <c r="C668" s="74"/>
      <c r="D668" s="74"/>
      <c r="F668" s="7"/>
      <c r="G668" s="74"/>
      <c r="H668" s="74"/>
      <c r="J668" s="7"/>
      <c r="K668" s="74"/>
      <c r="L668" s="74"/>
      <c r="N668" s="7"/>
      <c r="O668" s="74"/>
      <c r="P668" s="74"/>
      <c r="R668" s="7"/>
      <c r="S668" s="7"/>
      <c r="T668" s="66"/>
    </row>
    <row r="669" spans="1:20" ht="13.2">
      <c r="A669" s="7"/>
      <c r="B669" s="7"/>
      <c r="C669" s="74"/>
      <c r="D669" s="74"/>
      <c r="F669" s="7"/>
      <c r="G669" s="74"/>
      <c r="H669" s="74"/>
      <c r="J669" s="7"/>
      <c r="K669" s="74"/>
      <c r="L669" s="74"/>
      <c r="N669" s="7"/>
      <c r="O669" s="74"/>
      <c r="P669" s="74"/>
      <c r="R669" s="7"/>
      <c r="S669" s="7"/>
      <c r="T669" s="66"/>
    </row>
    <row r="670" spans="1:20" ht="13.2">
      <c r="A670" s="7"/>
      <c r="B670" s="7"/>
      <c r="C670" s="74"/>
      <c r="D670" s="74"/>
      <c r="F670" s="7"/>
      <c r="G670" s="74"/>
      <c r="H670" s="74"/>
      <c r="J670" s="7"/>
      <c r="K670" s="74"/>
      <c r="L670" s="74"/>
      <c r="N670" s="7"/>
      <c r="O670" s="74"/>
      <c r="P670" s="74"/>
      <c r="R670" s="7"/>
      <c r="S670" s="7"/>
      <c r="T670" s="66"/>
    </row>
    <row r="671" spans="1:20" ht="13.2">
      <c r="A671" s="7"/>
      <c r="B671" s="7"/>
      <c r="C671" s="74"/>
      <c r="D671" s="74"/>
      <c r="F671" s="7"/>
      <c r="G671" s="74"/>
      <c r="H671" s="74"/>
      <c r="J671" s="7"/>
      <c r="K671" s="74"/>
      <c r="L671" s="74"/>
      <c r="N671" s="7"/>
      <c r="O671" s="74"/>
      <c r="P671" s="74"/>
      <c r="R671" s="7"/>
      <c r="S671" s="7"/>
      <c r="T671" s="66"/>
    </row>
    <row r="672" spans="1:20" ht="13.2">
      <c r="A672" s="7"/>
      <c r="B672" s="7"/>
      <c r="C672" s="74"/>
      <c r="D672" s="74"/>
      <c r="F672" s="7"/>
      <c r="G672" s="74"/>
      <c r="H672" s="74"/>
      <c r="J672" s="7"/>
      <c r="K672" s="74"/>
      <c r="L672" s="74"/>
      <c r="N672" s="7"/>
      <c r="O672" s="74"/>
      <c r="P672" s="74"/>
      <c r="R672" s="7"/>
      <c r="S672" s="7"/>
      <c r="T672" s="66"/>
    </row>
    <row r="673" spans="1:20" ht="13.2">
      <c r="A673" s="7"/>
      <c r="B673" s="7"/>
      <c r="C673" s="74"/>
      <c r="D673" s="74"/>
      <c r="F673" s="7"/>
      <c r="G673" s="74"/>
      <c r="H673" s="74"/>
      <c r="J673" s="7"/>
      <c r="K673" s="74"/>
      <c r="L673" s="74"/>
      <c r="N673" s="7"/>
      <c r="O673" s="74"/>
      <c r="P673" s="74"/>
      <c r="R673" s="7"/>
      <c r="S673" s="7"/>
      <c r="T673" s="66"/>
    </row>
    <row r="674" spans="1:20" ht="13.2">
      <c r="A674" s="7"/>
      <c r="B674" s="7"/>
      <c r="C674" s="74"/>
      <c r="D674" s="74"/>
      <c r="F674" s="7"/>
      <c r="G674" s="74"/>
      <c r="H674" s="74"/>
      <c r="J674" s="7"/>
      <c r="K674" s="74"/>
      <c r="L674" s="74"/>
      <c r="N674" s="7"/>
      <c r="O674" s="74"/>
      <c r="P674" s="74"/>
      <c r="R674" s="7"/>
      <c r="S674" s="7"/>
      <c r="T674" s="66"/>
    </row>
    <row r="675" spans="1:20" ht="13.2">
      <c r="A675" s="7"/>
      <c r="B675" s="7"/>
      <c r="C675" s="74"/>
      <c r="D675" s="74"/>
      <c r="F675" s="7"/>
      <c r="G675" s="74"/>
      <c r="H675" s="74"/>
      <c r="J675" s="7"/>
      <c r="K675" s="74"/>
      <c r="L675" s="74"/>
      <c r="N675" s="7"/>
      <c r="O675" s="74"/>
      <c r="P675" s="74"/>
      <c r="R675" s="7"/>
      <c r="S675" s="7"/>
      <c r="T675" s="66"/>
    </row>
    <row r="676" spans="1:20" ht="13.2">
      <c r="A676" s="7"/>
      <c r="B676" s="7"/>
      <c r="C676" s="74"/>
      <c r="D676" s="74"/>
      <c r="F676" s="7"/>
      <c r="G676" s="74"/>
      <c r="H676" s="74"/>
      <c r="J676" s="7"/>
      <c r="K676" s="74"/>
      <c r="L676" s="74"/>
      <c r="N676" s="7"/>
      <c r="O676" s="74"/>
      <c r="P676" s="74"/>
      <c r="R676" s="7"/>
      <c r="S676" s="7"/>
      <c r="T676" s="66"/>
    </row>
    <row r="677" spans="1:20" ht="13.2">
      <c r="A677" s="7"/>
      <c r="B677" s="7"/>
      <c r="C677" s="74"/>
      <c r="D677" s="74"/>
      <c r="F677" s="7"/>
      <c r="G677" s="74"/>
      <c r="H677" s="74"/>
      <c r="J677" s="7"/>
      <c r="K677" s="74"/>
      <c r="L677" s="74"/>
      <c r="N677" s="7"/>
      <c r="O677" s="74"/>
      <c r="P677" s="74"/>
      <c r="R677" s="7"/>
      <c r="S677" s="7"/>
      <c r="T677" s="66"/>
    </row>
    <row r="678" spans="1:20" ht="13.2">
      <c r="A678" s="7"/>
      <c r="B678" s="7"/>
      <c r="C678" s="74"/>
      <c r="D678" s="74"/>
      <c r="F678" s="7"/>
      <c r="G678" s="74"/>
      <c r="H678" s="74"/>
      <c r="J678" s="7"/>
      <c r="K678" s="74"/>
      <c r="L678" s="74"/>
      <c r="N678" s="7"/>
      <c r="O678" s="74"/>
      <c r="P678" s="74"/>
      <c r="R678" s="7"/>
      <c r="S678" s="7"/>
      <c r="T678" s="66"/>
    </row>
    <row r="679" spans="1:20" ht="13.2">
      <c r="A679" s="7"/>
      <c r="B679" s="7"/>
      <c r="C679" s="74"/>
      <c r="D679" s="74"/>
      <c r="F679" s="7"/>
      <c r="G679" s="74"/>
      <c r="H679" s="74"/>
      <c r="J679" s="7"/>
      <c r="K679" s="74"/>
      <c r="L679" s="74"/>
      <c r="N679" s="7"/>
      <c r="O679" s="74"/>
      <c r="P679" s="74"/>
      <c r="R679" s="7"/>
      <c r="S679" s="7"/>
      <c r="T679" s="66"/>
    </row>
    <row r="680" spans="1:20" ht="13.2">
      <c r="A680" s="7"/>
      <c r="B680" s="7"/>
      <c r="C680" s="74"/>
      <c r="D680" s="74"/>
      <c r="F680" s="7"/>
      <c r="G680" s="74"/>
      <c r="H680" s="74"/>
      <c r="J680" s="7"/>
      <c r="K680" s="74"/>
      <c r="L680" s="74"/>
      <c r="N680" s="7"/>
      <c r="O680" s="74"/>
      <c r="P680" s="74"/>
      <c r="R680" s="7"/>
      <c r="S680" s="7"/>
      <c r="T680" s="66"/>
    </row>
    <row r="681" spans="1:20" ht="13.2">
      <c r="A681" s="7"/>
      <c r="B681" s="7"/>
      <c r="C681" s="74"/>
      <c r="D681" s="74"/>
      <c r="F681" s="7"/>
      <c r="G681" s="74"/>
      <c r="H681" s="74"/>
      <c r="J681" s="7"/>
      <c r="K681" s="74"/>
      <c r="L681" s="74"/>
      <c r="N681" s="7"/>
      <c r="O681" s="74"/>
      <c r="P681" s="74"/>
      <c r="R681" s="7"/>
      <c r="S681" s="7"/>
      <c r="T681" s="66"/>
    </row>
    <row r="682" spans="1:20" ht="13.2">
      <c r="A682" s="7"/>
      <c r="B682" s="7"/>
      <c r="C682" s="74"/>
      <c r="D682" s="74"/>
      <c r="F682" s="7"/>
      <c r="G682" s="74"/>
      <c r="H682" s="74"/>
      <c r="J682" s="7"/>
      <c r="K682" s="74"/>
      <c r="L682" s="74"/>
      <c r="N682" s="7"/>
      <c r="O682" s="74"/>
      <c r="P682" s="74"/>
      <c r="R682" s="7"/>
      <c r="S682" s="7"/>
      <c r="T682" s="66"/>
    </row>
    <row r="683" spans="1:20" ht="13.2">
      <c r="A683" s="7"/>
      <c r="B683" s="7"/>
      <c r="C683" s="74"/>
      <c r="D683" s="74"/>
      <c r="F683" s="7"/>
      <c r="G683" s="74"/>
      <c r="H683" s="74"/>
      <c r="J683" s="7"/>
      <c r="K683" s="74"/>
      <c r="L683" s="74"/>
      <c r="N683" s="7"/>
      <c r="O683" s="74"/>
      <c r="P683" s="74"/>
      <c r="R683" s="7"/>
      <c r="S683" s="7"/>
      <c r="T683" s="66"/>
    </row>
    <row r="684" spans="1:20" ht="13.2">
      <c r="A684" s="7"/>
      <c r="B684" s="7"/>
      <c r="C684" s="74"/>
      <c r="D684" s="74"/>
      <c r="F684" s="7"/>
      <c r="G684" s="74"/>
      <c r="H684" s="74"/>
      <c r="J684" s="7"/>
      <c r="K684" s="74"/>
      <c r="L684" s="74"/>
      <c r="N684" s="7"/>
      <c r="O684" s="74"/>
      <c r="P684" s="74"/>
      <c r="R684" s="7"/>
      <c r="S684" s="7"/>
      <c r="T684" s="66"/>
    </row>
    <row r="685" spans="1:20" ht="13.2">
      <c r="A685" s="7"/>
      <c r="B685" s="7"/>
      <c r="C685" s="74"/>
      <c r="D685" s="74"/>
      <c r="F685" s="7"/>
      <c r="G685" s="74"/>
      <c r="H685" s="74"/>
      <c r="J685" s="7"/>
      <c r="K685" s="74"/>
      <c r="L685" s="74"/>
      <c r="N685" s="7"/>
      <c r="O685" s="74"/>
      <c r="P685" s="74"/>
      <c r="R685" s="7"/>
      <c r="S685" s="7"/>
      <c r="T685" s="66"/>
    </row>
    <row r="686" spans="1:20" ht="13.2">
      <c r="A686" s="7"/>
      <c r="B686" s="7"/>
      <c r="C686" s="74"/>
      <c r="D686" s="74"/>
      <c r="F686" s="7"/>
      <c r="G686" s="74"/>
      <c r="H686" s="74"/>
      <c r="J686" s="7"/>
      <c r="K686" s="74"/>
      <c r="L686" s="74"/>
      <c r="N686" s="7"/>
      <c r="O686" s="74"/>
      <c r="P686" s="74"/>
      <c r="R686" s="7"/>
      <c r="S686" s="7"/>
      <c r="T686" s="66"/>
    </row>
    <row r="687" spans="1:20" ht="13.2">
      <c r="A687" s="7"/>
      <c r="B687" s="7"/>
      <c r="C687" s="74"/>
      <c r="D687" s="74"/>
      <c r="F687" s="7"/>
      <c r="G687" s="74"/>
      <c r="H687" s="74"/>
      <c r="J687" s="7"/>
      <c r="K687" s="74"/>
      <c r="L687" s="74"/>
      <c r="N687" s="7"/>
      <c r="O687" s="74"/>
      <c r="P687" s="74"/>
      <c r="R687" s="7"/>
      <c r="S687" s="7"/>
      <c r="T687" s="66"/>
    </row>
    <row r="688" spans="1:20" ht="13.2">
      <c r="A688" s="7"/>
      <c r="B688" s="7"/>
      <c r="C688" s="74"/>
      <c r="D688" s="74"/>
      <c r="F688" s="7"/>
      <c r="G688" s="74"/>
      <c r="H688" s="74"/>
      <c r="J688" s="7"/>
      <c r="K688" s="74"/>
      <c r="L688" s="74"/>
      <c r="N688" s="7"/>
      <c r="O688" s="74"/>
      <c r="P688" s="74"/>
      <c r="R688" s="7"/>
      <c r="S688" s="7"/>
      <c r="T688" s="66"/>
    </row>
    <row r="689" spans="1:20" ht="13.2">
      <c r="A689" s="7"/>
      <c r="B689" s="7"/>
      <c r="C689" s="74"/>
      <c r="D689" s="74"/>
      <c r="F689" s="7"/>
      <c r="G689" s="74"/>
      <c r="H689" s="74"/>
      <c r="J689" s="7"/>
      <c r="K689" s="74"/>
      <c r="L689" s="74"/>
      <c r="N689" s="7"/>
      <c r="O689" s="74"/>
      <c r="P689" s="74"/>
      <c r="R689" s="7"/>
      <c r="S689" s="7"/>
      <c r="T689" s="66"/>
    </row>
    <row r="690" spans="1:20" ht="13.2">
      <c r="A690" s="7"/>
      <c r="B690" s="7"/>
      <c r="C690" s="74"/>
      <c r="D690" s="74"/>
      <c r="F690" s="7"/>
      <c r="G690" s="74"/>
      <c r="H690" s="74"/>
      <c r="J690" s="7"/>
      <c r="K690" s="74"/>
      <c r="L690" s="74"/>
      <c r="N690" s="7"/>
      <c r="O690" s="74"/>
      <c r="P690" s="74"/>
      <c r="R690" s="7"/>
      <c r="S690" s="7"/>
      <c r="T690" s="66"/>
    </row>
    <row r="691" spans="1:20" ht="13.2">
      <c r="A691" s="7"/>
      <c r="B691" s="7"/>
      <c r="C691" s="74"/>
      <c r="D691" s="74"/>
      <c r="F691" s="7"/>
      <c r="G691" s="74"/>
      <c r="H691" s="74"/>
      <c r="J691" s="7"/>
      <c r="K691" s="74"/>
      <c r="L691" s="74"/>
      <c r="N691" s="7"/>
      <c r="O691" s="74"/>
      <c r="P691" s="74"/>
      <c r="R691" s="7"/>
      <c r="S691" s="7"/>
      <c r="T691" s="66"/>
    </row>
    <row r="692" spans="1:20" ht="13.2">
      <c r="A692" s="7"/>
      <c r="B692" s="7"/>
      <c r="C692" s="74"/>
      <c r="D692" s="74"/>
      <c r="F692" s="7"/>
      <c r="G692" s="74"/>
      <c r="H692" s="74"/>
      <c r="J692" s="7"/>
      <c r="K692" s="74"/>
      <c r="L692" s="74"/>
      <c r="N692" s="7"/>
      <c r="O692" s="74"/>
      <c r="P692" s="74"/>
      <c r="R692" s="7"/>
      <c r="S692" s="7"/>
      <c r="T692" s="66"/>
    </row>
    <row r="693" spans="1:20" ht="13.2">
      <c r="A693" s="7"/>
      <c r="B693" s="7"/>
      <c r="C693" s="74"/>
      <c r="D693" s="74"/>
      <c r="F693" s="7"/>
      <c r="G693" s="74"/>
      <c r="H693" s="74"/>
      <c r="J693" s="7"/>
      <c r="K693" s="74"/>
      <c r="L693" s="74"/>
      <c r="N693" s="7"/>
      <c r="O693" s="74"/>
      <c r="P693" s="74"/>
      <c r="R693" s="7"/>
      <c r="S693" s="7"/>
      <c r="T693" s="66"/>
    </row>
    <row r="694" spans="1:20" ht="13.2">
      <c r="A694" s="7"/>
      <c r="B694" s="7"/>
      <c r="C694" s="74"/>
      <c r="D694" s="74"/>
      <c r="F694" s="7"/>
      <c r="G694" s="74"/>
      <c r="H694" s="74"/>
      <c r="J694" s="7"/>
      <c r="K694" s="74"/>
      <c r="L694" s="74"/>
      <c r="N694" s="7"/>
      <c r="O694" s="74"/>
      <c r="P694" s="74"/>
      <c r="R694" s="7"/>
      <c r="S694" s="7"/>
      <c r="T694" s="66"/>
    </row>
    <row r="695" spans="1:20" ht="13.2">
      <c r="A695" s="7"/>
      <c r="B695" s="7"/>
      <c r="C695" s="74"/>
      <c r="D695" s="74"/>
      <c r="F695" s="7"/>
      <c r="G695" s="74"/>
      <c r="H695" s="74"/>
      <c r="J695" s="7"/>
      <c r="K695" s="74"/>
      <c r="L695" s="74"/>
      <c r="N695" s="7"/>
      <c r="O695" s="74"/>
      <c r="P695" s="74"/>
      <c r="R695" s="7"/>
      <c r="S695" s="7"/>
      <c r="T695" s="66"/>
    </row>
    <row r="696" spans="1:20" ht="13.2">
      <c r="A696" s="7"/>
      <c r="B696" s="7"/>
      <c r="C696" s="74"/>
      <c r="D696" s="74"/>
      <c r="F696" s="7"/>
      <c r="G696" s="74"/>
      <c r="H696" s="74"/>
      <c r="J696" s="7"/>
      <c r="K696" s="74"/>
      <c r="L696" s="74"/>
      <c r="N696" s="7"/>
      <c r="O696" s="74"/>
      <c r="P696" s="74"/>
      <c r="R696" s="7"/>
      <c r="S696" s="7"/>
      <c r="T696" s="66"/>
    </row>
    <row r="697" spans="1:20" ht="13.2">
      <c r="A697" s="7"/>
      <c r="B697" s="7"/>
      <c r="C697" s="74"/>
      <c r="D697" s="74"/>
      <c r="F697" s="7"/>
      <c r="G697" s="74"/>
      <c r="H697" s="74"/>
      <c r="J697" s="7"/>
      <c r="K697" s="74"/>
      <c r="L697" s="74"/>
      <c r="N697" s="7"/>
      <c r="O697" s="74"/>
      <c r="P697" s="74"/>
      <c r="R697" s="7"/>
      <c r="S697" s="7"/>
      <c r="T697" s="66"/>
    </row>
    <row r="698" spans="1:20" ht="13.2">
      <c r="A698" s="7"/>
      <c r="B698" s="7"/>
      <c r="C698" s="74"/>
      <c r="D698" s="74"/>
      <c r="F698" s="7"/>
      <c r="G698" s="74"/>
      <c r="H698" s="74"/>
      <c r="J698" s="7"/>
      <c r="K698" s="74"/>
      <c r="L698" s="74"/>
      <c r="N698" s="7"/>
      <c r="O698" s="74"/>
      <c r="P698" s="74"/>
      <c r="R698" s="7"/>
      <c r="S698" s="7"/>
      <c r="T698" s="66"/>
    </row>
    <row r="699" spans="1:20" ht="13.2">
      <c r="A699" s="7"/>
      <c r="B699" s="7"/>
      <c r="C699" s="74"/>
      <c r="D699" s="74"/>
      <c r="F699" s="7"/>
      <c r="G699" s="74"/>
      <c r="H699" s="74"/>
      <c r="J699" s="7"/>
      <c r="K699" s="74"/>
      <c r="L699" s="74"/>
      <c r="N699" s="7"/>
      <c r="O699" s="74"/>
      <c r="P699" s="74"/>
      <c r="R699" s="7"/>
      <c r="S699" s="7"/>
      <c r="T699" s="66"/>
    </row>
    <row r="700" spans="1:20" ht="13.2">
      <c r="A700" s="7"/>
      <c r="B700" s="7"/>
      <c r="C700" s="74"/>
      <c r="D700" s="74"/>
      <c r="F700" s="7"/>
      <c r="G700" s="74"/>
      <c r="H700" s="74"/>
      <c r="J700" s="7"/>
      <c r="K700" s="74"/>
      <c r="L700" s="74"/>
      <c r="N700" s="7"/>
      <c r="O700" s="74"/>
      <c r="P700" s="74"/>
      <c r="R700" s="7"/>
      <c r="S700" s="7"/>
      <c r="T700" s="66"/>
    </row>
    <row r="701" spans="1:20" ht="13.2">
      <c r="A701" s="7"/>
      <c r="B701" s="7"/>
      <c r="C701" s="74"/>
      <c r="D701" s="74"/>
      <c r="F701" s="7"/>
      <c r="G701" s="74"/>
      <c r="H701" s="74"/>
      <c r="J701" s="7"/>
      <c r="K701" s="74"/>
      <c r="L701" s="74"/>
      <c r="N701" s="7"/>
      <c r="O701" s="74"/>
      <c r="P701" s="74"/>
      <c r="R701" s="7"/>
      <c r="S701" s="7"/>
      <c r="T701" s="66"/>
    </row>
    <row r="702" spans="1:20" ht="13.2">
      <c r="A702" s="7"/>
      <c r="B702" s="7"/>
      <c r="C702" s="74"/>
      <c r="D702" s="74"/>
      <c r="F702" s="7"/>
      <c r="G702" s="74"/>
      <c r="H702" s="74"/>
      <c r="J702" s="7"/>
      <c r="K702" s="74"/>
      <c r="L702" s="74"/>
      <c r="N702" s="7"/>
      <c r="O702" s="74"/>
      <c r="P702" s="74"/>
      <c r="R702" s="7"/>
      <c r="S702" s="7"/>
      <c r="T702" s="66"/>
    </row>
    <row r="703" spans="1:20" ht="13.2">
      <c r="A703" s="7"/>
      <c r="B703" s="7"/>
      <c r="C703" s="74"/>
      <c r="D703" s="74"/>
      <c r="F703" s="7"/>
      <c r="G703" s="74"/>
      <c r="H703" s="74"/>
      <c r="J703" s="7"/>
      <c r="K703" s="74"/>
      <c r="L703" s="74"/>
      <c r="N703" s="7"/>
      <c r="O703" s="74"/>
      <c r="P703" s="74"/>
      <c r="R703" s="7"/>
      <c r="S703" s="7"/>
      <c r="T703" s="66"/>
    </row>
    <row r="704" spans="1:20" ht="13.2">
      <c r="A704" s="7"/>
      <c r="B704" s="7"/>
      <c r="C704" s="74"/>
      <c r="D704" s="74"/>
      <c r="F704" s="7"/>
      <c r="G704" s="74"/>
      <c r="H704" s="74"/>
      <c r="J704" s="7"/>
      <c r="K704" s="74"/>
      <c r="L704" s="74"/>
      <c r="N704" s="7"/>
      <c r="O704" s="74"/>
      <c r="P704" s="74"/>
      <c r="R704" s="7"/>
      <c r="S704" s="7"/>
      <c r="T704" s="66"/>
    </row>
    <row r="705" spans="1:20" ht="13.2">
      <c r="A705" s="7"/>
      <c r="B705" s="7"/>
      <c r="C705" s="74"/>
      <c r="D705" s="74"/>
      <c r="F705" s="7"/>
      <c r="G705" s="74"/>
      <c r="H705" s="74"/>
      <c r="J705" s="7"/>
      <c r="K705" s="74"/>
      <c r="L705" s="74"/>
      <c r="N705" s="7"/>
      <c r="O705" s="74"/>
      <c r="P705" s="74"/>
      <c r="R705" s="7"/>
      <c r="S705" s="7"/>
      <c r="T705" s="66"/>
    </row>
    <row r="706" spans="1:20" ht="13.2">
      <c r="A706" s="7"/>
      <c r="B706" s="7"/>
      <c r="C706" s="74"/>
      <c r="D706" s="74"/>
      <c r="F706" s="7"/>
      <c r="G706" s="74"/>
      <c r="H706" s="74"/>
      <c r="J706" s="7"/>
      <c r="K706" s="74"/>
      <c r="L706" s="74"/>
      <c r="N706" s="7"/>
      <c r="O706" s="74"/>
      <c r="P706" s="74"/>
      <c r="R706" s="7"/>
      <c r="S706" s="7"/>
      <c r="T706" s="66"/>
    </row>
    <row r="707" spans="1:20" ht="13.2">
      <c r="A707" s="7"/>
      <c r="B707" s="7"/>
      <c r="C707" s="74"/>
      <c r="D707" s="74"/>
      <c r="F707" s="7"/>
      <c r="G707" s="74"/>
      <c r="H707" s="74"/>
      <c r="J707" s="7"/>
      <c r="K707" s="74"/>
      <c r="L707" s="74"/>
      <c r="N707" s="7"/>
      <c r="O707" s="74"/>
      <c r="P707" s="74"/>
      <c r="R707" s="7"/>
      <c r="S707" s="7"/>
      <c r="T707" s="66"/>
    </row>
    <row r="708" spans="1:20" ht="13.2">
      <c r="A708" s="7"/>
      <c r="B708" s="7"/>
      <c r="C708" s="74"/>
      <c r="D708" s="74"/>
      <c r="F708" s="7"/>
      <c r="G708" s="74"/>
      <c r="H708" s="74"/>
      <c r="J708" s="7"/>
      <c r="K708" s="74"/>
      <c r="L708" s="74"/>
      <c r="N708" s="7"/>
      <c r="O708" s="74"/>
      <c r="P708" s="74"/>
      <c r="R708" s="7"/>
      <c r="S708" s="7"/>
      <c r="T708" s="66"/>
    </row>
    <row r="709" spans="1:20" ht="13.2">
      <c r="A709" s="7"/>
      <c r="B709" s="7"/>
      <c r="C709" s="74"/>
      <c r="D709" s="74"/>
      <c r="F709" s="7"/>
      <c r="G709" s="74"/>
      <c r="H709" s="74"/>
      <c r="J709" s="7"/>
      <c r="K709" s="74"/>
      <c r="L709" s="74"/>
      <c r="N709" s="7"/>
      <c r="O709" s="74"/>
      <c r="P709" s="74"/>
      <c r="R709" s="7"/>
      <c r="S709" s="7"/>
      <c r="T709" s="66"/>
    </row>
    <row r="710" spans="1:20" ht="13.2">
      <c r="A710" s="7"/>
      <c r="B710" s="7"/>
      <c r="C710" s="74"/>
      <c r="D710" s="74"/>
      <c r="F710" s="7"/>
      <c r="G710" s="74"/>
      <c r="H710" s="74"/>
      <c r="J710" s="7"/>
      <c r="K710" s="74"/>
      <c r="L710" s="74"/>
      <c r="N710" s="7"/>
      <c r="O710" s="74"/>
      <c r="P710" s="74"/>
      <c r="R710" s="7"/>
      <c r="S710" s="7"/>
      <c r="T710" s="66"/>
    </row>
    <row r="711" spans="1:20" ht="13.2">
      <c r="A711" s="7"/>
      <c r="B711" s="7"/>
      <c r="C711" s="74"/>
      <c r="D711" s="74"/>
      <c r="F711" s="7"/>
      <c r="G711" s="74"/>
      <c r="H711" s="74"/>
      <c r="J711" s="7"/>
      <c r="K711" s="74"/>
      <c r="L711" s="74"/>
      <c r="N711" s="7"/>
      <c r="O711" s="74"/>
      <c r="P711" s="74"/>
      <c r="R711" s="7"/>
      <c r="S711" s="7"/>
      <c r="T711" s="66"/>
    </row>
    <row r="712" spans="1:20" ht="13.2">
      <c r="A712" s="7"/>
      <c r="B712" s="7"/>
      <c r="C712" s="74"/>
      <c r="D712" s="74"/>
      <c r="F712" s="7"/>
      <c r="G712" s="74"/>
      <c r="H712" s="74"/>
      <c r="J712" s="7"/>
      <c r="K712" s="74"/>
      <c r="L712" s="74"/>
      <c r="N712" s="7"/>
      <c r="O712" s="74"/>
      <c r="P712" s="74"/>
      <c r="R712" s="7"/>
      <c r="S712" s="7"/>
      <c r="T712" s="66"/>
    </row>
    <row r="713" spans="1:20" ht="13.2">
      <c r="A713" s="7"/>
      <c r="B713" s="7"/>
      <c r="C713" s="74"/>
      <c r="D713" s="74"/>
      <c r="F713" s="7"/>
      <c r="G713" s="74"/>
      <c r="H713" s="74"/>
      <c r="J713" s="7"/>
      <c r="K713" s="74"/>
      <c r="L713" s="74"/>
      <c r="N713" s="7"/>
      <c r="O713" s="74"/>
      <c r="P713" s="74"/>
      <c r="R713" s="7"/>
      <c r="S713" s="7"/>
      <c r="T713" s="66"/>
    </row>
    <row r="714" spans="1:20" ht="13.2">
      <c r="A714" s="7"/>
      <c r="B714" s="7"/>
      <c r="C714" s="74"/>
      <c r="D714" s="74"/>
      <c r="F714" s="7"/>
      <c r="G714" s="74"/>
      <c r="H714" s="74"/>
      <c r="J714" s="7"/>
      <c r="K714" s="74"/>
      <c r="L714" s="74"/>
      <c r="N714" s="7"/>
      <c r="O714" s="74"/>
      <c r="P714" s="74"/>
      <c r="R714" s="7"/>
      <c r="S714" s="7"/>
      <c r="T714" s="66"/>
    </row>
    <row r="715" spans="1:20" ht="13.2">
      <c r="A715" s="7"/>
      <c r="B715" s="7"/>
      <c r="C715" s="74"/>
      <c r="D715" s="74"/>
      <c r="F715" s="7"/>
      <c r="G715" s="74"/>
      <c r="H715" s="74"/>
      <c r="J715" s="7"/>
      <c r="K715" s="74"/>
      <c r="L715" s="74"/>
      <c r="N715" s="7"/>
      <c r="O715" s="74"/>
      <c r="P715" s="74"/>
      <c r="R715" s="7"/>
      <c r="S715" s="7"/>
      <c r="T715" s="66"/>
    </row>
    <row r="716" spans="1:20" ht="13.2">
      <c r="A716" s="7"/>
      <c r="B716" s="7"/>
      <c r="C716" s="74"/>
      <c r="D716" s="74"/>
      <c r="F716" s="7"/>
      <c r="G716" s="74"/>
      <c r="H716" s="74"/>
      <c r="J716" s="7"/>
      <c r="K716" s="74"/>
      <c r="L716" s="74"/>
      <c r="N716" s="7"/>
      <c r="O716" s="74"/>
      <c r="P716" s="74"/>
      <c r="R716" s="7"/>
      <c r="S716" s="7"/>
      <c r="T716" s="66"/>
    </row>
    <row r="717" spans="1:20" ht="13.2">
      <c r="A717" s="7"/>
      <c r="B717" s="7"/>
      <c r="C717" s="74"/>
      <c r="D717" s="74"/>
      <c r="F717" s="7"/>
      <c r="G717" s="74"/>
      <c r="H717" s="74"/>
      <c r="J717" s="7"/>
      <c r="K717" s="74"/>
      <c r="L717" s="74"/>
      <c r="N717" s="7"/>
      <c r="O717" s="74"/>
      <c r="P717" s="74"/>
      <c r="R717" s="7"/>
      <c r="S717" s="7"/>
      <c r="T717" s="66"/>
    </row>
    <row r="718" spans="1:20" ht="13.2">
      <c r="A718" s="7"/>
      <c r="B718" s="7"/>
      <c r="C718" s="74"/>
      <c r="D718" s="74"/>
      <c r="F718" s="7"/>
      <c r="G718" s="74"/>
      <c r="H718" s="74"/>
      <c r="J718" s="7"/>
      <c r="K718" s="74"/>
      <c r="L718" s="74"/>
      <c r="N718" s="7"/>
      <c r="O718" s="74"/>
      <c r="P718" s="74"/>
      <c r="R718" s="7"/>
      <c r="S718" s="7"/>
      <c r="T718" s="66"/>
    </row>
    <row r="719" spans="1:20" ht="13.2">
      <c r="A719" s="7"/>
      <c r="B719" s="7"/>
      <c r="C719" s="74"/>
      <c r="D719" s="74"/>
      <c r="F719" s="7"/>
      <c r="G719" s="74"/>
      <c r="H719" s="74"/>
      <c r="J719" s="7"/>
      <c r="K719" s="74"/>
      <c r="L719" s="74"/>
      <c r="N719" s="7"/>
      <c r="O719" s="74"/>
      <c r="P719" s="74"/>
      <c r="R719" s="7"/>
      <c r="S719" s="7"/>
      <c r="T719" s="66"/>
    </row>
    <row r="720" spans="1:20" ht="13.2">
      <c r="A720" s="7"/>
      <c r="B720" s="7"/>
      <c r="C720" s="74"/>
      <c r="D720" s="74"/>
      <c r="F720" s="7"/>
      <c r="G720" s="74"/>
      <c r="H720" s="74"/>
      <c r="J720" s="7"/>
      <c r="K720" s="74"/>
      <c r="L720" s="74"/>
      <c r="N720" s="7"/>
      <c r="O720" s="74"/>
      <c r="P720" s="74"/>
      <c r="R720" s="7"/>
      <c r="S720" s="7"/>
      <c r="T720" s="66"/>
    </row>
    <row r="721" spans="1:20" ht="13.2">
      <c r="A721" s="7"/>
      <c r="B721" s="7"/>
      <c r="C721" s="74"/>
      <c r="D721" s="74"/>
      <c r="F721" s="7"/>
      <c r="G721" s="74"/>
      <c r="H721" s="74"/>
      <c r="J721" s="7"/>
      <c r="K721" s="74"/>
      <c r="L721" s="74"/>
      <c r="N721" s="7"/>
      <c r="O721" s="74"/>
      <c r="P721" s="74"/>
      <c r="R721" s="7"/>
      <c r="S721" s="7"/>
      <c r="T721" s="66"/>
    </row>
    <row r="722" spans="1:20" ht="13.2">
      <c r="A722" s="7"/>
      <c r="B722" s="7"/>
      <c r="C722" s="74"/>
      <c r="D722" s="74"/>
      <c r="F722" s="7"/>
      <c r="G722" s="74"/>
      <c r="H722" s="74"/>
      <c r="J722" s="7"/>
      <c r="K722" s="74"/>
      <c r="L722" s="74"/>
      <c r="N722" s="7"/>
      <c r="O722" s="74"/>
      <c r="P722" s="74"/>
      <c r="R722" s="7"/>
      <c r="S722" s="7"/>
      <c r="T722" s="66"/>
    </row>
    <row r="723" spans="1:20" ht="13.2">
      <c r="A723" s="7"/>
      <c r="B723" s="7"/>
      <c r="C723" s="74"/>
      <c r="D723" s="74"/>
      <c r="F723" s="7"/>
      <c r="G723" s="74"/>
      <c r="H723" s="74"/>
      <c r="J723" s="7"/>
      <c r="K723" s="74"/>
      <c r="L723" s="74"/>
      <c r="N723" s="7"/>
      <c r="O723" s="74"/>
      <c r="P723" s="74"/>
      <c r="R723" s="7"/>
      <c r="S723" s="7"/>
      <c r="T723" s="66"/>
    </row>
    <row r="724" spans="1:20" ht="13.2">
      <c r="A724" s="7"/>
      <c r="B724" s="7"/>
      <c r="C724" s="74"/>
      <c r="D724" s="74"/>
      <c r="F724" s="7"/>
      <c r="G724" s="74"/>
      <c r="H724" s="74"/>
      <c r="J724" s="7"/>
      <c r="K724" s="74"/>
      <c r="L724" s="74"/>
      <c r="N724" s="7"/>
      <c r="O724" s="74"/>
      <c r="P724" s="74"/>
      <c r="R724" s="7"/>
      <c r="S724" s="7"/>
      <c r="T724" s="66"/>
    </row>
    <row r="725" spans="1:20" ht="13.2">
      <c r="A725" s="7"/>
      <c r="B725" s="7"/>
      <c r="C725" s="74"/>
      <c r="D725" s="74"/>
      <c r="F725" s="7"/>
      <c r="G725" s="74"/>
      <c r="H725" s="74"/>
      <c r="J725" s="7"/>
      <c r="K725" s="74"/>
      <c r="L725" s="74"/>
      <c r="N725" s="7"/>
      <c r="O725" s="74"/>
      <c r="P725" s="74"/>
      <c r="R725" s="7"/>
      <c r="S725" s="7"/>
      <c r="T725" s="66"/>
    </row>
    <row r="726" spans="1:20" ht="13.2">
      <c r="A726" s="7"/>
      <c r="B726" s="7"/>
      <c r="C726" s="74"/>
      <c r="D726" s="74"/>
      <c r="F726" s="7"/>
      <c r="G726" s="74"/>
      <c r="H726" s="74"/>
      <c r="J726" s="7"/>
      <c r="K726" s="74"/>
      <c r="L726" s="74"/>
      <c r="N726" s="7"/>
      <c r="O726" s="74"/>
      <c r="P726" s="74"/>
      <c r="R726" s="7"/>
      <c r="S726" s="7"/>
      <c r="T726" s="66"/>
    </row>
    <row r="727" spans="1:20" ht="13.2">
      <c r="A727" s="7"/>
      <c r="B727" s="7"/>
      <c r="C727" s="74"/>
      <c r="D727" s="74"/>
      <c r="F727" s="7"/>
      <c r="G727" s="74"/>
      <c r="H727" s="74"/>
      <c r="J727" s="7"/>
      <c r="K727" s="74"/>
      <c r="L727" s="74"/>
      <c r="N727" s="7"/>
      <c r="O727" s="74"/>
      <c r="P727" s="74"/>
      <c r="R727" s="7"/>
      <c r="S727" s="7"/>
      <c r="T727" s="66"/>
    </row>
    <row r="728" spans="1:20" ht="13.2">
      <c r="A728" s="7"/>
      <c r="B728" s="7"/>
      <c r="C728" s="74"/>
      <c r="D728" s="74"/>
      <c r="F728" s="7"/>
      <c r="G728" s="74"/>
      <c r="H728" s="74"/>
      <c r="J728" s="7"/>
      <c r="K728" s="74"/>
      <c r="L728" s="74"/>
      <c r="N728" s="7"/>
      <c r="O728" s="74"/>
      <c r="P728" s="74"/>
      <c r="R728" s="7"/>
      <c r="S728" s="7"/>
      <c r="T728" s="66"/>
    </row>
    <row r="729" spans="1:20" ht="13.2">
      <c r="A729" s="7"/>
      <c r="B729" s="7"/>
      <c r="C729" s="74"/>
      <c r="D729" s="74"/>
      <c r="F729" s="7"/>
      <c r="G729" s="74"/>
      <c r="H729" s="74"/>
      <c r="J729" s="7"/>
      <c r="K729" s="74"/>
      <c r="L729" s="74"/>
      <c r="N729" s="7"/>
      <c r="O729" s="74"/>
      <c r="P729" s="74"/>
      <c r="R729" s="7"/>
      <c r="S729" s="7"/>
      <c r="T729" s="66"/>
    </row>
    <row r="730" spans="1:20" ht="13.2">
      <c r="A730" s="7"/>
      <c r="B730" s="7"/>
      <c r="C730" s="74"/>
      <c r="D730" s="74"/>
      <c r="F730" s="7"/>
      <c r="G730" s="74"/>
      <c r="H730" s="74"/>
      <c r="J730" s="7"/>
      <c r="K730" s="74"/>
      <c r="L730" s="74"/>
      <c r="N730" s="7"/>
      <c r="O730" s="74"/>
      <c r="P730" s="74"/>
      <c r="R730" s="7"/>
      <c r="S730" s="7"/>
      <c r="T730" s="66"/>
    </row>
    <row r="731" spans="1:20" ht="13.2">
      <c r="A731" s="7"/>
      <c r="B731" s="7"/>
      <c r="C731" s="74"/>
      <c r="D731" s="74"/>
      <c r="F731" s="7"/>
      <c r="G731" s="74"/>
      <c r="H731" s="74"/>
      <c r="J731" s="7"/>
      <c r="K731" s="74"/>
      <c r="L731" s="74"/>
      <c r="N731" s="7"/>
      <c r="O731" s="74"/>
      <c r="P731" s="74"/>
      <c r="R731" s="7"/>
      <c r="S731" s="7"/>
      <c r="T731" s="66"/>
    </row>
    <row r="732" spans="1:20" ht="13.2">
      <c r="A732" s="7"/>
      <c r="B732" s="7"/>
      <c r="C732" s="74"/>
      <c r="D732" s="74"/>
      <c r="F732" s="7"/>
      <c r="G732" s="74"/>
      <c r="H732" s="74"/>
      <c r="J732" s="7"/>
      <c r="K732" s="74"/>
      <c r="L732" s="74"/>
      <c r="N732" s="7"/>
      <c r="O732" s="74"/>
      <c r="P732" s="74"/>
      <c r="R732" s="7"/>
      <c r="S732" s="7"/>
      <c r="T732" s="66"/>
    </row>
    <row r="733" spans="1:20" ht="13.2">
      <c r="A733" s="7"/>
      <c r="B733" s="7"/>
      <c r="C733" s="74"/>
      <c r="D733" s="74"/>
      <c r="F733" s="7"/>
      <c r="G733" s="74"/>
      <c r="H733" s="74"/>
      <c r="J733" s="7"/>
      <c r="K733" s="74"/>
      <c r="L733" s="74"/>
      <c r="N733" s="7"/>
      <c r="O733" s="74"/>
      <c r="P733" s="74"/>
      <c r="R733" s="7"/>
      <c r="S733" s="7"/>
      <c r="T733" s="66"/>
    </row>
    <row r="734" spans="1:20" ht="13.2">
      <c r="A734" s="7"/>
      <c r="B734" s="7"/>
      <c r="C734" s="74"/>
      <c r="D734" s="74"/>
      <c r="F734" s="7"/>
      <c r="G734" s="74"/>
      <c r="H734" s="74"/>
      <c r="J734" s="7"/>
      <c r="K734" s="74"/>
      <c r="L734" s="74"/>
      <c r="N734" s="7"/>
      <c r="O734" s="74"/>
      <c r="P734" s="74"/>
      <c r="R734" s="7"/>
      <c r="S734" s="7"/>
      <c r="T734" s="66"/>
    </row>
    <row r="735" spans="1:20" ht="13.2">
      <c r="A735" s="7"/>
      <c r="B735" s="7"/>
      <c r="C735" s="74"/>
      <c r="D735" s="74"/>
      <c r="F735" s="7"/>
      <c r="G735" s="74"/>
      <c r="H735" s="74"/>
      <c r="J735" s="7"/>
      <c r="K735" s="74"/>
      <c r="L735" s="74"/>
      <c r="N735" s="7"/>
      <c r="O735" s="74"/>
      <c r="P735" s="74"/>
      <c r="R735" s="7"/>
      <c r="S735" s="7"/>
      <c r="T735" s="66"/>
    </row>
    <row r="736" spans="1:20" ht="13.2">
      <c r="A736" s="7"/>
      <c r="B736" s="7"/>
      <c r="C736" s="74"/>
      <c r="D736" s="74"/>
      <c r="F736" s="7"/>
      <c r="G736" s="74"/>
      <c r="H736" s="74"/>
      <c r="J736" s="7"/>
      <c r="K736" s="74"/>
      <c r="L736" s="74"/>
      <c r="N736" s="7"/>
      <c r="O736" s="74"/>
      <c r="P736" s="74"/>
      <c r="R736" s="7"/>
      <c r="S736" s="7"/>
      <c r="T736" s="66"/>
    </row>
    <row r="737" spans="1:20" ht="13.2">
      <c r="A737" s="7"/>
      <c r="B737" s="7"/>
      <c r="C737" s="74"/>
      <c r="D737" s="74"/>
      <c r="F737" s="7"/>
      <c r="G737" s="74"/>
      <c r="H737" s="74"/>
      <c r="J737" s="7"/>
      <c r="K737" s="74"/>
      <c r="L737" s="74"/>
      <c r="N737" s="7"/>
      <c r="O737" s="74"/>
      <c r="P737" s="74"/>
      <c r="R737" s="7"/>
      <c r="S737" s="7"/>
      <c r="T737" s="66"/>
    </row>
    <row r="738" spans="1:20" ht="13.2">
      <c r="A738" s="7"/>
      <c r="B738" s="7"/>
      <c r="C738" s="74"/>
      <c r="D738" s="74"/>
      <c r="F738" s="7"/>
      <c r="G738" s="74"/>
      <c r="H738" s="74"/>
      <c r="J738" s="7"/>
      <c r="K738" s="74"/>
      <c r="L738" s="74"/>
      <c r="N738" s="7"/>
      <c r="O738" s="74"/>
      <c r="P738" s="74"/>
      <c r="R738" s="7"/>
      <c r="S738" s="7"/>
      <c r="T738" s="66"/>
    </row>
    <row r="739" spans="1:20" ht="13.2">
      <c r="A739" s="7"/>
      <c r="B739" s="7"/>
      <c r="C739" s="74"/>
      <c r="D739" s="74"/>
      <c r="F739" s="7"/>
      <c r="G739" s="74"/>
      <c r="H739" s="74"/>
      <c r="J739" s="7"/>
      <c r="K739" s="74"/>
      <c r="L739" s="74"/>
      <c r="N739" s="7"/>
      <c r="O739" s="74"/>
      <c r="P739" s="74"/>
      <c r="R739" s="7"/>
      <c r="S739" s="7"/>
      <c r="T739" s="66"/>
    </row>
    <row r="740" spans="1:20" ht="13.2">
      <c r="A740" s="7"/>
      <c r="B740" s="7"/>
      <c r="C740" s="74"/>
      <c r="D740" s="74"/>
      <c r="F740" s="7"/>
      <c r="G740" s="74"/>
      <c r="H740" s="74"/>
      <c r="J740" s="7"/>
      <c r="K740" s="74"/>
      <c r="L740" s="74"/>
      <c r="N740" s="7"/>
      <c r="O740" s="74"/>
      <c r="P740" s="74"/>
      <c r="R740" s="7"/>
      <c r="S740" s="7"/>
      <c r="T740" s="66"/>
    </row>
    <row r="741" spans="1:20" ht="13.2">
      <c r="A741" s="7"/>
      <c r="B741" s="7"/>
      <c r="C741" s="74"/>
      <c r="D741" s="74"/>
      <c r="F741" s="7"/>
      <c r="G741" s="74"/>
      <c r="H741" s="74"/>
      <c r="J741" s="7"/>
      <c r="K741" s="74"/>
      <c r="L741" s="74"/>
      <c r="N741" s="7"/>
      <c r="O741" s="74"/>
      <c r="P741" s="74"/>
      <c r="R741" s="7"/>
      <c r="S741" s="7"/>
      <c r="T741" s="66"/>
    </row>
    <row r="742" spans="1:20" ht="13.2">
      <c r="A742" s="7"/>
      <c r="B742" s="7"/>
      <c r="C742" s="74"/>
      <c r="D742" s="74"/>
      <c r="F742" s="7"/>
      <c r="G742" s="74"/>
      <c r="H742" s="74"/>
      <c r="J742" s="7"/>
      <c r="K742" s="74"/>
      <c r="L742" s="74"/>
      <c r="N742" s="7"/>
      <c r="O742" s="74"/>
      <c r="P742" s="74"/>
      <c r="R742" s="7"/>
      <c r="S742" s="7"/>
      <c r="T742" s="66"/>
    </row>
    <row r="743" spans="1:20" ht="13.2">
      <c r="A743" s="7"/>
      <c r="B743" s="7"/>
      <c r="C743" s="74"/>
      <c r="D743" s="74"/>
      <c r="F743" s="7"/>
      <c r="G743" s="74"/>
      <c r="H743" s="74"/>
      <c r="J743" s="7"/>
      <c r="K743" s="74"/>
      <c r="L743" s="74"/>
      <c r="N743" s="7"/>
      <c r="O743" s="74"/>
      <c r="P743" s="74"/>
      <c r="R743" s="7"/>
      <c r="S743" s="7"/>
      <c r="T743" s="66"/>
    </row>
    <row r="744" spans="1:20" ht="13.2">
      <c r="A744" s="7"/>
      <c r="B744" s="7"/>
      <c r="C744" s="74"/>
      <c r="D744" s="74"/>
      <c r="F744" s="7"/>
      <c r="G744" s="74"/>
      <c r="H744" s="74"/>
      <c r="J744" s="7"/>
      <c r="K744" s="74"/>
      <c r="L744" s="74"/>
      <c r="N744" s="7"/>
      <c r="O744" s="74"/>
      <c r="P744" s="74"/>
      <c r="R744" s="7"/>
      <c r="S744" s="7"/>
      <c r="T744" s="66"/>
    </row>
    <row r="745" spans="1:20" ht="13.2">
      <c r="A745" s="7"/>
      <c r="B745" s="7"/>
      <c r="C745" s="74"/>
      <c r="D745" s="74"/>
      <c r="F745" s="7"/>
      <c r="G745" s="74"/>
      <c r="H745" s="74"/>
      <c r="J745" s="7"/>
      <c r="K745" s="74"/>
      <c r="L745" s="74"/>
      <c r="N745" s="7"/>
      <c r="O745" s="74"/>
      <c r="P745" s="74"/>
      <c r="R745" s="7"/>
      <c r="S745" s="7"/>
      <c r="T745" s="66"/>
    </row>
    <row r="746" spans="1:20" ht="13.2">
      <c r="A746" s="7"/>
      <c r="B746" s="7"/>
      <c r="C746" s="74"/>
      <c r="D746" s="74"/>
      <c r="F746" s="7"/>
      <c r="G746" s="74"/>
      <c r="H746" s="74"/>
      <c r="J746" s="7"/>
      <c r="K746" s="74"/>
      <c r="L746" s="74"/>
      <c r="N746" s="7"/>
      <c r="O746" s="74"/>
      <c r="P746" s="74"/>
      <c r="R746" s="7"/>
      <c r="S746" s="7"/>
      <c r="T746" s="66"/>
    </row>
    <row r="747" spans="1:20" ht="13.2">
      <c r="A747" s="7"/>
      <c r="B747" s="7"/>
      <c r="C747" s="74"/>
      <c r="D747" s="74"/>
      <c r="F747" s="7"/>
      <c r="G747" s="74"/>
      <c r="H747" s="74"/>
      <c r="J747" s="7"/>
      <c r="K747" s="74"/>
      <c r="L747" s="74"/>
      <c r="N747" s="7"/>
      <c r="O747" s="74"/>
      <c r="P747" s="74"/>
      <c r="R747" s="7"/>
      <c r="S747" s="7"/>
      <c r="T747" s="66"/>
    </row>
    <row r="748" spans="1:20" ht="13.2">
      <c r="A748" s="7"/>
      <c r="B748" s="7"/>
      <c r="C748" s="74"/>
      <c r="D748" s="74"/>
      <c r="F748" s="7"/>
      <c r="G748" s="74"/>
      <c r="H748" s="74"/>
      <c r="J748" s="7"/>
      <c r="K748" s="74"/>
      <c r="L748" s="74"/>
      <c r="N748" s="7"/>
      <c r="O748" s="74"/>
      <c r="P748" s="74"/>
      <c r="R748" s="7"/>
      <c r="S748" s="7"/>
      <c r="T748" s="66"/>
    </row>
    <row r="749" spans="1:20" ht="13.2">
      <c r="A749" s="7"/>
      <c r="B749" s="7"/>
      <c r="C749" s="74"/>
      <c r="D749" s="74"/>
      <c r="F749" s="7"/>
      <c r="G749" s="74"/>
      <c r="H749" s="74"/>
      <c r="J749" s="7"/>
      <c r="K749" s="74"/>
      <c r="L749" s="74"/>
      <c r="N749" s="7"/>
      <c r="O749" s="74"/>
      <c r="P749" s="74"/>
      <c r="R749" s="7"/>
      <c r="S749" s="7"/>
      <c r="T749" s="66"/>
    </row>
    <row r="750" spans="1:20" ht="13.2">
      <c r="A750" s="7"/>
      <c r="B750" s="7"/>
      <c r="C750" s="74"/>
      <c r="D750" s="74"/>
      <c r="F750" s="7"/>
      <c r="G750" s="74"/>
      <c r="H750" s="74"/>
      <c r="J750" s="7"/>
      <c r="K750" s="74"/>
      <c r="L750" s="74"/>
      <c r="N750" s="7"/>
      <c r="O750" s="74"/>
      <c r="P750" s="74"/>
      <c r="R750" s="7"/>
      <c r="S750" s="7"/>
      <c r="T750" s="66"/>
    </row>
    <row r="751" spans="1:20" ht="13.2">
      <c r="A751" s="7"/>
      <c r="B751" s="7"/>
      <c r="C751" s="74"/>
      <c r="D751" s="74"/>
      <c r="F751" s="7"/>
      <c r="G751" s="74"/>
      <c r="H751" s="74"/>
      <c r="J751" s="7"/>
      <c r="K751" s="74"/>
      <c r="L751" s="74"/>
      <c r="N751" s="7"/>
      <c r="O751" s="74"/>
      <c r="P751" s="74"/>
      <c r="R751" s="7"/>
      <c r="S751" s="7"/>
      <c r="T751" s="66"/>
    </row>
    <row r="752" spans="1:20" ht="13.2">
      <c r="A752" s="7"/>
      <c r="B752" s="7"/>
      <c r="C752" s="74"/>
      <c r="D752" s="74"/>
      <c r="F752" s="7"/>
      <c r="G752" s="74"/>
      <c r="H752" s="74"/>
      <c r="J752" s="7"/>
      <c r="K752" s="74"/>
      <c r="L752" s="74"/>
      <c r="N752" s="7"/>
      <c r="O752" s="74"/>
      <c r="P752" s="74"/>
      <c r="R752" s="7"/>
      <c r="S752" s="7"/>
      <c r="T752" s="66"/>
    </row>
    <row r="753" spans="1:20" ht="13.2">
      <c r="A753" s="7"/>
      <c r="B753" s="7"/>
      <c r="C753" s="74"/>
      <c r="D753" s="74"/>
      <c r="F753" s="7"/>
      <c r="G753" s="74"/>
      <c r="H753" s="74"/>
      <c r="J753" s="7"/>
      <c r="K753" s="74"/>
      <c r="L753" s="74"/>
      <c r="N753" s="7"/>
      <c r="O753" s="74"/>
      <c r="P753" s="74"/>
      <c r="R753" s="7"/>
      <c r="S753" s="7"/>
      <c r="T753" s="66"/>
    </row>
    <row r="754" spans="1:20" ht="13.2">
      <c r="A754" s="7"/>
      <c r="B754" s="7"/>
      <c r="C754" s="74"/>
      <c r="D754" s="74"/>
      <c r="F754" s="7"/>
      <c r="G754" s="74"/>
      <c r="H754" s="74"/>
      <c r="J754" s="7"/>
      <c r="K754" s="74"/>
      <c r="L754" s="74"/>
      <c r="N754" s="7"/>
      <c r="O754" s="74"/>
      <c r="P754" s="74"/>
      <c r="R754" s="7"/>
      <c r="S754" s="7"/>
      <c r="T754" s="66"/>
    </row>
    <row r="755" spans="1:20" ht="13.2">
      <c r="A755" s="7"/>
      <c r="B755" s="7"/>
      <c r="C755" s="74"/>
      <c r="D755" s="74"/>
      <c r="F755" s="7"/>
      <c r="G755" s="74"/>
      <c r="H755" s="74"/>
      <c r="J755" s="7"/>
      <c r="K755" s="74"/>
      <c r="L755" s="74"/>
      <c r="N755" s="7"/>
      <c r="O755" s="74"/>
      <c r="P755" s="74"/>
      <c r="R755" s="7"/>
      <c r="S755" s="7"/>
      <c r="T755" s="66"/>
    </row>
    <row r="756" spans="1:20" ht="13.2">
      <c r="A756" s="7"/>
      <c r="B756" s="7"/>
      <c r="C756" s="74"/>
      <c r="D756" s="74"/>
      <c r="F756" s="7"/>
      <c r="G756" s="74"/>
      <c r="H756" s="74"/>
      <c r="J756" s="7"/>
      <c r="K756" s="74"/>
      <c r="L756" s="74"/>
      <c r="N756" s="7"/>
      <c r="O756" s="74"/>
      <c r="P756" s="74"/>
      <c r="R756" s="7"/>
      <c r="S756" s="7"/>
      <c r="T756" s="66"/>
    </row>
    <row r="757" spans="1:20" ht="13.2">
      <c r="A757" s="7"/>
      <c r="B757" s="7"/>
      <c r="C757" s="74"/>
      <c r="D757" s="74"/>
      <c r="F757" s="7"/>
      <c r="G757" s="74"/>
      <c r="H757" s="74"/>
      <c r="J757" s="7"/>
      <c r="K757" s="74"/>
      <c r="L757" s="74"/>
      <c r="N757" s="7"/>
      <c r="O757" s="74"/>
      <c r="P757" s="74"/>
      <c r="R757" s="7"/>
      <c r="S757" s="7"/>
      <c r="T757" s="66"/>
    </row>
    <row r="758" spans="1:20" ht="13.2">
      <c r="A758" s="7"/>
      <c r="B758" s="7"/>
      <c r="C758" s="74"/>
      <c r="D758" s="74"/>
      <c r="F758" s="7"/>
      <c r="G758" s="74"/>
      <c r="H758" s="74"/>
      <c r="J758" s="7"/>
      <c r="K758" s="74"/>
      <c r="L758" s="74"/>
      <c r="N758" s="7"/>
      <c r="O758" s="74"/>
      <c r="P758" s="74"/>
      <c r="R758" s="7"/>
      <c r="S758" s="7"/>
      <c r="T758" s="66"/>
    </row>
    <row r="759" spans="1:20" ht="13.2">
      <c r="A759" s="7"/>
      <c r="B759" s="7"/>
      <c r="C759" s="74"/>
      <c r="D759" s="74"/>
      <c r="F759" s="7"/>
      <c r="G759" s="74"/>
      <c r="H759" s="74"/>
      <c r="J759" s="7"/>
      <c r="K759" s="74"/>
      <c r="L759" s="74"/>
      <c r="N759" s="7"/>
      <c r="O759" s="74"/>
      <c r="P759" s="74"/>
      <c r="R759" s="7"/>
      <c r="S759" s="7"/>
      <c r="T759" s="66"/>
    </row>
    <row r="760" spans="1:20" ht="13.2">
      <c r="A760" s="7"/>
      <c r="B760" s="7"/>
      <c r="C760" s="74"/>
      <c r="D760" s="74"/>
      <c r="F760" s="7"/>
      <c r="G760" s="74"/>
      <c r="H760" s="74"/>
      <c r="J760" s="7"/>
      <c r="K760" s="74"/>
      <c r="L760" s="74"/>
      <c r="N760" s="7"/>
      <c r="O760" s="74"/>
      <c r="P760" s="74"/>
      <c r="R760" s="7"/>
      <c r="S760" s="7"/>
      <c r="T760" s="66"/>
    </row>
    <row r="761" spans="1:20" ht="13.2">
      <c r="A761" s="7"/>
      <c r="B761" s="7"/>
      <c r="C761" s="74"/>
      <c r="D761" s="74"/>
      <c r="F761" s="7"/>
      <c r="G761" s="74"/>
      <c r="H761" s="74"/>
      <c r="J761" s="7"/>
      <c r="K761" s="74"/>
      <c r="L761" s="74"/>
      <c r="N761" s="7"/>
      <c r="O761" s="74"/>
      <c r="P761" s="74"/>
      <c r="R761" s="7"/>
      <c r="S761" s="7"/>
      <c r="T761" s="66"/>
    </row>
    <row r="762" spans="1:20" ht="13.2">
      <c r="A762" s="7"/>
      <c r="B762" s="7"/>
      <c r="C762" s="74"/>
      <c r="D762" s="74"/>
      <c r="F762" s="7"/>
      <c r="G762" s="74"/>
      <c r="H762" s="74"/>
      <c r="J762" s="7"/>
      <c r="K762" s="74"/>
      <c r="L762" s="74"/>
      <c r="N762" s="7"/>
      <c r="O762" s="74"/>
      <c r="P762" s="74"/>
      <c r="R762" s="7"/>
      <c r="S762" s="7"/>
      <c r="T762" s="66"/>
    </row>
    <row r="763" spans="1:20" ht="13.2">
      <c r="A763" s="7"/>
      <c r="B763" s="7"/>
      <c r="C763" s="74"/>
      <c r="D763" s="74"/>
      <c r="F763" s="7"/>
      <c r="G763" s="74"/>
      <c r="H763" s="74"/>
      <c r="J763" s="7"/>
      <c r="K763" s="74"/>
      <c r="L763" s="74"/>
      <c r="N763" s="7"/>
      <c r="O763" s="74"/>
      <c r="P763" s="74"/>
      <c r="R763" s="7"/>
      <c r="S763" s="7"/>
      <c r="T763" s="66"/>
    </row>
    <row r="764" spans="1:20" ht="13.2">
      <c r="A764" s="7"/>
      <c r="B764" s="7"/>
      <c r="C764" s="74"/>
      <c r="D764" s="74"/>
      <c r="F764" s="7"/>
      <c r="G764" s="74"/>
      <c r="H764" s="74"/>
      <c r="J764" s="7"/>
      <c r="K764" s="74"/>
      <c r="L764" s="74"/>
      <c r="N764" s="7"/>
      <c r="O764" s="74"/>
      <c r="P764" s="74"/>
      <c r="R764" s="7"/>
      <c r="S764" s="7"/>
      <c r="T764" s="66"/>
    </row>
    <row r="765" spans="1:20" ht="13.2">
      <c r="A765" s="7"/>
      <c r="B765" s="7"/>
      <c r="C765" s="74"/>
      <c r="D765" s="74"/>
      <c r="F765" s="7"/>
      <c r="G765" s="74"/>
      <c r="H765" s="74"/>
      <c r="J765" s="7"/>
      <c r="K765" s="74"/>
      <c r="L765" s="74"/>
      <c r="N765" s="7"/>
      <c r="O765" s="74"/>
      <c r="P765" s="74"/>
      <c r="R765" s="7"/>
      <c r="S765" s="7"/>
      <c r="T765" s="66"/>
    </row>
    <row r="766" spans="1:20" ht="13.2">
      <c r="A766" s="7"/>
      <c r="B766" s="7"/>
      <c r="C766" s="74"/>
      <c r="D766" s="74"/>
      <c r="F766" s="7"/>
      <c r="G766" s="74"/>
      <c r="H766" s="74"/>
      <c r="J766" s="7"/>
      <c r="K766" s="74"/>
      <c r="L766" s="74"/>
      <c r="N766" s="7"/>
      <c r="O766" s="74"/>
      <c r="P766" s="74"/>
      <c r="R766" s="7"/>
      <c r="S766" s="7"/>
      <c r="T766" s="66"/>
    </row>
    <row r="767" spans="1:20" ht="13.2">
      <c r="A767" s="7"/>
      <c r="B767" s="7"/>
      <c r="C767" s="74"/>
      <c r="D767" s="74"/>
      <c r="F767" s="7"/>
      <c r="G767" s="74"/>
      <c r="H767" s="74"/>
      <c r="J767" s="7"/>
      <c r="K767" s="74"/>
      <c r="L767" s="74"/>
      <c r="N767" s="7"/>
      <c r="O767" s="74"/>
      <c r="P767" s="74"/>
      <c r="R767" s="7"/>
      <c r="S767" s="7"/>
      <c r="T767" s="66"/>
    </row>
    <row r="768" spans="1:20" ht="13.2">
      <c r="A768" s="7"/>
      <c r="B768" s="7"/>
      <c r="C768" s="74"/>
      <c r="D768" s="74"/>
      <c r="F768" s="7"/>
      <c r="G768" s="74"/>
      <c r="H768" s="74"/>
      <c r="J768" s="7"/>
      <c r="K768" s="74"/>
      <c r="L768" s="74"/>
      <c r="N768" s="7"/>
      <c r="O768" s="74"/>
      <c r="P768" s="74"/>
      <c r="R768" s="7"/>
      <c r="S768" s="7"/>
      <c r="T768" s="66"/>
    </row>
    <row r="769" spans="1:20" ht="13.2">
      <c r="A769" s="7"/>
      <c r="B769" s="7"/>
      <c r="C769" s="74"/>
      <c r="D769" s="74"/>
      <c r="F769" s="7"/>
      <c r="G769" s="74"/>
      <c r="H769" s="74"/>
      <c r="J769" s="7"/>
      <c r="K769" s="74"/>
      <c r="L769" s="74"/>
      <c r="N769" s="7"/>
      <c r="O769" s="74"/>
      <c r="P769" s="74"/>
      <c r="R769" s="7"/>
      <c r="S769" s="7"/>
      <c r="T769" s="66"/>
    </row>
    <row r="770" spans="1:20" ht="13.2">
      <c r="A770" s="7"/>
      <c r="B770" s="7"/>
      <c r="C770" s="74"/>
      <c r="D770" s="74"/>
      <c r="F770" s="7"/>
      <c r="G770" s="74"/>
      <c r="H770" s="74"/>
      <c r="J770" s="7"/>
      <c r="K770" s="74"/>
      <c r="L770" s="74"/>
      <c r="N770" s="7"/>
      <c r="O770" s="74"/>
      <c r="P770" s="74"/>
      <c r="R770" s="7"/>
      <c r="S770" s="7"/>
      <c r="T770" s="66"/>
    </row>
    <row r="771" spans="1:20" ht="13.2">
      <c r="A771" s="7"/>
      <c r="B771" s="7"/>
      <c r="C771" s="74"/>
      <c r="D771" s="74"/>
      <c r="F771" s="7"/>
      <c r="G771" s="74"/>
      <c r="H771" s="74"/>
      <c r="J771" s="7"/>
      <c r="K771" s="74"/>
      <c r="L771" s="74"/>
      <c r="N771" s="7"/>
      <c r="O771" s="74"/>
      <c r="P771" s="74"/>
      <c r="R771" s="7"/>
      <c r="S771" s="7"/>
      <c r="T771" s="66"/>
    </row>
    <row r="772" spans="1:20" ht="13.2">
      <c r="A772" s="7"/>
      <c r="B772" s="7"/>
      <c r="C772" s="74"/>
      <c r="D772" s="74"/>
      <c r="F772" s="7"/>
      <c r="G772" s="74"/>
      <c r="H772" s="74"/>
      <c r="J772" s="7"/>
      <c r="K772" s="74"/>
      <c r="L772" s="74"/>
      <c r="N772" s="7"/>
      <c r="O772" s="74"/>
      <c r="P772" s="74"/>
      <c r="R772" s="7"/>
      <c r="S772" s="7"/>
      <c r="T772" s="66"/>
    </row>
    <row r="773" spans="1:20" ht="13.2">
      <c r="A773" s="7"/>
      <c r="B773" s="7"/>
      <c r="C773" s="74"/>
      <c r="D773" s="74"/>
      <c r="F773" s="7"/>
      <c r="G773" s="74"/>
      <c r="H773" s="74"/>
      <c r="J773" s="7"/>
      <c r="K773" s="74"/>
      <c r="L773" s="74"/>
      <c r="N773" s="7"/>
      <c r="O773" s="74"/>
      <c r="P773" s="74"/>
      <c r="R773" s="7"/>
      <c r="S773" s="7"/>
      <c r="T773" s="66"/>
    </row>
    <row r="774" spans="1:20" ht="13.2">
      <c r="A774" s="7"/>
      <c r="B774" s="7"/>
      <c r="C774" s="74"/>
      <c r="D774" s="74"/>
      <c r="F774" s="7"/>
      <c r="G774" s="74"/>
      <c r="H774" s="74"/>
      <c r="J774" s="7"/>
      <c r="K774" s="74"/>
      <c r="L774" s="74"/>
      <c r="N774" s="7"/>
      <c r="O774" s="74"/>
      <c r="P774" s="74"/>
      <c r="R774" s="7"/>
      <c r="S774" s="7"/>
      <c r="T774" s="66"/>
    </row>
    <row r="775" spans="1:20" ht="13.2">
      <c r="A775" s="7"/>
      <c r="B775" s="7"/>
      <c r="C775" s="74"/>
      <c r="D775" s="74"/>
      <c r="F775" s="7"/>
      <c r="G775" s="74"/>
      <c r="H775" s="74"/>
      <c r="J775" s="7"/>
      <c r="K775" s="74"/>
      <c r="L775" s="74"/>
      <c r="N775" s="7"/>
      <c r="O775" s="74"/>
      <c r="P775" s="74"/>
      <c r="R775" s="7"/>
      <c r="S775" s="7"/>
      <c r="T775" s="66"/>
    </row>
    <row r="776" spans="1:20" ht="13.2">
      <c r="A776" s="7"/>
      <c r="B776" s="7"/>
      <c r="C776" s="74"/>
      <c r="D776" s="74"/>
      <c r="F776" s="7"/>
      <c r="G776" s="74"/>
      <c r="H776" s="74"/>
      <c r="J776" s="7"/>
      <c r="K776" s="74"/>
      <c r="L776" s="74"/>
      <c r="N776" s="7"/>
      <c r="O776" s="74"/>
      <c r="P776" s="74"/>
      <c r="R776" s="7"/>
      <c r="S776" s="7"/>
      <c r="T776" s="66"/>
    </row>
    <row r="777" spans="1:20" ht="13.2">
      <c r="A777" s="7"/>
      <c r="B777" s="7"/>
      <c r="C777" s="74"/>
      <c r="D777" s="74"/>
      <c r="F777" s="7"/>
      <c r="G777" s="74"/>
      <c r="H777" s="74"/>
      <c r="J777" s="7"/>
      <c r="K777" s="74"/>
      <c r="L777" s="74"/>
      <c r="N777" s="7"/>
      <c r="O777" s="74"/>
      <c r="P777" s="74"/>
      <c r="R777" s="7"/>
      <c r="S777" s="7"/>
      <c r="T777" s="66"/>
    </row>
    <row r="778" spans="1:20" ht="13.2">
      <c r="A778" s="7"/>
      <c r="B778" s="7"/>
      <c r="C778" s="74"/>
      <c r="D778" s="74"/>
      <c r="F778" s="7"/>
      <c r="G778" s="74"/>
      <c r="H778" s="74"/>
      <c r="J778" s="7"/>
      <c r="K778" s="74"/>
      <c r="L778" s="74"/>
      <c r="N778" s="7"/>
      <c r="O778" s="74"/>
      <c r="P778" s="74"/>
      <c r="R778" s="7"/>
      <c r="S778" s="7"/>
      <c r="T778" s="66"/>
    </row>
    <row r="779" spans="1:20" ht="13.2">
      <c r="A779" s="7"/>
      <c r="B779" s="7"/>
      <c r="C779" s="74"/>
      <c r="D779" s="74"/>
      <c r="F779" s="7"/>
      <c r="G779" s="74"/>
      <c r="H779" s="74"/>
      <c r="J779" s="7"/>
      <c r="K779" s="74"/>
      <c r="L779" s="74"/>
      <c r="N779" s="7"/>
      <c r="O779" s="74"/>
      <c r="P779" s="74"/>
      <c r="R779" s="7"/>
      <c r="S779" s="7"/>
      <c r="T779" s="66"/>
    </row>
    <row r="780" spans="1:20" ht="13.2">
      <c r="A780" s="7"/>
      <c r="B780" s="7"/>
      <c r="C780" s="74"/>
      <c r="D780" s="74"/>
      <c r="F780" s="7"/>
      <c r="G780" s="74"/>
      <c r="H780" s="74"/>
      <c r="J780" s="7"/>
      <c r="K780" s="74"/>
      <c r="L780" s="74"/>
      <c r="N780" s="7"/>
      <c r="O780" s="74"/>
      <c r="P780" s="74"/>
      <c r="R780" s="7"/>
      <c r="S780" s="7"/>
      <c r="T780" s="66"/>
    </row>
    <row r="781" spans="1:20" ht="13.2">
      <c r="A781" s="7"/>
      <c r="B781" s="7"/>
      <c r="C781" s="74"/>
      <c r="D781" s="74"/>
      <c r="F781" s="7"/>
      <c r="G781" s="74"/>
      <c r="H781" s="74"/>
      <c r="J781" s="7"/>
      <c r="K781" s="74"/>
      <c r="L781" s="74"/>
      <c r="N781" s="7"/>
      <c r="O781" s="74"/>
      <c r="P781" s="74"/>
      <c r="R781" s="7"/>
      <c r="S781" s="7"/>
      <c r="T781" s="66"/>
    </row>
    <row r="782" spans="1:20" ht="13.2">
      <c r="A782" s="7"/>
      <c r="B782" s="7"/>
      <c r="C782" s="74"/>
      <c r="D782" s="74"/>
      <c r="F782" s="7"/>
      <c r="G782" s="74"/>
      <c r="H782" s="74"/>
      <c r="J782" s="7"/>
      <c r="K782" s="74"/>
      <c r="L782" s="74"/>
      <c r="N782" s="7"/>
      <c r="O782" s="74"/>
      <c r="P782" s="74"/>
      <c r="R782" s="7"/>
      <c r="S782" s="7"/>
      <c r="T782" s="66"/>
    </row>
    <row r="783" spans="1:20" ht="13.2">
      <c r="A783" s="7"/>
      <c r="B783" s="7"/>
      <c r="C783" s="74"/>
      <c r="D783" s="74"/>
      <c r="F783" s="7"/>
      <c r="G783" s="74"/>
      <c r="H783" s="74"/>
      <c r="J783" s="7"/>
      <c r="K783" s="74"/>
      <c r="L783" s="74"/>
      <c r="N783" s="7"/>
      <c r="O783" s="74"/>
      <c r="P783" s="74"/>
      <c r="R783" s="7"/>
      <c r="S783" s="7"/>
      <c r="T783" s="66"/>
    </row>
    <row r="784" spans="1:20" ht="13.2">
      <c r="A784" s="7"/>
      <c r="B784" s="7"/>
      <c r="C784" s="74"/>
      <c r="D784" s="74"/>
      <c r="F784" s="7"/>
      <c r="G784" s="74"/>
      <c r="H784" s="74"/>
      <c r="J784" s="7"/>
      <c r="K784" s="74"/>
      <c r="L784" s="74"/>
      <c r="N784" s="7"/>
      <c r="O784" s="74"/>
      <c r="P784" s="74"/>
      <c r="R784" s="7"/>
      <c r="S784" s="7"/>
      <c r="T784" s="66"/>
    </row>
    <row r="785" spans="1:20" ht="13.2">
      <c r="A785" s="7"/>
      <c r="B785" s="7"/>
      <c r="C785" s="74"/>
      <c r="D785" s="74"/>
      <c r="F785" s="7"/>
      <c r="G785" s="74"/>
      <c r="H785" s="74"/>
      <c r="J785" s="7"/>
      <c r="K785" s="74"/>
      <c r="L785" s="74"/>
      <c r="N785" s="7"/>
      <c r="O785" s="74"/>
      <c r="P785" s="74"/>
      <c r="R785" s="7"/>
      <c r="S785" s="7"/>
      <c r="T785" s="66"/>
    </row>
    <row r="786" spans="1:20" ht="13.2">
      <c r="A786" s="7"/>
      <c r="B786" s="7"/>
      <c r="C786" s="74"/>
      <c r="D786" s="74"/>
      <c r="F786" s="7"/>
      <c r="G786" s="74"/>
      <c r="H786" s="74"/>
      <c r="J786" s="7"/>
      <c r="K786" s="74"/>
      <c r="L786" s="74"/>
      <c r="N786" s="7"/>
      <c r="O786" s="74"/>
      <c r="P786" s="74"/>
      <c r="R786" s="7"/>
      <c r="S786" s="7"/>
      <c r="T786" s="66"/>
    </row>
    <row r="787" spans="1:20" ht="13.2">
      <c r="A787" s="7"/>
      <c r="B787" s="7"/>
      <c r="C787" s="74"/>
      <c r="D787" s="74"/>
      <c r="F787" s="7"/>
      <c r="G787" s="74"/>
      <c r="H787" s="74"/>
      <c r="J787" s="7"/>
      <c r="K787" s="74"/>
      <c r="L787" s="74"/>
      <c r="N787" s="7"/>
      <c r="O787" s="74"/>
      <c r="P787" s="74"/>
      <c r="R787" s="7"/>
      <c r="S787" s="7"/>
      <c r="T787" s="66"/>
    </row>
    <row r="788" spans="1:20" ht="13.2">
      <c r="A788" s="7"/>
      <c r="B788" s="7"/>
      <c r="C788" s="74"/>
      <c r="D788" s="74"/>
      <c r="F788" s="7"/>
      <c r="G788" s="74"/>
      <c r="H788" s="74"/>
      <c r="J788" s="7"/>
      <c r="K788" s="74"/>
      <c r="L788" s="74"/>
      <c r="N788" s="7"/>
      <c r="O788" s="74"/>
      <c r="P788" s="74"/>
      <c r="R788" s="7"/>
      <c r="S788" s="7"/>
      <c r="T788" s="66"/>
    </row>
    <row r="789" spans="1:20" ht="13.2">
      <c r="A789" s="7"/>
      <c r="B789" s="7"/>
      <c r="C789" s="74"/>
      <c r="D789" s="74"/>
      <c r="F789" s="7"/>
      <c r="G789" s="74"/>
      <c r="H789" s="74"/>
      <c r="J789" s="7"/>
      <c r="K789" s="74"/>
      <c r="L789" s="74"/>
      <c r="N789" s="7"/>
      <c r="O789" s="74"/>
      <c r="P789" s="74"/>
      <c r="R789" s="7"/>
      <c r="S789" s="7"/>
      <c r="T789" s="66"/>
    </row>
    <row r="790" spans="1:20" ht="13.2">
      <c r="A790" s="7"/>
      <c r="B790" s="7"/>
      <c r="C790" s="74"/>
      <c r="D790" s="74"/>
      <c r="F790" s="7"/>
      <c r="G790" s="74"/>
      <c r="H790" s="74"/>
      <c r="J790" s="7"/>
      <c r="K790" s="74"/>
      <c r="L790" s="74"/>
      <c r="N790" s="7"/>
      <c r="O790" s="74"/>
      <c r="P790" s="74"/>
      <c r="R790" s="7"/>
      <c r="S790" s="7"/>
      <c r="T790" s="66"/>
    </row>
    <row r="791" spans="1:20" ht="13.2">
      <c r="A791" s="7"/>
      <c r="B791" s="7"/>
      <c r="C791" s="74"/>
      <c r="D791" s="74"/>
      <c r="F791" s="7"/>
      <c r="G791" s="74"/>
      <c r="H791" s="74"/>
      <c r="J791" s="7"/>
      <c r="K791" s="74"/>
      <c r="L791" s="74"/>
      <c r="N791" s="7"/>
      <c r="O791" s="74"/>
      <c r="P791" s="74"/>
      <c r="R791" s="7"/>
      <c r="S791" s="7"/>
      <c r="T791" s="66"/>
    </row>
    <row r="792" spans="1:20" ht="13.2">
      <c r="A792" s="7"/>
      <c r="B792" s="7"/>
      <c r="C792" s="74"/>
      <c r="D792" s="74"/>
      <c r="F792" s="7"/>
      <c r="G792" s="74"/>
      <c r="H792" s="74"/>
      <c r="J792" s="7"/>
      <c r="K792" s="74"/>
      <c r="L792" s="74"/>
      <c r="N792" s="7"/>
      <c r="O792" s="74"/>
      <c r="P792" s="74"/>
      <c r="R792" s="7"/>
      <c r="S792" s="7"/>
      <c r="T792" s="66"/>
    </row>
    <row r="793" spans="1:20" ht="13.2">
      <c r="A793" s="7"/>
      <c r="B793" s="7"/>
      <c r="C793" s="74"/>
      <c r="D793" s="74"/>
      <c r="F793" s="7"/>
      <c r="G793" s="74"/>
      <c r="H793" s="74"/>
      <c r="J793" s="7"/>
      <c r="K793" s="74"/>
      <c r="L793" s="74"/>
      <c r="N793" s="7"/>
      <c r="O793" s="74"/>
      <c r="P793" s="74"/>
      <c r="R793" s="7"/>
      <c r="S793" s="7"/>
      <c r="T793" s="66"/>
    </row>
    <row r="794" spans="1:20" ht="13.2">
      <c r="A794" s="7"/>
      <c r="B794" s="7"/>
      <c r="C794" s="74"/>
      <c r="D794" s="74"/>
      <c r="F794" s="7"/>
      <c r="G794" s="74"/>
      <c r="H794" s="74"/>
      <c r="J794" s="7"/>
      <c r="K794" s="74"/>
      <c r="L794" s="74"/>
      <c r="N794" s="7"/>
      <c r="O794" s="74"/>
      <c r="P794" s="74"/>
      <c r="R794" s="7"/>
      <c r="S794" s="7"/>
      <c r="T794" s="66"/>
    </row>
    <row r="795" spans="1:20" ht="13.2">
      <c r="A795" s="7"/>
      <c r="B795" s="7"/>
      <c r="C795" s="74"/>
      <c r="D795" s="74"/>
      <c r="F795" s="7"/>
      <c r="G795" s="74"/>
      <c r="H795" s="74"/>
      <c r="J795" s="7"/>
      <c r="K795" s="74"/>
      <c r="L795" s="74"/>
      <c r="N795" s="7"/>
      <c r="O795" s="74"/>
      <c r="P795" s="74"/>
      <c r="R795" s="7"/>
      <c r="S795" s="7"/>
      <c r="T795" s="66"/>
    </row>
    <row r="796" spans="1:20" ht="13.2">
      <c r="A796" s="7"/>
      <c r="B796" s="7"/>
      <c r="C796" s="74"/>
      <c r="D796" s="74"/>
      <c r="F796" s="7"/>
      <c r="G796" s="74"/>
      <c r="H796" s="74"/>
      <c r="J796" s="7"/>
      <c r="K796" s="74"/>
      <c r="L796" s="74"/>
      <c r="N796" s="7"/>
      <c r="O796" s="74"/>
      <c r="P796" s="74"/>
      <c r="R796" s="7"/>
      <c r="S796" s="7"/>
      <c r="T796" s="66"/>
    </row>
    <row r="797" spans="1:20" ht="13.2">
      <c r="A797" s="7"/>
      <c r="B797" s="7"/>
      <c r="C797" s="74"/>
      <c r="D797" s="74"/>
      <c r="F797" s="7"/>
      <c r="G797" s="74"/>
      <c r="H797" s="74"/>
      <c r="J797" s="7"/>
      <c r="K797" s="74"/>
      <c r="L797" s="74"/>
      <c r="N797" s="7"/>
      <c r="O797" s="74"/>
      <c r="P797" s="74"/>
      <c r="R797" s="7"/>
      <c r="S797" s="7"/>
      <c r="T797" s="66"/>
    </row>
    <row r="798" spans="1:20" ht="13.2">
      <c r="A798" s="7"/>
      <c r="B798" s="7"/>
      <c r="C798" s="74"/>
      <c r="D798" s="74"/>
      <c r="F798" s="7"/>
      <c r="G798" s="74"/>
      <c r="H798" s="74"/>
      <c r="J798" s="7"/>
      <c r="K798" s="74"/>
      <c r="L798" s="74"/>
      <c r="N798" s="7"/>
      <c r="O798" s="74"/>
      <c r="P798" s="74"/>
      <c r="R798" s="7"/>
      <c r="S798" s="7"/>
      <c r="T798" s="66"/>
    </row>
    <row r="799" spans="1:20" ht="13.2">
      <c r="A799" s="7"/>
      <c r="B799" s="7"/>
      <c r="C799" s="74"/>
      <c r="D799" s="74"/>
      <c r="F799" s="7"/>
      <c r="G799" s="74"/>
      <c r="H799" s="74"/>
      <c r="J799" s="7"/>
      <c r="K799" s="74"/>
      <c r="L799" s="74"/>
      <c r="N799" s="7"/>
      <c r="O799" s="74"/>
      <c r="P799" s="74"/>
      <c r="R799" s="7"/>
      <c r="S799" s="7"/>
      <c r="T799" s="66"/>
    </row>
    <row r="800" spans="1:20" ht="13.2">
      <c r="A800" s="7"/>
      <c r="B800" s="7"/>
      <c r="C800" s="74"/>
      <c r="D800" s="74"/>
      <c r="F800" s="7"/>
      <c r="G800" s="74"/>
      <c r="H800" s="74"/>
      <c r="J800" s="7"/>
      <c r="K800" s="74"/>
      <c r="L800" s="74"/>
      <c r="N800" s="7"/>
      <c r="O800" s="74"/>
      <c r="P800" s="74"/>
      <c r="R800" s="7"/>
      <c r="S800" s="7"/>
      <c r="T800" s="66"/>
    </row>
    <row r="801" spans="1:20" ht="13.2">
      <c r="A801" s="7"/>
      <c r="B801" s="7"/>
      <c r="C801" s="74"/>
      <c r="D801" s="74"/>
      <c r="F801" s="7"/>
      <c r="G801" s="74"/>
      <c r="H801" s="74"/>
      <c r="J801" s="7"/>
      <c r="K801" s="74"/>
      <c r="L801" s="74"/>
      <c r="N801" s="7"/>
      <c r="O801" s="74"/>
      <c r="P801" s="74"/>
      <c r="R801" s="7"/>
      <c r="S801" s="7"/>
      <c r="T801" s="66"/>
    </row>
    <row r="802" spans="1:20" ht="13.2">
      <c r="A802" s="7"/>
      <c r="B802" s="7"/>
      <c r="C802" s="74"/>
      <c r="D802" s="74"/>
      <c r="F802" s="7"/>
      <c r="G802" s="74"/>
      <c r="H802" s="74"/>
      <c r="J802" s="7"/>
      <c r="K802" s="74"/>
      <c r="L802" s="74"/>
      <c r="N802" s="7"/>
      <c r="O802" s="74"/>
      <c r="P802" s="74"/>
      <c r="R802" s="7"/>
      <c r="S802" s="7"/>
      <c r="T802" s="66"/>
    </row>
    <row r="803" spans="1:20" ht="13.2">
      <c r="A803" s="7"/>
      <c r="B803" s="7"/>
      <c r="C803" s="74"/>
      <c r="D803" s="74"/>
      <c r="F803" s="7"/>
      <c r="G803" s="74"/>
      <c r="H803" s="74"/>
      <c r="J803" s="7"/>
      <c r="K803" s="74"/>
      <c r="L803" s="74"/>
      <c r="N803" s="7"/>
      <c r="O803" s="74"/>
      <c r="P803" s="74"/>
      <c r="R803" s="7"/>
      <c r="S803" s="7"/>
      <c r="T803" s="66"/>
    </row>
    <row r="804" spans="1:20" ht="13.2">
      <c r="A804" s="7"/>
      <c r="B804" s="7"/>
      <c r="C804" s="74"/>
      <c r="D804" s="74"/>
      <c r="F804" s="7"/>
      <c r="G804" s="74"/>
      <c r="H804" s="74"/>
      <c r="J804" s="7"/>
      <c r="K804" s="74"/>
      <c r="L804" s="74"/>
      <c r="N804" s="7"/>
      <c r="O804" s="74"/>
      <c r="P804" s="74"/>
      <c r="R804" s="7"/>
      <c r="S804" s="7"/>
      <c r="T804" s="66"/>
    </row>
    <row r="805" spans="1:20" ht="13.2">
      <c r="A805" s="7"/>
      <c r="B805" s="7"/>
      <c r="C805" s="74"/>
      <c r="D805" s="74"/>
      <c r="F805" s="7"/>
      <c r="G805" s="74"/>
      <c r="H805" s="74"/>
      <c r="J805" s="7"/>
      <c r="K805" s="74"/>
      <c r="L805" s="74"/>
      <c r="N805" s="7"/>
      <c r="O805" s="74"/>
      <c r="P805" s="74"/>
      <c r="R805" s="7"/>
      <c r="S805" s="7"/>
      <c r="T805" s="66"/>
    </row>
    <row r="806" spans="1:20" ht="13.2">
      <c r="A806" s="7"/>
      <c r="B806" s="7"/>
      <c r="C806" s="74"/>
      <c r="D806" s="74"/>
      <c r="F806" s="7"/>
      <c r="G806" s="74"/>
      <c r="H806" s="74"/>
      <c r="J806" s="7"/>
      <c r="K806" s="74"/>
      <c r="L806" s="74"/>
      <c r="N806" s="7"/>
      <c r="O806" s="74"/>
      <c r="P806" s="74"/>
      <c r="R806" s="7"/>
      <c r="S806" s="7"/>
      <c r="T806" s="66"/>
    </row>
    <row r="807" spans="1:20" ht="13.2">
      <c r="A807" s="7"/>
      <c r="B807" s="7"/>
      <c r="C807" s="74"/>
      <c r="D807" s="74"/>
      <c r="F807" s="7"/>
      <c r="G807" s="74"/>
      <c r="H807" s="74"/>
      <c r="J807" s="7"/>
      <c r="K807" s="74"/>
      <c r="L807" s="74"/>
      <c r="N807" s="7"/>
      <c r="O807" s="74"/>
      <c r="P807" s="74"/>
      <c r="R807" s="7"/>
      <c r="S807" s="7"/>
      <c r="T807" s="66"/>
    </row>
    <row r="808" spans="1:20" ht="13.2">
      <c r="A808" s="7"/>
      <c r="B808" s="7"/>
      <c r="C808" s="74"/>
      <c r="D808" s="74"/>
      <c r="F808" s="7"/>
      <c r="G808" s="74"/>
      <c r="H808" s="74"/>
      <c r="J808" s="7"/>
      <c r="K808" s="74"/>
      <c r="L808" s="74"/>
      <c r="N808" s="7"/>
      <c r="O808" s="74"/>
      <c r="P808" s="74"/>
      <c r="R808" s="7"/>
      <c r="S808" s="7"/>
      <c r="T808" s="66"/>
    </row>
    <row r="809" spans="1:20" ht="13.2">
      <c r="A809" s="7"/>
      <c r="B809" s="7"/>
      <c r="C809" s="74"/>
      <c r="D809" s="74"/>
      <c r="F809" s="7"/>
      <c r="G809" s="74"/>
      <c r="H809" s="74"/>
      <c r="J809" s="7"/>
      <c r="K809" s="74"/>
      <c r="L809" s="74"/>
      <c r="N809" s="7"/>
      <c r="O809" s="74"/>
      <c r="P809" s="74"/>
      <c r="R809" s="7"/>
      <c r="S809" s="7"/>
      <c r="T809" s="66"/>
    </row>
    <row r="810" spans="1:20" ht="13.2">
      <c r="A810" s="7"/>
      <c r="B810" s="7"/>
      <c r="C810" s="74"/>
      <c r="D810" s="74"/>
      <c r="F810" s="7"/>
      <c r="G810" s="74"/>
      <c r="H810" s="74"/>
      <c r="J810" s="7"/>
      <c r="K810" s="74"/>
      <c r="L810" s="74"/>
      <c r="N810" s="7"/>
      <c r="O810" s="74"/>
      <c r="P810" s="74"/>
      <c r="R810" s="7"/>
      <c r="S810" s="7"/>
      <c r="T810" s="66"/>
    </row>
    <row r="811" spans="1:20" ht="13.2">
      <c r="A811" s="7"/>
      <c r="B811" s="7"/>
      <c r="C811" s="74"/>
      <c r="D811" s="74"/>
      <c r="F811" s="7"/>
      <c r="G811" s="74"/>
      <c r="H811" s="74"/>
      <c r="J811" s="7"/>
      <c r="K811" s="74"/>
      <c r="L811" s="74"/>
      <c r="N811" s="7"/>
      <c r="O811" s="74"/>
      <c r="P811" s="74"/>
      <c r="R811" s="7"/>
      <c r="S811" s="7"/>
      <c r="T811" s="66"/>
    </row>
    <row r="812" spans="1:20" ht="13.2">
      <c r="A812" s="7"/>
      <c r="B812" s="7"/>
      <c r="C812" s="74"/>
      <c r="D812" s="74"/>
      <c r="F812" s="7"/>
      <c r="G812" s="74"/>
      <c r="H812" s="74"/>
      <c r="J812" s="7"/>
      <c r="K812" s="74"/>
      <c r="L812" s="74"/>
      <c r="N812" s="7"/>
      <c r="O812" s="74"/>
      <c r="P812" s="74"/>
      <c r="R812" s="7"/>
      <c r="S812" s="7"/>
      <c r="T812" s="66"/>
    </row>
    <row r="813" spans="1:20" ht="13.2">
      <c r="A813" s="7"/>
      <c r="B813" s="7"/>
      <c r="C813" s="74"/>
      <c r="D813" s="74"/>
      <c r="F813" s="7"/>
      <c r="G813" s="74"/>
      <c r="H813" s="74"/>
      <c r="J813" s="7"/>
      <c r="K813" s="74"/>
      <c r="L813" s="74"/>
      <c r="N813" s="7"/>
      <c r="O813" s="74"/>
      <c r="P813" s="74"/>
      <c r="R813" s="7"/>
      <c r="S813" s="7"/>
      <c r="T813" s="66"/>
    </row>
    <row r="814" spans="1:20" ht="13.2">
      <c r="A814" s="7"/>
      <c r="B814" s="7"/>
      <c r="C814" s="74"/>
      <c r="D814" s="74"/>
      <c r="F814" s="7"/>
      <c r="G814" s="74"/>
      <c r="H814" s="74"/>
      <c r="J814" s="7"/>
      <c r="K814" s="74"/>
      <c r="L814" s="74"/>
      <c r="N814" s="7"/>
      <c r="O814" s="74"/>
      <c r="P814" s="74"/>
      <c r="R814" s="7"/>
      <c r="S814" s="7"/>
      <c r="T814" s="66"/>
    </row>
    <row r="815" spans="1:20" ht="13.2">
      <c r="A815" s="7"/>
      <c r="B815" s="7"/>
      <c r="C815" s="74"/>
      <c r="D815" s="74"/>
      <c r="F815" s="7"/>
      <c r="G815" s="74"/>
      <c r="H815" s="74"/>
      <c r="J815" s="7"/>
      <c r="K815" s="74"/>
      <c r="L815" s="74"/>
      <c r="N815" s="7"/>
      <c r="O815" s="74"/>
      <c r="P815" s="74"/>
      <c r="R815" s="7"/>
      <c r="S815" s="7"/>
      <c r="T815" s="66"/>
    </row>
    <row r="816" spans="1:20" ht="13.2">
      <c r="A816" s="7"/>
      <c r="B816" s="7"/>
      <c r="C816" s="74"/>
      <c r="D816" s="74"/>
      <c r="F816" s="7"/>
      <c r="G816" s="74"/>
      <c r="H816" s="74"/>
      <c r="J816" s="7"/>
      <c r="K816" s="74"/>
      <c r="L816" s="74"/>
      <c r="N816" s="7"/>
      <c r="O816" s="74"/>
      <c r="P816" s="74"/>
      <c r="R816" s="7"/>
      <c r="S816" s="7"/>
      <c r="T816" s="66"/>
    </row>
    <row r="817" spans="1:20" ht="13.2">
      <c r="A817" s="7"/>
      <c r="B817" s="7"/>
      <c r="C817" s="74"/>
      <c r="D817" s="74"/>
      <c r="F817" s="7"/>
      <c r="G817" s="74"/>
      <c r="H817" s="74"/>
      <c r="J817" s="7"/>
      <c r="K817" s="74"/>
      <c r="L817" s="74"/>
      <c r="N817" s="7"/>
      <c r="O817" s="74"/>
      <c r="P817" s="74"/>
      <c r="R817" s="7"/>
      <c r="S817" s="7"/>
      <c r="T817" s="66"/>
    </row>
    <row r="818" spans="1:20" ht="13.2">
      <c r="A818" s="7"/>
      <c r="B818" s="7"/>
      <c r="C818" s="74"/>
      <c r="D818" s="74"/>
      <c r="F818" s="7"/>
      <c r="G818" s="74"/>
      <c r="H818" s="74"/>
      <c r="J818" s="7"/>
      <c r="K818" s="74"/>
      <c r="L818" s="74"/>
      <c r="N818" s="7"/>
      <c r="O818" s="74"/>
      <c r="P818" s="74"/>
      <c r="R818" s="7"/>
      <c r="S818" s="7"/>
      <c r="T818" s="66"/>
    </row>
    <row r="819" spans="1:20" ht="13.2">
      <c r="A819" s="7"/>
      <c r="B819" s="7"/>
      <c r="C819" s="74"/>
      <c r="D819" s="74"/>
      <c r="F819" s="7"/>
      <c r="G819" s="74"/>
      <c r="H819" s="74"/>
      <c r="J819" s="7"/>
      <c r="K819" s="74"/>
      <c r="L819" s="74"/>
      <c r="N819" s="7"/>
      <c r="O819" s="74"/>
      <c r="P819" s="74"/>
      <c r="R819" s="7"/>
      <c r="S819" s="7"/>
      <c r="T819" s="66"/>
    </row>
    <row r="820" spans="1:20" ht="13.2">
      <c r="A820" s="7"/>
      <c r="B820" s="7"/>
      <c r="C820" s="74"/>
      <c r="D820" s="74"/>
      <c r="F820" s="7"/>
      <c r="G820" s="74"/>
      <c r="H820" s="74"/>
      <c r="J820" s="7"/>
      <c r="K820" s="74"/>
      <c r="L820" s="74"/>
      <c r="N820" s="7"/>
      <c r="O820" s="74"/>
      <c r="P820" s="74"/>
      <c r="R820" s="7"/>
      <c r="S820" s="7"/>
      <c r="T820" s="66"/>
    </row>
    <row r="821" spans="1:20" ht="13.2">
      <c r="A821" s="7"/>
      <c r="B821" s="7"/>
      <c r="C821" s="74"/>
      <c r="D821" s="74"/>
      <c r="F821" s="7"/>
      <c r="G821" s="74"/>
      <c r="H821" s="74"/>
      <c r="J821" s="7"/>
      <c r="K821" s="74"/>
      <c r="L821" s="74"/>
      <c r="N821" s="7"/>
      <c r="O821" s="74"/>
      <c r="P821" s="74"/>
      <c r="R821" s="7"/>
      <c r="S821" s="7"/>
      <c r="T821" s="66"/>
    </row>
    <row r="822" spans="1:20" ht="13.2">
      <c r="A822" s="7"/>
      <c r="B822" s="7"/>
      <c r="C822" s="74"/>
      <c r="D822" s="74"/>
      <c r="F822" s="7"/>
      <c r="G822" s="74"/>
      <c r="H822" s="74"/>
      <c r="J822" s="7"/>
      <c r="K822" s="74"/>
      <c r="L822" s="74"/>
      <c r="N822" s="7"/>
      <c r="O822" s="74"/>
      <c r="P822" s="74"/>
      <c r="R822" s="7"/>
      <c r="S822" s="7"/>
      <c r="T822" s="66"/>
    </row>
    <row r="823" spans="1:20" ht="13.2">
      <c r="A823" s="7"/>
      <c r="B823" s="7"/>
      <c r="C823" s="74"/>
      <c r="D823" s="74"/>
      <c r="F823" s="7"/>
      <c r="G823" s="74"/>
      <c r="H823" s="74"/>
      <c r="J823" s="7"/>
      <c r="K823" s="74"/>
      <c r="L823" s="74"/>
      <c r="N823" s="7"/>
      <c r="O823" s="74"/>
      <c r="P823" s="74"/>
      <c r="R823" s="7"/>
      <c r="S823" s="7"/>
      <c r="T823" s="66"/>
    </row>
    <row r="824" spans="1:20" ht="13.2">
      <c r="A824" s="7"/>
      <c r="B824" s="7"/>
      <c r="C824" s="74"/>
      <c r="D824" s="74"/>
      <c r="F824" s="7"/>
      <c r="G824" s="74"/>
      <c r="H824" s="74"/>
      <c r="J824" s="7"/>
      <c r="K824" s="74"/>
      <c r="L824" s="74"/>
      <c r="N824" s="7"/>
      <c r="O824" s="74"/>
      <c r="P824" s="74"/>
      <c r="R824" s="7"/>
      <c r="S824" s="7"/>
      <c r="T824" s="66"/>
    </row>
    <row r="825" spans="1:20" ht="13.2">
      <c r="A825" s="7"/>
      <c r="B825" s="7"/>
      <c r="C825" s="74"/>
      <c r="D825" s="74"/>
      <c r="F825" s="7"/>
      <c r="G825" s="74"/>
      <c r="H825" s="74"/>
      <c r="J825" s="7"/>
      <c r="K825" s="74"/>
      <c r="L825" s="74"/>
      <c r="N825" s="7"/>
      <c r="O825" s="74"/>
      <c r="P825" s="74"/>
      <c r="R825" s="7"/>
      <c r="S825" s="7"/>
      <c r="T825" s="66"/>
    </row>
    <row r="826" spans="1:20" ht="13.2">
      <c r="A826" s="7"/>
      <c r="B826" s="7"/>
      <c r="C826" s="74"/>
      <c r="D826" s="74"/>
      <c r="F826" s="7"/>
      <c r="G826" s="74"/>
      <c r="H826" s="74"/>
      <c r="J826" s="7"/>
      <c r="K826" s="74"/>
      <c r="L826" s="74"/>
      <c r="N826" s="7"/>
      <c r="O826" s="74"/>
      <c r="P826" s="74"/>
      <c r="R826" s="7"/>
      <c r="S826" s="7"/>
      <c r="T826" s="66"/>
    </row>
    <row r="827" spans="1:20" ht="13.2">
      <c r="A827" s="7"/>
      <c r="B827" s="7"/>
      <c r="C827" s="74"/>
      <c r="D827" s="74"/>
      <c r="F827" s="7"/>
      <c r="G827" s="74"/>
      <c r="H827" s="74"/>
      <c r="J827" s="7"/>
      <c r="K827" s="74"/>
      <c r="L827" s="74"/>
      <c r="N827" s="7"/>
      <c r="O827" s="74"/>
      <c r="P827" s="74"/>
      <c r="R827" s="7"/>
      <c r="S827" s="7"/>
      <c r="T827" s="66"/>
    </row>
    <row r="828" spans="1:20" ht="13.2">
      <c r="A828" s="7"/>
      <c r="B828" s="7"/>
      <c r="C828" s="74"/>
      <c r="D828" s="74"/>
      <c r="F828" s="7"/>
      <c r="G828" s="74"/>
      <c r="H828" s="74"/>
      <c r="J828" s="7"/>
      <c r="K828" s="74"/>
      <c r="L828" s="74"/>
      <c r="N828" s="7"/>
      <c r="O828" s="74"/>
      <c r="P828" s="74"/>
      <c r="R828" s="7"/>
      <c r="S828" s="7"/>
      <c r="T828" s="66"/>
    </row>
    <row r="829" spans="1:20" ht="13.2">
      <c r="A829" s="7"/>
      <c r="B829" s="7"/>
      <c r="C829" s="74"/>
      <c r="D829" s="74"/>
      <c r="F829" s="7"/>
      <c r="G829" s="74"/>
      <c r="H829" s="74"/>
      <c r="J829" s="7"/>
      <c r="K829" s="74"/>
      <c r="L829" s="74"/>
      <c r="N829" s="7"/>
      <c r="O829" s="74"/>
      <c r="P829" s="74"/>
      <c r="R829" s="7"/>
      <c r="S829" s="7"/>
      <c r="T829" s="66"/>
    </row>
    <row r="830" spans="1:20" ht="13.2">
      <c r="A830" s="7"/>
      <c r="B830" s="7"/>
      <c r="C830" s="74"/>
      <c r="D830" s="74"/>
      <c r="F830" s="7"/>
      <c r="G830" s="74"/>
      <c r="H830" s="74"/>
      <c r="J830" s="7"/>
      <c r="K830" s="74"/>
      <c r="L830" s="74"/>
      <c r="N830" s="7"/>
      <c r="O830" s="74"/>
      <c r="P830" s="74"/>
      <c r="R830" s="7"/>
      <c r="S830" s="7"/>
      <c r="T830" s="66"/>
    </row>
    <row r="831" spans="1:20" ht="13.2">
      <c r="A831" s="7"/>
      <c r="B831" s="7"/>
      <c r="C831" s="74"/>
      <c r="D831" s="74"/>
      <c r="F831" s="7"/>
      <c r="G831" s="74"/>
      <c r="H831" s="74"/>
      <c r="J831" s="7"/>
      <c r="K831" s="74"/>
      <c r="L831" s="74"/>
      <c r="N831" s="7"/>
      <c r="O831" s="74"/>
      <c r="P831" s="74"/>
      <c r="R831" s="7"/>
      <c r="S831" s="7"/>
      <c r="T831" s="66"/>
    </row>
    <row r="832" spans="1:20" ht="13.2">
      <c r="A832" s="7"/>
      <c r="B832" s="7"/>
      <c r="C832" s="74"/>
      <c r="D832" s="74"/>
      <c r="F832" s="7"/>
      <c r="G832" s="74"/>
      <c r="H832" s="74"/>
      <c r="J832" s="7"/>
      <c r="K832" s="74"/>
      <c r="L832" s="74"/>
      <c r="N832" s="7"/>
      <c r="O832" s="74"/>
      <c r="P832" s="74"/>
      <c r="R832" s="7"/>
      <c r="S832" s="7"/>
      <c r="T832" s="66"/>
    </row>
    <row r="833" spans="1:20" ht="13.2">
      <c r="A833" s="7"/>
      <c r="B833" s="7"/>
      <c r="C833" s="74"/>
      <c r="D833" s="74"/>
      <c r="F833" s="7"/>
      <c r="G833" s="74"/>
      <c r="H833" s="74"/>
      <c r="J833" s="7"/>
      <c r="K833" s="74"/>
      <c r="L833" s="74"/>
      <c r="N833" s="7"/>
      <c r="O833" s="74"/>
      <c r="P833" s="74"/>
      <c r="R833" s="7"/>
      <c r="S833" s="7"/>
      <c r="T833" s="66"/>
    </row>
    <row r="834" spans="1:20" ht="13.2">
      <c r="A834" s="7"/>
      <c r="B834" s="7"/>
      <c r="C834" s="74"/>
      <c r="D834" s="74"/>
      <c r="F834" s="7"/>
      <c r="G834" s="74"/>
      <c r="H834" s="74"/>
      <c r="J834" s="7"/>
      <c r="K834" s="74"/>
      <c r="L834" s="74"/>
      <c r="N834" s="7"/>
      <c r="O834" s="74"/>
      <c r="P834" s="74"/>
      <c r="R834" s="7"/>
      <c r="S834" s="7"/>
      <c r="T834" s="66"/>
    </row>
    <row r="835" spans="1:20" ht="13.2">
      <c r="A835" s="7"/>
      <c r="B835" s="7"/>
      <c r="C835" s="74"/>
      <c r="D835" s="74"/>
      <c r="F835" s="7"/>
      <c r="G835" s="74"/>
      <c r="H835" s="74"/>
      <c r="J835" s="7"/>
      <c r="K835" s="74"/>
      <c r="L835" s="74"/>
      <c r="N835" s="7"/>
      <c r="O835" s="74"/>
      <c r="P835" s="74"/>
      <c r="R835" s="7"/>
      <c r="S835" s="7"/>
      <c r="T835" s="66"/>
    </row>
    <row r="836" spans="1:20" ht="13.2">
      <c r="A836" s="7"/>
      <c r="B836" s="7"/>
      <c r="C836" s="74"/>
      <c r="D836" s="74"/>
      <c r="F836" s="7"/>
      <c r="G836" s="74"/>
      <c r="H836" s="74"/>
      <c r="J836" s="7"/>
      <c r="K836" s="74"/>
      <c r="L836" s="74"/>
      <c r="N836" s="7"/>
      <c r="O836" s="74"/>
      <c r="P836" s="74"/>
      <c r="R836" s="7"/>
      <c r="S836" s="7"/>
      <c r="T836" s="66"/>
    </row>
    <row r="837" spans="1:20" ht="13.2">
      <c r="A837" s="7"/>
      <c r="B837" s="7"/>
      <c r="C837" s="74"/>
      <c r="D837" s="74"/>
      <c r="F837" s="7"/>
      <c r="G837" s="74"/>
      <c r="H837" s="74"/>
      <c r="J837" s="7"/>
      <c r="K837" s="74"/>
      <c r="L837" s="74"/>
      <c r="N837" s="7"/>
      <c r="O837" s="74"/>
      <c r="P837" s="74"/>
      <c r="R837" s="7"/>
      <c r="S837" s="7"/>
      <c r="T837" s="66"/>
    </row>
    <row r="838" spans="1:20" ht="13.2">
      <c r="A838" s="7"/>
      <c r="B838" s="7"/>
      <c r="C838" s="74"/>
      <c r="D838" s="74"/>
      <c r="F838" s="7"/>
      <c r="G838" s="74"/>
      <c r="H838" s="74"/>
      <c r="J838" s="7"/>
      <c r="K838" s="74"/>
      <c r="L838" s="74"/>
      <c r="N838" s="7"/>
      <c r="O838" s="74"/>
      <c r="P838" s="74"/>
      <c r="R838" s="7"/>
      <c r="S838" s="7"/>
      <c r="T838" s="66"/>
    </row>
    <row r="839" spans="1:20" ht="13.2">
      <c r="A839" s="7"/>
      <c r="B839" s="7"/>
      <c r="C839" s="74"/>
      <c r="D839" s="74"/>
      <c r="F839" s="7"/>
      <c r="G839" s="74"/>
      <c r="H839" s="74"/>
      <c r="J839" s="7"/>
      <c r="K839" s="74"/>
      <c r="L839" s="74"/>
      <c r="N839" s="7"/>
      <c r="O839" s="74"/>
      <c r="P839" s="74"/>
      <c r="R839" s="7"/>
      <c r="S839" s="7"/>
      <c r="T839" s="66"/>
    </row>
    <row r="840" spans="1:20" ht="13.2">
      <c r="A840" s="7"/>
      <c r="B840" s="7"/>
      <c r="C840" s="74"/>
      <c r="D840" s="74"/>
      <c r="F840" s="7"/>
      <c r="G840" s="74"/>
      <c r="H840" s="74"/>
      <c r="J840" s="7"/>
      <c r="K840" s="74"/>
      <c r="L840" s="74"/>
      <c r="N840" s="7"/>
      <c r="O840" s="74"/>
      <c r="P840" s="74"/>
      <c r="R840" s="7"/>
      <c r="S840" s="7"/>
      <c r="T840" s="66"/>
    </row>
    <row r="841" spans="1:20" ht="13.2">
      <c r="A841" s="7"/>
      <c r="B841" s="7"/>
      <c r="C841" s="74"/>
      <c r="D841" s="74"/>
      <c r="F841" s="7"/>
      <c r="G841" s="74"/>
      <c r="H841" s="74"/>
      <c r="J841" s="7"/>
      <c r="K841" s="74"/>
      <c r="L841" s="74"/>
      <c r="N841" s="7"/>
      <c r="O841" s="74"/>
      <c r="P841" s="74"/>
      <c r="R841" s="7"/>
      <c r="S841" s="7"/>
      <c r="T841" s="66"/>
    </row>
    <row r="842" spans="1:20" ht="13.2">
      <c r="A842" s="7"/>
      <c r="B842" s="7"/>
      <c r="C842" s="74"/>
      <c r="D842" s="74"/>
      <c r="F842" s="7"/>
      <c r="G842" s="74"/>
      <c r="H842" s="74"/>
      <c r="J842" s="7"/>
      <c r="K842" s="74"/>
      <c r="L842" s="74"/>
      <c r="N842" s="7"/>
      <c r="O842" s="74"/>
      <c r="P842" s="74"/>
      <c r="R842" s="7"/>
      <c r="S842" s="7"/>
      <c r="T842" s="66"/>
    </row>
    <row r="843" spans="1:20" ht="13.2">
      <c r="A843" s="7"/>
      <c r="B843" s="7"/>
      <c r="C843" s="74"/>
      <c r="D843" s="74"/>
      <c r="F843" s="7"/>
      <c r="G843" s="74"/>
      <c r="H843" s="74"/>
      <c r="J843" s="7"/>
      <c r="K843" s="74"/>
      <c r="L843" s="74"/>
      <c r="N843" s="7"/>
      <c r="O843" s="74"/>
      <c r="P843" s="74"/>
      <c r="R843" s="7"/>
      <c r="S843" s="7"/>
      <c r="T843" s="66"/>
    </row>
    <row r="844" spans="1:20" ht="13.2">
      <c r="A844" s="7"/>
      <c r="B844" s="7"/>
      <c r="C844" s="74"/>
      <c r="D844" s="74"/>
      <c r="F844" s="7"/>
      <c r="G844" s="74"/>
      <c r="H844" s="74"/>
      <c r="J844" s="7"/>
      <c r="K844" s="74"/>
      <c r="L844" s="74"/>
      <c r="N844" s="7"/>
      <c r="O844" s="74"/>
      <c r="P844" s="74"/>
      <c r="R844" s="7"/>
      <c r="S844" s="7"/>
      <c r="T844" s="66"/>
    </row>
    <row r="845" spans="1:20" ht="13.2">
      <c r="A845" s="7"/>
      <c r="B845" s="7"/>
      <c r="C845" s="74"/>
      <c r="D845" s="74"/>
      <c r="F845" s="7"/>
      <c r="G845" s="74"/>
      <c r="H845" s="74"/>
      <c r="J845" s="7"/>
      <c r="K845" s="74"/>
      <c r="L845" s="74"/>
      <c r="N845" s="7"/>
      <c r="O845" s="74"/>
      <c r="P845" s="74"/>
      <c r="R845" s="7"/>
      <c r="S845" s="7"/>
      <c r="T845" s="66"/>
    </row>
    <row r="846" spans="1:20" ht="13.2">
      <c r="A846" s="7"/>
      <c r="B846" s="7"/>
      <c r="C846" s="74"/>
      <c r="D846" s="74"/>
      <c r="F846" s="7"/>
      <c r="G846" s="74"/>
      <c r="H846" s="74"/>
      <c r="J846" s="7"/>
      <c r="K846" s="74"/>
      <c r="L846" s="74"/>
      <c r="N846" s="7"/>
      <c r="O846" s="74"/>
      <c r="P846" s="74"/>
      <c r="R846" s="7"/>
      <c r="S846" s="7"/>
      <c r="T846" s="66"/>
    </row>
    <row r="847" spans="1:20" ht="13.2">
      <c r="A847" s="7"/>
      <c r="B847" s="7"/>
      <c r="C847" s="74"/>
      <c r="D847" s="74"/>
      <c r="F847" s="7"/>
      <c r="G847" s="74"/>
      <c r="H847" s="74"/>
      <c r="J847" s="7"/>
      <c r="K847" s="74"/>
      <c r="L847" s="74"/>
      <c r="N847" s="7"/>
      <c r="O847" s="74"/>
      <c r="P847" s="74"/>
      <c r="R847" s="7"/>
      <c r="S847" s="7"/>
      <c r="T847" s="66"/>
    </row>
    <row r="848" spans="1:20" ht="13.2">
      <c r="A848" s="7"/>
      <c r="B848" s="7"/>
      <c r="C848" s="74"/>
      <c r="D848" s="74"/>
      <c r="F848" s="7"/>
      <c r="G848" s="74"/>
      <c r="H848" s="74"/>
      <c r="J848" s="7"/>
      <c r="K848" s="74"/>
      <c r="L848" s="74"/>
      <c r="N848" s="7"/>
      <c r="O848" s="74"/>
      <c r="P848" s="74"/>
      <c r="R848" s="7"/>
      <c r="S848" s="7"/>
      <c r="T848" s="66"/>
    </row>
    <row r="849" spans="1:20" ht="13.2">
      <c r="A849" s="7"/>
      <c r="B849" s="7"/>
      <c r="C849" s="74"/>
      <c r="D849" s="74"/>
      <c r="F849" s="7"/>
      <c r="G849" s="74"/>
      <c r="H849" s="74"/>
      <c r="J849" s="7"/>
      <c r="K849" s="74"/>
      <c r="L849" s="74"/>
      <c r="N849" s="7"/>
      <c r="O849" s="74"/>
      <c r="P849" s="74"/>
      <c r="R849" s="7"/>
      <c r="S849" s="7"/>
      <c r="T849" s="66"/>
    </row>
    <row r="850" spans="1:20" ht="13.2">
      <c r="A850" s="7"/>
      <c r="B850" s="7"/>
      <c r="C850" s="74"/>
      <c r="D850" s="74"/>
      <c r="F850" s="7"/>
      <c r="G850" s="74"/>
      <c r="H850" s="74"/>
      <c r="J850" s="7"/>
      <c r="K850" s="74"/>
      <c r="L850" s="74"/>
      <c r="N850" s="7"/>
      <c r="O850" s="74"/>
      <c r="P850" s="74"/>
      <c r="R850" s="7"/>
      <c r="S850" s="7"/>
      <c r="T850" s="66"/>
    </row>
    <row r="851" spans="1:20" ht="13.2">
      <c r="A851" s="7"/>
      <c r="B851" s="7"/>
      <c r="C851" s="74"/>
      <c r="D851" s="74"/>
      <c r="F851" s="7"/>
      <c r="G851" s="74"/>
      <c r="H851" s="74"/>
      <c r="J851" s="7"/>
      <c r="K851" s="74"/>
      <c r="L851" s="74"/>
      <c r="N851" s="7"/>
      <c r="O851" s="74"/>
      <c r="P851" s="74"/>
      <c r="R851" s="7"/>
      <c r="S851" s="7"/>
      <c r="T851" s="66"/>
    </row>
    <row r="852" spans="1:20" ht="13.2">
      <c r="A852" s="7"/>
      <c r="B852" s="7"/>
      <c r="C852" s="74"/>
      <c r="D852" s="74"/>
      <c r="F852" s="7"/>
      <c r="G852" s="74"/>
      <c r="H852" s="74"/>
      <c r="J852" s="7"/>
      <c r="K852" s="74"/>
      <c r="L852" s="74"/>
      <c r="N852" s="7"/>
      <c r="O852" s="74"/>
      <c r="P852" s="74"/>
      <c r="R852" s="7"/>
      <c r="S852" s="7"/>
      <c r="T852" s="66"/>
    </row>
    <row r="853" spans="1:20" ht="13.2">
      <c r="A853" s="7"/>
      <c r="B853" s="7"/>
      <c r="C853" s="74"/>
      <c r="D853" s="74"/>
      <c r="F853" s="7"/>
      <c r="G853" s="74"/>
      <c r="H853" s="74"/>
      <c r="J853" s="7"/>
      <c r="K853" s="74"/>
      <c r="L853" s="74"/>
      <c r="N853" s="7"/>
      <c r="O853" s="74"/>
      <c r="P853" s="74"/>
      <c r="R853" s="7"/>
      <c r="S853" s="7"/>
      <c r="T853" s="66"/>
    </row>
    <row r="854" spans="1:20" ht="13.2">
      <c r="A854" s="7"/>
      <c r="B854" s="7"/>
      <c r="C854" s="74"/>
      <c r="D854" s="74"/>
      <c r="F854" s="7"/>
      <c r="G854" s="74"/>
      <c r="H854" s="74"/>
      <c r="J854" s="7"/>
      <c r="K854" s="74"/>
      <c r="L854" s="74"/>
      <c r="N854" s="7"/>
      <c r="O854" s="74"/>
      <c r="P854" s="74"/>
      <c r="R854" s="7"/>
      <c r="S854" s="7"/>
      <c r="T854" s="66"/>
    </row>
    <row r="855" spans="1:20" ht="13.2">
      <c r="A855" s="7"/>
      <c r="B855" s="7"/>
      <c r="C855" s="74"/>
      <c r="D855" s="74"/>
      <c r="F855" s="7"/>
      <c r="G855" s="74"/>
      <c r="H855" s="74"/>
      <c r="J855" s="7"/>
      <c r="K855" s="74"/>
      <c r="L855" s="74"/>
      <c r="N855" s="7"/>
      <c r="O855" s="74"/>
      <c r="P855" s="74"/>
      <c r="R855" s="7"/>
      <c r="S855" s="7"/>
      <c r="T855" s="66"/>
    </row>
    <row r="856" spans="1:20" ht="13.2">
      <c r="A856" s="7"/>
      <c r="B856" s="7"/>
      <c r="C856" s="74"/>
      <c r="D856" s="74"/>
      <c r="F856" s="7"/>
      <c r="G856" s="74"/>
      <c r="H856" s="74"/>
      <c r="J856" s="7"/>
      <c r="K856" s="74"/>
      <c r="L856" s="74"/>
      <c r="N856" s="7"/>
      <c r="O856" s="74"/>
      <c r="P856" s="74"/>
      <c r="R856" s="7"/>
      <c r="S856" s="7"/>
      <c r="T856" s="66"/>
    </row>
    <row r="857" spans="1:20" ht="13.2">
      <c r="A857" s="7"/>
      <c r="B857" s="7"/>
      <c r="C857" s="74"/>
      <c r="D857" s="74"/>
      <c r="F857" s="7"/>
      <c r="G857" s="74"/>
      <c r="H857" s="74"/>
      <c r="J857" s="7"/>
      <c r="K857" s="74"/>
      <c r="L857" s="74"/>
      <c r="N857" s="7"/>
      <c r="O857" s="74"/>
      <c r="P857" s="74"/>
      <c r="R857" s="7"/>
      <c r="S857" s="7"/>
      <c r="T857" s="66"/>
    </row>
    <row r="858" spans="1:20" ht="13.2">
      <c r="A858" s="7"/>
      <c r="B858" s="7"/>
      <c r="C858" s="74"/>
      <c r="D858" s="74"/>
      <c r="F858" s="7"/>
      <c r="G858" s="74"/>
      <c r="H858" s="74"/>
      <c r="J858" s="7"/>
      <c r="K858" s="74"/>
      <c r="L858" s="74"/>
      <c r="N858" s="7"/>
      <c r="O858" s="74"/>
      <c r="P858" s="74"/>
      <c r="R858" s="7"/>
      <c r="S858" s="7"/>
      <c r="T858" s="66"/>
    </row>
    <row r="859" spans="1:20" ht="13.2">
      <c r="A859" s="7"/>
      <c r="B859" s="7"/>
      <c r="C859" s="74"/>
      <c r="D859" s="74"/>
      <c r="F859" s="7"/>
      <c r="G859" s="74"/>
      <c r="H859" s="74"/>
      <c r="J859" s="7"/>
      <c r="K859" s="74"/>
      <c r="L859" s="74"/>
      <c r="N859" s="7"/>
      <c r="O859" s="74"/>
      <c r="P859" s="74"/>
      <c r="R859" s="7"/>
      <c r="S859" s="7"/>
      <c r="T859" s="66"/>
    </row>
    <row r="860" spans="1:20" ht="13.2">
      <c r="A860" s="7"/>
      <c r="B860" s="7"/>
      <c r="C860" s="74"/>
      <c r="D860" s="74"/>
      <c r="F860" s="7"/>
      <c r="G860" s="74"/>
      <c r="H860" s="74"/>
      <c r="J860" s="7"/>
      <c r="K860" s="74"/>
      <c r="L860" s="74"/>
      <c r="N860" s="7"/>
      <c r="O860" s="74"/>
      <c r="P860" s="74"/>
      <c r="R860" s="7"/>
      <c r="S860" s="7"/>
      <c r="T860" s="66"/>
    </row>
    <row r="861" spans="1:20" ht="13.2">
      <c r="A861" s="7"/>
      <c r="B861" s="7"/>
      <c r="C861" s="74"/>
      <c r="D861" s="74"/>
      <c r="F861" s="7"/>
      <c r="G861" s="74"/>
      <c r="H861" s="74"/>
      <c r="J861" s="7"/>
      <c r="K861" s="74"/>
      <c r="L861" s="74"/>
      <c r="N861" s="7"/>
      <c r="O861" s="74"/>
      <c r="P861" s="74"/>
      <c r="R861" s="7"/>
      <c r="S861" s="7"/>
      <c r="T861" s="66"/>
    </row>
    <row r="862" spans="1:20" ht="13.2">
      <c r="A862" s="7"/>
      <c r="B862" s="7"/>
      <c r="C862" s="74"/>
      <c r="D862" s="74"/>
      <c r="F862" s="7"/>
      <c r="G862" s="74"/>
      <c r="H862" s="74"/>
      <c r="J862" s="7"/>
      <c r="K862" s="74"/>
      <c r="L862" s="74"/>
      <c r="N862" s="7"/>
      <c r="O862" s="74"/>
      <c r="P862" s="74"/>
      <c r="R862" s="7"/>
      <c r="S862" s="7"/>
      <c r="T862" s="66"/>
    </row>
    <row r="863" spans="1:20" ht="13.2">
      <c r="A863" s="7"/>
      <c r="B863" s="7"/>
      <c r="C863" s="74"/>
      <c r="D863" s="74"/>
      <c r="F863" s="7"/>
      <c r="G863" s="74"/>
      <c r="H863" s="74"/>
      <c r="J863" s="7"/>
      <c r="K863" s="74"/>
      <c r="L863" s="74"/>
      <c r="N863" s="7"/>
      <c r="O863" s="74"/>
      <c r="P863" s="74"/>
      <c r="R863" s="7"/>
      <c r="S863" s="7"/>
      <c r="T863" s="66"/>
    </row>
    <row r="864" spans="1:20" ht="13.2">
      <c r="A864" s="7"/>
      <c r="B864" s="7"/>
      <c r="C864" s="74"/>
      <c r="D864" s="74"/>
      <c r="F864" s="7"/>
      <c r="G864" s="74"/>
      <c r="H864" s="74"/>
      <c r="J864" s="7"/>
      <c r="K864" s="74"/>
      <c r="L864" s="74"/>
      <c r="N864" s="7"/>
      <c r="O864" s="74"/>
      <c r="P864" s="74"/>
      <c r="R864" s="7"/>
      <c r="S864" s="7"/>
      <c r="T864" s="66"/>
    </row>
    <row r="865" spans="1:20" ht="13.2">
      <c r="A865" s="7"/>
      <c r="B865" s="7"/>
      <c r="C865" s="74"/>
      <c r="D865" s="74"/>
      <c r="F865" s="7"/>
      <c r="G865" s="74"/>
      <c r="H865" s="74"/>
      <c r="J865" s="7"/>
      <c r="K865" s="74"/>
      <c r="L865" s="74"/>
      <c r="N865" s="7"/>
      <c r="O865" s="74"/>
      <c r="P865" s="74"/>
      <c r="R865" s="7"/>
      <c r="S865" s="7"/>
      <c r="T865" s="66"/>
    </row>
    <row r="866" spans="1:20" ht="13.2">
      <c r="A866" s="7"/>
      <c r="B866" s="7"/>
      <c r="C866" s="74"/>
      <c r="D866" s="74"/>
      <c r="F866" s="7"/>
      <c r="G866" s="74"/>
      <c r="H866" s="74"/>
      <c r="J866" s="7"/>
      <c r="K866" s="74"/>
      <c r="L866" s="74"/>
      <c r="N866" s="7"/>
      <c r="O866" s="74"/>
      <c r="P866" s="74"/>
      <c r="R866" s="7"/>
      <c r="S866" s="7"/>
      <c r="T866" s="66"/>
    </row>
    <row r="867" spans="1:20" ht="13.2">
      <c r="A867" s="7"/>
      <c r="B867" s="7"/>
      <c r="C867" s="74"/>
      <c r="D867" s="74"/>
      <c r="F867" s="7"/>
      <c r="G867" s="74"/>
      <c r="H867" s="74"/>
      <c r="J867" s="7"/>
      <c r="K867" s="74"/>
      <c r="L867" s="74"/>
      <c r="N867" s="7"/>
      <c r="O867" s="74"/>
      <c r="P867" s="74"/>
      <c r="R867" s="7"/>
      <c r="S867" s="7"/>
      <c r="T867" s="66"/>
    </row>
    <row r="868" spans="1:20" ht="13.2">
      <c r="A868" s="7"/>
      <c r="B868" s="7"/>
      <c r="C868" s="74"/>
      <c r="D868" s="74"/>
      <c r="F868" s="7"/>
      <c r="G868" s="74"/>
      <c r="H868" s="74"/>
      <c r="J868" s="7"/>
      <c r="K868" s="74"/>
      <c r="L868" s="74"/>
      <c r="N868" s="7"/>
      <c r="O868" s="74"/>
      <c r="P868" s="74"/>
      <c r="R868" s="7"/>
      <c r="S868" s="7"/>
      <c r="T868" s="66"/>
    </row>
    <row r="869" spans="1:20" ht="13.2">
      <c r="A869" s="7"/>
      <c r="B869" s="7"/>
      <c r="C869" s="74"/>
      <c r="D869" s="74"/>
      <c r="F869" s="7"/>
      <c r="G869" s="74"/>
      <c r="H869" s="74"/>
      <c r="J869" s="7"/>
      <c r="K869" s="74"/>
      <c r="L869" s="74"/>
      <c r="N869" s="7"/>
      <c r="O869" s="74"/>
      <c r="P869" s="74"/>
      <c r="R869" s="7"/>
      <c r="S869" s="7"/>
      <c r="T869" s="66"/>
    </row>
    <row r="870" spans="1:20" ht="13.2">
      <c r="A870" s="7"/>
      <c r="B870" s="7"/>
      <c r="C870" s="74"/>
      <c r="D870" s="74"/>
      <c r="F870" s="7"/>
      <c r="G870" s="74"/>
      <c r="H870" s="74"/>
      <c r="J870" s="7"/>
      <c r="K870" s="74"/>
      <c r="L870" s="74"/>
      <c r="N870" s="7"/>
      <c r="O870" s="74"/>
      <c r="P870" s="74"/>
      <c r="R870" s="7"/>
      <c r="S870" s="7"/>
      <c r="T870" s="66"/>
    </row>
    <row r="871" spans="1:20" ht="13.2">
      <c r="A871" s="7"/>
      <c r="B871" s="7"/>
      <c r="C871" s="74"/>
      <c r="D871" s="74"/>
      <c r="F871" s="7"/>
      <c r="G871" s="74"/>
      <c r="H871" s="74"/>
      <c r="J871" s="7"/>
      <c r="K871" s="74"/>
      <c r="L871" s="74"/>
      <c r="N871" s="7"/>
      <c r="O871" s="74"/>
      <c r="P871" s="74"/>
      <c r="R871" s="7"/>
      <c r="S871" s="7"/>
      <c r="T871" s="66"/>
    </row>
    <row r="872" spans="1:20" ht="13.2">
      <c r="A872" s="7"/>
      <c r="B872" s="7"/>
      <c r="C872" s="74"/>
      <c r="D872" s="74"/>
      <c r="F872" s="7"/>
      <c r="G872" s="74"/>
      <c r="H872" s="74"/>
      <c r="J872" s="7"/>
      <c r="K872" s="74"/>
      <c r="L872" s="74"/>
      <c r="N872" s="7"/>
      <c r="O872" s="74"/>
      <c r="P872" s="74"/>
      <c r="R872" s="7"/>
      <c r="S872" s="7"/>
      <c r="T872" s="66"/>
    </row>
    <row r="873" spans="1:20" ht="13.2">
      <c r="A873" s="7"/>
      <c r="B873" s="7"/>
      <c r="C873" s="74"/>
      <c r="D873" s="74"/>
      <c r="F873" s="7"/>
      <c r="G873" s="74"/>
      <c r="H873" s="74"/>
      <c r="J873" s="7"/>
      <c r="K873" s="74"/>
      <c r="L873" s="74"/>
      <c r="N873" s="7"/>
      <c r="O873" s="74"/>
      <c r="P873" s="74"/>
      <c r="R873" s="7"/>
      <c r="S873" s="7"/>
      <c r="T873" s="66"/>
    </row>
    <row r="874" spans="1:20" ht="13.2">
      <c r="A874" s="7"/>
      <c r="B874" s="7"/>
      <c r="C874" s="74"/>
      <c r="D874" s="74"/>
      <c r="F874" s="7"/>
      <c r="G874" s="74"/>
      <c r="H874" s="74"/>
      <c r="J874" s="7"/>
      <c r="K874" s="74"/>
      <c r="L874" s="74"/>
      <c r="N874" s="7"/>
      <c r="O874" s="74"/>
      <c r="P874" s="74"/>
      <c r="R874" s="7"/>
      <c r="S874" s="7"/>
      <c r="T874" s="66"/>
    </row>
    <row r="875" spans="1:20" ht="13.2">
      <c r="A875" s="7"/>
      <c r="B875" s="7"/>
      <c r="C875" s="74"/>
      <c r="D875" s="74"/>
      <c r="F875" s="7"/>
      <c r="G875" s="74"/>
      <c r="H875" s="74"/>
      <c r="J875" s="7"/>
      <c r="K875" s="74"/>
      <c r="L875" s="74"/>
      <c r="N875" s="7"/>
      <c r="O875" s="74"/>
      <c r="P875" s="74"/>
      <c r="R875" s="7"/>
      <c r="S875" s="7"/>
      <c r="T875" s="66"/>
    </row>
    <row r="876" spans="1:20" ht="13.2">
      <c r="A876" s="7"/>
      <c r="B876" s="7"/>
      <c r="C876" s="74"/>
      <c r="D876" s="74"/>
      <c r="F876" s="7"/>
      <c r="G876" s="74"/>
      <c r="H876" s="74"/>
      <c r="J876" s="7"/>
      <c r="K876" s="74"/>
      <c r="L876" s="74"/>
      <c r="N876" s="7"/>
      <c r="O876" s="74"/>
      <c r="P876" s="74"/>
      <c r="R876" s="7"/>
      <c r="S876" s="7"/>
      <c r="T876" s="66"/>
    </row>
    <row r="877" spans="1:20" ht="13.2">
      <c r="A877" s="7"/>
      <c r="B877" s="7"/>
      <c r="C877" s="74"/>
      <c r="D877" s="74"/>
      <c r="F877" s="7"/>
      <c r="G877" s="74"/>
      <c r="H877" s="74"/>
      <c r="J877" s="7"/>
      <c r="K877" s="74"/>
      <c r="L877" s="74"/>
      <c r="N877" s="7"/>
      <c r="O877" s="74"/>
      <c r="P877" s="74"/>
      <c r="R877" s="7"/>
      <c r="S877" s="7"/>
      <c r="T877" s="66"/>
    </row>
    <row r="878" spans="1:20" ht="13.2">
      <c r="A878" s="7"/>
      <c r="B878" s="7"/>
      <c r="C878" s="74"/>
      <c r="D878" s="74"/>
      <c r="F878" s="7"/>
      <c r="G878" s="74"/>
      <c r="H878" s="74"/>
      <c r="J878" s="7"/>
      <c r="K878" s="74"/>
      <c r="L878" s="74"/>
      <c r="N878" s="7"/>
      <c r="O878" s="74"/>
      <c r="P878" s="74"/>
      <c r="R878" s="7"/>
      <c r="S878" s="7"/>
      <c r="T878" s="66"/>
    </row>
    <row r="879" spans="1:20" ht="13.2">
      <c r="A879" s="7"/>
      <c r="B879" s="7"/>
      <c r="C879" s="74"/>
      <c r="D879" s="74"/>
      <c r="F879" s="7"/>
      <c r="G879" s="74"/>
      <c r="H879" s="74"/>
      <c r="J879" s="7"/>
      <c r="K879" s="74"/>
      <c r="L879" s="74"/>
      <c r="N879" s="7"/>
      <c r="O879" s="74"/>
      <c r="P879" s="74"/>
      <c r="R879" s="7"/>
      <c r="S879" s="7"/>
      <c r="T879" s="66"/>
    </row>
    <row r="880" spans="1:20" ht="13.2">
      <c r="A880" s="7"/>
      <c r="B880" s="7"/>
      <c r="C880" s="74"/>
      <c r="D880" s="74"/>
      <c r="F880" s="7"/>
      <c r="G880" s="74"/>
      <c r="H880" s="74"/>
      <c r="J880" s="7"/>
      <c r="K880" s="74"/>
      <c r="L880" s="74"/>
      <c r="N880" s="7"/>
      <c r="O880" s="74"/>
      <c r="P880" s="74"/>
      <c r="R880" s="7"/>
      <c r="S880" s="7"/>
      <c r="T880" s="66"/>
    </row>
    <row r="881" spans="1:20" ht="13.2">
      <c r="A881" s="7"/>
      <c r="B881" s="7"/>
      <c r="C881" s="74"/>
      <c r="D881" s="74"/>
      <c r="F881" s="7"/>
      <c r="G881" s="74"/>
      <c r="H881" s="74"/>
      <c r="J881" s="7"/>
      <c r="K881" s="74"/>
      <c r="L881" s="74"/>
      <c r="N881" s="7"/>
      <c r="O881" s="74"/>
      <c r="P881" s="74"/>
      <c r="R881" s="7"/>
      <c r="S881" s="7"/>
      <c r="T881" s="66"/>
    </row>
    <row r="882" spans="1:20" ht="13.2">
      <c r="A882" s="7"/>
      <c r="B882" s="7"/>
      <c r="C882" s="74"/>
      <c r="D882" s="74"/>
      <c r="F882" s="7"/>
      <c r="G882" s="74"/>
      <c r="H882" s="74"/>
      <c r="J882" s="7"/>
      <c r="K882" s="74"/>
      <c r="L882" s="74"/>
      <c r="N882" s="7"/>
      <c r="O882" s="74"/>
      <c r="P882" s="74"/>
      <c r="R882" s="7"/>
      <c r="S882" s="7"/>
      <c r="T882" s="66"/>
    </row>
    <row r="883" spans="1:20" ht="13.2">
      <c r="A883" s="7"/>
      <c r="B883" s="7"/>
      <c r="C883" s="74"/>
      <c r="D883" s="74"/>
      <c r="F883" s="7"/>
      <c r="G883" s="74"/>
      <c r="H883" s="74"/>
      <c r="J883" s="7"/>
      <c r="K883" s="74"/>
      <c r="L883" s="74"/>
      <c r="N883" s="7"/>
      <c r="O883" s="74"/>
      <c r="P883" s="74"/>
      <c r="R883" s="7"/>
      <c r="S883" s="7"/>
      <c r="T883" s="66"/>
    </row>
    <row r="884" spans="1:20" ht="13.2">
      <c r="A884" s="7"/>
      <c r="B884" s="7"/>
      <c r="C884" s="74"/>
      <c r="D884" s="74"/>
      <c r="F884" s="7"/>
      <c r="G884" s="74"/>
      <c r="H884" s="74"/>
      <c r="J884" s="7"/>
      <c r="K884" s="74"/>
      <c r="L884" s="74"/>
      <c r="N884" s="7"/>
      <c r="O884" s="74"/>
      <c r="P884" s="74"/>
      <c r="R884" s="7"/>
      <c r="S884" s="7"/>
      <c r="T884" s="66"/>
    </row>
    <row r="885" spans="1:20" ht="13.2">
      <c r="A885" s="7"/>
      <c r="B885" s="7"/>
      <c r="C885" s="74"/>
      <c r="D885" s="74"/>
      <c r="F885" s="7"/>
      <c r="G885" s="74"/>
      <c r="H885" s="74"/>
      <c r="J885" s="7"/>
      <c r="K885" s="74"/>
      <c r="L885" s="74"/>
      <c r="N885" s="7"/>
      <c r="O885" s="74"/>
      <c r="P885" s="74"/>
      <c r="R885" s="7"/>
      <c r="S885" s="7"/>
      <c r="T885" s="66"/>
    </row>
    <row r="886" spans="1:20" ht="13.2">
      <c r="A886" s="7"/>
      <c r="B886" s="7"/>
      <c r="C886" s="74"/>
      <c r="D886" s="74"/>
      <c r="F886" s="7"/>
      <c r="G886" s="74"/>
      <c r="H886" s="74"/>
      <c r="J886" s="7"/>
      <c r="K886" s="74"/>
      <c r="L886" s="74"/>
      <c r="N886" s="7"/>
      <c r="O886" s="74"/>
      <c r="P886" s="74"/>
      <c r="R886" s="7"/>
      <c r="S886" s="7"/>
      <c r="T886" s="66"/>
    </row>
    <row r="887" spans="1:20" ht="13.2">
      <c r="A887" s="7"/>
      <c r="B887" s="7"/>
      <c r="C887" s="74"/>
      <c r="D887" s="74"/>
      <c r="F887" s="7"/>
      <c r="G887" s="74"/>
      <c r="H887" s="74"/>
      <c r="J887" s="7"/>
      <c r="K887" s="74"/>
      <c r="L887" s="74"/>
      <c r="N887" s="7"/>
      <c r="O887" s="74"/>
      <c r="P887" s="74"/>
      <c r="R887" s="7"/>
      <c r="S887" s="7"/>
      <c r="T887" s="66"/>
    </row>
    <row r="888" spans="1:20" ht="13.2">
      <c r="A888" s="7"/>
      <c r="B888" s="7"/>
      <c r="C888" s="74"/>
      <c r="D888" s="74"/>
      <c r="F888" s="7"/>
      <c r="G888" s="74"/>
      <c r="H888" s="74"/>
      <c r="J888" s="7"/>
      <c r="K888" s="74"/>
      <c r="L888" s="74"/>
      <c r="N888" s="7"/>
      <c r="O888" s="74"/>
      <c r="P888" s="74"/>
      <c r="R888" s="7"/>
      <c r="S888" s="7"/>
      <c r="T888" s="66"/>
    </row>
    <row r="889" spans="1:20" ht="13.2">
      <c r="A889" s="7"/>
      <c r="B889" s="7"/>
      <c r="C889" s="74"/>
      <c r="D889" s="74"/>
      <c r="F889" s="7"/>
      <c r="G889" s="74"/>
      <c r="H889" s="74"/>
      <c r="J889" s="7"/>
      <c r="K889" s="74"/>
      <c r="L889" s="74"/>
      <c r="N889" s="7"/>
      <c r="O889" s="74"/>
      <c r="P889" s="74"/>
      <c r="R889" s="7"/>
      <c r="S889" s="7"/>
      <c r="T889" s="66"/>
    </row>
    <row r="890" spans="1:20" ht="13.2">
      <c r="A890" s="7"/>
      <c r="B890" s="7"/>
      <c r="C890" s="74"/>
      <c r="D890" s="74"/>
      <c r="F890" s="7"/>
      <c r="G890" s="74"/>
      <c r="H890" s="74"/>
      <c r="J890" s="7"/>
      <c r="K890" s="74"/>
      <c r="L890" s="74"/>
      <c r="N890" s="7"/>
      <c r="O890" s="74"/>
      <c r="P890" s="74"/>
      <c r="R890" s="7"/>
      <c r="S890" s="7"/>
      <c r="T890" s="66"/>
    </row>
    <row r="891" spans="1:20" ht="13.2">
      <c r="A891" s="7"/>
      <c r="B891" s="7"/>
      <c r="C891" s="74"/>
      <c r="D891" s="74"/>
      <c r="F891" s="7"/>
      <c r="G891" s="74"/>
      <c r="H891" s="74"/>
      <c r="J891" s="7"/>
      <c r="K891" s="74"/>
      <c r="L891" s="74"/>
      <c r="N891" s="7"/>
      <c r="O891" s="74"/>
      <c r="P891" s="74"/>
      <c r="R891" s="7"/>
      <c r="S891" s="7"/>
      <c r="T891" s="66"/>
    </row>
    <row r="892" spans="1:20" ht="13.2">
      <c r="A892" s="7"/>
      <c r="B892" s="7"/>
      <c r="C892" s="74"/>
      <c r="D892" s="74"/>
      <c r="F892" s="7"/>
      <c r="G892" s="74"/>
      <c r="H892" s="74"/>
      <c r="J892" s="7"/>
      <c r="K892" s="74"/>
      <c r="L892" s="74"/>
      <c r="N892" s="7"/>
      <c r="O892" s="74"/>
      <c r="P892" s="74"/>
      <c r="R892" s="7"/>
      <c r="S892" s="7"/>
      <c r="T892" s="66"/>
    </row>
    <row r="893" spans="1:20" ht="13.2">
      <c r="A893" s="7"/>
      <c r="B893" s="7"/>
      <c r="C893" s="74"/>
      <c r="D893" s="74"/>
      <c r="F893" s="7"/>
      <c r="G893" s="74"/>
      <c r="H893" s="74"/>
      <c r="J893" s="7"/>
      <c r="K893" s="74"/>
      <c r="L893" s="74"/>
      <c r="N893" s="7"/>
      <c r="O893" s="74"/>
      <c r="P893" s="74"/>
      <c r="R893" s="7"/>
      <c r="S893" s="7"/>
      <c r="T893" s="66"/>
    </row>
    <row r="894" spans="1:20" ht="13.2">
      <c r="A894" s="7"/>
      <c r="B894" s="7"/>
      <c r="C894" s="74"/>
      <c r="D894" s="74"/>
      <c r="F894" s="7"/>
      <c r="G894" s="74"/>
      <c r="H894" s="74"/>
      <c r="J894" s="7"/>
      <c r="K894" s="74"/>
      <c r="L894" s="74"/>
      <c r="N894" s="7"/>
      <c r="O894" s="74"/>
      <c r="P894" s="74"/>
      <c r="R894" s="7"/>
      <c r="S894" s="7"/>
      <c r="T894" s="66"/>
    </row>
    <row r="895" spans="1:20" ht="13.2">
      <c r="A895" s="7"/>
      <c r="B895" s="7"/>
      <c r="C895" s="74"/>
      <c r="D895" s="74"/>
      <c r="F895" s="7"/>
      <c r="G895" s="74"/>
      <c r="H895" s="74"/>
      <c r="J895" s="7"/>
      <c r="K895" s="74"/>
      <c r="L895" s="74"/>
      <c r="N895" s="7"/>
      <c r="O895" s="74"/>
      <c r="P895" s="74"/>
      <c r="R895" s="7"/>
      <c r="S895" s="7"/>
      <c r="T895" s="66"/>
    </row>
    <row r="896" spans="1:20" ht="13.2">
      <c r="A896" s="7"/>
      <c r="B896" s="7"/>
      <c r="C896" s="74"/>
      <c r="D896" s="74"/>
      <c r="F896" s="7"/>
      <c r="G896" s="74"/>
      <c r="H896" s="74"/>
      <c r="J896" s="7"/>
      <c r="K896" s="74"/>
      <c r="L896" s="74"/>
      <c r="N896" s="7"/>
      <c r="O896" s="74"/>
      <c r="P896" s="74"/>
      <c r="R896" s="7"/>
      <c r="S896" s="7"/>
      <c r="T896" s="66"/>
    </row>
    <row r="897" spans="1:20" ht="13.2">
      <c r="A897" s="7"/>
      <c r="B897" s="7"/>
      <c r="C897" s="74"/>
      <c r="D897" s="74"/>
      <c r="F897" s="7"/>
      <c r="G897" s="74"/>
      <c r="H897" s="74"/>
      <c r="J897" s="7"/>
      <c r="K897" s="74"/>
      <c r="L897" s="74"/>
      <c r="N897" s="7"/>
      <c r="O897" s="74"/>
      <c r="P897" s="74"/>
      <c r="R897" s="7"/>
      <c r="S897" s="7"/>
      <c r="T897" s="66"/>
    </row>
    <row r="898" spans="1:20" ht="13.2">
      <c r="A898" s="7"/>
      <c r="B898" s="7"/>
      <c r="C898" s="74"/>
      <c r="D898" s="74"/>
      <c r="F898" s="7"/>
      <c r="G898" s="74"/>
      <c r="H898" s="74"/>
      <c r="J898" s="7"/>
      <c r="K898" s="74"/>
      <c r="L898" s="74"/>
      <c r="N898" s="7"/>
      <c r="O898" s="74"/>
      <c r="P898" s="74"/>
      <c r="R898" s="7"/>
      <c r="S898" s="7"/>
      <c r="T898" s="66"/>
    </row>
    <row r="899" spans="1:20" ht="13.2">
      <c r="A899" s="7"/>
      <c r="B899" s="7"/>
      <c r="C899" s="74"/>
      <c r="D899" s="74"/>
      <c r="F899" s="7"/>
      <c r="G899" s="74"/>
      <c r="H899" s="74"/>
      <c r="J899" s="7"/>
      <c r="K899" s="74"/>
      <c r="L899" s="74"/>
      <c r="N899" s="7"/>
      <c r="O899" s="74"/>
      <c r="P899" s="74"/>
      <c r="R899" s="7"/>
      <c r="S899" s="7"/>
      <c r="T899" s="66"/>
    </row>
    <row r="900" spans="1:20" ht="13.2">
      <c r="A900" s="7"/>
      <c r="B900" s="7"/>
      <c r="C900" s="74"/>
      <c r="D900" s="74"/>
      <c r="F900" s="7"/>
      <c r="G900" s="74"/>
      <c r="H900" s="74"/>
      <c r="J900" s="7"/>
      <c r="K900" s="74"/>
      <c r="L900" s="74"/>
      <c r="N900" s="7"/>
      <c r="O900" s="74"/>
      <c r="P900" s="74"/>
      <c r="R900" s="7"/>
      <c r="S900" s="7"/>
      <c r="T900" s="66"/>
    </row>
    <row r="901" spans="1:20" ht="13.2">
      <c r="A901" s="7"/>
      <c r="B901" s="7"/>
      <c r="C901" s="74"/>
      <c r="D901" s="74"/>
      <c r="F901" s="7"/>
      <c r="G901" s="74"/>
      <c r="H901" s="74"/>
      <c r="J901" s="7"/>
      <c r="K901" s="74"/>
      <c r="L901" s="74"/>
      <c r="N901" s="7"/>
      <c r="O901" s="74"/>
      <c r="P901" s="74"/>
      <c r="R901" s="7"/>
      <c r="S901" s="7"/>
      <c r="T901" s="66"/>
    </row>
    <row r="902" spans="1:20" ht="13.2">
      <c r="A902" s="7"/>
      <c r="B902" s="7"/>
      <c r="C902" s="74"/>
      <c r="D902" s="74"/>
      <c r="F902" s="7"/>
      <c r="G902" s="74"/>
      <c r="H902" s="74"/>
      <c r="J902" s="7"/>
      <c r="K902" s="74"/>
      <c r="L902" s="74"/>
      <c r="N902" s="7"/>
      <c r="O902" s="74"/>
      <c r="P902" s="74"/>
      <c r="R902" s="7"/>
      <c r="S902" s="7"/>
      <c r="T902" s="66"/>
    </row>
    <row r="903" spans="1:20" ht="13.2">
      <c r="A903" s="7"/>
      <c r="B903" s="7"/>
      <c r="C903" s="74"/>
      <c r="D903" s="74"/>
      <c r="F903" s="7"/>
      <c r="G903" s="74"/>
      <c r="H903" s="74"/>
      <c r="J903" s="7"/>
      <c r="K903" s="74"/>
      <c r="L903" s="74"/>
      <c r="N903" s="7"/>
      <c r="O903" s="74"/>
      <c r="P903" s="74"/>
      <c r="R903" s="7"/>
      <c r="S903" s="7"/>
      <c r="T903" s="66"/>
    </row>
    <row r="904" spans="1:20" ht="13.2">
      <c r="A904" s="7"/>
      <c r="B904" s="7"/>
      <c r="C904" s="74"/>
      <c r="D904" s="74"/>
      <c r="F904" s="7"/>
      <c r="G904" s="74"/>
      <c r="H904" s="74"/>
      <c r="J904" s="7"/>
      <c r="K904" s="74"/>
      <c r="L904" s="74"/>
      <c r="N904" s="7"/>
      <c r="O904" s="74"/>
      <c r="P904" s="74"/>
      <c r="R904" s="7"/>
      <c r="S904" s="7"/>
      <c r="T904" s="66"/>
    </row>
    <row r="905" spans="1:20" ht="13.2">
      <c r="A905" s="7"/>
      <c r="B905" s="7"/>
      <c r="C905" s="74"/>
      <c r="D905" s="74"/>
      <c r="F905" s="7"/>
      <c r="G905" s="74"/>
      <c r="H905" s="74"/>
      <c r="J905" s="7"/>
      <c r="K905" s="74"/>
      <c r="L905" s="74"/>
      <c r="N905" s="7"/>
      <c r="O905" s="74"/>
      <c r="P905" s="74"/>
      <c r="R905" s="7"/>
      <c r="S905" s="7"/>
      <c r="T905" s="66"/>
    </row>
    <row r="906" spans="1:20" ht="13.2">
      <c r="A906" s="7"/>
      <c r="B906" s="7"/>
      <c r="C906" s="74"/>
      <c r="D906" s="74"/>
      <c r="F906" s="7"/>
      <c r="G906" s="74"/>
      <c r="H906" s="74"/>
      <c r="J906" s="7"/>
      <c r="K906" s="74"/>
      <c r="L906" s="74"/>
      <c r="N906" s="7"/>
      <c r="O906" s="74"/>
      <c r="P906" s="74"/>
      <c r="R906" s="7"/>
      <c r="S906" s="7"/>
      <c r="T906" s="66"/>
    </row>
    <row r="907" spans="1:20" ht="13.2">
      <c r="A907" s="7"/>
      <c r="B907" s="7"/>
      <c r="C907" s="74"/>
      <c r="D907" s="74"/>
      <c r="F907" s="7"/>
      <c r="G907" s="74"/>
      <c r="H907" s="74"/>
      <c r="J907" s="7"/>
      <c r="K907" s="74"/>
      <c r="L907" s="74"/>
      <c r="N907" s="7"/>
      <c r="O907" s="74"/>
      <c r="P907" s="74"/>
      <c r="R907" s="7"/>
      <c r="S907" s="7"/>
      <c r="T907" s="66"/>
    </row>
    <row r="908" spans="1:20" ht="13.2">
      <c r="A908" s="7"/>
      <c r="B908" s="7"/>
      <c r="C908" s="74"/>
      <c r="D908" s="74"/>
      <c r="F908" s="7"/>
      <c r="G908" s="74"/>
      <c r="H908" s="74"/>
      <c r="J908" s="7"/>
      <c r="K908" s="74"/>
      <c r="L908" s="74"/>
      <c r="N908" s="7"/>
      <c r="O908" s="74"/>
      <c r="P908" s="74"/>
      <c r="R908" s="7"/>
      <c r="S908" s="7"/>
      <c r="T908" s="66"/>
    </row>
    <row r="909" spans="1:20" ht="13.2">
      <c r="A909" s="7"/>
      <c r="B909" s="7"/>
      <c r="C909" s="74"/>
      <c r="D909" s="74"/>
      <c r="F909" s="7"/>
      <c r="G909" s="74"/>
      <c r="H909" s="74"/>
      <c r="J909" s="7"/>
      <c r="K909" s="74"/>
      <c r="L909" s="74"/>
      <c r="N909" s="7"/>
      <c r="O909" s="74"/>
      <c r="P909" s="74"/>
      <c r="R909" s="7"/>
      <c r="S909" s="7"/>
      <c r="T909" s="66"/>
    </row>
    <row r="910" spans="1:20" ht="13.2">
      <c r="A910" s="7"/>
      <c r="B910" s="7"/>
      <c r="C910" s="74"/>
      <c r="D910" s="74"/>
      <c r="F910" s="7"/>
      <c r="G910" s="74"/>
      <c r="H910" s="74"/>
      <c r="J910" s="7"/>
      <c r="K910" s="74"/>
      <c r="L910" s="74"/>
      <c r="N910" s="7"/>
      <c r="O910" s="74"/>
      <c r="P910" s="74"/>
      <c r="R910" s="7"/>
      <c r="S910" s="7"/>
      <c r="T910" s="66"/>
    </row>
    <row r="911" spans="1:20" ht="13.2">
      <c r="A911" s="7"/>
      <c r="B911" s="7"/>
      <c r="C911" s="74"/>
      <c r="D911" s="74"/>
      <c r="F911" s="7"/>
      <c r="G911" s="74"/>
      <c r="H911" s="74"/>
      <c r="J911" s="7"/>
      <c r="K911" s="74"/>
      <c r="L911" s="74"/>
      <c r="N911" s="7"/>
      <c r="O911" s="74"/>
      <c r="P911" s="74"/>
      <c r="R911" s="7"/>
      <c r="S911" s="7"/>
      <c r="T911" s="66"/>
    </row>
    <row r="912" spans="1:20" ht="13.2">
      <c r="A912" s="7"/>
      <c r="B912" s="7"/>
      <c r="C912" s="74"/>
      <c r="D912" s="74"/>
      <c r="F912" s="7"/>
      <c r="G912" s="74"/>
      <c r="H912" s="74"/>
      <c r="J912" s="7"/>
      <c r="K912" s="74"/>
      <c r="L912" s="74"/>
      <c r="N912" s="7"/>
      <c r="O912" s="74"/>
      <c r="P912" s="74"/>
      <c r="R912" s="7"/>
      <c r="S912" s="7"/>
      <c r="T912" s="66"/>
    </row>
    <row r="913" spans="1:20" ht="13.2">
      <c r="A913" s="7"/>
      <c r="B913" s="7"/>
      <c r="C913" s="74"/>
      <c r="D913" s="74"/>
      <c r="F913" s="7"/>
      <c r="G913" s="74"/>
      <c r="H913" s="74"/>
      <c r="J913" s="7"/>
      <c r="K913" s="74"/>
      <c r="L913" s="74"/>
      <c r="N913" s="7"/>
      <c r="O913" s="74"/>
      <c r="P913" s="74"/>
      <c r="R913" s="7"/>
      <c r="S913" s="7"/>
      <c r="T913" s="66"/>
    </row>
    <row r="914" spans="1:20" ht="13.2">
      <c r="A914" s="7"/>
      <c r="B914" s="7"/>
      <c r="C914" s="74"/>
      <c r="D914" s="74"/>
      <c r="F914" s="7"/>
      <c r="G914" s="74"/>
      <c r="H914" s="74"/>
      <c r="J914" s="7"/>
      <c r="K914" s="74"/>
      <c r="L914" s="74"/>
      <c r="N914" s="7"/>
      <c r="O914" s="74"/>
      <c r="P914" s="74"/>
      <c r="R914" s="7"/>
      <c r="S914" s="7"/>
      <c r="T914" s="66"/>
    </row>
    <row r="915" spans="1:20" ht="13.2">
      <c r="A915" s="7"/>
      <c r="B915" s="7"/>
      <c r="C915" s="74"/>
      <c r="D915" s="74"/>
      <c r="F915" s="7"/>
      <c r="G915" s="74"/>
      <c r="H915" s="74"/>
      <c r="J915" s="7"/>
      <c r="K915" s="74"/>
      <c r="L915" s="74"/>
      <c r="N915" s="7"/>
      <c r="O915" s="74"/>
      <c r="P915" s="74"/>
      <c r="R915" s="7"/>
      <c r="S915" s="7"/>
      <c r="T915" s="66"/>
    </row>
    <row r="916" spans="1:20" ht="13.2">
      <c r="A916" s="7"/>
      <c r="B916" s="7"/>
      <c r="C916" s="74"/>
      <c r="D916" s="74"/>
      <c r="F916" s="7"/>
      <c r="G916" s="74"/>
      <c r="H916" s="74"/>
      <c r="J916" s="7"/>
      <c r="K916" s="74"/>
      <c r="L916" s="74"/>
      <c r="N916" s="7"/>
      <c r="O916" s="74"/>
      <c r="P916" s="74"/>
      <c r="R916" s="7"/>
      <c r="S916" s="7"/>
      <c r="T916" s="66"/>
    </row>
    <row r="917" spans="1:20" ht="13.2">
      <c r="A917" s="7"/>
      <c r="B917" s="7"/>
      <c r="C917" s="74"/>
      <c r="D917" s="74"/>
      <c r="F917" s="7"/>
      <c r="G917" s="74"/>
      <c r="H917" s="74"/>
      <c r="J917" s="7"/>
      <c r="K917" s="74"/>
      <c r="L917" s="74"/>
      <c r="N917" s="7"/>
      <c r="O917" s="74"/>
      <c r="P917" s="74"/>
      <c r="R917" s="7"/>
      <c r="S917" s="7"/>
      <c r="T917" s="66"/>
    </row>
    <row r="918" spans="1:20" ht="13.2">
      <c r="A918" s="7"/>
      <c r="B918" s="7"/>
      <c r="C918" s="74"/>
      <c r="D918" s="74"/>
      <c r="F918" s="7"/>
      <c r="G918" s="74"/>
      <c r="H918" s="74"/>
      <c r="J918" s="7"/>
      <c r="K918" s="74"/>
      <c r="L918" s="74"/>
      <c r="N918" s="7"/>
      <c r="O918" s="74"/>
      <c r="P918" s="74"/>
      <c r="R918" s="7"/>
      <c r="S918" s="7"/>
      <c r="T918" s="66"/>
    </row>
    <row r="919" spans="1:20" ht="13.2">
      <c r="A919" s="7"/>
      <c r="B919" s="7"/>
      <c r="C919" s="74"/>
      <c r="D919" s="74"/>
      <c r="F919" s="7"/>
      <c r="G919" s="74"/>
      <c r="H919" s="74"/>
      <c r="J919" s="7"/>
      <c r="K919" s="74"/>
      <c r="L919" s="74"/>
      <c r="N919" s="7"/>
      <c r="O919" s="74"/>
      <c r="P919" s="74"/>
      <c r="R919" s="7"/>
      <c r="S919" s="7"/>
      <c r="T919" s="66"/>
    </row>
    <row r="920" spans="1:20" ht="13.2">
      <c r="A920" s="7"/>
      <c r="B920" s="7"/>
      <c r="C920" s="74"/>
      <c r="D920" s="74"/>
      <c r="F920" s="7"/>
      <c r="G920" s="74"/>
      <c r="H920" s="74"/>
      <c r="J920" s="7"/>
      <c r="K920" s="74"/>
      <c r="L920" s="74"/>
      <c r="N920" s="7"/>
      <c r="O920" s="74"/>
      <c r="P920" s="74"/>
      <c r="R920" s="7"/>
      <c r="S920" s="7"/>
      <c r="T920" s="66"/>
    </row>
    <row r="921" spans="1:20" ht="13.2">
      <c r="A921" s="7"/>
      <c r="B921" s="7"/>
      <c r="C921" s="74"/>
      <c r="D921" s="74"/>
      <c r="F921" s="7"/>
      <c r="G921" s="74"/>
      <c r="H921" s="74"/>
      <c r="J921" s="7"/>
      <c r="K921" s="74"/>
      <c r="L921" s="74"/>
      <c r="N921" s="7"/>
      <c r="O921" s="74"/>
      <c r="P921" s="74"/>
      <c r="R921" s="7"/>
      <c r="S921" s="7"/>
      <c r="T921" s="66"/>
    </row>
    <row r="922" spans="1:20" ht="13.2">
      <c r="A922" s="7"/>
      <c r="B922" s="7"/>
      <c r="C922" s="74"/>
      <c r="D922" s="74"/>
      <c r="F922" s="7"/>
      <c r="G922" s="74"/>
      <c r="H922" s="74"/>
      <c r="J922" s="7"/>
      <c r="K922" s="74"/>
      <c r="L922" s="74"/>
      <c r="N922" s="7"/>
      <c r="O922" s="74"/>
      <c r="P922" s="74"/>
      <c r="R922" s="7"/>
      <c r="S922" s="7"/>
      <c r="T922" s="66"/>
    </row>
    <row r="923" spans="1:20" ht="13.2">
      <c r="A923" s="7"/>
      <c r="B923" s="7"/>
      <c r="C923" s="74"/>
      <c r="D923" s="74"/>
      <c r="F923" s="7"/>
      <c r="G923" s="74"/>
      <c r="H923" s="74"/>
      <c r="J923" s="7"/>
      <c r="K923" s="74"/>
      <c r="L923" s="74"/>
      <c r="N923" s="7"/>
      <c r="O923" s="74"/>
      <c r="P923" s="74"/>
      <c r="R923" s="7"/>
      <c r="S923" s="7"/>
      <c r="T923" s="66"/>
    </row>
    <row r="924" spans="1:20" ht="13.2">
      <c r="A924" s="7"/>
      <c r="B924" s="7"/>
      <c r="C924" s="74"/>
      <c r="D924" s="74"/>
      <c r="F924" s="7"/>
      <c r="G924" s="74"/>
      <c r="H924" s="74"/>
      <c r="J924" s="7"/>
      <c r="K924" s="74"/>
      <c r="L924" s="74"/>
      <c r="N924" s="7"/>
      <c r="O924" s="74"/>
      <c r="P924" s="74"/>
      <c r="R924" s="7"/>
      <c r="S924" s="7"/>
      <c r="T924" s="66"/>
    </row>
    <row r="925" spans="1:20" ht="13.2">
      <c r="A925" s="7"/>
      <c r="B925" s="7"/>
      <c r="C925" s="74"/>
      <c r="D925" s="74"/>
      <c r="F925" s="7"/>
      <c r="G925" s="74"/>
      <c r="H925" s="74"/>
      <c r="J925" s="7"/>
      <c r="K925" s="74"/>
      <c r="L925" s="74"/>
      <c r="N925" s="7"/>
      <c r="O925" s="74"/>
      <c r="P925" s="74"/>
      <c r="R925" s="7"/>
      <c r="S925" s="7"/>
      <c r="T925" s="66"/>
    </row>
    <row r="926" spans="1:20" ht="13.2">
      <c r="A926" s="7"/>
      <c r="B926" s="7"/>
      <c r="C926" s="74"/>
      <c r="D926" s="74"/>
      <c r="F926" s="7"/>
      <c r="G926" s="74"/>
      <c r="H926" s="74"/>
      <c r="J926" s="7"/>
      <c r="K926" s="74"/>
      <c r="L926" s="74"/>
      <c r="N926" s="7"/>
      <c r="O926" s="74"/>
      <c r="P926" s="74"/>
      <c r="R926" s="7"/>
      <c r="S926" s="7"/>
      <c r="T926" s="66"/>
    </row>
    <row r="927" spans="1:20" ht="13.2">
      <c r="A927" s="7"/>
      <c r="B927" s="7"/>
      <c r="C927" s="74"/>
      <c r="D927" s="74"/>
      <c r="F927" s="7"/>
      <c r="G927" s="74"/>
      <c r="H927" s="74"/>
      <c r="J927" s="7"/>
      <c r="K927" s="74"/>
      <c r="L927" s="74"/>
      <c r="N927" s="7"/>
      <c r="O927" s="74"/>
      <c r="P927" s="74"/>
      <c r="R927" s="7"/>
      <c r="S927" s="7"/>
      <c r="T927" s="66"/>
    </row>
    <row r="928" spans="1:20" ht="13.2">
      <c r="A928" s="7"/>
      <c r="B928" s="7"/>
      <c r="C928" s="74"/>
      <c r="D928" s="74"/>
      <c r="F928" s="7"/>
      <c r="G928" s="74"/>
      <c r="H928" s="74"/>
      <c r="J928" s="7"/>
      <c r="K928" s="74"/>
      <c r="L928" s="74"/>
      <c r="N928" s="7"/>
      <c r="O928" s="74"/>
      <c r="P928" s="74"/>
      <c r="R928" s="7"/>
      <c r="S928" s="7"/>
      <c r="T928" s="66"/>
    </row>
    <row r="929" spans="1:20" ht="13.2">
      <c r="A929" s="7"/>
      <c r="B929" s="7"/>
      <c r="C929" s="74"/>
      <c r="D929" s="74"/>
      <c r="F929" s="7"/>
      <c r="G929" s="74"/>
      <c r="H929" s="74"/>
      <c r="J929" s="7"/>
      <c r="K929" s="74"/>
      <c r="L929" s="74"/>
      <c r="N929" s="7"/>
      <c r="O929" s="74"/>
      <c r="P929" s="74"/>
      <c r="R929" s="7"/>
      <c r="S929" s="7"/>
      <c r="T929" s="66"/>
    </row>
    <row r="930" spans="1:20" ht="13.2">
      <c r="A930" s="7"/>
      <c r="B930" s="7"/>
      <c r="C930" s="74"/>
      <c r="D930" s="74"/>
      <c r="F930" s="7"/>
      <c r="G930" s="74"/>
      <c r="H930" s="74"/>
      <c r="J930" s="7"/>
      <c r="K930" s="74"/>
      <c r="L930" s="74"/>
      <c r="N930" s="7"/>
      <c r="O930" s="74"/>
      <c r="P930" s="74"/>
      <c r="R930" s="7"/>
      <c r="S930" s="7"/>
      <c r="T930" s="66"/>
    </row>
    <row r="931" spans="1:20" ht="13.2">
      <c r="A931" s="7"/>
      <c r="B931" s="7"/>
      <c r="C931" s="74"/>
      <c r="D931" s="74"/>
      <c r="F931" s="7"/>
      <c r="G931" s="74"/>
      <c r="H931" s="74"/>
      <c r="J931" s="7"/>
      <c r="K931" s="74"/>
      <c r="L931" s="74"/>
      <c r="N931" s="7"/>
      <c r="O931" s="74"/>
      <c r="P931" s="74"/>
      <c r="R931" s="7"/>
      <c r="S931" s="7"/>
      <c r="T931" s="66"/>
    </row>
    <row r="932" spans="1:20" ht="13.2">
      <c r="A932" s="7"/>
      <c r="B932" s="7"/>
      <c r="C932" s="74"/>
      <c r="D932" s="74"/>
      <c r="F932" s="7"/>
      <c r="G932" s="74"/>
      <c r="H932" s="74"/>
      <c r="J932" s="7"/>
      <c r="K932" s="74"/>
      <c r="L932" s="74"/>
      <c r="N932" s="7"/>
      <c r="O932" s="74"/>
      <c r="P932" s="74"/>
      <c r="R932" s="7"/>
      <c r="S932" s="7"/>
      <c r="T932" s="66"/>
    </row>
    <row r="933" spans="1:20" ht="13.2">
      <c r="A933" s="7"/>
      <c r="B933" s="7"/>
      <c r="C933" s="74"/>
      <c r="D933" s="74"/>
      <c r="F933" s="7"/>
      <c r="G933" s="74"/>
      <c r="H933" s="74"/>
      <c r="J933" s="7"/>
      <c r="K933" s="74"/>
      <c r="L933" s="74"/>
      <c r="N933" s="7"/>
      <c r="O933" s="74"/>
      <c r="P933" s="74"/>
      <c r="R933" s="7"/>
      <c r="S933" s="7"/>
      <c r="T933" s="66"/>
    </row>
    <row r="934" spans="1:20" ht="13.2">
      <c r="A934" s="7"/>
      <c r="B934" s="7"/>
      <c r="C934" s="74"/>
      <c r="D934" s="74"/>
      <c r="F934" s="7"/>
      <c r="G934" s="74"/>
      <c r="H934" s="74"/>
      <c r="J934" s="7"/>
      <c r="K934" s="74"/>
      <c r="L934" s="74"/>
      <c r="N934" s="7"/>
      <c r="O934" s="74"/>
      <c r="P934" s="74"/>
      <c r="R934" s="7"/>
      <c r="S934" s="7"/>
      <c r="T934" s="66"/>
    </row>
    <row r="935" spans="1:20" ht="13.2">
      <c r="A935" s="7"/>
      <c r="B935" s="7"/>
      <c r="C935" s="74"/>
      <c r="D935" s="74"/>
      <c r="F935" s="7"/>
      <c r="G935" s="74"/>
      <c r="H935" s="74"/>
      <c r="J935" s="7"/>
      <c r="K935" s="74"/>
      <c r="L935" s="74"/>
      <c r="N935" s="7"/>
      <c r="O935" s="74"/>
      <c r="P935" s="74"/>
      <c r="R935" s="7"/>
      <c r="S935" s="7"/>
      <c r="T935" s="66"/>
    </row>
    <row r="936" spans="1:20" ht="13.2">
      <c r="A936" s="7"/>
      <c r="B936" s="7"/>
      <c r="C936" s="74"/>
      <c r="D936" s="74"/>
      <c r="F936" s="7"/>
      <c r="G936" s="74"/>
      <c r="H936" s="74"/>
      <c r="J936" s="7"/>
      <c r="K936" s="74"/>
      <c r="L936" s="74"/>
      <c r="N936" s="7"/>
      <c r="O936" s="74"/>
      <c r="P936" s="74"/>
      <c r="R936" s="7"/>
      <c r="S936" s="7"/>
      <c r="T936" s="66"/>
    </row>
    <row r="937" spans="1:20" ht="13.2">
      <c r="A937" s="7"/>
      <c r="B937" s="7"/>
      <c r="C937" s="74"/>
      <c r="D937" s="74"/>
      <c r="F937" s="7"/>
      <c r="G937" s="74"/>
      <c r="H937" s="74"/>
      <c r="J937" s="7"/>
      <c r="K937" s="74"/>
      <c r="L937" s="74"/>
      <c r="N937" s="7"/>
      <c r="O937" s="74"/>
      <c r="P937" s="74"/>
      <c r="R937" s="7"/>
      <c r="S937" s="7"/>
      <c r="T937" s="66"/>
    </row>
    <row r="938" spans="1:20" ht="13.2">
      <c r="A938" s="7"/>
      <c r="B938" s="7"/>
      <c r="C938" s="74"/>
      <c r="D938" s="74"/>
      <c r="F938" s="7"/>
      <c r="G938" s="74"/>
      <c r="H938" s="74"/>
      <c r="J938" s="7"/>
      <c r="K938" s="74"/>
      <c r="L938" s="74"/>
      <c r="N938" s="7"/>
      <c r="O938" s="74"/>
      <c r="P938" s="74"/>
      <c r="R938" s="7"/>
      <c r="S938" s="7"/>
      <c r="T938" s="66"/>
    </row>
    <row r="939" spans="1:20" ht="13.2">
      <c r="A939" s="7"/>
      <c r="B939" s="7"/>
      <c r="C939" s="74"/>
      <c r="D939" s="74"/>
      <c r="F939" s="7"/>
      <c r="G939" s="74"/>
      <c r="H939" s="74"/>
      <c r="J939" s="7"/>
      <c r="K939" s="74"/>
      <c r="L939" s="74"/>
      <c r="N939" s="7"/>
      <c r="O939" s="74"/>
      <c r="P939" s="74"/>
      <c r="R939" s="7"/>
      <c r="S939" s="7"/>
      <c r="T939" s="66"/>
    </row>
    <row r="940" spans="1:20" ht="13.2">
      <c r="A940" s="7"/>
      <c r="B940" s="7"/>
      <c r="C940" s="74"/>
      <c r="D940" s="74"/>
      <c r="F940" s="7"/>
      <c r="G940" s="74"/>
      <c r="H940" s="74"/>
      <c r="J940" s="7"/>
      <c r="K940" s="74"/>
      <c r="L940" s="74"/>
      <c r="N940" s="7"/>
      <c r="O940" s="74"/>
      <c r="P940" s="74"/>
      <c r="R940" s="7"/>
      <c r="S940" s="7"/>
      <c r="T940" s="66"/>
    </row>
    <row r="941" spans="1:20" ht="13.2">
      <c r="A941" s="7"/>
      <c r="B941" s="7"/>
      <c r="C941" s="74"/>
      <c r="D941" s="74"/>
      <c r="F941" s="7"/>
      <c r="G941" s="74"/>
      <c r="H941" s="74"/>
      <c r="J941" s="7"/>
      <c r="K941" s="74"/>
      <c r="L941" s="74"/>
      <c r="N941" s="7"/>
      <c r="O941" s="74"/>
      <c r="P941" s="74"/>
      <c r="R941" s="7"/>
      <c r="S941" s="7"/>
      <c r="T941" s="66"/>
    </row>
    <row r="942" spans="1:20" ht="13.2">
      <c r="A942" s="7"/>
      <c r="B942" s="7"/>
      <c r="C942" s="74"/>
      <c r="D942" s="74"/>
      <c r="F942" s="7"/>
      <c r="G942" s="74"/>
      <c r="H942" s="74"/>
      <c r="J942" s="7"/>
      <c r="K942" s="74"/>
      <c r="L942" s="74"/>
      <c r="N942" s="7"/>
      <c r="O942" s="74"/>
      <c r="P942" s="74"/>
      <c r="R942" s="7"/>
      <c r="S942" s="7"/>
      <c r="T942" s="66"/>
    </row>
    <row r="943" spans="1:20" ht="13.2">
      <c r="A943" s="7"/>
      <c r="B943" s="7"/>
      <c r="C943" s="74"/>
      <c r="D943" s="74"/>
      <c r="F943" s="7"/>
      <c r="G943" s="74"/>
      <c r="H943" s="74"/>
      <c r="J943" s="7"/>
      <c r="K943" s="74"/>
      <c r="L943" s="74"/>
      <c r="N943" s="7"/>
      <c r="O943" s="74"/>
      <c r="P943" s="74"/>
      <c r="R943" s="7"/>
      <c r="S943" s="7"/>
      <c r="T943" s="66"/>
    </row>
    <row r="944" spans="1:20" ht="13.2">
      <c r="A944" s="7"/>
      <c r="B944" s="7"/>
      <c r="C944" s="74"/>
      <c r="D944" s="74"/>
      <c r="F944" s="7"/>
      <c r="G944" s="74"/>
      <c r="H944" s="74"/>
      <c r="J944" s="7"/>
      <c r="K944" s="74"/>
      <c r="L944" s="74"/>
      <c r="N944" s="7"/>
      <c r="O944" s="74"/>
      <c r="P944" s="74"/>
      <c r="R944" s="7"/>
      <c r="S944" s="7"/>
      <c r="T944" s="66"/>
    </row>
    <row r="945" spans="1:20" ht="13.2">
      <c r="A945" s="7"/>
      <c r="B945" s="7"/>
      <c r="C945" s="74"/>
      <c r="D945" s="74"/>
      <c r="F945" s="7"/>
      <c r="G945" s="74"/>
      <c r="H945" s="74"/>
      <c r="J945" s="7"/>
      <c r="K945" s="74"/>
      <c r="L945" s="74"/>
      <c r="N945" s="7"/>
      <c r="O945" s="74"/>
      <c r="P945" s="74"/>
      <c r="R945" s="7"/>
      <c r="S945" s="7"/>
      <c r="T945" s="66"/>
    </row>
    <row r="946" spans="1:20" ht="13.2">
      <c r="A946" s="7"/>
      <c r="B946" s="7"/>
      <c r="C946" s="74"/>
      <c r="D946" s="74"/>
      <c r="F946" s="7"/>
      <c r="G946" s="74"/>
      <c r="H946" s="74"/>
      <c r="J946" s="7"/>
      <c r="K946" s="74"/>
      <c r="L946" s="74"/>
      <c r="N946" s="7"/>
      <c r="O946" s="74"/>
      <c r="P946" s="74"/>
      <c r="R946" s="7"/>
      <c r="S946" s="7"/>
      <c r="T946" s="66"/>
    </row>
    <row r="947" spans="1:20" ht="13.2">
      <c r="A947" s="7"/>
      <c r="B947" s="7"/>
      <c r="C947" s="74"/>
      <c r="D947" s="74"/>
      <c r="F947" s="7"/>
      <c r="G947" s="74"/>
      <c r="H947" s="74"/>
      <c r="J947" s="7"/>
      <c r="K947" s="74"/>
      <c r="L947" s="74"/>
      <c r="N947" s="7"/>
      <c r="O947" s="74"/>
      <c r="P947" s="74"/>
      <c r="R947" s="7"/>
      <c r="S947" s="7"/>
      <c r="T947" s="66"/>
    </row>
    <row r="948" spans="1:20" ht="13.2">
      <c r="A948" s="7"/>
      <c r="B948" s="7"/>
      <c r="C948" s="74"/>
      <c r="D948" s="74"/>
      <c r="F948" s="7"/>
      <c r="G948" s="74"/>
      <c r="H948" s="74"/>
      <c r="J948" s="7"/>
      <c r="K948" s="74"/>
      <c r="L948" s="74"/>
      <c r="N948" s="7"/>
      <c r="O948" s="74"/>
      <c r="P948" s="74"/>
      <c r="R948" s="7"/>
      <c r="S948" s="7"/>
      <c r="T948" s="66"/>
    </row>
    <row r="949" spans="1:20" ht="13.2">
      <c r="A949" s="7"/>
      <c r="B949" s="7"/>
      <c r="C949" s="74"/>
      <c r="D949" s="74"/>
      <c r="F949" s="7"/>
      <c r="G949" s="74"/>
      <c r="H949" s="74"/>
      <c r="J949" s="7"/>
      <c r="K949" s="74"/>
      <c r="L949" s="74"/>
      <c r="N949" s="7"/>
      <c r="O949" s="74"/>
      <c r="P949" s="74"/>
      <c r="R949" s="7"/>
      <c r="S949" s="7"/>
      <c r="T949" s="66"/>
    </row>
    <row r="950" spans="1:20" ht="13.2">
      <c r="A950" s="7"/>
      <c r="B950" s="7"/>
      <c r="C950" s="74"/>
      <c r="D950" s="74"/>
      <c r="F950" s="7"/>
      <c r="G950" s="74"/>
      <c r="H950" s="74"/>
      <c r="J950" s="7"/>
      <c r="K950" s="74"/>
      <c r="L950" s="74"/>
      <c r="N950" s="7"/>
      <c r="O950" s="74"/>
      <c r="P950" s="74"/>
      <c r="R950" s="7"/>
      <c r="S950" s="7"/>
      <c r="T950" s="66"/>
    </row>
    <row r="951" spans="1:20" ht="13.2">
      <c r="A951" s="7"/>
      <c r="B951" s="7"/>
      <c r="C951" s="74"/>
      <c r="D951" s="74"/>
      <c r="F951" s="7"/>
      <c r="G951" s="74"/>
      <c r="H951" s="74"/>
      <c r="J951" s="7"/>
      <c r="K951" s="74"/>
      <c r="L951" s="74"/>
      <c r="N951" s="7"/>
      <c r="O951" s="74"/>
      <c r="P951" s="74"/>
      <c r="R951" s="7"/>
      <c r="S951" s="7"/>
      <c r="T951" s="66"/>
    </row>
    <row r="952" spans="1:20" ht="13.2">
      <c r="A952" s="7"/>
      <c r="B952" s="7"/>
      <c r="C952" s="74"/>
      <c r="D952" s="74"/>
      <c r="F952" s="7"/>
      <c r="G952" s="74"/>
      <c r="H952" s="74"/>
      <c r="J952" s="7"/>
      <c r="K952" s="74"/>
      <c r="L952" s="74"/>
      <c r="N952" s="7"/>
      <c r="O952" s="74"/>
      <c r="P952" s="74"/>
      <c r="R952" s="7"/>
      <c r="S952" s="7"/>
      <c r="T952" s="66"/>
    </row>
    <row r="953" spans="1:20" ht="13.2">
      <c r="A953" s="7"/>
      <c r="B953" s="7"/>
      <c r="C953" s="74"/>
      <c r="D953" s="74"/>
      <c r="F953" s="7"/>
      <c r="G953" s="74"/>
      <c r="H953" s="74"/>
      <c r="J953" s="7"/>
      <c r="K953" s="74"/>
      <c r="L953" s="74"/>
      <c r="N953" s="7"/>
      <c r="O953" s="74"/>
      <c r="P953" s="74"/>
      <c r="R953" s="7"/>
      <c r="S953" s="7"/>
      <c r="T953" s="66"/>
    </row>
    <row r="954" spans="1:20" ht="13.2">
      <c r="A954" s="7"/>
      <c r="B954" s="7"/>
      <c r="C954" s="74"/>
      <c r="D954" s="74"/>
      <c r="F954" s="7"/>
      <c r="G954" s="74"/>
      <c r="H954" s="74"/>
      <c r="J954" s="7"/>
      <c r="K954" s="74"/>
      <c r="L954" s="74"/>
      <c r="N954" s="7"/>
      <c r="O954" s="74"/>
      <c r="P954" s="74"/>
      <c r="R954" s="7"/>
      <c r="S954" s="7"/>
      <c r="T954" s="66"/>
    </row>
    <row r="955" spans="1:20" ht="13.2">
      <c r="A955" s="7"/>
      <c r="B955" s="7"/>
      <c r="C955" s="74"/>
      <c r="D955" s="74"/>
      <c r="F955" s="7"/>
      <c r="G955" s="74"/>
      <c r="H955" s="74"/>
      <c r="J955" s="7"/>
      <c r="K955" s="74"/>
      <c r="L955" s="74"/>
      <c r="N955" s="7"/>
      <c r="O955" s="74"/>
      <c r="P955" s="74"/>
      <c r="R955" s="7"/>
      <c r="S955" s="7"/>
      <c r="T955" s="66"/>
    </row>
    <row r="956" spans="1:20" ht="13.2">
      <c r="A956" s="7"/>
      <c r="B956" s="7"/>
      <c r="C956" s="74"/>
      <c r="D956" s="74"/>
      <c r="F956" s="7"/>
      <c r="G956" s="74"/>
      <c r="H956" s="74"/>
      <c r="J956" s="7"/>
      <c r="K956" s="74"/>
      <c r="L956" s="74"/>
      <c r="N956" s="7"/>
      <c r="O956" s="74"/>
      <c r="P956" s="74"/>
      <c r="R956" s="7"/>
      <c r="S956" s="7"/>
      <c r="T956" s="66"/>
    </row>
    <row r="957" spans="1:20" ht="13.2">
      <c r="A957" s="7"/>
      <c r="B957" s="7"/>
      <c r="C957" s="74"/>
      <c r="D957" s="74"/>
      <c r="F957" s="7"/>
      <c r="G957" s="74"/>
      <c r="H957" s="74"/>
      <c r="J957" s="7"/>
      <c r="K957" s="74"/>
      <c r="L957" s="74"/>
      <c r="N957" s="7"/>
      <c r="O957" s="74"/>
      <c r="P957" s="74"/>
      <c r="R957" s="7"/>
      <c r="S957" s="7"/>
      <c r="T957" s="66"/>
    </row>
    <row r="958" spans="1:20" ht="13.2">
      <c r="A958" s="7"/>
      <c r="B958" s="7"/>
      <c r="C958" s="74"/>
      <c r="D958" s="74"/>
      <c r="F958" s="7"/>
      <c r="G958" s="74"/>
      <c r="H958" s="74"/>
      <c r="J958" s="7"/>
      <c r="K958" s="74"/>
      <c r="L958" s="74"/>
      <c r="N958" s="7"/>
      <c r="O958" s="74"/>
      <c r="P958" s="74"/>
      <c r="R958" s="7"/>
      <c r="S958" s="7"/>
      <c r="T958" s="66"/>
    </row>
    <row r="959" spans="1:20" ht="13.2">
      <c r="A959" s="7"/>
      <c r="B959" s="7"/>
      <c r="C959" s="74"/>
      <c r="D959" s="74"/>
      <c r="F959" s="7"/>
      <c r="G959" s="74"/>
      <c r="H959" s="74"/>
      <c r="J959" s="7"/>
      <c r="K959" s="74"/>
      <c r="L959" s="74"/>
      <c r="N959" s="7"/>
      <c r="O959" s="74"/>
      <c r="P959" s="74"/>
      <c r="R959" s="7"/>
      <c r="S959" s="7"/>
      <c r="T959" s="66"/>
    </row>
    <row r="960" spans="1:20" ht="13.2">
      <c r="A960" s="7"/>
      <c r="B960" s="7"/>
      <c r="C960" s="74"/>
      <c r="D960" s="74"/>
      <c r="F960" s="7"/>
      <c r="G960" s="74"/>
      <c r="H960" s="74"/>
      <c r="J960" s="7"/>
      <c r="K960" s="74"/>
      <c r="L960" s="74"/>
      <c r="N960" s="7"/>
      <c r="O960" s="74"/>
      <c r="P960" s="74"/>
      <c r="R960" s="7"/>
      <c r="S960" s="7"/>
      <c r="T960" s="66"/>
    </row>
    <row r="961" spans="1:20" ht="13.2">
      <c r="A961" s="7"/>
      <c r="B961" s="7"/>
      <c r="C961" s="74"/>
      <c r="D961" s="74"/>
      <c r="F961" s="7"/>
      <c r="G961" s="74"/>
      <c r="H961" s="74"/>
      <c r="J961" s="7"/>
      <c r="K961" s="74"/>
      <c r="L961" s="74"/>
      <c r="N961" s="7"/>
      <c r="O961" s="74"/>
      <c r="P961" s="74"/>
      <c r="R961" s="7"/>
      <c r="S961" s="7"/>
      <c r="T961" s="66"/>
    </row>
    <row r="962" spans="1:20" ht="13.2">
      <c r="A962" s="7"/>
      <c r="B962" s="7"/>
      <c r="C962" s="74"/>
      <c r="D962" s="74"/>
      <c r="F962" s="7"/>
      <c r="G962" s="74"/>
      <c r="H962" s="74"/>
      <c r="J962" s="7"/>
      <c r="K962" s="74"/>
      <c r="L962" s="74"/>
      <c r="N962" s="7"/>
      <c r="O962" s="74"/>
      <c r="P962" s="74"/>
      <c r="R962" s="7"/>
      <c r="S962" s="7"/>
      <c r="T962" s="66"/>
    </row>
    <row r="963" spans="1:20" ht="13.2">
      <c r="A963" s="7"/>
      <c r="B963" s="7"/>
      <c r="C963" s="74"/>
      <c r="D963" s="74"/>
      <c r="F963" s="7"/>
      <c r="G963" s="74"/>
      <c r="H963" s="74"/>
      <c r="J963" s="7"/>
      <c r="K963" s="74"/>
      <c r="L963" s="74"/>
      <c r="N963" s="7"/>
      <c r="O963" s="74"/>
      <c r="P963" s="74"/>
      <c r="R963" s="7"/>
      <c r="S963" s="7"/>
      <c r="T963" s="66"/>
    </row>
    <row r="964" spans="1:20" ht="13.2">
      <c r="A964" s="7"/>
      <c r="B964" s="7"/>
      <c r="C964" s="74"/>
      <c r="D964" s="74"/>
      <c r="F964" s="7"/>
      <c r="G964" s="74"/>
      <c r="H964" s="74"/>
      <c r="J964" s="7"/>
      <c r="K964" s="74"/>
      <c r="L964" s="74"/>
      <c r="N964" s="7"/>
      <c r="O964" s="74"/>
      <c r="P964" s="74"/>
      <c r="R964" s="7"/>
      <c r="S964" s="7"/>
      <c r="T964" s="66"/>
    </row>
    <row r="965" spans="1:20" ht="13.2">
      <c r="A965" s="7"/>
      <c r="B965" s="7"/>
      <c r="C965" s="74"/>
      <c r="D965" s="74"/>
      <c r="F965" s="7"/>
      <c r="G965" s="74"/>
      <c r="H965" s="74"/>
      <c r="J965" s="7"/>
      <c r="K965" s="74"/>
      <c r="L965" s="74"/>
      <c r="N965" s="7"/>
      <c r="O965" s="74"/>
      <c r="P965" s="74"/>
      <c r="R965" s="7"/>
      <c r="S965" s="7"/>
      <c r="T965" s="66"/>
    </row>
    <row r="966" spans="1:20" ht="13.2">
      <c r="A966" s="7"/>
      <c r="B966" s="7"/>
      <c r="C966" s="74"/>
      <c r="D966" s="74"/>
      <c r="F966" s="7"/>
      <c r="G966" s="74"/>
      <c r="H966" s="74"/>
      <c r="J966" s="7"/>
      <c r="K966" s="74"/>
      <c r="L966" s="74"/>
      <c r="N966" s="7"/>
      <c r="O966" s="74"/>
      <c r="P966" s="74"/>
      <c r="R966" s="7"/>
      <c r="S966" s="7"/>
      <c r="T966" s="66"/>
    </row>
    <row r="967" spans="1:20" ht="13.2">
      <c r="A967" s="7"/>
      <c r="B967" s="7"/>
      <c r="C967" s="74"/>
      <c r="D967" s="74"/>
      <c r="F967" s="7"/>
      <c r="G967" s="74"/>
      <c r="H967" s="74"/>
      <c r="J967" s="7"/>
      <c r="K967" s="74"/>
      <c r="L967" s="74"/>
      <c r="N967" s="7"/>
      <c r="O967" s="74"/>
      <c r="P967" s="74"/>
      <c r="R967" s="7"/>
      <c r="S967" s="7"/>
      <c r="T967" s="66"/>
    </row>
    <row r="968" spans="1:20" ht="13.2">
      <c r="A968" s="7"/>
      <c r="B968" s="7"/>
      <c r="C968" s="74"/>
      <c r="D968" s="74"/>
      <c r="F968" s="7"/>
      <c r="G968" s="74"/>
      <c r="H968" s="74"/>
      <c r="J968" s="7"/>
      <c r="K968" s="74"/>
      <c r="L968" s="74"/>
      <c r="N968" s="7"/>
      <c r="O968" s="74"/>
      <c r="P968" s="74"/>
      <c r="R968" s="7"/>
      <c r="S968" s="7"/>
      <c r="T968" s="66"/>
    </row>
    <row r="969" spans="1:20" ht="13.2">
      <c r="A969" s="7"/>
      <c r="B969" s="7"/>
      <c r="C969" s="74"/>
      <c r="D969" s="74"/>
      <c r="F969" s="7"/>
      <c r="G969" s="74"/>
      <c r="H969" s="74"/>
      <c r="J969" s="7"/>
      <c r="K969" s="74"/>
      <c r="L969" s="74"/>
      <c r="N969" s="7"/>
      <c r="O969" s="74"/>
      <c r="P969" s="74"/>
      <c r="R969" s="7"/>
      <c r="S969" s="7"/>
      <c r="T969" s="66"/>
    </row>
    <row r="970" spans="1:20" ht="13.2">
      <c r="A970" s="7"/>
      <c r="B970" s="7"/>
      <c r="C970" s="74"/>
      <c r="D970" s="74"/>
      <c r="F970" s="7"/>
      <c r="G970" s="74"/>
      <c r="H970" s="74"/>
      <c r="J970" s="7"/>
      <c r="K970" s="74"/>
      <c r="L970" s="74"/>
      <c r="N970" s="7"/>
      <c r="O970" s="74"/>
      <c r="P970" s="74"/>
      <c r="R970" s="7"/>
      <c r="S970" s="7"/>
      <c r="T970" s="66"/>
    </row>
    <row r="971" spans="1:20" ht="13.2">
      <c r="A971" s="7"/>
      <c r="B971" s="7"/>
      <c r="C971" s="74"/>
      <c r="D971" s="74"/>
      <c r="F971" s="7"/>
      <c r="G971" s="74"/>
      <c r="H971" s="74"/>
      <c r="J971" s="7"/>
      <c r="K971" s="74"/>
      <c r="L971" s="74"/>
      <c r="N971" s="7"/>
      <c r="O971" s="74"/>
      <c r="P971" s="74"/>
      <c r="R971" s="7"/>
      <c r="S971" s="7"/>
      <c r="T971" s="66"/>
    </row>
    <row r="972" spans="1:20" ht="13.2">
      <c r="A972" s="7"/>
      <c r="B972" s="7"/>
      <c r="C972" s="74"/>
      <c r="D972" s="74"/>
      <c r="F972" s="7"/>
      <c r="G972" s="74"/>
      <c r="H972" s="74"/>
      <c r="J972" s="7"/>
      <c r="K972" s="74"/>
      <c r="L972" s="74"/>
      <c r="N972" s="7"/>
      <c r="O972" s="74"/>
      <c r="P972" s="74"/>
      <c r="R972" s="7"/>
      <c r="S972" s="7"/>
      <c r="T972" s="66"/>
    </row>
    <row r="973" spans="1:20" ht="13.2">
      <c r="A973" s="7"/>
      <c r="B973" s="7"/>
      <c r="C973" s="74"/>
      <c r="D973" s="74"/>
      <c r="F973" s="7"/>
      <c r="G973" s="74"/>
      <c r="H973" s="74"/>
      <c r="J973" s="7"/>
      <c r="K973" s="74"/>
      <c r="L973" s="74"/>
      <c r="N973" s="7"/>
      <c r="O973" s="74"/>
      <c r="P973" s="74"/>
      <c r="R973" s="7"/>
      <c r="S973" s="7"/>
      <c r="T973" s="66"/>
    </row>
    <row r="974" spans="1:20" ht="13.2">
      <c r="A974" s="7"/>
      <c r="B974" s="7"/>
      <c r="C974" s="74"/>
      <c r="D974" s="74"/>
      <c r="F974" s="7"/>
      <c r="G974" s="74"/>
      <c r="H974" s="74"/>
      <c r="J974" s="7"/>
      <c r="K974" s="74"/>
      <c r="L974" s="74"/>
      <c r="N974" s="7"/>
      <c r="O974" s="74"/>
      <c r="P974" s="74"/>
      <c r="R974" s="7"/>
      <c r="S974" s="7"/>
      <c r="T974" s="66"/>
    </row>
    <row r="975" spans="1:20" ht="13.2">
      <c r="A975" s="7"/>
      <c r="B975" s="7"/>
      <c r="C975" s="74"/>
      <c r="D975" s="74"/>
      <c r="F975" s="7"/>
      <c r="G975" s="74"/>
      <c r="H975" s="74"/>
      <c r="J975" s="7"/>
      <c r="K975" s="74"/>
      <c r="L975" s="74"/>
      <c r="N975" s="7"/>
      <c r="O975" s="74"/>
      <c r="P975" s="74"/>
      <c r="R975" s="7"/>
      <c r="S975" s="7"/>
      <c r="T975" s="66"/>
    </row>
    <row r="976" spans="1:20" ht="13.2">
      <c r="A976" s="7"/>
      <c r="B976" s="7"/>
      <c r="C976" s="74"/>
      <c r="D976" s="74"/>
      <c r="F976" s="7"/>
      <c r="G976" s="74"/>
      <c r="H976" s="74"/>
      <c r="J976" s="7"/>
      <c r="K976" s="74"/>
      <c r="L976" s="74"/>
      <c r="N976" s="7"/>
      <c r="O976" s="74"/>
      <c r="P976" s="74"/>
      <c r="R976" s="7"/>
      <c r="S976" s="7"/>
      <c r="T976" s="66"/>
    </row>
    <row r="977" spans="1:20" ht="13.2">
      <c r="A977" s="7"/>
      <c r="B977" s="7"/>
      <c r="C977" s="74"/>
      <c r="D977" s="74"/>
      <c r="F977" s="7"/>
      <c r="G977" s="74"/>
      <c r="H977" s="74"/>
      <c r="J977" s="7"/>
      <c r="K977" s="74"/>
      <c r="L977" s="74"/>
      <c r="N977" s="7"/>
      <c r="O977" s="74"/>
      <c r="P977" s="74"/>
      <c r="R977" s="7"/>
      <c r="S977" s="7"/>
      <c r="T977" s="66"/>
    </row>
    <row r="978" spans="1:20" ht="13.2">
      <c r="A978" s="7"/>
      <c r="B978" s="7"/>
      <c r="C978" s="74"/>
      <c r="D978" s="74"/>
      <c r="F978" s="7"/>
      <c r="G978" s="74"/>
      <c r="H978" s="74"/>
      <c r="J978" s="7"/>
      <c r="K978" s="74"/>
      <c r="L978" s="74"/>
      <c r="N978" s="7"/>
      <c r="O978" s="74"/>
      <c r="P978" s="74"/>
      <c r="R978" s="7"/>
      <c r="S978" s="7"/>
      <c r="T978" s="66"/>
    </row>
    <row r="979" spans="1:20" ht="13.2">
      <c r="A979" s="7"/>
      <c r="B979" s="7"/>
      <c r="C979" s="74"/>
      <c r="D979" s="74"/>
      <c r="F979" s="7"/>
      <c r="G979" s="74"/>
      <c r="H979" s="74"/>
      <c r="J979" s="7"/>
      <c r="K979" s="74"/>
      <c r="L979" s="74"/>
      <c r="N979" s="7"/>
      <c r="O979" s="74"/>
      <c r="P979" s="74"/>
      <c r="R979" s="7"/>
      <c r="S979" s="7"/>
      <c r="T979" s="66"/>
    </row>
    <row r="980" spans="1:20" ht="13.2">
      <c r="A980" s="7"/>
      <c r="B980" s="7"/>
      <c r="C980" s="74"/>
      <c r="D980" s="74"/>
      <c r="F980" s="7"/>
      <c r="G980" s="74"/>
      <c r="H980" s="74"/>
      <c r="J980" s="7"/>
      <c r="K980" s="74"/>
      <c r="L980" s="74"/>
      <c r="N980" s="7"/>
      <c r="O980" s="74"/>
      <c r="P980" s="74"/>
      <c r="R980" s="7"/>
      <c r="S980" s="7"/>
      <c r="T980" s="66"/>
    </row>
    <row r="981" spans="1:20" ht="13.2">
      <c r="A981" s="7"/>
      <c r="B981" s="7"/>
      <c r="C981" s="74"/>
      <c r="D981" s="74"/>
      <c r="F981" s="7"/>
      <c r="G981" s="74"/>
      <c r="H981" s="74"/>
      <c r="J981" s="7"/>
      <c r="K981" s="74"/>
      <c r="L981" s="74"/>
      <c r="N981" s="7"/>
      <c r="O981" s="74"/>
      <c r="P981" s="74"/>
      <c r="R981" s="7"/>
      <c r="S981" s="7"/>
      <c r="T981" s="66"/>
    </row>
    <row r="982" spans="1:20" ht="13.2">
      <c r="A982" s="7"/>
      <c r="B982" s="7"/>
      <c r="C982" s="74"/>
      <c r="D982" s="74"/>
      <c r="F982" s="7"/>
      <c r="G982" s="74"/>
      <c r="H982" s="74"/>
      <c r="J982" s="7"/>
      <c r="K982" s="74"/>
      <c r="L982" s="74"/>
      <c r="N982" s="7"/>
      <c r="O982" s="74"/>
      <c r="P982" s="74"/>
      <c r="R982" s="7"/>
      <c r="S982" s="7"/>
      <c r="T982" s="66"/>
    </row>
    <row r="983" spans="1:20" ht="13.2">
      <c r="A983" s="7"/>
      <c r="B983" s="7"/>
      <c r="C983" s="74"/>
      <c r="D983" s="74"/>
      <c r="F983" s="7"/>
      <c r="G983" s="74"/>
      <c r="H983" s="74"/>
      <c r="J983" s="7"/>
      <c r="K983" s="74"/>
      <c r="L983" s="74"/>
      <c r="N983" s="7"/>
      <c r="O983" s="74"/>
      <c r="P983" s="74"/>
      <c r="R983" s="7"/>
      <c r="S983" s="7"/>
      <c r="T983" s="66"/>
    </row>
    <row r="984" spans="1:20" ht="13.2">
      <c r="A984" s="7"/>
      <c r="B984" s="7"/>
      <c r="C984" s="74"/>
      <c r="D984" s="74"/>
      <c r="F984" s="7"/>
      <c r="G984" s="74"/>
      <c r="H984" s="74"/>
      <c r="J984" s="7"/>
      <c r="K984" s="74"/>
      <c r="L984" s="74"/>
      <c r="N984" s="7"/>
      <c r="O984" s="74"/>
      <c r="P984" s="74"/>
      <c r="R984" s="7"/>
      <c r="S984" s="7"/>
      <c r="T984" s="66"/>
    </row>
    <row r="985" spans="1:20" ht="13.2">
      <c r="A985" s="7"/>
      <c r="B985" s="7"/>
      <c r="C985" s="74"/>
      <c r="D985" s="74"/>
      <c r="F985" s="7"/>
      <c r="G985" s="74"/>
      <c r="H985" s="74"/>
      <c r="J985" s="7"/>
      <c r="K985" s="74"/>
      <c r="L985" s="74"/>
      <c r="N985" s="7"/>
      <c r="O985" s="74"/>
      <c r="P985" s="74"/>
      <c r="R985" s="7"/>
      <c r="S985" s="7"/>
      <c r="T985" s="66"/>
    </row>
    <row r="986" spans="1:20" ht="13.2">
      <c r="A986" s="7"/>
      <c r="B986" s="7"/>
      <c r="C986" s="74"/>
      <c r="D986" s="74"/>
      <c r="F986" s="7"/>
      <c r="G986" s="74"/>
      <c r="H986" s="74"/>
      <c r="J986" s="7"/>
      <c r="K986" s="74"/>
      <c r="L986" s="74"/>
      <c r="N986" s="7"/>
      <c r="O986" s="74"/>
      <c r="P986" s="74"/>
      <c r="R986" s="7"/>
      <c r="S986" s="7"/>
      <c r="T986" s="66"/>
    </row>
    <row r="987" spans="1:20" ht="13.2">
      <c r="A987" s="7"/>
      <c r="B987" s="7"/>
      <c r="C987" s="74"/>
      <c r="D987" s="74"/>
      <c r="F987" s="7"/>
      <c r="G987" s="74"/>
      <c r="H987" s="74"/>
      <c r="J987" s="7"/>
      <c r="K987" s="74"/>
      <c r="L987" s="74"/>
      <c r="N987" s="7"/>
      <c r="O987" s="74"/>
      <c r="P987" s="74"/>
      <c r="R987" s="7"/>
      <c r="S987" s="7"/>
      <c r="T987" s="66"/>
    </row>
    <row r="988" spans="1:20" ht="13.2">
      <c r="A988" s="7"/>
      <c r="B988" s="7"/>
      <c r="C988" s="74"/>
      <c r="D988" s="74"/>
      <c r="F988" s="7"/>
      <c r="G988" s="74"/>
      <c r="H988" s="74"/>
      <c r="J988" s="7"/>
      <c r="K988" s="74"/>
      <c r="L988" s="74"/>
      <c r="N988" s="7"/>
      <c r="O988" s="74"/>
      <c r="P988" s="74"/>
      <c r="R988" s="7"/>
      <c r="S988" s="7"/>
      <c r="T988" s="66"/>
    </row>
    <row r="989" spans="1:20" ht="13.2">
      <c r="A989" s="7"/>
      <c r="B989" s="7"/>
      <c r="C989" s="74"/>
      <c r="D989" s="74"/>
      <c r="F989" s="7"/>
      <c r="G989" s="74"/>
      <c r="H989" s="74"/>
      <c r="J989" s="7"/>
      <c r="K989" s="74"/>
      <c r="L989" s="74"/>
      <c r="N989" s="7"/>
      <c r="O989" s="74"/>
      <c r="P989" s="74"/>
      <c r="R989" s="7"/>
      <c r="S989" s="7"/>
      <c r="T989" s="66"/>
    </row>
    <row r="990" spans="1:20" ht="13.2">
      <c r="A990" s="7"/>
      <c r="B990" s="7"/>
      <c r="C990" s="74"/>
      <c r="D990" s="74"/>
      <c r="F990" s="7"/>
      <c r="G990" s="74"/>
      <c r="H990" s="74"/>
      <c r="J990" s="7"/>
      <c r="K990" s="74"/>
      <c r="L990" s="74"/>
      <c r="N990" s="7"/>
      <c r="O990" s="74"/>
      <c r="P990" s="74"/>
      <c r="R990" s="7"/>
      <c r="S990" s="7"/>
      <c r="T990" s="66"/>
    </row>
    <row r="991" spans="1:20" ht="13.2">
      <c r="A991" s="7"/>
      <c r="B991" s="7"/>
      <c r="C991" s="74"/>
      <c r="D991" s="74"/>
      <c r="F991" s="7"/>
      <c r="G991" s="74"/>
      <c r="H991" s="74"/>
      <c r="J991" s="7"/>
      <c r="K991" s="74"/>
      <c r="L991" s="74"/>
      <c r="N991" s="7"/>
      <c r="O991" s="74"/>
      <c r="P991" s="74"/>
      <c r="R991" s="7"/>
      <c r="S991" s="7"/>
      <c r="T991" s="66"/>
    </row>
    <row r="992" spans="1:20" ht="13.2">
      <c r="A992" s="7"/>
      <c r="B992" s="7"/>
      <c r="C992" s="74"/>
      <c r="D992" s="74"/>
      <c r="F992" s="7"/>
      <c r="G992" s="74"/>
      <c r="H992" s="74"/>
      <c r="J992" s="7"/>
      <c r="K992" s="74"/>
      <c r="L992" s="74"/>
      <c r="N992" s="7"/>
      <c r="O992" s="74"/>
      <c r="P992" s="74"/>
      <c r="R992" s="7"/>
      <c r="S992" s="7"/>
      <c r="T992" s="66"/>
    </row>
    <row r="993" spans="1:20" ht="13.2">
      <c r="A993" s="7"/>
      <c r="B993" s="7"/>
      <c r="C993" s="74"/>
      <c r="D993" s="74"/>
      <c r="F993" s="7"/>
      <c r="G993" s="74"/>
      <c r="H993" s="74"/>
      <c r="J993" s="7"/>
      <c r="K993" s="74"/>
      <c r="L993" s="74"/>
      <c r="N993" s="7"/>
      <c r="O993" s="74"/>
      <c r="P993" s="74"/>
      <c r="R993" s="7"/>
      <c r="S993" s="7"/>
      <c r="T993" s="66"/>
    </row>
    <row r="994" spans="1:20" ht="13.2">
      <c r="A994" s="7"/>
      <c r="B994" s="7"/>
      <c r="C994" s="74"/>
      <c r="D994" s="74"/>
      <c r="F994" s="7"/>
      <c r="G994" s="74"/>
      <c r="H994" s="74"/>
      <c r="J994" s="7"/>
      <c r="K994" s="74"/>
      <c r="L994" s="74"/>
      <c r="N994" s="7"/>
      <c r="O994" s="74"/>
      <c r="P994" s="74"/>
      <c r="R994" s="7"/>
      <c r="S994" s="7"/>
      <c r="T994" s="66"/>
    </row>
    <row r="995" spans="1:20" ht="13.2">
      <c r="A995" s="7"/>
      <c r="B995" s="7"/>
      <c r="C995" s="74"/>
      <c r="D995" s="74"/>
      <c r="F995" s="7"/>
      <c r="G995" s="74"/>
      <c r="H995" s="74"/>
      <c r="J995" s="7"/>
      <c r="K995" s="74"/>
      <c r="L995" s="74"/>
      <c r="N995" s="7"/>
      <c r="O995" s="74"/>
      <c r="P995" s="74"/>
      <c r="R995" s="7"/>
      <c r="S995" s="7"/>
      <c r="T995" s="66"/>
    </row>
    <row r="996" spans="1:20" ht="13.2">
      <c r="A996" s="7"/>
      <c r="B996" s="7"/>
      <c r="C996" s="74"/>
      <c r="D996" s="74"/>
      <c r="F996" s="7"/>
      <c r="G996" s="74"/>
      <c r="H996" s="74"/>
      <c r="J996" s="7"/>
      <c r="K996" s="74"/>
      <c r="L996" s="74"/>
      <c r="N996" s="7"/>
      <c r="O996" s="74"/>
      <c r="P996" s="74"/>
      <c r="R996" s="7"/>
      <c r="S996" s="7"/>
      <c r="T996" s="66"/>
    </row>
    <row r="997" spans="1:20" ht="13.2">
      <c r="A997" s="7"/>
      <c r="B997" s="7"/>
      <c r="C997" s="74"/>
      <c r="D997" s="74"/>
      <c r="F997" s="7"/>
      <c r="G997" s="74"/>
      <c r="H997" s="74"/>
      <c r="J997" s="7"/>
      <c r="K997" s="74"/>
      <c r="L997" s="74"/>
      <c r="N997" s="7"/>
      <c r="O997" s="74"/>
      <c r="P997" s="74"/>
      <c r="R997" s="7"/>
      <c r="S997" s="7"/>
      <c r="T997" s="66"/>
    </row>
    <row r="998" spans="1:20" ht="13.2">
      <c r="A998" s="7"/>
      <c r="B998" s="7"/>
      <c r="C998" s="74"/>
      <c r="D998" s="74"/>
      <c r="F998" s="7"/>
      <c r="G998" s="74"/>
      <c r="H998" s="74"/>
      <c r="J998" s="7"/>
      <c r="K998" s="74"/>
      <c r="L998" s="74"/>
      <c r="N998" s="7"/>
      <c r="O998" s="74"/>
      <c r="P998" s="74"/>
      <c r="R998" s="7"/>
      <c r="S998" s="7"/>
      <c r="T998" s="66"/>
    </row>
    <row r="999" spans="1:20" ht="13.2">
      <c r="A999" s="7"/>
      <c r="B999" s="7"/>
      <c r="C999" s="74"/>
      <c r="D999" s="74"/>
      <c r="F999" s="7"/>
      <c r="G999" s="74"/>
      <c r="H999" s="74"/>
      <c r="J999" s="7"/>
      <c r="K999" s="74"/>
      <c r="L999" s="74"/>
      <c r="N999" s="7"/>
      <c r="O999" s="74"/>
      <c r="P999" s="74"/>
      <c r="R999" s="7"/>
      <c r="S999" s="7"/>
      <c r="T999" s="66"/>
    </row>
    <row r="1000" spans="1:20" ht="13.2">
      <c r="A1000" s="7"/>
      <c r="B1000" s="7"/>
      <c r="C1000" s="74"/>
      <c r="D1000" s="74"/>
      <c r="F1000" s="7"/>
      <c r="G1000" s="74"/>
      <c r="H1000" s="74"/>
      <c r="J1000" s="7"/>
      <c r="K1000" s="74"/>
      <c r="L1000" s="74"/>
      <c r="N1000" s="7"/>
      <c r="O1000" s="74"/>
      <c r="P1000" s="74"/>
      <c r="R1000" s="7"/>
      <c r="S1000" s="7"/>
      <c r="T1000" s="66"/>
    </row>
    <row r="1001" spans="1:20" ht="13.2">
      <c r="A1001" s="7"/>
      <c r="B1001" s="7"/>
      <c r="C1001" s="74"/>
      <c r="D1001" s="74"/>
      <c r="F1001" s="7"/>
      <c r="G1001" s="74"/>
      <c r="H1001" s="74"/>
      <c r="J1001" s="7"/>
      <c r="K1001" s="74"/>
      <c r="L1001" s="74"/>
      <c r="N1001" s="7"/>
      <c r="O1001" s="74"/>
      <c r="P1001" s="74"/>
      <c r="R1001" s="7"/>
      <c r="S1001" s="7"/>
      <c r="T1001" s="66"/>
    </row>
    <row r="1002" spans="1:20" ht="13.2">
      <c r="A1002" s="7" t="s">
        <v>699</v>
      </c>
      <c r="B1002" s="7">
        <v>1</v>
      </c>
      <c r="C1002" s="74"/>
      <c r="D1002" s="74"/>
      <c r="F1002" s="7"/>
      <c r="G1002" s="74"/>
      <c r="H1002" s="74"/>
      <c r="J1002" s="7"/>
      <c r="K1002" s="74"/>
      <c r="L1002" s="74"/>
      <c r="N1002" s="7"/>
      <c r="O1002" s="74"/>
      <c r="P1002" s="74"/>
      <c r="R1002" s="7"/>
      <c r="S1002" s="7"/>
      <c r="T1002" s="66"/>
    </row>
    <row r="1003" spans="1:20" ht="13.2">
      <c r="A1003" s="7" t="s">
        <v>699</v>
      </c>
      <c r="B1003" s="7"/>
      <c r="C1003" s="74"/>
      <c r="D1003" s="74"/>
      <c r="F1003" s="7"/>
      <c r="G1003" s="74"/>
      <c r="H1003" s="74"/>
      <c r="J1003" s="7"/>
      <c r="K1003" s="74"/>
      <c r="L1003" s="74"/>
      <c r="N1003" s="7"/>
      <c r="O1003" s="74"/>
      <c r="P1003" s="74"/>
      <c r="R1003" s="7"/>
      <c r="S1003" s="7"/>
      <c r="T1003" s="66"/>
    </row>
    <row r="1004" spans="1:20" ht="13.2">
      <c r="A1004" s="7" t="s">
        <v>699</v>
      </c>
      <c r="B1004" s="7">
        <v>1</v>
      </c>
      <c r="C1004" s="74"/>
      <c r="D1004" s="74"/>
      <c r="F1004" s="7"/>
      <c r="G1004" s="74"/>
      <c r="H1004" s="74"/>
      <c r="J1004" s="7"/>
      <c r="K1004" s="74"/>
      <c r="L1004" s="74"/>
      <c r="N1004" s="7"/>
      <c r="O1004" s="74"/>
      <c r="P1004" s="74"/>
      <c r="R1004" s="7"/>
      <c r="S1004" s="7"/>
      <c r="T1004" s="66"/>
    </row>
    <row r="1005" spans="1:20" ht="13.2">
      <c r="A1005" s="7" t="s">
        <v>699</v>
      </c>
      <c r="B1005" s="7">
        <v>1</v>
      </c>
      <c r="C1005" s="74"/>
      <c r="D1005" s="74"/>
      <c r="F1005" s="7"/>
      <c r="G1005" s="74"/>
      <c r="H1005" s="74"/>
      <c r="J1005" s="7"/>
      <c r="K1005" s="74"/>
      <c r="L1005" s="74"/>
      <c r="N1005" s="7"/>
      <c r="O1005" s="74"/>
      <c r="P1005" s="74"/>
      <c r="R1005" s="7"/>
      <c r="S1005" s="7"/>
      <c r="T1005" s="66"/>
    </row>
    <row r="1006" spans="1:20" ht="13.2">
      <c r="A1006" s="7"/>
      <c r="B1006" s="7"/>
      <c r="C1006" s="74"/>
      <c r="D1006" s="74"/>
      <c r="F1006" s="7"/>
      <c r="G1006" s="74"/>
      <c r="H1006" s="74"/>
      <c r="J1006" s="7"/>
      <c r="K1006" s="74"/>
      <c r="L1006" s="74"/>
      <c r="N1006" s="7"/>
      <c r="O1006" s="74"/>
      <c r="P1006" s="74"/>
      <c r="R1006" s="7"/>
      <c r="S1006" s="7"/>
      <c r="T1006" s="66"/>
    </row>
    <row r="1007" spans="1:20" ht="13.2">
      <c r="A1007" s="7" t="s">
        <v>707</v>
      </c>
      <c r="B1007" s="7"/>
      <c r="C1007" s="74"/>
      <c r="D1007" s="74"/>
      <c r="F1007" s="7"/>
      <c r="G1007" s="74"/>
      <c r="H1007" s="74"/>
      <c r="J1007" s="7"/>
      <c r="K1007" s="74"/>
      <c r="L1007" s="74"/>
      <c r="N1007" s="7"/>
      <c r="O1007" s="74"/>
      <c r="P1007" s="74"/>
      <c r="R1007" s="7"/>
      <c r="S1007" s="7"/>
      <c r="T1007" s="66"/>
    </row>
    <row r="1008" spans="1:20" ht="13.2">
      <c r="A1008" s="7"/>
      <c r="B1008" s="7"/>
      <c r="C1008" s="74"/>
      <c r="D1008" s="74"/>
      <c r="F1008" s="7"/>
      <c r="G1008" s="74"/>
      <c r="H1008" s="74"/>
      <c r="J1008" s="7"/>
      <c r="K1008" s="74"/>
      <c r="L1008" s="74"/>
      <c r="N1008" s="7"/>
      <c r="O1008" s="74"/>
      <c r="P1008" s="74"/>
      <c r="R1008" s="7"/>
      <c r="S1008" s="7"/>
      <c r="T1008" s="66"/>
    </row>
    <row r="1009" spans="1:20" ht="13.2">
      <c r="A1009" s="7" t="e">
        <v>#N/A</v>
      </c>
      <c r="B1009" s="7">
        <v>1</v>
      </c>
      <c r="C1009" s="74"/>
      <c r="D1009" s="74"/>
      <c r="F1009" s="7"/>
      <c r="G1009" s="74"/>
      <c r="H1009" s="74"/>
      <c r="J1009" s="7"/>
      <c r="K1009" s="74"/>
      <c r="L1009" s="74"/>
      <c r="N1009" s="7"/>
      <c r="O1009" s="74"/>
      <c r="P1009" s="74"/>
      <c r="R1009" s="7"/>
      <c r="S1009" s="7"/>
      <c r="T1009" s="66"/>
    </row>
    <row r="1010" spans="1:20" ht="13.2">
      <c r="A1010" s="7"/>
      <c r="B1010" s="7"/>
      <c r="C1010" s="74"/>
      <c r="D1010" s="74"/>
      <c r="F1010" s="7"/>
      <c r="G1010" s="74"/>
      <c r="H1010" s="74"/>
      <c r="J1010" s="7"/>
      <c r="K1010" s="74"/>
      <c r="L1010" s="74"/>
      <c r="N1010" s="7"/>
      <c r="O1010" s="74"/>
      <c r="P1010" s="74"/>
      <c r="R1010" s="7"/>
      <c r="S1010" s="7"/>
      <c r="T1010" s="66"/>
    </row>
    <row r="1011" spans="1:20" ht="13.2">
      <c r="A1011" s="7" t="s">
        <v>704</v>
      </c>
      <c r="B1011" s="7"/>
      <c r="C1011" s="74"/>
      <c r="D1011" s="74"/>
      <c r="F1011" s="7"/>
      <c r="G1011" s="74"/>
      <c r="H1011" s="74"/>
      <c r="J1011" s="7"/>
      <c r="K1011" s="74"/>
      <c r="L1011" s="74"/>
      <c r="N1011" s="7"/>
      <c r="O1011" s="74"/>
      <c r="P1011" s="74"/>
      <c r="R1011" s="7"/>
      <c r="S1011" s="7"/>
      <c r="T1011" s="66"/>
    </row>
    <row r="1012" spans="1:20" ht="13.2">
      <c r="A1012" s="7"/>
      <c r="B1012" s="7"/>
      <c r="C1012" s="74"/>
      <c r="D1012" s="74"/>
      <c r="F1012" s="7"/>
      <c r="G1012" s="74"/>
      <c r="H1012" s="74"/>
      <c r="J1012" s="7"/>
      <c r="K1012" s="74"/>
      <c r="L1012" s="74"/>
      <c r="N1012" s="7"/>
      <c r="O1012" s="74"/>
      <c r="P1012" s="74"/>
      <c r="R1012" s="7"/>
      <c r="S1012" s="7"/>
      <c r="T1012" s="66"/>
    </row>
    <row r="1013" spans="1:20" ht="13.2">
      <c r="A1013" s="7" t="s">
        <v>705</v>
      </c>
      <c r="B1013" s="7"/>
      <c r="C1013" s="74"/>
      <c r="D1013" s="74"/>
      <c r="F1013" s="7"/>
      <c r="G1013" s="74"/>
      <c r="H1013" s="74"/>
      <c r="J1013" s="7"/>
      <c r="K1013" s="74"/>
      <c r="L1013" s="74"/>
      <c r="N1013" s="7"/>
      <c r="O1013" s="74"/>
      <c r="P1013" s="74"/>
      <c r="R1013" s="7"/>
      <c r="S1013" s="7"/>
      <c r="T1013" s="66"/>
    </row>
    <row r="1014" spans="1:20" ht="13.2">
      <c r="A1014" s="7"/>
      <c r="B1014" s="7"/>
      <c r="C1014" s="74"/>
      <c r="D1014" s="74"/>
      <c r="F1014" s="7"/>
      <c r="G1014" s="74"/>
      <c r="H1014" s="74"/>
      <c r="J1014" s="7"/>
      <c r="K1014" s="74"/>
      <c r="L1014" s="74"/>
      <c r="N1014" s="7"/>
      <c r="O1014" s="74"/>
      <c r="P1014" s="74"/>
      <c r="R1014" s="7"/>
      <c r="S1014" s="7"/>
      <c r="T1014" s="66"/>
    </row>
    <row r="1015" spans="1:20" ht="13.2">
      <c r="A1015" s="7" t="s">
        <v>705</v>
      </c>
      <c r="B1015" s="7"/>
      <c r="C1015" s="74"/>
      <c r="D1015" s="74"/>
      <c r="F1015" s="7"/>
      <c r="G1015" s="74"/>
      <c r="H1015" s="74"/>
      <c r="J1015" s="7"/>
      <c r="K1015" s="74"/>
      <c r="L1015" s="74"/>
      <c r="N1015" s="7"/>
      <c r="O1015" s="74"/>
      <c r="P1015" s="74"/>
      <c r="R1015" s="7"/>
      <c r="S1015" s="7"/>
      <c r="T1015" s="66"/>
    </row>
    <row r="1016" spans="1:20" ht="13.2">
      <c r="A1016" s="7"/>
      <c r="B1016" s="7"/>
      <c r="C1016" s="74"/>
      <c r="D1016" s="74"/>
      <c r="F1016" s="7"/>
      <c r="G1016" s="74"/>
      <c r="H1016" s="74"/>
      <c r="J1016" s="7"/>
      <c r="K1016" s="74"/>
      <c r="L1016" s="74"/>
      <c r="N1016" s="7"/>
      <c r="O1016" s="74"/>
      <c r="P1016" s="74"/>
      <c r="R1016" s="7"/>
      <c r="S1016" s="7"/>
      <c r="T1016" s="66"/>
    </row>
    <row r="1017" spans="1:20" ht="13.2">
      <c r="A1017" s="7" t="s">
        <v>707</v>
      </c>
      <c r="B1017" s="7"/>
      <c r="C1017" s="74"/>
      <c r="D1017" s="74"/>
      <c r="F1017" s="7"/>
      <c r="G1017" s="74"/>
      <c r="H1017" s="74"/>
      <c r="J1017" s="7"/>
      <c r="K1017" s="74"/>
      <c r="L1017" s="74"/>
      <c r="N1017" s="7"/>
      <c r="O1017" s="74"/>
      <c r="P1017" s="74"/>
      <c r="R1017" s="7"/>
      <c r="S1017" s="7"/>
      <c r="T1017" s="66"/>
    </row>
    <row r="1018" spans="1:20" ht="13.2">
      <c r="A1018" s="7"/>
      <c r="B1018" s="7"/>
      <c r="C1018" s="74"/>
      <c r="D1018" s="74"/>
      <c r="F1018" s="7"/>
      <c r="G1018" s="74"/>
      <c r="H1018" s="74"/>
      <c r="J1018" s="7"/>
      <c r="K1018" s="74"/>
      <c r="L1018" s="74"/>
      <c r="N1018" s="7"/>
      <c r="O1018" s="74"/>
      <c r="P1018" s="74"/>
      <c r="R1018" s="7"/>
      <c r="S1018" s="7"/>
      <c r="T1018" s="66"/>
    </row>
    <row r="1019" spans="1:20" ht="13.2">
      <c r="A1019" s="7" t="e">
        <v>#N/A</v>
      </c>
      <c r="B1019" s="7"/>
      <c r="C1019" s="74"/>
      <c r="D1019" s="74"/>
      <c r="F1019" s="7"/>
      <c r="G1019" s="74"/>
      <c r="H1019" s="74"/>
      <c r="J1019" s="7"/>
      <c r="K1019" s="74"/>
      <c r="L1019" s="74"/>
      <c r="N1019" s="7"/>
      <c r="O1019" s="74"/>
      <c r="P1019" s="74"/>
      <c r="R1019" s="7"/>
      <c r="S1019" s="7"/>
      <c r="T1019" s="66"/>
    </row>
    <row r="1020" spans="1:20" ht="13.2">
      <c r="A1020" s="7" t="s">
        <v>710</v>
      </c>
      <c r="B1020" s="7"/>
      <c r="C1020" s="74"/>
      <c r="D1020" s="74"/>
      <c r="F1020" s="7"/>
      <c r="G1020" s="74"/>
      <c r="H1020" s="74"/>
      <c r="J1020" s="7"/>
      <c r="K1020" s="74"/>
      <c r="L1020" s="74"/>
      <c r="N1020" s="7"/>
      <c r="O1020" s="74"/>
      <c r="P1020" s="74"/>
      <c r="R1020" s="7"/>
      <c r="S1020" s="7"/>
      <c r="T1020" s="66"/>
    </row>
    <row r="1021" spans="1:20" ht="13.2">
      <c r="A1021" s="7" t="s">
        <v>707</v>
      </c>
      <c r="B1021" s="7"/>
      <c r="C1021" s="74"/>
      <c r="D1021" s="74"/>
      <c r="F1021" s="7"/>
      <c r="G1021" s="74"/>
      <c r="H1021" s="74"/>
      <c r="J1021" s="7"/>
      <c r="K1021" s="74"/>
      <c r="L1021" s="74"/>
      <c r="N1021" s="7"/>
      <c r="O1021" s="74"/>
      <c r="P1021" s="74"/>
      <c r="R1021" s="7"/>
      <c r="S1021" s="7"/>
      <c r="T1021" s="66"/>
    </row>
    <row r="1022" spans="1:20" ht="13.2">
      <c r="A1022" s="7" t="s">
        <v>706</v>
      </c>
      <c r="B1022" s="7"/>
      <c r="C1022" s="74"/>
      <c r="D1022" s="74"/>
      <c r="F1022" s="7"/>
      <c r="G1022" s="74"/>
      <c r="H1022" s="74"/>
      <c r="J1022" s="7"/>
      <c r="K1022" s="74"/>
      <c r="L1022" s="74"/>
      <c r="N1022" s="7"/>
      <c r="O1022" s="74"/>
      <c r="P1022" s="74"/>
      <c r="R1022" s="7"/>
      <c r="S1022" s="7"/>
      <c r="T1022" s="66"/>
    </row>
    <row r="1023" spans="1:20" ht="13.2">
      <c r="A1023" s="7" t="s">
        <v>713</v>
      </c>
      <c r="B1023" s="7"/>
      <c r="C1023" s="74"/>
      <c r="D1023" s="74"/>
      <c r="F1023" s="7"/>
      <c r="G1023" s="74"/>
      <c r="H1023" s="74"/>
      <c r="J1023" s="7"/>
      <c r="K1023" s="74"/>
      <c r="L1023" s="74"/>
      <c r="N1023" s="7"/>
      <c r="O1023" s="74"/>
      <c r="P1023" s="74"/>
      <c r="R1023" s="7"/>
      <c r="S1023" s="7"/>
      <c r="T1023" s="66"/>
    </row>
    <row r="1024" spans="1:20" ht="13.2">
      <c r="A1024" s="7" t="s">
        <v>707</v>
      </c>
      <c r="B1024" s="7"/>
      <c r="C1024" s="74"/>
      <c r="D1024" s="74"/>
      <c r="F1024" s="7"/>
      <c r="G1024" s="74"/>
      <c r="H1024" s="74"/>
      <c r="J1024" s="7"/>
      <c r="K1024" s="74"/>
      <c r="L1024" s="74"/>
      <c r="N1024" s="7"/>
      <c r="O1024" s="74"/>
      <c r="P1024" s="74"/>
      <c r="R1024" s="7"/>
      <c r="S1024" s="7"/>
      <c r="T1024" s="66"/>
    </row>
    <row r="1025" spans="1:20" ht="13.2">
      <c r="A1025" s="7" t="s">
        <v>713</v>
      </c>
      <c r="B1025" s="7"/>
      <c r="C1025" s="74"/>
      <c r="D1025" s="74"/>
      <c r="F1025" s="7"/>
      <c r="G1025" s="74"/>
      <c r="H1025" s="74"/>
      <c r="J1025" s="7"/>
      <c r="K1025" s="74"/>
      <c r="L1025" s="74"/>
      <c r="N1025" s="7"/>
      <c r="O1025" s="74"/>
      <c r="P1025" s="74"/>
      <c r="R1025" s="7"/>
      <c r="S1025" s="7"/>
      <c r="T1025" s="66"/>
    </row>
    <row r="1026" spans="1:20" ht="13.2">
      <c r="A1026" s="7" t="s">
        <v>711</v>
      </c>
      <c r="B1026" s="7"/>
      <c r="C1026" s="74"/>
      <c r="D1026" s="74"/>
      <c r="F1026" s="7"/>
      <c r="G1026" s="74"/>
      <c r="H1026" s="74"/>
      <c r="J1026" s="7"/>
      <c r="K1026" s="74"/>
      <c r="L1026" s="74"/>
      <c r="N1026" s="7"/>
      <c r="O1026" s="74"/>
      <c r="P1026" s="74"/>
      <c r="R1026" s="7"/>
      <c r="S1026" s="7"/>
      <c r="T1026" s="66"/>
    </row>
    <row r="1027" spans="1:20" ht="13.2">
      <c r="A1027" s="7" t="s">
        <v>706</v>
      </c>
      <c r="B1027" s="7"/>
      <c r="C1027" s="74"/>
      <c r="D1027" s="74"/>
      <c r="F1027" s="7"/>
      <c r="G1027" s="74"/>
      <c r="H1027" s="74"/>
      <c r="J1027" s="7"/>
      <c r="K1027" s="74"/>
      <c r="L1027" s="74"/>
      <c r="N1027" s="7"/>
      <c r="O1027" s="74"/>
      <c r="P1027" s="74"/>
      <c r="R1027" s="7"/>
      <c r="S1027" s="7"/>
      <c r="T1027" s="66"/>
    </row>
    <row r="1028" spans="1:20" ht="13.2">
      <c r="A1028" s="7" t="s">
        <v>705</v>
      </c>
      <c r="B1028" s="7"/>
      <c r="C1028" s="74"/>
      <c r="D1028" s="74"/>
      <c r="F1028" s="7"/>
      <c r="G1028" s="74"/>
      <c r="H1028" s="74"/>
      <c r="J1028" s="7"/>
      <c r="K1028" s="74"/>
      <c r="L1028" s="74"/>
      <c r="N1028" s="7"/>
      <c r="O1028" s="74"/>
      <c r="P1028" s="74"/>
      <c r="R1028" s="7"/>
      <c r="S1028" s="7"/>
      <c r="T1028" s="66"/>
    </row>
    <row r="1029" spans="1:20" ht="13.2">
      <c r="A1029" s="7" t="s">
        <v>713</v>
      </c>
      <c r="B1029" s="7"/>
      <c r="C1029" s="74"/>
      <c r="D1029" s="74"/>
      <c r="F1029" s="7"/>
      <c r="G1029" s="74"/>
      <c r="H1029" s="74"/>
      <c r="J1029" s="7"/>
      <c r="K1029" s="74"/>
      <c r="L1029" s="74"/>
      <c r="N1029" s="7"/>
      <c r="O1029" s="74"/>
      <c r="P1029" s="74"/>
      <c r="R1029" s="7"/>
      <c r="S1029" s="7"/>
      <c r="T1029" s="66"/>
    </row>
    <row r="1030" spans="1:20" ht="13.2">
      <c r="A1030" s="7" t="s">
        <v>713</v>
      </c>
      <c r="B1030" s="7"/>
      <c r="C1030" s="74"/>
      <c r="D1030" s="74"/>
      <c r="F1030" s="7"/>
      <c r="G1030" s="74"/>
      <c r="H1030" s="74"/>
      <c r="J1030" s="7"/>
      <c r="K1030" s="74"/>
      <c r="L1030" s="74"/>
      <c r="N1030" s="7"/>
      <c r="O1030" s="74"/>
      <c r="P1030" s="74"/>
      <c r="R1030" s="7"/>
      <c r="S1030" s="7"/>
      <c r="T1030" s="66"/>
    </row>
    <row r="1031" spans="1:20" ht="13.2">
      <c r="A1031" s="7" t="s">
        <v>707</v>
      </c>
      <c r="B1031" s="7"/>
      <c r="C1031" s="74"/>
      <c r="D1031" s="74"/>
      <c r="F1031" s="7"/>
      <c r="G1031" s="74"/>
      <c r="H1031" s="74"/>
      <c r="J1031" s="7"/>
      <c r="K1031" s="74"/>
      <c r="L1031" s="74"/>
      <c r="N1031" s="7"/>
      <c r="O1031" s="74"/>
      <c r="P1031" s="74"/>
      <c r="R1031" s="7"/>
      <c r="S1031" s="7"/>
      <c r="T1031" s="66"/>
    </row>
    <row r="1032" spans="1:20" ht="13.2">
      <c r="A1032" s="7" t="s">
        <v>706</v>
      </c>
      <c r="B1032" s="7"/>
      <c r="C1032" s="74"/>
      <c r="D1032" s="74"/>
      <c r="F1032" s="7"/>
      <c r="G1032" s="74"/>
      <c r="H1032" s="74"/>
      <c r="J1032" s="7"/>
      <c r="K1032" s="74"/>
      <c r="L1032" s="74"/>
      <c r="N1032" s="7"/>
      <c r="O1032" s="74"/>
      <c r="P1032" s="74"/>
      <c r="R1032" s="7"/>
      <c r="S1032" s="7"/>
      <c r="T1032" s="66"/>
    </row>
    <row r="1033" spans="1:20" ht="13.2">
      <c r="A1033" s="7" t="s">
        <v>706</v>
      </c>
      <c r="B1033" s="7"/>
      <c r="C1033" s="74"/>
      <c r="D1033" s="74"/>
      <c r="F1033" s="7"/>
      <c r="G1033" s="74"/>
      <c r="H1033" s="74"/>
      <c r="J1033" s="7"/>
      <c r="K1033" s="74"/>
      <c r="L1033" s="74"/>
      <c r="N1033" s="7"/>
      <c r="O1033" s="74"/>
      <c r="P1033" s="74"/>
      <c r="R1033" s="7"/>
      <c r="S1033" s="7"/>
      <c r="T1033" s="66"/>
    </row>
    <row r="1034" spans="1:20" ht="13.2">
      <c r="A1034" s="7" t="s">
        <v>713</v>
      </c>
      <c r="B1034" s="7"/>
      <c r="C1034" s="74"/>
      <c r="D1034" s="74"/>
      <c r="F1034" s="7"/>
      <c r="G1034" s="74"/>
      <c r="H1034" s="74"/>
      <c r="J1034" s="7"/>
      <c r="K1034" s="74"/>
      <c r="L1034" s="74"/>
      <c r="N1034" s="7"/>
      <c r="O1034" s="74"/>
      <c r="P1034" s="74"/>
      <c r="R1034" s="7"/>
      <c r="S1034" s="7"/>
      <c r="T1034" s="66"/>
    </row>
    <row r="1035" spans="1:20" ht="13.2">
      <c r="A1035" s="7" t="s">
        <v>713</v>
      </c>
      <c r="B1035" s="7"/>
      <c r="C1035" s="74"/>
      <c r="D1035" s="74"/>
      <c r="F1035" s="7"/>
      <c r="G1035" s="74"/>
      <c r="H1035" s="74"/>
      <c r="J1035" s="7"/>
      <c r="K1035" s="74"/>
      <c r="L1035" s="74"/>
      <c r="N1035" s="7"/>
      <c r="O1035" s="74"/>
      <c r="P1035" s="74"/>
      <c r="R1035" s="7"/>
      <c r="S1035" s="7"/>
      <c r="T1035" s="66"/>
    </row>
    <row r="1036" spans="1:20" ht="13.2">
      <c r="A1036" s="7" t="s">
        <v>713</v>
      </c>
      <c r="B1036" s="7"/>
      <c r="C1036" s="74"/>
      <c r="D1036" s="74"/>
      <c r="F1036" s="7"/>
      <c r="G1036" s="74"/>
      <c r="H1036" s="74"/>
      <c r="J1036" s="7"/>
      <c r="K1036" s="74"/>
      <c r="L1036" s="74"/>
      <c r="N1036" s="7"/>
      <c r="O1036" s="74"/>
      <c r="P1036" s="74"/>
      <c r="R1036" s="7"/>
      <c r="S1036" s="7"/>
      <c r="T1036" s="66"/>
    </row>
    <row r="1037" spans="1:20" ht="13.2">
      <c r="A1037" s="7"/>
      <c r="B1037" s="7"/>
      <c r="C1037" s="74"/>
      <c r="D1037" s="74"/>
      <c r="F1037" s="7"/>
      <c r="G1037" s="74"/>
      <c r="H1037" s="74"/>
      <c r="J1037" s="7"/>
      <c r="K1037" s="74"/>
      <c r="L1037" s="74"/>
      <c r="N1037" s="7"/>
      <c r="O1037" s="74"/>
      <c r="P1037" s="74"/>
      <c r="R1037" s="7"/>
      <c r="S1037" s="7"/>
      <c r="T1037" s="66"/>
    </row>
    <row r="1038" spans="1:20" ht="13.2">
      <c r="A1038" s="7" t="s">
        <v>706</v>
      </c>
      <c r="B1038" s="7"/>
      <c r="C1038" s="74"/>
      <c r="D1038" s="74"/>
      <c r="F1038" s="7"/>
      <c r="G1038" s="74"/>
      <c r="H1038" s="74"/>
      <c r="J1038" s="7"/>
      <c r="K1038" s="74"/>
      <c r="L1038" s="74"/>
      <c r="N1038" s="7"/>
      <c r="O1038" s="74"/>
      <c r="P1038" s="74"/>
      <c r="R1038" s="7"/>
      <c r="S1038" s="7"/>
      <c r="T1038" s="66"/>
    </row>
    <row r="1039" spans="1:20" ht="13.2">
      <c r="A1039" s="7"/>
      <c r="B1039" s="7"/>
      <c r="C1039" s="74"/>
      <c r="D1039" s="74"/>
      <c r="F1039" s="7"/>
      <c r="G1039" s="74"/>
      <c r="H1039" s="74"/>
      <c r="J1039" s="7"/>
      <c r="K1039" s="74"/>
      <c r="L1039" s="74"/>
      <c r="N1039" s="7"/>
      <c r="O1039" s="74"/>
      <c r="P1039" s="74"/>
      <c r="R1039" s="7"/>
      <c r="S1039" s="7"/>
      <c r="T1039" s="66"/>
    </row>
    <row r="1040" spans="1:20" ht="13.2">
      <c r="A1040" s="7" t="s">
        <v>707</v>
      </c>
      <c r="B1040" s="7"/>
      <c r="C1040" s="74"/>
      <c r="D1040" s="74"/>
      <c r="F1040" s="7"/>
      <c r="G1040" s="74"/>
      <c r="H1040" s="74"/>
      <c r="J1040" s="7"/>
      <c r="K1040" s="74"/>
      <c r="L1040" s="74"/>
      <c r="N1040" s="7"/>
      <c r="O1040" s="74"/>
      <c r="P1040" s="74"/>
      <c r="R1040" s="7"/>
      <c r="S1040" s="7"/>
      <c r="T1040" s="66"/>
    </row>
    <row r="1041" spans="1:20" ht="13.2">
      <c r="A1041" s="7"/>
      <c r="B1041" s="7"/>
      <c r="C1041" s="74"/>
      <c r="D1041" s="74"/>
      <c r="F1041" s="7"/>
      <c r="G1041" s="74"/>
      <c r="H1041" s="74"/>
      <c r="J1041" s="7"/>
      <c r="K1041" s="74"/>
      <c r="L1041" s="74"/>
      <c r="N1041" s="7"/>
      <c r="O1041" s="74"/>
      <c r="P1041" s="74"/>
      <c r="R1041" s="7"/>
      <c r="S1041" s="7"/>
      <c r="T1041" s="66"/>
    </row>
    <row r="1042" spans="1:20" ht="13.2">
      <c r="A1042" s="7" t="s">
        <v>713</v>
      </c>
      <c r="B1042" s="7"/>
      <c r="C1042" s="74"/>
      <c r="D1042" s="74"/>
      <c r="F1042" s="7"/>
      <c r="G1042" s="74"/>
      <c r="H1042" s="74"/>
      <c r="J1042" s="7"/>
      <c r="K1042" s="74"/>
      <c r="L1042" s="74"/>
      <c r="N1042" s="7"/>
      <c r="O1042" s="74"/>
      <c r="P1042" s="74"/>
      <c r="R1042" s="7"/>
      <c r="S1042" s="7"/>
      <c r="T1042" s="66"/>
    </row>
    <row r="1043" spans="1:20" ht="13.2">
      <c r="A1043" s="7"/>
      <c r="B1043" s="7"/>
      <c r="C1043" s="74"/>
      <c r="D1043" s="74"/>
      <c r="F1043" s="7"/>
      <c r="G1043" s="74"/>
      <c r="H1043" s="74"/>
      <c r="J1043" s="7"/>
      <c r="K1043" s="74"/>
      <c r="L1043" s="74"/>
      <c r="N1043" s="7"/>
      <c r="O1043" s="74"/>
      <c r="P1043" s="74"/>
      <c r="R1043" s="7"/>
      <c r="S1043" s="7"/>
      <c r="T1043" s="66"/>
    </row>
    <row r="1044" spans="1:20" ht="13.2">
      <c r="A1044" s="7" t="s">
        <v>713</v>
      </c>
      <c r="B1044" s="7"/>
      <c r="C1044" s="74"/>
      <c r="D1044" s="74"/>
      <c r="F1044" s="7"/>
      <c r="G1044" s="74"/>
      <c r="H1044" s="74"/>
      <c r="J1044" s="7"/>
      <c r="K1044" s="74"/>
      <c r="L1044" s="74"/>
      <c r="N1044" s="7"/>
      <c r="O1044" s="74"/>
      <c r="P1044" s="74"/>
      <c r="R1044" s="7"/>
      <c r="S1044" s="7"/>
      <c r="T1044" s="66"/>
    </row>
    <row r="1045" spans="1:20" ht="13.2">
      <c r="A1045" s="7"/>
      <c r="B1045" s="7"/>
      <c r="C1045" s="74"/>
      <c r="D1045" s="74"/>
      <c r="F1045" s="7"/>
      <c r="G1045" s="74"/>
      <c r="H1045" s="74"/>
      <c r="J1045" s="7"/>
      <c r="K1045" s="74"/>
      <c r="L1045" s="74"/>
      <c r="N1045" s="7"/>
      <c r="O1045" s="74"/>
      <c r="P1045" s="74"/>
      <c r="R1045" s="7"/>
      <c r="S1045" s="7"/>
      <c r="T1045" s="66"/>
    </row>
    <row r="1046" spans="1:20" ht="13.2">
      <c r="A1046" s="7" t="s">
        <v>707</v>
      </c>
      <c r="B1046" s="7"/>
      <c r="C1046" s="74"/>
      <c r="D1046" s="74"/>
      <c r="F1046" s="7"/>
      <c r="G1046" s="74"/>
      <c r="H1046" s="74"/>
      <c r="J1046" s="7"/>
      <c r="K1046" s="74"/>
      <c r="L1046" s="74"/>
      <c r="N1046" s="7"/>
      <c r="O1046" s="74"/>
      <c r="P1046" s="74"/>
      <c r="R1046" s="7"/>
      <c r="S1046" s="7"/>
      <c r="T1046" s="66"/>
    </row>
    <row r="1047" spans="1:20" ht="13.2">
      <c r="A1047" s="7"/>
      <c r="B1047" s="7"/>
      <c r="C1047" s="74"/>
      <c r="D1047" s="74"/>
      <c r="F1047" s="7"/>
      <c r="G1047" s="74"/>
      <c r="H1047" s="74"/>
      <c r="J1047" s="7"/>
      <c r="K1047" s="74"/>
      <c r="L1047" s="74"/>
      <c r="N1047" s="7"/>
      <c r="O1047" s="74"/>
      <c r="P1047" s="74"/>
      <c r="R1047" s="7"/>
      <c r="S1047" s="7"/>
      <c r="T1047" s="66"/>
    </row>
    <row r="1048" spans="1:20" ht="13.2">
      <c r="A1048" s="7" t="s">
        <v>705</v>
      </c>
      <c r="B1048" s="7"/>
      <c r="C1048" s="74"/>
      <c r="D1048" s="74"/>
      <c r="F1048" s="7"/>
      <c r="G1048" s="74"/>
      <c r="H1048" s="74"/>
      <c r="J1048" s="7"/>
      <c r="K1048" s="74"/>
      <c r="L1048" s="74"/>
      <c r="N1048" s="7"/>
      <c r="O1048" s="74"/>
      <c r="P1048" s="74"/>
      <c r="R1048" s="7"/>
      <c r="S1048" s="7"/>
      <c r="T1048" s="66"/>
    </row>
    <row r="1049" spans="1:20" ht="13.2">
      <c r="A1049" s="7"/>
      <c r="B1049" s="7"/>
      <c r="C1049" s="74"/>
      <c r="D1049" s="74"/>
      <c r="F1049" s="7"/>
      <c r="G1049" s="74"/>
      <c r="H1049" s="74"/>
      <c r="J1049" s="7"/>
      <c r="K1049" s="74"/>
      <c r="L1049" s="74"/>
      <c r="N1049" s="7"/>
      <c r="O1049" s="74"/>
      <c r="P1049" s="74"/>
      <c r="R1049" s="7"/>
      <c r="S1049" s="7"/>
      <c r="T1049" s="66"/>
    </row>
    <row r="1050" spans="1:20" ht="13.2">
      <c r="A1050" s="7" t="s">
        <v>706</v>
      </c>
      <c r="B1050" s="7"/>
      <c r="C1050" s="74"/>
      <c r="D1050" s="74"/>
      <c r="F1050" s="7"/>
      <c r="G1050" s="74"/>
      <c r="H1050" s="74"/>
      <c r="J1050" s="7"/>
      <c r="K1050" s="74"/>
      <c r="L1050" s="74"/>
      <c r="N1050" s="7"/>
      <c r="O1050" s="74"/>
      <c r="P1050" s="74"/>
      <c r="R1050" s="7"/>
      <c r="S1050" s="7"/>
      <c r="T1050" s="66"/>
    </row>
    <row r="1051" spans="1:20" ht="13.2">
      <c r="A1051" s="7"/>
      <c r="B1051" s="7"/>
      <c r="C1051" s="74"/>
      <c r="D1051" s="74"/>
      <c r="F1051" s="7"/>
      <c r="G1051" s="74"/>
      <c r="H1051" s="74"/>
      <c r="J1051" s="7"/>
      <c r="K1051" s="74"/>
      <c r="L1051" s="74"/>
      <c r="N1051" s="7"/>
      <c r="O1051" s="74"/>
      <c r="P1051" s="74"/>
      <c r="R1051" s="7"/>
      <c r="S1051" s="7"/>
      <c r="T1051" s="66"/>
    </row>
    <row r="1052" spans="1:20" ht="13.2">
      <c r="A1052" s="7" t="s">
        <v>707</v>
      </c>
      <c r="B1052" s="7"/>
      <c r="C1052" s="74"/>
      <c r="D1052" s="74"/>
      <c r="F1052" s="7"/>
      <c r="G1052" s="74"/>
      <c r="H1052" s="74"/>
      <c r="J1052" s="7"/>
      <c r="K1052" s="74"/>
      <c r="L1052" s="74"/>
      <c r="N1052" s="7"/>
      <c r="O1052" s="74"/>
      <c r="P1052" s="74"/>
      <c r="R1052" s="7"/>
      <c r="S1052" s="7"/>
      <c r="T1052" s="66"/>
    </row>
    <row r="1053" spans="1:20" ht="13.2">
      <c r="A1053" s="7"/>
      <c r="B1053" s="7"/>
      <c r="C1053" s="74"/>
      <c r="D1053" s="74"/>
      <c r="F1053" s="7"/>
      <c r="G1053" s="74"/>
      <c r="H1053" s="74"/>
      <c r="J1053" s="7"/>
      <c r="K1053" s="74"/>
      <c r="L1053" s="74"/>
      <c r="N1053" s="7"/>
      <c r="O1053" s="74"/>
      <c r="P1053" s="74"/>
      <c r="R1053" s="7"/>
      <c r="S1053" s="7"/>
      <c r="T1053" s="66"/>
    </row>
    <row r="1054" spans="1:20" ht="13.2">
      <c r="A1054" s="7" t="s">
        <v>711</v>
      </c>
      <c r="B1054" s="7"/>
      <c r="C1054" s="74"/>
      <c r="D1054" s="74"/>
      <c r="F1054" s="7"/>
      <c r="G1054" s="74"/>
      <c r="H1054" s="74"/>
      <c r="J1054" s="7"/>
      <c r="K1054" s="74"/>
      <c r="L1054" s="74"/>
      <c r="N1054" s="7"/>
      <c r="O1054" s="74"/>
      <c r="P1054" s="74"/>
      <c r="R1054" s="7"/>
      <c r="S1054" s="7"/>
      <c r="T1054" s="66"/>
    </row>
    <row r="1055" spans="1:20" ht="13.2">
      <c r="A1055" s="7"/>
      <c r="B1055" s="7"/>
      <c r="C1055" s="74"/>
      <c r="D1055" s="74"/>
      <c r="F1055" s="7"/>
      <c r="G1055" s="74"/>
      <c r="H1055" s="74"/>
      <c r="J1055" s="7"/>
      <c r="K1055" s="74"/>
      <c r="L1055" s="74"/>
      <c r="N1055" s="7"/>
      <c r="O1055" s="74"/>
      <c r="P1055" s="74"/>
      <c r="R1055" s="7"/>
      <c r="S1055" s="7"/>
      <c r="T1055" s="66"/>
    </row>
    <row r="1056" spans="1:20" ht="13.2">
      <c r="A1056" s="7"/>
      <c r="B1056" s="7"/>
      <c r="C1056" s="74"/>
      <c r="D1056" s="74"/>
      <c r="F1056" s="7"/>
      <c r="G1056" s="74"/>
      <c r="H1056" s="74"/>
      <c r="J1056" s="7"/>
      <c r="K1056" s="74"/>
      <c r="L1056" s="74"/>
      <c r="N1056" s="7"/>
      <c r="O1056" s="74"/>
      <c r="P1056" s="74"/>
      <c r="R1056" s="7"/>
      <c r="S1056" s="7"/>
      <c r="T1056" s="66"/>
    </row>
    <row r="1057" spans="1:20" ht="13.2">
      <c r="A1057" s="7"/>
      <c r="B1057" s="7"/>
      <c r="C1057" s="74"/>
      <c r="D1057" s="74"/>
      <c r="F1057" s="7"/>
      <c r="G1057" s="74"/>
      <c r="H1057" s="74"/>
      <c r="J1057" s="7"/>
      <c r="K1057" s="74"/>
      <c r="L1057" s="74"/>
      <c r="N1057" s="7"/>
      <c r="O1057" s="74"/>
      <c r="P1057" s="74"/>
      <c r="R1057" s="7"/>
      <c r="S1057" s="7"/>
      <c r="T1057" s="66"/>
    </row>
    <row r="1058" spans="1:20" ht="13.2">
      <c r="A1058" s="7"/>
      <c r="B1058" s="7"/>
      <c r="C1058" s="74"/>
      <c r="D1058" s="74"/>
      <c r="F1058" s="7"/>
      <c r="G1058" s="74"/>
      <c r="H1058" s="74"/>
      <c r="J1058" s="7"/>
      <c r="K1058" s="74"/>
      <c r="L1058" s="74"/>
      <c r="N1058" s="7"/>
      <c r="O1058" s="74"/>
      <c r="P1058" s="74"/>
      <c r="R1058" s="7"/>
      <c r="S1058" s="7"/>
      <c r="T1058" s="66"/>
    </row>
    <row r="1059" spans="1:20" ht="13.2">
      <c r="A1059" s="7"/>
      <c r="B1059" s="7"/>
      <c r="C1059" s="74"/>
      <c r="D1059" s="74"/>
      <c r="F1059" s="7"/>
      <c r="G1059" s="74"/>
      <c r="H1059" s="74"/>
      <c r="J1059" s="7"/>
      <c r="K1059" s="74"/>
      <c r="L1059" s="74"/>
      <c r="N1059" s="7"/>
      <c r="O1059" s="74"/>
      <c r="P1059" s="74"/>
      <c r="R1059" s="7"/>
      <c r="S1059" s="7"/>
      <c r="T1059" s="66"/>
    </row>
    <row r="1060" spans="1:20" ht="13.2">
      <c r="A1060" s="7"/>
      <c r="B1060" s="7"/>
      <c r="C1060" s="74"/>
      <c r="D1060" s="74"/>
      <c r="F1060" s="7"/>
      <c r="G1060" s="74"/>
      <c r="H1060" s="74"/>
      <c r="J1060" s="7"/>
      <c r="K1060" s="74"/>
      <c r="L1060" s="74"/>
      <c r="N1060" s="7"/>
      <c r="O1060" s="74"/>
      <c r="P1060" s="74"/>
      <c r="R1060" s="7"/>
      <c r="S1060" s="7"/>
      <c r="T1060" s="66"/>
    </row>
    <row r="1061" spans="1:20" ht="13.2">
      <c r="A1061" s="7"/>
      <c r="B1061" s="7"/>
      <c r="C1061" s="74"/>
      <c r="D1061" s="74"/>
      <c r="F1061" s="7"/>
      <c r="G1061" s="74"/>
      <c r="H1061" s="74"/>
      <c r="J1061" s="7"/>
      <c r="K1061" s="74"/>
      <c r="L1061" s="74"/>
      <c r="N1061" s="7"/>
      <c r="O1061" s="74"/>
      <c r="P1061" s="74"/>
      <c r="R1061" s="7"/>
      <c r="S1061" s="7"/>
      <c r="T1061" s="66"/>
    </row>
    <row r="1062" spans="1:20" ht="13.2">
      <c r="A1062" s="7"/>
      <c r="B1062" s="7"/>
      <c r="C1062" s="74"/>
      <c r="D1062" s="74"/>
      <c r="F1062" s="7"/>
      <c r="G1062" s="74"/>
      <c r="H1062" s="74"/>
      <c r="J1062" s="7"/>
      <c r="K1062" s="74"/>
      <c r="L1062" s="74"/>
      <c r="N1062" s="7"/>
      <c r="O1062" s="74"/>
      <c r="P1062" s="74"/>
      <c r="R1062" s="7"/>
      <c r="S1062" s="7"/>
      <c r="T1062" s="66"/>
    </row>
    <row r="1063" spans="1:20" ht="13.2">
      <c r="A1063" s="7"/>
      <c r="B1063" s="7"/>
      <c r="C1063" s="74"/>
      <c r="D1063" s="74"/>
      <c r="F1063" s="7"/>
      <c r="G1063" s="74"/>
      <c r="H1063" s="74"/>
      <c r="J1063" s="7"/>
      <c r="K1063" s="74"/>
      <c r="L1063" s="74"/>
      <c r="N1063" s="7"/>
      <c r="O1063" s="74"/>
      <c r="P1063" s="74"/>
      <c r="R1063" s="7"/>
      <c r="S1063" s="7"/>
      <c r="T1063" s="66"/>
    </row>
    <row r="1064" spans="1:20" ht="13.2">
      <c r="A1064" s="7"/>
      <c r="B1064" s="7"/>
      <c r="C1064" s="74"/>
      <c r="D1064" s="74"/>
      <c r="F1064" s="7"/>
      <c r="G1064" s="74"/>
      <c r="H1064" s="74"/>
      <c r="J1064" s="7"/>
      <c r="K1064" s="74"/>
      <c r="L1064" s="74"/>
      <c r="N1064" s="7"/>
      <c r="O1064" s="74"/>
      <c r="P1064" s="74"/>
      <c r="R1064" s="7"/>
      <c r="S1064" s="7"/>
      <c r="T1064" s="66"/>
    </row>
    <row r="1065" spans="1:20" ht="13.2">
      <c r="A1065" s="7"/>
      <c r="B1065" s="7"/>
      <c r="C1065" s="74"/>
      <c r="D1065" s="74"/>
      <c r="F1065" s="7"/>
      <c r="G1065" s="74"/>
      <c r="H1065" s="74"/>
      <c r="J1065" s="7"/>
      <c r="K1065" s="74"/>
      <c r="L1065" s="74"/>
      <c r="N1065" s="7"/>
      <c r="O1065" s="74"/>
      <c r="P1065" s="74"/>
      <c r="R1065" s="7"/>
      <c r="S1065" s="7"/>
      <c r="T1065" s="66"/>
    </row>
    <row r="1066" spans="1:20" ht="13.2">
      <c r="A1066" s="7"/>
      <c r="B1066" s="7"/>
      <c r="C1066" s="74"/>
      <c r="D1066" s="74"/>
      <c r="F1066" s="7"/>
      <c r="G1066" s="74"/>
      <c r="H1066" s="74"/>
      <c r="J1066" s="7"/>
      <c r="K1066" s="74"/>
      <c r="L1066" s="74"/>
      <c r="N1066" s="7"/>
      <c r="O1066" s="74"/>
      <c r="P1066" s="74"/>
      <c r="R1066" s="7"/>
      <c r="S1066" s="7"/>
      <c r="T1066" s="66"/>
    </row>
    <row r="1067" spans="1:20" ht="13.2">
      <c r="A1067" s="7"/>
      <c r="B1067" s="7"/>
      <c r="C1067" s="74"/>
      <c r="D1067" s="74"/>
      <c r="F1067" s="7"/>
      <c r="G1067" s="74"/>
      <c r="H1067" s="74"/>
      <c r="J1067" s="7"/>
      <c r="K1067" s="74"/>
      <c r="L1067" s="74"/>
      <c r="N1067" s="7"/>
      <c r="O1067" s="74"/>
      <c r="P1067" s="74"/>
      <c r="R1067" s="7"/>
      <c r="S1067" s="7"/>
      <c r="T1067" s="66"/>
    </row>
    <row r="1068" spans="1:20" ht="13.2">
      <c r="A1068" s="7"/>
      <c r="B1068" s="7"/>
      <c r="C1068" s="74"/>
      <c r="D1068" s="74"/>
      <c r="F1068" s="7"/>
      <c r="G1068" s="74"/>
      <c r="H1068" s="74"/>
      <c r="J1068" s="7"/>
      <c r="K1068" s="74"/>
      <c r="L1068" s="74"/>
      <c r="N1068" s="7"/>
      <c r="O1068" s="74"/>
      <c r="P1068" s="74"/>
      <c r="R1068" s="7"/>
      <c r="S1068" s="7"/>
      <c r="T1068" s="66"/>
    </row>
    <row r="1069" spans="1:20" ht="13.2">
      <c r="A1069" s="7"/>
      <c r="B1069" s="7"/>
      <c r="C1069" s="74"/>
      <c r="D1069" s="74"/>
      <c r="F1069" s="7"/>
      <c r="G1069" s="74"/>
      <c r="H1069" s="74"/>
      <c r="J1069" s="7"/>
      <c r="K1069" s="74"/>
      <c r="L1069" s="74"/>
      <c r="N1069" s="7"/>
      <c r="O1069" s="74"/>
      <c r="P1069" s="74"/>
      <c r="R1069" s="7"/>
      <c r="S1069" s="7"/>
      <c r="T1069" s="66"/>
    </row>
    <row r="1070" spans="1:20" ht="13.2">
      <c r="A1070" s="7"/>
      <c r="B1070" s="7"/>
      <c r="C1070" s="74"/>
      <c r="D1070" s="74"/>
      <c r="F1070" s="7"/>
      <c r="G1070" s="74"/>
      <c r="H1070" s="74"/>
      <c r="J1070" s="7"/>
      <c r="K1070" s="74"/>
      <c r="L1070" s="74"/>
      <c r="N1070" s="7"/>
      <c r="O1070" s="74"/>
      <c r="P1070" s="74"/>
      <c r="R1070" s="7"/>
      <c r="S1070" s="7"/>
      <c r="T1070" s="66"/>
    </row>
    <row r="1071" spans="1:20" ht="13.2">
      <c r="A1071" s="7"/>
      <c r="B1071" s="7"/>
      <c r="C1071" s="74"/>
      <c r="D1071" s="74"/>
      <c r="F1071" s="7"/>
      <c r="G1071" s="74"/>
      <c r="H1071" s="74"/>
      <c r="J1071" s="7"/>
      <c r="K1071" s="74"/>
      <c r="L1071" s="74"/>
      <c r="N1071" s="7"/>
      <c r="O1071" s="74"/>
      <c r="P1071" s="74"/>
      <c r="R1071" s="7"/>
      <c r="S1071" s="7"/>
      <c r="T1071" s="66"/>
    </row>
    <row r="1072" spans="1:20" ht="13.2">
      <c r="A1072" s="7"/>
      <c r="B1072" s="7"/>
      <c r="C1072" s="74"/>
      <c r="D1072" s="74"/>
      <c r="F1072" s="7"/>
      <c r="G1072" s="74"/>
      <c r="H1072" s="74"/>
      <c r="J1072" s="7"/>
      <c r="K1072" s="74"/>
      <c r="L1072" s="74"/>
      <c r="N1072" s="7"/>
      <c r="O1072" s="74"/>
      <c r="P1072" s="74"/>
      <c r="R1072" s="7"/>
      <c r="S1072" s="7"/>
      <c r="T1072" s="66"/>
    </row>
    <row r="1073" spans="1:20" ht="13.2">
      <c r="A1073" s="7"/>
      <c r="B1073" s="7"/>
      <c r="C1073" s="74"/>
      <c r="D1073" s="74"/>
      <c r="F1073" s="7"/>
      <c r="G1073" s="74"/>
      <c r="H1073" s="74"/>
      <c r="J1073" s="7"/>
      <c r="K1073" s="74"/>
      <c r="L1073" s="74"/>
      <c r="N1073" s="7"/>
      <c r="O1073" s="74"/>
      <c r="P1073" s="74"/>
      <c r="R1073" s="7"/>
      <c r="S1073" s="7"/>
      <c r="T1073" s="66"/>
    </row>
    <row r="1074" spans="1:20" ht="13.2">
      <c r="A1074" s="7"/>
      <c r="B1074" s="7"/>
      <c r="C1074" s="74"/>
      <c r="D1074" s="74"/>
      <c r="F1074" s="7"/>
      <c r="G1074" s="74"/>
      <c r="H1074" s="74"/>
      <c r="J1074" s="7"/>
      <c r="K1074" s="74"/>
      <c r="L1074" s="74"/>
      <c r="N1074" s="7"/>
      <c r="O1074" s="74"/>
      <c r="P1074" s="74"/>
      <c r="R1074" s="7"/>
      <c r="S1074" s="7"/>
      <c r="T1074" s="66"/>
    </row>
    <row r="1075" spans="1:20" ht="13.2">
      <c r="A1075" s="7"/>
      <c r="B1075" s="7"/>
      <c r="C1075" s="74"/>
      <c r="D1075" s="74"/>
      <c r="F1075" s="7"/>
      <c r="G1075" s="74"/>
      <c r="H1075" s="74"/>
      <c r="J1075" s="7"/>
      <c r="K1075" s="74"/>
      <c r="L1075" s="74"/>
      <c r="N1075" s="7"/>
      <c r="O1075" s="74"/>
      <c r="P1075" s="74"/>
      <c r="R1075" s="7"/>
      <c r="S1075" s="7"/>
      <c r="T1075" s="66"/>
    </row>
    <row r="1076" spans="1:20" ht="13.2">
      <c r="A1076" s="7"/>
      <c r="B1076" s="7"/>
      <c r="C1076" s="74"/>
      <c r="D1076" s="74"/>
      <c r="F1076" s="7"/>
      <c r="G1076" s="74"/>
      <c r="H1076" s="74"/>
      <c r="J1076" s="7"/>
      <c r="K1076" s="74"/>
      <c r="L1076" s="74"/>
      <c r="N1076" s="7"/>
      <c r="O1076" s="74"/>
      <c r="P1076" s="74"/>
      <c r="R1076" s="7"/>
      <c r="S1076" s="7"/>
      <c r="T1076" s="66"/>
    </row>
    <row r="1077" spans="1:20" ht="13.2">
      <c r="A1077" s="7"/>
      <c r="B1077" s="7"/>
      <c r="C1077" s="74"/>
      <c r="D1077" s="74"/>
      <c r="F1077" s="7"/>
      <c r="G1077" s="74"/>
      <c r="H1077" s="74"/>
      <c r="J1077" s="7"/>
      <c r="K1077" s="74"/>
      <c r="L1077" s="74"/>
      <c r="N1077" s="7"/>
      <c r="O1077" s="74"/>
      <c r="P1077" s="74"/>
      <c r="R1077" s="7"/>
      <c r="S1077" s="7"/>
      <c r="T1077" s="66"/>
    </row>
    <row r="1078" spans="1:20" ht="13.2">
      <c r="A1078" s="7"/>
      <c r="B1078" s="7"/>
      <c r="C1078" s="74"/>
      <c r="D1078" s="74"/>
      <c r="F1078" s="7"/>
      <c r="G1078" s="74"/>
      <c r="H1078" s="74"/>
      <c r="J1078" s="7"/>
      <c r="K1078" s="74"/>
      <c r="L1078" s="74"/>
      <c r="N1078" s="7"/>
      <c r="O1078" s="74"/>
      <c r="P1078" s="74"/>
      <c r="R1078" s="7"/>
      <c r="S1078" s="7"/>
      <c r="T1078" s="66"/>
    </row>
    <row r="1079" spans="1:20" ht="13.2">
      <c r="A1079" s="7"/>
      <c r="B1079" s="7"/>
      <c r="C1079" s="74"/>
      <c r="D1079" s="74"/>
      <c r="F1079" s="7"/>
      <c r="G1079" s="74"/>
      <c r="H1079" s="74"/>
      <c r="J1079" s="7"/>
      <c r="K1079" s="74"/>
      <c r="L1079" s="74"/>
      <c r="N1079" s="7"/>
      <c r="O1079" s="74"/>
      <c r="P1079" s="74"/>
      <c r="R1079" s="7"/>
      <c r="S1079" s="7"/>
      <c r="T1079" s="66"/>
    </row>
    <row r="1080" spans="1:20" ht="13.2">
      <c r="A1080" s="7"/>
      <c r="B1080" s="7"/>
      <c r="C1080" s="74"/>
      <c r="D1080" s="74"/>
      <c r="F1080" s="7"/>
      <c r="G1080" s="74"/>
      <c r="H1080" s="74"/>
      <c r="J1080" s="7"/>
      <c r="K1080" s="74"/>
      <c r="L1080" s="74"/>
      <c r="N1080" s="7"/>
      <c r="O1080" s="74"/>
      <c r="P1080" s="74"/>
      <c r="R1080" s="7"/>
      <c r="S1080" s="7"/>
      <c r="T1080" s="66"/>
    </row>
    <row r="1081" spans="1:20" ht="13.2">
      <c r="A1081" s="7"/>
      <c r="B1081" s="7"/>
      <c r="C1081" s="74"/>
      <c r="D1081" s="74"/>
      <c r="F1081" s="7"/>
      <c r="G1081" s="74"/>
      <c r="H1081" s="74"/>
      <c r="J1081" s="7"/>
      <c r="K1081" s="74"/>
      <c r="L1081" s="74"/>
      <c r="N1081" s="7"/>
      <c r="O1081" s="74"/>
      <c r="P1081" s="74"/>
      <c r="R1081" s="7"/>
      <c r="S1081" s="7"/>
      <c r="T1081" s="66"/>
    </row>
    <row r="1082" spans="1:20" ht="13.2">
      <c r="A1082" s="7"/>
      <c r="B1082" s="7"/>
      <c r="C1082" s="74"/>
      <c r="D1082" s="74"/>
      <c r="F1082" s="7"/>
      <c r="G1082" s="74"/>
      <c r="H1082" s="74"/>
      <c r="J1082" s="7"/>
      <c r="K1082" s="74"/>
      <c r="L1082" s="74"/>
      <c r="N1082" s="7"/>
      <c r="O1082" s="74"/>
      <c r="P1082" s="74"/>
      <c r="R1082" s="7"/>
      <c r="S1082" s="7"/>
      <c r="T1082" s="66"/>
    </row>
    <row r="1083" spans="1:20" ht="13.2">
      <c r="A1083" s="7"/>
      <c r="B1083" s="7"/>
      <c r="C1083" s="74"/>
      <c r="D1083" s="74"/>
      <c r="F1083" s="7"/>
      <c r="G1083" s="74"/>
      <c r="H1083" s="74"/>
      <c r="J1083" s="7"/>
      <c r="K1083" s="74"/>
      <c r="L1083" s="74"/>
      <c r="N1083" s="7"/>
      <c r="O1083" s="74"/>
      <c r="P1083" s="74"/>
      <c r="R1083" s="7"/>
      <c r="S1083" s="7"/>
      <c r="T1083" s="66"/>
    </row>
    <row r="1084" spans="1:20" ht="13.2">
      <c r="A1084" s="7"/>
      <c r="B1084" s="7"/>
      <c r="C1084" s="74"/>
      <c r="D1084" s="74"/>
      <c r="F1084" s="7"/>
      <c r="G1084" s="74"/>
      <c r="H1084" s="74"/>
      <c r="J1084" s="7"/>
      <c r="K1084" s="74"/>
      <c r="L1084" s="74"/>
      <c r="N1084" s="7"/>
      <c r="O1084" s="74"/>
      <c r="P1084" s="74"/>
      <c r="R1084" s="7"/>
      <c r="S1084" s="7"/>
      <c r="T1084" s="66"/>
    </row>
    <row r="1085" spans="1:20" ht="13.2">
      <c r="A1085" s="7"/>
      <c r="B1085" s="7"/>
      <c r="C1085" s="74"/>
      <c r="D1085" s="74"/>
      <c r="F1085" s="7"/>
      <c r="G1085" s="74"/>
      <c r="H1085" s="74"/>
      <c r="J1085" s="7"/>
      <c r="K1085" s="74"/>
      <c r="L1085" s="74"/>
      <c r="N1085" s="7"/>
      <c r="O1085" s="74"/>
      <c r="P1085" s="74"/>
      <c r="R1085" s="7"/>
      <c r="S1085" s="7"/>
      <c r="T1085" s="66"/>
    </row>
    <row r="1086" spans="1:20" ht="13.2">
      <c r="A1086" s="7"/>
      <c r="B1086" s="7"/>
      <c r="C1086" s="74"/>
      <c r="D1086" s="74"/>
      <c r="F1086" s="7"/>
      <c r="G1086" s="74"/>
      <c r="H1086" s="74"/>
      <c r="J1086" s="7"/>
      <c r="K1086" s="74"/>
      <c r="L1086" s="74"/>
      <c r="N1086" s="7"/>
      <c r="O1086" s="74"/>
      <c r="P1086" s="74"/>
      <c r="R1086" s="7"/>
      <c r="S1086" s="7"/>
      <c r="T1086" s="66"/>
    </row>
    <row r="1087" spans="1:20" ht="13.2">
      <c r="A1087" s="7"/>
      <c r="B1087" s="7"/>
      <c r="C1087" s="74"/>
      <c r="D1087" s="74"/>
      <c r="F1087" s="7"/>
      <c r="G1087" s="74"/>
      <c r="H1087" s="74"/>
      <c r="J1087" s="7"/>
      <c r="K1087" s="74"/>
      <c r="L1087" s="74"/>
      <c r="N1087" s="7"/>
      <c r="O1087" s="74"/>
      <c r="P1087" s="74"/>
      <c r="R1087" s="7"/>
      <c r="S1087" s="7"/>
      <c r="T1087" s="66"/>
    </row>
    <row r="1088" spans="1:20" ht="13.2">
      <c r="A1088" s="7"/>
      <c r="B1088" s="7"/>
      <c r="C1088" s="74"/>
      <c r="D1088" s="74"/>
      <c r="F1088" s="7"/>
      <c r="G1088" s="74"/>
      <c r="H1088" s="74"/>
      <c r="J1088" s="7"/>
      <c r="K1088" s="74"/>
      <c r="L1088" s="74"/>
      <c r="N1088" s="7"/>
      <c r="O1088" s="74"/>
      <c r="P1088" s="74"/>
      <c r="R1088" s="7"/>
      <c r="S1088" s="7"/>
      <c r="T1088" s="66"/>
    </row>
    <row r="1089" spans="1:20" ht="13.2">
      <c r="A1089" s="7"/>
      <c r="B1089" s="7"/>
      <c r="C1089" s="74"/>
      <c r="D1089" s="74"/>
      <c r="F1089" s="7"/>
      <c r="G1089" s="74"/>
      <c r="H1089" s="74"/>
      <c r="J1089" s="7"/>
      <c r="K1089" s="74"/>
      <c r="L1089" s="74"/>
      <c r="N1089" s="7"/>
      <c r="O1089" s="74"/>
      <c r="P1089" s="74"/>
      <c r="R1089" s="7"/>
      <c r="S1089" s="7"/>
      <c r="T1089" s="66"/>
    </row>
    <row r="1090" spans="1:20" ht="13.2">
      <c r="A1090" s="7"/>
      <c r="B1090" s="7"/>
      <c r="C1090" s="74"/>
      <c r="D1090" s="74"/>
      <c r="F1090" s="7"/>
      <c r="G1090" s="74"/>
      <c r="H1090" s="74"/>
      <c r="J1090" s="7"/>
      <c r="K1090" s="74"/>
      <c r="L1090" s="74"/>
      <c r="N1090" s="7"/>
      <c r="O1090" s="74"/>
      <c r="P1090" s="74"/>
      <c r="R1090" s="7"/>
      <c r="S1090" s="7"/>
      <c r="T1090" s="66"/>
    </row>
    <row r="1091" spans="1:20" ht="13.2">
      <c r="A1091" s="7"/>
      <c r="B1091" s="7"/>
      <c r="C1091" s="74"/>
      <c r="D1091" s="74"/>
      <c r="F1091" s="7"/>
      <c r="G1091" s="74"/>
      <c r="H1091" s="74"/>
      <c r="J1091" s="7"/>
      <c r="K1091" s="74"/>
      <c r="L1091" s="74"/>
      <c r="N1091" s="7"/>
      <c r="O1091" s="74"/>
      <c r="P1091" s="74"/>
      <c r="R1091" s="7"/>
      <c r="S1091" s="7"/>
      <c r="T1091" s="66"/>
    </row>
    <row r="1092" spans="1:20" ht="13.2">
      <c r="A1092" s="7"/>
      <c r="B1092" s="7"/>
      <c r="C1092" s="74"/>
      <c r="D1092" s="74"/>
      <c r="F1092" s="7"/>
      <c r="G1092" s="74"/>
      <c r="H1092" s="74"/>
      <c r="J1092" s="7"/>
      <c r="K1092" s="74"/>
      <c r="L1092" s="74"/>
      <c r="N1092" s="7"/>
      <c r="O1092" s="74"/>
      <c r="P1092" s="74"/>
      <c r="R1092" s="7"/>
      <c r="S1092" s="7"/>
      <c r="T1092" s="66"/>
    </row>
    <row r="1093" spans="1:20" ht="13.2">
      <c r="A1093" s="7"/>
      <c r="B1093" s="7"/>
      <c r="C1093" s="74"/>
      <c r="D1093" s="74"/>
      <c r="F1093" s="7"/>
      <c r="G1093" s="74"/>
      <c r="H1093" s="74"/>
      <c r="J1093" s="7"/>
      <c r="K1093" s="74"/>
      <c r="L1093" s="74"/>
      <c r="N1093" s="7"/>
      <c r="O1093" s="74"/>
      <c r="P1093" s="74"/>
      <c r="R1093" s="7"/>
      <c r="S1093" s="7"/>
      <c r="T1093" s="66"/>
    </row>
    <row r="1094" spans="1:20" ht="13.2">
      <c r="A1094" s="7"/>
      <c r="B1094" s="7"/>
      <c r="C1094" s="74"/>
      <c r="D1094" s="74"/>
      <c r="F1094" s="7"/>
      <c r="G1094" s="74"/>
      <c r="H1094" s="74"/>
      <c r="J1094" s="7"/>
      <c r="K1094" s="74"/>
      <c r="L1094" s="74"/>
      <c r="N1094" s="7"/>
      <c r="O1094" s="74"/>
      <c r="P1094" s="74"/>
      <c r="R1094" s="7"/>
      <c r="S1094" s="7"/>
      <c r="T1094" s="66"/>
    </row>
    <row r="1095" spans="1:20" ht="13.2">
      <c r="A1095" s="7"/>
      <c r="B1095" s="7"/>
      <c r="C1095" s="74"/>
      <c r="D1095" s="74"/>
      <c r="F1095" s="7"/>
      <c r="G1095" s="74"/>
      <c r="H1095" s="74"/>
      <c r="J1095" s="7"/>
      <c r="K1095" s="74"/>
      <c r="L1095" s="74"/>
      <c r="N1095" s="7"/>
      <c r="O1095" s="74"/>
      <c r="P1095" s="74"/>
      <c r="R1095" s="7"/>
      <c r="S1095" s="7"/>
      <c r="T1095" s="66"/>
    </row>
    <row r="1096" spans="1:20" ht="13.2">
      <c r="A1096" s="7"/>
      <c r="B1096" s="7"/>
      <c r="C1096" s="74"/>
      <c r="D1096" s="74"/>
      <c r="F1096" s="7"/>
      <c r="G1096" s="74"/>
      <c r="H1096" s="74"/>
      <c r="J1096" s="7"/>
      <c r="K1096" s="74"/>
      <c r="L1096" s="74"/>
      <c r="N1096" s="7"/>
      <c r="O1096" s="74"/>
      <c r="P1096" s="74"/>
      <c r="R1096" s="7"/>
      <c r="S1096" s="7"/>
      <c r="T1096" s="66"/>
    </row>
    <row r="1097" spans="1:20" ht="13.2">
      <c r="A1097" s="7"/>
      <c r="B1097" s="7"/>
      <c r="C1097" s="74"/>
      <c r="D1097" s="74"/>
      <c r="F1097" s="7"/>
      <c r="G1097" s="74"/>
      <c r="H1097" s="74"/>
      <c r="J1097" s="7"/>
      <c r="K1097" s="74"/>
      <c r="L1097" s="74"/>
      <c r="N1097" s="7"/>
      <c r="O1097" s="74"/>
      <c r="P1097" s="74"/>
      <c r="R1097" s="7"/>
      <c r="S1097" s="7"/>
      <c r="T1097" s="66"/>
    </row>
    <row r="1098" spans="1:20" ht="13.2">
      <c r="A1098" s="7"/>
      <c r="B1098" s="7"/>
      <c r="C1098" s="74"/>
      <c r="D1098" s="74"/>
      <c r="F1098" s="7"/>
      <c r="G1098" s="74"/>
      <c r="H1098" s="74"/>
      <c r="J1098" s="7"/>
      <c r="K1098" s="74"/>
      <c r="L1098" s="74"/>
      <c r="N1098" s="7"/>
      <c r="O1098" s="74"/>
      <c r="P1098" s="74"/>
      <c r="R1098" s="7"/>
      <c r="S1098" s="7"/>
      <c r="T1098" s="66"/>
    </row>
    <row r="1099" spans="1:20" ht="13.2">
      <c r="A1099" s="7"/>
      <c r="B1099" s="7"/>
      <c r="C1099" s="74"/>
      <c r="D1099" s="74"/>
      <c r="F1099" s="7"/>
      <c r="G1099" s="74"/>
      <c r="H1099" s="74"/>
      <c r="J1099" s="7"/>
      <c r="K1099" s="74"/>
      <c r="L1099" s="74"/>
      <c r="N1099" s="7"/>
      <c r="O1099" s="74"/>
      <c r="P1099" s="74"/>
      <c r="R1099" s="7"/>
      <c r="S1099" s="7"/>
      <c r="T1099" s="66"/>
    </row>
    <row r="1100" spans="1:20" ht="13.2">
      <c r="A1100" s="7"/>
      <c r="B1100" s="7"/>
      <c r="C1100" s="74"/>
      <c r="D1100" s="74"/>
      <c r="F1100" s="7"/>
      <c r="G1100" s="74"/>
      <c r="H1100" s="74"/>
      <c r="J1100" s="7"/>
      <c r="K1100" s="74"/>
      <c r="L1100" s="74"/>
      <c r="N1100" s="7"/>
      <c r="O1100" s="74"/>
      <c r="P1100" s="74"/>
      <c r="R1100" s="7"/>
      <c r="S1100" s="7"/>
      <c r="T1100" s="66"/>
    </row>
    <row r="1101" spans="1:20" ht="13.2">
      <c r="A1101" s="7"/>
      <c r="B1101" s="7"/>
      <c r="C1101" s="74"/>
      <c r="D1101" s="74"/>
      <c r="F1101" s="7"/>
      <c r="G1101" s="74"/>
      <c r="H1101" s="74"/>
      <c r="J1101" s="7"/>
      <c r="K1101" s="74"/>
      <c r="L1101" s="74"/>
      <c r="N1101" s="7"/>
      <c r="O1101" s="74"/>
      <c r="P1101" s="74"/>
      <c r="R1101" s="7"/>
      <c r="S1101" s="7"/>
      <c r="T1101" s="66"/>
    </row>
    <row r="1102" spans="1:20" ht="13.2">
      <c r="A1102" s="7"/>
      <c r="B1102" s="7"/>
      <c r="C1102" s="74"/>
      <c r="D1102" s="74"/>
      <c r="F1102" s="7"/>
      <c r="G1102" s="74"/>
      <c r="H1102" s="74"/>
      <c r="J1102" s="7"/>
      <c r="K1102" s="74"/>
      <c r="L1102" s="74"/>
      <c r="N1102" s="7"/>
      <c r="O1102" s="74"/>
      <c r="P1102" s="74"/>
      <c r="R1102" s="7"/>
      <c r="S1102" s="7"/>
      <c r="T1102" s="66"/>
    </row>
    <row r="1103" spans="1:20" ht="13.2">
      <c r="A1103" s="7"/>
      <c r="B1103" s="7"/>
      <c r="C1103" s="74"/>
      <c r="D1103" s="74"/>
      <c r="F1103" s="7"/>
      <c r="G1103" s="74"/>
      <c r="H1103" s="74"/>
      <c r="J1103" s="7"/>
      <c r="K1103" s="74"/>
      <c r="L1103" s="74"/>
      <c r="N1103" s="7"/>
      <c r="O1103" s="74"/>
      <c r="P1103" s="74"/>
      <c r="R1103" s="7"/>
      <c r="S1103" s="7"/>
      <c r="T1103" s="66"/>
    </row>
    <row r="1104" spans="1:20" ht="13.2">
      <c r="A1104" s="7"/>
      <c r="B1104" s="7"/>
      <c r="C1104" s="74"/>
      <c r="D1104" s="74"/>
      <c r="F1104" s="7"/>
      <c r="G1104" s="74"/>
      <c r="H1104" s="74"/>
      <c r="J1104" s="7"/>
      <c r="K1104" s="74"/>
      <c r="L1104" s="74"/>
      <c r="N1104" s="7"/>
      <c r="O1104" s="74"/>
      <c r="P1104" s="74"/>
      <c r="R1104" s="7"/>
      <c r="S1104" s="7"/>
      <c r="T1104" s="66"/>
    </row>
    <row r="1105" spans="1:20" ht="13.2">
      <c r="A1105" s="7"/>
      <c r="B1105" s="7"/>
      <c r="C1105" s="74"/>
      <c r="D1105" s="74"/>
      <c r="F1105" s="7"/>
      <c r="G1105" s="74"/>
      <c r="H1105" s="74"/>
      <c r="J1105" s="7"/>
      <c r="K1105" s="74"/>
      <c r="L1105" s="74"/>
      <c r="N1105" s="7"/>
      <c r="O1105" s="74"/>
      <c r="P1105" s="74"/>
      <c r="R1105" s="7"/>
      <c r="S1105" s="7"/>
      <c r="T1105" s="66"/>
    </row>
    <row r="1106" spans="1:20" ht="13.2">
      <c r="A1106" s="7"/>
      <c r="B1106" s="7"/>
      <c r="C1106" s="74"/>
      <c r="D1106" s="74"/>
      <c r="F1106" s="7"/>
      <c r="G1106" s="74"/>
      <c r="H1106" s="74"/>
      <c r="J1106" s="7"/>
      <c r="K1106" s="74"/>
      <c r="L1106" s="74"/>
      <c r="N1106" s="7"/>
      <c r="O1106" s="74"/>
      <c r="P1106" s="74"/>
      <c r="R1106" s="7"/>
      <c r="S1106" s="7"/>
      <c r="T1106" s="66"/>
    </row>
    <row r="1107" spans="1:20" ht="13.2">
      <c r="A1107" s="7"/>
      <c r="B1107" s="7"/>
      <c r="C1107" s="74"/>
      <c r="D1107" s="74"/>
      <c r="F1107" s="7"/>
      <c r="G1107" s="74"/>
      <c r="H1107" s="74"/>
      <c r="J1107" s="7"/>
      <c r="K1107" s="74"/>
      <c r="L1107" s="74"/>
      <c r="N1107" s="7"/>
      <c r="O1107" s="74"/>
      <c r="P1107" s="74"/>
      <c r="R1107" s="7"/>
      <c r="S1107" s="7"/>
      <c r="T1107" s="66"/>
    </row>
    <row r="1108" spans="1:20" ht="13.2">
      <c r="A1108" s="7"/>
      <c r="B1108" s="7"/>
      <c r="C1108" s="74"/>
      <c r="D1108" s="74"/>
      <c r="F1108" s="7"/>
      <c r="G1108" s="74"/>
      <c r="H1108" s="74"/>
      <c r="J1108" s="7"/>
      <c r="K1108" s="74"/>
      <c r="L1108" s="74"/>
      <c r="N1108" s="7"/>
      <c r="O1108" s="74"/>
      <c r="P1108" s="74"/>
      <c r="R1108" s="7"/>
      <c r="S1108" s="7"/>
      <c r="T1108" s="66"/>
    </row>
    <row r="1109" spans="1:20" ht="13.2">
      <c r="A1109" s="7"/>
      <c r="B1109" s="7"/>
      <c r="C1109" s="74"/>
      <c r="D1109" s="74"/>
      <c r="F1109" s="7"/>
      <c r="G1109" s="74"/>
      <c r="H1109" s="74"/>
      <c r="J1109" s="7"/>
      <c r="K1109" s="74"/>
      <c r="L1109" s="74"/>
      <c r="N1109" s="7"/>
      <c r="O1109" s="74"/>
      <c r="P1109" s="74"/>
      <c r="R1109" s="7"/>
      <c r="S1109" s="7"/>
      <c r="T1109" s="66"/>
    </row>
    <row r="1110" spans="1:20" ht="13.2">
      <c r="A1110" s="7"/>
      <c r="B1110" s="7"/>
      <c r="C1110" s="74"/>
      <c r="D1110" s="74"/>
      <c r="F1110" s="7"/>
      <c r="G1110" s="74"/>
      <c r="H1110" s="74"/>
      <c r="J1110" s="7"/>
      <c r="K1110" s="74"/>
      <c r="L1110" s="74"/>
      <c r="N1110" s="7"/>
      <c r="O1110" s="74"/>
      <c r="P1110" s="74"/>
      <c r="R1110" s="7"/>
      <c r="S1110" s="7"/>
      <c r="T1110" s="66"/>
    </row>
    <row r="1111" spans="1:20" ht="13.2">
      <c r="A1111" s="7"/>
      <c r="B1111" s="7"/>
      <c r="C1111" s="74"/>
      <c r="D1111" s="74"/>
      <c r="F1111" s="7"/>
      <c r="G1111" s="74"/>
      <c r="H1111" s="74"/>
      <c r="J1111" s="7"/>
      <c r="K1111" s="74"/>
      <c r="L1111" s="74"/>
      <c r="N1111" s="7"/>
      <c r="O1111" s="74"/>
      <c r="P1111" s="74"/>
      <c r="R1111" s="7"/>
      <c r="S1111" s="7"/>
      <c r="T1111" s="66"/>
    </row>
    <row r="1112" spans="1:20" ht="13.2">
      <c r="A1112" s="7"/>
      <c r="B1112" s="7"/>
      <c r="C1112" s="74"/>
      <c r="D1112" s="74"/>
      <c r="F1112" s="7"/>
      <c r="G1112" s="74"/>
      <c r="H1112" s="74"/>
      <c r="J1112" s="7"/>
      <c r="K1112" s="74"/>
      <c r="L1112" s="74"/>
      <c r="N1112" s="7"/>
      <c r="O1112" s="74"/>
      <c r="P1112" s="74"/>
      <c r="R1112" s="7"/>
      <c r="S1112" s="7"/>
      <c r="T1112" s="66"/>
    </row>
    <row r="1113" spans="1:20" ht="13.2">
      <c r="A1113" s="7"/>
      <c r="B1113" s="7"/>
      <c r="C1113" s="74"/>
      <c r="D1113" s="74"/>
      <c r="F1113" s="7"/>
      <c r="G1113" s="74"/>
      <c r="H1113" s="74"/>
      <c r="J1113" s="7"/>
      <c r="K1113" s="74"/>
      <c r="L1113" s="74"/>
      <c r="N1113" s="7"/>
      <c r="O1113" s="74"/>
      <c r="P1113" s="74"/>
      <c r="R1113" s="7"/>
      <c r="S1113" s="7"/>
      <c r="T1113" s="66"/>
    </row>
    <row r="1114" spans="1:20" ht="13.2">
      <c r="A1114" s="7"/>
      <c r="B1114" s="7"/>
      <c r="C1114" s="74"/>
      <c r="D1114" s="74"/>
      <c r="F1114" s="7"/>
      <c r="G1114" s="74"/>
      <c r="H1114" s="74"/>
      <c r="J1114" s="7"/>
      <c r="K1114" s="74"/>
      <c r="L1114" s="74"/>
      <c r="N1114" s="7"/>
      <c r="O1114" s="74"/>
      <c r="P1114" s="74"/>
      <c r="R1114" s="7"/>
      <c r="S1114" s="7"/>
      <c r="T1114" s="66"/>
    </row>
    <row r="1115" spans="1:20" ht="13.2">
      <c r="A1115" s="7"/>
      <c r="B1115" s="7"/>
      <c r="C1115" s="74"/>
      <c r="D1115" s="74"/>
      <c r="F1115" s="7"/>
      <c r="G1115" s="74"/>
      <c r="H1115" s="74"/>
      <c r="J1115" s="7"/>
      <c r="K1115" s="74"/>
      <c r="L1115" s="74"/>
      <c r="N1115" s="7"/>
      <c r="O1115" s="74"/>
      <c r="P1115" s="74"/>
      <c r="R1115" s="7"/>
      <c r="S1115" s="7"/>
      <c r="T1115" s="66"/>
    </row>
    <row r="1116" spans="1:20" ht="13.2">
      <c r="A1116" s="7"/>
      <c r="B1116" s="7"/>
      <c r="C1116" s="74"/>
      <c r="D1116" s="74"/>
      <c r="F1116" s="7"/>
      <c r="G1116" s="74"/>
      <c r="H1116" s="74"/>
      <c r="J1116" s="7"/>
      <c r="K1116" s="74"/>
      <c r="L1116" s="74"/>
      <c r="N1116" s="7"/>
      <c r="O1116" s="74"/>
      <c r="P1116" s="74"/>
      <c r="R1116" s="7"/>
      <c r="S1116" s="7"/>
      <c r="T1116" s="66"/>
    </row>
    <row r="1117" spans="1:20" ht="13.2">
      <c r="A1117" s="7"/>
      <c r="B1117" s="7"/>
      <c r="C1117" s="74"/>
      <c r="D1117" s="74"/>
      <c r="F1117" s="7"/>
      <c r="G1117" s="74"/>
      <c r="H1117" s="74"/>
      <c r="J1117" s="7"/>
      <c r="K1117" s="74"/>
      <c r="L1117" s="74"/>
      <c r="N1117" s="7"/>
      <c r="O1117" s="74"/>
      <c r="P1117" s="74"/>
      <c r="R1117" s="7"/>
      <c r="S1117" s="7"/>
      <c r="T1117" s="66"/>
    </row>
    <row r="1118" spans="1:20" ht="13.2">
      <c r="A1118" s="7"/>
      <c r="B1118" s="7"/>
      <c r="C1118" s="74"/>
      <c r="D1118" s="74"/>
      <c r="F1118" s="7"/>
      <c r="G1118" s="74"/>
      <c r="H1118" s="74"/>
      <c r="J1118" s="7"/>
      <c r="K1118" s="74"/>
      <c r="L1118" s="74"/>
      <c r="N1118" s="7"/>
      <c r="O1118" s="74"/>
      <c r="P1118" s="74"/>
      <c r="R1118" s="7"/>
      <c r="S1118" s="7"/>
      <c r="T1118" s="66"/>
    </row>
    <row r="1119" spans="1:20" ht="13.2">
      <c r="A1119" s="7"/>
      <c r="B1119" s="7"/>
      <c r="C1119" s="74"/>
      <c r="D1119" s="74"/>
      <c r="F1119" s="7"/>
      <c r="G1119" s="74"/>
      <c r="H1119" s="74"/>
      <c r="J1119" s="7"/>
      <c r="K1119" s="74"/>
      <c r="L1119" s="74"/>
      <c r="N1119" s="7"/>
      <c r="O1119" s="74"/>
      <c r="P1119" s="74"/>
      <c r="R1119" s="7"/>
      <c r="S1119" s="7"/>
      <c r="T1119" s="66"/>
    </row>
    <row r="1120" spans="1:20" ht="13.2">
      <c r="A1120" s="7"/>
      <c r="B1120" s="7"/>
      <c r="C1120" s="74"/>
      <c r="D1120" s="74"/>
      <c r="F1120" s="7"/>
      <c r="G1120" s="74"/>
      <c r="H1120" s="74"/>
      <c r="J1120" s="7"/>
      <c r="K1120" s="74"/>
      <c r="L1120" s="74"/>
      <c r="N1120" s="7"/>
      <c r="O1120" s="74"/>
      <c r="P1120" s="74"/>
      <c r="R1120" s="7"/>
      <c r="S1120" s="7"/>
      <c r="T1120" s="66"/>
    </row>
    <row r="1121" spans="1:20" ht="13.2">
      <c r="A1121" s="7"/>
      <c r="B1121" s="7"/>
      <c r="C1121" s="74"/>
      <c r="D1121" s="74"/>
      <c r="F1121" s="7"/>
      <c r="G1121" s="74"/>
      <c r="H1121" s="74"/>
      <c r="J1121" s="7"/>
      <c r="K1121" s="74"/>
      <c r="L1121" s="74"/>
      <c r="N1121" s="7"/>
      <c r="O1121" s="74"/>
      <c r="P1121" s="74"/>
      <c r="R1121" s="7"/>
      <c r="S1121" s="7"/>
      <c r="T1121" s="66"/>
    </row>
    <row r="1122" spans="1:20" ht="13.2">
      <c r="A1122" s="7"/>
      <c r="B1122" s="7"/>
      <c r="C1122" s="74"/>
      <c r="D1122" s="74"/>
      <c r="F1122" s="7"/>
      <c r="G1122" s="74"/>
      <c r="H1122" s="74"/>
      <c r="J1122" s="7"/>
      <c r="K1122" s="74"/>
      <c r="L1122" s="74"/>
      <c r="N1122" s="7"/>
      <c r="O1122" s="74"/>
      <c r="P1122" s="74"/>
      <c r="R1122" s="7"/>
      <c r="S1122" s="7"/>
      <c r="T1122" s="66"/>
    </row>
    <row r="1123" spans="1:20" ht="13.2">
      <c r="A1123" s="7"/>
      <c r="B1123" s="7"/>
      <c r="C1123" s="74"/>
      <c r="D1123" s="74"/>
      <c r="F1123" s="7"/>
      <c r="G1123" s="74"/>
      <c r="H1123" s="74"/>
      <c r="J1123" s="7"/>
      <c r="K1123" s="74"/>
      <c r="L1123" s="74"/>
      <c r="N1123" s="7"/>
      <c r="O1123" s="74"/>
      <c r="P1123" s="74"/>
      <c r="R1123" s="7"/>
      <c r="S1123" s="7"/>
      <c r="T1123" s="66"/>
    </row>
    <row r="1124" spans="1:20" ht="13.2">
      <c r="A1124" s="7"/>
      <c r="B1124" s="7"/>
      <c r="C1124" s="74"/>
      <c r="D1124" s="74"/>
      <c r="F1124" s="7"/>
      <c r="G1124" s="74"/>
      <c r="H1124" s="74"/>
      <c r="J1124" s="7"/>
      <c r="K1124" s="74"/>
      <c r="L1124" s="74"/>
      <c r="N1124" s="7"/>
      <c r="O1124" s="74"/>
      <c r="P1124" s="74"/>
      <c r="R1124" s="7"/>
      <c r="S1124" s="7"/>
      <c r="T1124" s="66"/>
    </row>
    <row r="1125" spans="1:20" ht="13.2">
      <c r="A1125" s="7"/>
      <c r="B1125" s="7"/>
      <c r="C1125" s="74"/>
      <c r="D1125" s="74"/>
      <c r="F1125" s="7"/>
      <c r="G1125" s="74"/>
      <c r="H1125" s="74"/>
      <c r="J1125" s="7"/>
      <c r="K1125" s="74"/>
      <c r="L1125" s="74"/>
      <c r="N1125" s="7"/>
      <c r="O1125" s="74"/>
      <c r="P1125" s="74"/>
      <c r="R1125" s="7"/>
      <c r="S1125" s="7"/>
      <c r="T1125" s="66"/>
    </row>
    <row r="1126" spans="1:20" ht="13.2">
      <c r="A1126" s="7"/>
      <c r="B1126" s="7"/>
      <c r="C1126" s="74"/>
      <c r="D1126" s="74"/>
      <c r="F1126" s="7"/>
      <c r="G1126" s="74"/>
      <c r="H1126" s="74"/>
      <c r="J1126" s="7"/>
      <c r="K1126" s="74"/>
      <c r="L1126" s="74"/>
      <c r="N1126" s="7"/>
      <c r="O1126" s="74"/>
      <c r="P1126" s="74"/>
      <c r="R1126" s="7"/>
      <c r="S1126" s="7"/>
      <c r="T1126" s="66"/>
    </row>
    <row r="1127" spans="1:20" ht="13.2">
      <c r="A1127" s="7"/>
      <c r="B1127" s="7"/>
      <c r="C1127" s="74"/>
      <c r="D1127" s="74"/>
      <c r="F1127" s="7"/>
      <c r="G1127" s="74"/>
      <c r="H1127" s="74"/>
      <c r="J1127" s="7"/>
      <c r="K1127" s="74"/>
      <c r="L1127" s="74"/>
      <c r="N1127" s="7"/>
      <c r="O1127" s="74"/>
      <c r="P1127" s="74"/>
      <c r="R1127" s="7"/>
      <c r="S1127" s="7"/>
      <c r="T1127" s="66"/>
    </row>
    <row r="1128" spans="1:20" ht="13.2">
      <c r="A1128" s="7"/>
      <c r="B1128" s="7"/>
      <c r="C1128" s="74"/>
      <c r="D1128" s="74"/>
      <c r="F1128" s="7"/>
      <c r="G1128" s="74"/>
      <c r="H1128" s="74"/>
      <c r="J1128" s="7"/>
      <c r="K1128" s="74"/>
      <c r="L1128" s="74"/>
      <c r="N1128" s="7"/>
      <c r="O1128" s="74"/>
      <c r="P1128" s="74"/>
      <c r="R1128" s="7"/>
      <c r="S1128" s="7"/>
      <c r="T1128" s="66"/>
    </row>
    <row r="1129" spans="1:20" ht="13.2">
      <c r="A1129" s="7"/>
      <c r="B1129" s="7"/>
      <c r="C1129" s="74"/>
      <c r="D1129" s="74"/>
      <c r="F1129" s="7"/>
      <c r="G1129" s="74"/>
      <c r="H1129" s="74"/>
      <c r="J1129" s="7"/>
      <c r="K1129" s="74"/>
      <c r="L1129" s="74"/>
      <c r="N1129" s="7"/>
      <c r="O1129" s="74"/>
      <c r="P1129" s="74"/>
      <c r="R1129" s="7"/>
      <c r="S1129" s="7"/>
      <c r="T1129" s="66"/>
    </row>
    <row r="1130" spans="1:20" ht="13.2">
      <c r="A1130" s="7"/>
      <c r="B1130" s="7"/>
      <c r="C1130" s="74"/>
      <c r="D1130" s="74"/>
      <c r="F1130" s="7"/>
      <c r="G1130" s="74"/>
      <c r="H1130" s="74"/>
      <c r="J1130" s="7"/>
      <c r="K1130" s="74"/>
      <c r="L1130" s="74"/>
      <c r="N1130" s="7"/>
      <c r="O1130" s="74"/>
      <c r="P1130" s="74"/>
      <c r="R1130" s="7"/>
      <c r="S1130" s="7"/>
      <c r="T1130" s="66"/>
    </row>
    <row r="1131" spans="1:20" ht="13.2">
      <c r="A1131" s="7"/>
      <c r="B1131" s="7"/>
      <c r="C1131" s="74"/>
      <c r="D1131" s="74"/>
      <c r="F1131" s="7"/>
      <c r="G1131" s="74"/>
      <c r="H1131" s="74"/>
      <c r="J1131" s="7"/>
      <c r="K1131" s="74"/>
      <c r="L1131" s="74"/>
      <c r="N1131" s="7"/>
      <c r="O1131" s="74"/>
      <c r="P1131" s="74"/>
      <c r="R1131" s="7"/>
      <c r="S1131" s="7"/>
      <c r="T1131" s="66"/>
    </row>
    <row r="1132" spans="1:20" ht="13.2">
      <c r="A1132" s="7"/>
      <c r="B1132" s="7"/>
      <c r="C1132" s="74"/>
      <c r="D1132" s="74"/>
      <c r="F1132" s="7"/>
      <c r="G1132" s="74"/>
      <c r="H1132" s="74"/>
      <c r="J1132" s="7"/>
      <c r="K1132" s="74"/>
      <c r="L1132" s="74"/>
      <c r="N1132" s="7"/>
      <c r="O1132" s="74"/>
      <c r="P1132" s="74"/>
      <c r="R1132" s="7"/>
      <c r="S1132" s="7"/>
      <c r="T1132" s="66"/>
    </row>
    <row r="1133" spans="1:20" ht="13.2">
      <c r="A1133" s="7"/>
      <c r="B1133" s="7"/>
      <c r="C1133" s="74"/>
      <c r="D1133" s="74"/>
      <c r="F1133" s="7"/>
      <c r="G1133" s="74"/>
      <c r="H1133" s="74"/>
      <c r="J1133" s="7"/>
      <c r="K1133" s="74"/>
      <c r="L1133" s="74"/>
      <c r="N1133" s="7"/>
      <c r="O1133" s="74"/>
      <c r="P1133" s="74"/>
      <c r="R1133" s="7"/>
      <c r="S1133" s="7"/>
      <c r="T1133" s="66"/>
    </row>
    <row r="1134" spans="1:20" ht="13.2">
      <c r="A1134" s="7"/>
      <c r="B1134" s="7"/>
      <c r="C1134" s="74"/>
      <c r="D1134" s="74"/>
      <c r="F1134" s="7"/>
      <c r="G1134" s="74"/>
      <c r="H1134" s="74"/>
      <c r="J1134" s="7"/>
      <c r="K1134" s="74"/>
      <c r="L1134" s="74"/>
      <c r="N1134" s="7"/>
      <c r="O1134" s="74"/>
      <c r="P1134" s="74"/>
      <c r="R1134" s="7"/>
      <c r="S1134" s="7"/>
      <c r="T1134" s="66"/>
    </row>
    <row r="1135" spans="1:20" ht="13.2">
      <c r="A1135" s="7"/>
      <c r="B1135" s="7"/>
      <c r="C1135" s="74"/>
      <c r="D1135" s="74"/>
      <c r="F1135" s="7"/>
      <c r="G1135" s="74"/>
      <c r="H1135" s="74"/>
      <c r="J1135" s="7"/>
      <c r="K1135" s="74"/>
      <c r="L1135" s="74"/>
      <c r="N1135" s="7"/>
      <c r="O1135" s="74"/>
      <c r="P1135" s="74"/>
      <c r="R1135" s="7"/>
      <c r="S1135" s="7"/>
      <c r="T1135" s="66"/>
    </row>
    <row r="1136" spans="1:20" ht="13.2">
      <c r="A1136" s="7"/>
      <c r="B1136" s="7"/>
      <c r="C1136" s="74"/>
      <c r="D1136" s="74"/>
      <c r="F1136" s="7"/>
      <c r="G1136" s="74"/>
      <c r="H1136" s="74"/>
      <c r="J1136" s="7"/>
      <c r="K1136" s="74"/>
      <c r="L1136" s="74"/>
      <c r="N1136" s="7"/>
      <c r="O1136" s="74"/>
      <c r="P1136" s="74"/>
      <c r="R1136" s="7"/>
      <c r="S1136" s="7"/>
      <c r="T1136" s="66"/>
    </row>
    <row r="1137" spans="1:20" ht="13.2">
      <c r="A1137" s="7"/>
      <c r="B1137" s="7"/>
      <c r="C1137" s="74"/>
      <c r="D1137" s="74"/>
      <c r="F1137" s="7"/>
      <c r="G1137" s="74"/>
      <c r="H1137" s="74"/>
      <c r="J1137" s="7"/>
      <c r="K1137" s="74"/>
      <c r="L1137" s="74"/>
      <c r="N1137" s="7"/>
      <c r="O1137" s="74"/>
      <c r="P1137" s="74"/>
      <c r="R1137" s="7"/>
      <c r="S1137" s="7"/>
      <c r="T1137" s="66"/>
    </row>
    <row r="1138" spans="1:20" ht="13.2">
      <c r="A1138" s="7"/>
      <c r="B1138" s="7"/>
      <c r="C1138" s="74"/>
      <c r="D1138" s="74"/>
      <c r="F1138" s="7"/>
      <c r="G1138" s="74"/>
      <c r="H1138" s="74"/>
      <c r="J1138" s="7"/>
      <c r="K1138" s="74"/>
      <c r="L1138" s="74"/>
      <c r="N1138" s="7"/>
      <c r="O1138" s="74"/>
      <c r="P1138" s="74"/>
      <c r="R1138" s="7"/>
      <c r="S1138" s="7"/>
      <c r="T1138" s="66"/>
    </row>
    <row r="1139" spans="1:20" ht="13.2">
      <c r="A1139" s="7"/>
      <c r="B1139" s="7"/>
      <c r="C1139" s="74"/>
      <c r="D1139" s="74"/>
      <c r="F1139" s="7"/>
      <c r="G1139" s="74"/>
      <c r="H1139" s="74"/>
      <c r="J1139" s="7"/>
      <c r="K1139" s="74"/>
      <c r="L1139" s="74"/>
      <c r="N1139" s="7"/>
      <c r="O1139" s="74"/>
      <c r="P1139" s="74"/>
      <c r="R1139" s="7"/>
      <c r="S1139" s="7"/>
      <c r="T1139" s="66"/>
    </row>
    <row r="1140" spans="1:20" ht="13.2">
      <c r="A1140" s="7"/>
      <c r="B1140" s="7"/>
      <c r="C1140" s="74"/>
      <c r="D1140" s="74"/>
      <c r="F1140" s="7"/>
      <c r="G1140" s="74"/>
      <c r="H1140" s="74"/>
      <c r="J1140" s="7"/>
      <c r="K1140" s="74"/>
      <c r="L1140" s="74"/>
      <c r="N1140" s="7"/>
      <c r="O1140" s="74"/>
      <c r="P1140" s="74"/>
      <c r="R1140" s="7"/>
      <c r="S1140" s="7"/>
      <c r="T1140" s="66"/>
    </row>
    <row r="1141" spans="1:20" ht="13.2">
      <c r="A1141" s="7"/>
      <c r="B1141" s="7"/>
      <c r="C1141" s="74"/>
      <c r="D1141" s="74"/>
      <c r="F1141" s="7"/>
      <c r="G1141" s="74"/>
      <c r="H1141" s="74"/>
      <c r="J1141" s="7"/>
      <c r="K1141" s="74"/>
      <c r="L1141" s="74"/>
      <c r="N1141" s="7"/>
      <c r="O1141" s="74"/>
      <c r="P1141" s="74"/>
      <c r="R1141" s="7"/>
      <c r="S1141" s="7"/>
      <c r="T1141" s="66"/>
    </row>
    <row r="1142" spans="1:20" ht="13.2">
      <c r="A1142" s="7"/>
      <c r="B1142" s="7"/>
      <c r="C1142" s="74"/>
      <c r="D1142" s="74"/>
      <c r="F1142" s="7"/>
      <c r="G1142" s="74"/>
      <c r="H1142" s="74"/>
      <c r="J1142" s="7"/>
      <c r="K1142" s="74"/>
      <c r="L1142" s="74"/>
      <c r="N1142" s="7"/>
      <c r="O1142" s="74"/>
      <c r="P1142" s="74"/>
      <c r="R1142" s="7"/>
      <c r="S1142" s="7"/>
      <c r="T1142" s="66"/>
    </row>
    <row r="1143" spans="1:20" ht="13.2">
      <c r="A1143" s="7"/>
      <c r="B1143" s="7"/>
      <c r="C1143" s="74"/>
      <c r="D1143" s="74"/>
      <c r="F1143" s="7"/>
      <c r="G1143" s="74"/>
      <c r="H1143" s="74"/>
      <c r="J1143" s="7"/>
      <c r="K1143" s="74"/>
      <c r="L1143" s="74"/>
      <c r="N1143" s="7"/>
      <c r="O1143" s="74"/>
      <c r="P1143" s="74"/>
      <c r="R1143" s="7"/>
      <c r="S1143" s="7"/>
      <c r="T1143" s="66"/>
    </row>
    <row r="1144" spans="1:20" ht="13.2">
      <c r="A1144" s="7"/>
      <c r="B1144" s="7"/>
      <c r="C1144" s="74"/>
      <c r="D1144" s="74"/>
      <c r="F1144" s="7"/>
      <c r="G1144" s="74"/>
      <c r="H1144" s="74"/>
      <c r="J1144" s="7"/>
      <c r="K1144" s="74"/>
      <c r="L1144" s="74"/>
      <c r="N1144" s="7"/>
      <c r="O1144" s="74"/>
      <c r="P1144" s="74"/>
      <c r="R1144" s="7"/>
      <c r="S1144" s="7"/>
      <c r="T1144" s="66"/>
    </row>
    <row r="1145" spans="1:20" ht="13.2">
      <c r="A1145" s="7"/>
      <c r="B1145" s="7"/>
      <c r="C1145" s="74"/>
      <c r="D1145" s="74"/>
      <c r="F1145" s="7"/>
      <c r="G1145" s="74"/>
      <c r="H1145" s="74"/>
      <c r="J1145" s="7"/>
      <c r="K1145" s="74"/>
      <c r="L1145" s="74"/>
      <c r="N1145" s="7"/>
      <c r="O1145" s="74"/>
      <c r="P1145" s="74"/>
      <c r="R1145" s="7"/>
      <c r="S1145" s="7"/>
      <c r="T1145" s="66"/>
    </row>
    <row r="1146" spans="1:20" ht="13.2">
      <c r="A1146" s="7"/>
      <c r="B1146" s="7"/>
      <c r="C1146" s="74"/>
      <c r="D1146" s="74"/>
      <c r="F1146" s="7"/>
      <c r="G1146" s="74"/>
      <c r="H1146" s="74"/>
      <c r="J1146" s="7"/>
      <c r="K1146" s="74"/>
      <c r="L1146" s="74"/>
      <c r="N1146" s="7"/>
      <c r="O1146" s="74"/>
      <c r="P1146" s="74"/>
      <c r="R1146" s="7"/>
      <c r="S1146" s="7"/>
      <c r="T1146" s="66"/>
    </row>
    <row r="1147" spans="1:20" ht="13.2">
      <c r="A1147" s="7"/>
      <c r="B1147" s="7"/>
      <c r="C1147" s="74"/>
      <c r="D1147" s="74"/>
      <c r="F1147" s="7"/>
      <c r="G1147" s="74"/>
      <c r="H1147" s="74"/>
      <c r="J1147" s="7"/>
      <c r="K1147" s="74"/>
      <c r="L1147" s="74"/>
      <c r="N1147" s="7"/>
      <c r="O1147" s="74"/>
      <c r="P1147" s="74"/>
      <c r="R1147" s="7"/>
      <c r="S1147" s="7"/>
      <c r="T1147" s="66"/>
    </row>
    <row r="1148" spans="1:20" ht="13.2">
      <c r="A1148" s="7"/>
      <c r="B1148" s="7"/>
      <c r="C1148" s="74"/>
      <c r="D1148" s="74"/>
      <c r="F1148" s="7"/>
      <c r="G1148" s="74"/>
      <c r="H1148" s="74"/>
      <c r="J1148" s="7"/>
      <c r="K1148" s="74"/>
      <c r="L1148" s="74"/>
      <c r="N1148" s="7"/>
      <c r="O1148" s="74"/>
      <c r="P1148" s="74"/>
      <c r="R1148" s="7"/>
      <c r="S1148" s="7"/>
      <c r="T1148" s="66"/>
    </row>
    <row r="1149" spans="1:20" ht="13.2">
      <c r="A1149" s="7"/>
      <c r="B1149" s="7"/>
      <c r="C1149" s="74"/>
      <c r="D1149" s="74"/>
      <c r="F1149" s="7"/>
      <c r="G1149" s="74"/>
      <c r="H1149" s="74"/>
      <c r="J1149" s="7"/>
      <c r="K1149" s="74"/>
      <c r="L1149" s="74"/>
      <c r="N1149" s="7"/>
      <c r="O1149" s="74"/>
      <c r="P1149" s="74"/>
      <c r="R1149" s="7"/>
      <c r="S1149" s="7"/>
      <c r="T1149" s="66"/>
    </row>
    <row r="1150" spans="1:20" ht="13.2">
      <c r="A1150" s="7"/>
      <c r="B1150" s="7"/>
      <c r="C1150" s="74"/>
      <c r="D1150" s="74"/>
      <c r="F1150" s="7"/>
      <c r="G1150" s="74"/>
      <c r="H1150" s="74"/>
      <c r="J1150" s="7"/>
      <c r="K1150" s="74"/>
      <c r="L1150" s="74"/>
      <c r="N1150" s="7"/>
      <c r="O1150" s="74"/>
      <c r="P1150" s="74"/>
      <c r="R1150" s="7"/>
      <c r="S1150" s="7"/>
      <c r="T1150" s="66"/>
    </row>
    <row r="1151" spans="1:20" ht="13.2">
      <c r="A1151" s="7"/>
      <c r="B1151" s="7"/>
      <c r="C1151" s="74"/>
      <c r="D1151" s="74"/>
      <c r="F1151" s="7"/>
      <c r="G1151" s="74"/>
      <c r="H1151" s="74"/>
      <c r="J1151" s="7"/>
      <c r="K1151" s="74"/>
      <c r="L1151" s="74"/>
      <c r="N1151" s="7"/>
      <c r="O1151" s="74"/>
      <c r="P1151" s="74"/>
      <c r="R1151" s="7"/>
      <c r="S1151" s="7"/>
      <c r="T1151" s="66"/>
    </row>
    <row r="1152" spans="1:20" ht="13.2">
      <c r="A1152" s="7"/>
      <c r="B1152" s="7"/>
      <c r="C1152" s="74"/>
      <c r="D1152" s="74"/>
      <c r="F1152" s="7"/>
      <c r="G1152" s="74"/>
      <c r="H1152" s="74"/>
      <c r="J1152" s="7"/>
      <c r="K1152" s="74"/>
      <c r="L1152" s="74"/>
      <c r="N1152" s="7"/>
      <c r="O1152" s="74"/>
      <c r="P1152" s="74"/>
      <c r="R1152" s="7"/>
      <c r="S1152" s="7"/>
      <c r="T1152" s="66"/>
    </row>
    <row r="1153" spans="1:20" ht="13.2">
      <c r="A1153" s="7"/>
      <c r="B1153" s="7"/>
      <c r="C1153" s="74"/>
      <c r="D1153" s="74"/>
      <c r="F1153" s="7"/>
      <c r="G1153" s="74"/>
      <c r="H1153" s="74"/>
      <c r="J1153" s="7"/>
      <c r="K1153" s="74"/>
      <c r="L1153" s="74"/>
      <c r="N1153" s="7"/>
      <c r="O1153" s="74"/>
      <c r="P1153" s="74"/>
      <c r="R1153" s="7"/>
      <c r="S1153" s="7"/>
      <c r="T1153" s="66"/>
    </row>
    <row r="1154" spans="1:20" ht="13.2">
      <c r="A1154" s="7"/>
      <c r="B1154" s="7"/>
      <c r="C1154" s="74"/>
      <c r="D1154" s="74"/>
      <c r="F1154" s="7"/>
      <c r="G1154" s="74"/>
      <c r="H1154" s="74"/>
      <c r="J1154" s="7"/>
      <c r="K1154" s="74"/>
      <c r="L1154" s="74"/>
      <c r="N1154" s="7"/>
      <c r="O1154" s="74"/>
      <c r="P1154" s="74"/>
      <c r="R1154" s="7"/>
      <c r="S1154" s="7"/>
      <c r="T1154" s="66"/>
    </row>
    <row r="1155" spans="1:20" ht="13.2">
      <c r="A1155" s="7"/>
      <c r="B1155" s="7"/>
      <c r="C1155" s="74"/>
      <c r="D1155" s="74"/>
      <c r="F1155" s="7"/>
      <c r="G1155" s="74"/>
      <c r="H1155" s="74"/>
      <c r="J1155" s="7"/>
      <c r="K1155" s="74"/>
      <c r="L1155" s="74"/>
      <c r="N1155" s="7"/>
      <c r="O1155" s="74"/>
      <c r="P1155" s="74"/>
      <c r="R1155" s="7"/>
      <c r="S1155" s="7"/>
      <c r="T1155" s="66"/>
    </row>
    <row r="1156" spans="1:20" ht="13.2">
      <c r="A1156" s="7"/>
      <c r="B1156" s="7"/>
      <c r="C1156" s="74"/>
      <c r="D1156" s="74"/>
      <c r="F1156" s="7"/>
      <c r="G1156" s="74"/>
      <c r="H1156" s="74"/>
      <c r="J1156" s="7"/>
      <c r="K1156" s="74"/>
      <c r="L1156" s="74"/>
      <c r="N1156" s="7"/>
      <c r="O1156" s="74"/>
      <c r="P1156" s="74"/>
      <c r="R1156" s="7"/>
      <c r="S1156" s="7"/>
      <c r="T1156" s="66"/>
    </row>
    <row r="1157" spans="1:20" ht="13.2">
      <c r="A1157" s="7"/>
      <c r="B1157" s="7"/>
      <c r="C1157" s="74"/>
      <c r="D1157" s="74"/>
      <c r="F1157" s="7"/>
      <c r="G1157" s="74"/>
      <c r="H1157" s="74"/>
      <c r="J1157" s="7"/>
      <c r="K1157" s="74"/>
      <c r="L1157" s="74"/>
      <c r="N1157" s="7"/>
      <c r="O1157" s="74"/>
      <c r="P1157" s="74"/>
      <c r="R1157" s="7"/>
      <c r="S1157" s="7"/>
      <c r="T1157" s="66"/>
    </row>
    <row r="1158" spans="1:20" ht="13.2">
      <c r="A1158" s="7"/>
      <c r="B1158" s="7"/>
      <c r="C1158" s="74"/>
      <c r="D1158" s="74"/>
      <c r="F1158" s="7"/>
      <c r="G1158" s="74"/>
      <c r="H1158" s="74"/>
      <c r="J1158" s="7"/>
      <c r="K1158" s="74"/>
      <c r="L1158" s="74"/>
      <c r="N1158" s="7"/>
      <c r="O1158" s="74"/>
      <c r="P1158" s="74"/>
      <c r="R1158" s="7"/>
      <c r="S1158" s="7"/>
      <c r="T1158" s="66"/>
    </row>
    <row r="1159" spans="1:20" ht="13.2">
      <c r="A1159" s="7"/>
      <c r="B1159" s="7"/>
      <c r="C1159" s="74"/>
      <c r="D1159" s="74"/>
      <c r="F1159" s="7"/>
      <c r="G1159" s="74"/>
      <c r="H1159" s="74"/>
      <c r="J1159" s="7"/>
      <c r="K1159" s="74"/>
      <c r="L1159" s="74"/>
      <c r="N1159" s="7"/>
      <c r="O1159" s="74"/>
      <c r="P1159" s="74"/>
      <c r="R1159" s="7"/>
      <c r="S1159" s="7"/>
      <c r="T1159" s="66"/>
    </row>
    <row r="1160" spans="1:20" ht="13.2">
      <c r="A1160" s="7"/>
      <c r="B1160" s="7"/>
      <c r="C1160" s="74"/>
      <c r="D1160" s="74"/>
      <c r="F1160" s="7"/>
      <c r="G1160" s="74"/>
      <c r="H1160" s="74"/>
      <c r="J1160" s="7"/>
      <c r="K1160" s="74"/>
      <c r="L1160" s="74"/>
      <c r="N1160" s="7"/>
      <c r="O1160" s="74"/>
      <c r="P1160" s="74"/>
      <c r="R1160" s="7"/>
      <c r="S1160" s="7"/>
      <c r="T1160" s="66"/>
    </row>
    <row r="1161" spans="1:20" ht="13.2">
      <c r="A1161" s="7"/>
      <c r="B1161" s="7"/>
      <c r="C1161" s="74"/>
      <c r="D1161" s="74"/>
      <c r="F1161" s="7"/>
      <c r="G1161" s="74"/>
      <c r="H1161" s="74"/>
      <c r="J1161" s="7"/>
      <c r="K1161" s="74"/>
      <c r="L1161" s="74"/>
      <c r="N1161" s="7"/>
      <c r="O1161" s="74"/>
      <c r="P1161" s="74"/>
      <c r="R1161" s="7"/>
      <c r="S1161" s="7"/>
      <c r="T1161" s="66"/>
    </row>
    <row r="1162" spans="1:20" ht="13.2">
      <c r="A1162" s="7"/>
      <c r="B1162" s="7"/>
      <c r="C1162" s="74"/>
      <c r="D1162" s="74"/>
      <c r="F1162" s="7"/>
      <c r="G1162" s="74"/>
      <c r="H1162" s="74"/>
      <c r="J1162" s="7"/>
      <c r="K1162" s="74"/>
      <c r="L1162" s="74"/>
      <c r="N1162" s="7"/>
      <c r="O1162" s="74"/>
      <c r="P1162" s="74"/>
      <c r="R1162" s="7"/>
      <c r="S1162" s="7"/>
      <c r="T1162" s="66"/>
    </row>
    <row r="1163" spans="1:20" ht="13.2">
      <c r="A1163" s="7"/>
      <c r="B1163" s="7"/>
      <c r="C1163" s="74"/>
      <c r="D1163" s="74"/>
      <c r="F1163" s="7"/>
      <c r="G1163" s="74"/>
      <c r="H1163" s="74"/>
      <c r="J1163" s="7"/>
      <c r="K1163" s="74"/>
      <c r="L1163" s="74"/>
      <c r="N1163" s="7"/>
      <c r="O1163" s="74"/>
      <c r="P1163" s="74"/>
      <c r="R1163" s="7"/>
      <c r="S1163" s="7"/>
      <c r="T1163" s="66"/>
    </row>
    <row r="1164" spans="1:20" ht="13.2">
      <c r="A1164" s="7"/>
      <c r="B1164" s="7"/>
      <c r="C1164" s="74"/>
      <c r="D1164" s="74"/>
      <c r="F1164" s="7"/>
      <c r="G1164" s="74"/>
      <c r="H1164" s="74"/>
      <c r="J1164" s="7"/>
      <c r="K1164" s="74"/>
      <c r="L1164" s="74"/>
      <c r="N1164" s="7"/>
      <c r="O1164" s="74"/>
      <c r="P1164" s="74"/>
      <c r="R1164" s="7"/>
      <c r="S1164" s="7"/>
      <c r="T1164" s="66"/>
    </row>
    <row r="1165" spans="1:20" ht="13.2">
      <c r="A1165" s="7"/>
      <c r="B1165" s="7"/>
      <c r="C1165" s="74"/>
      <c r="D1165" s="74"/>
      <c r="F1165" s="7"/>
      <c r="G1165" s="74"/>
      <c r="H1165" s="74"/>
      <c r="J1165" s="7"/>
      <c r="K1165" s="74"/>
      <c r="L1165" s="74"/>
      <c r="N1165" s="7"/>
      <c r="O1165" s="74"/>
      <c r="P1165" s="74"/>
      <c r="R1165" s="7"/>
      <c r="S1165" s="7"/>
      <c r="T1165" s="66"/>
    </row>
    <row r="1166" spans="1:20" ht="13.2">
      <c r="A1166" s="7"/>
      <c r="B1166" s="7"/>
      <c r="C1166" s="74"/>
      <c r="D1166" s="74"/>
      <c r="F1166" s="7"/>
      <c r="G1166" s="74"/>
      <c r="H1166" s="74"/>
      <c r="J1166" s="7"/>
      <c r="K1166" s="74"/>
      <c r="L1166" s="74"/>
      <c r="N1166" s="7"/>
      <c r="O1166" s="74"/>
      <c r="P1166" s="74"/>
      <c r="R1166" s="7"/>
      <c r="S1166" s="7"/>
      <c r="T1166" s="66"/>
    </row>
    <row r="1167" spans="1:20" ht="13.2">
      <c r="A1167" s="7"/>
      <c r="B1167" s="7"/>
      <c r="C1167" s="74"/>
      <c r="D1167" s="74"/>
      <c r="F1167" s="7"/>
      <c r="G1167" s="74"/>
      <c r="H1167" s="74"/>
      <c r="J1167" s="7"/>
      <c r="K1167" s="74"/>
      <c r="L1167" s="74"/>
      <c r="N1167" s="7"/>
      <c r="O1167" s="74"/>
      <c r="P1167" s="74"/>
      <c r="R1167" s="7"/>
      <c r="S1167" s="7"/>
      <c r="T1167" s="66"/>
    </row>
    <row r="1168" spans="1:20" ht="13.2">
      <c r="A1168" s="7"/>
      <c r="B1168" s="7"/>
      <c r="C1168" s="74"/>
      <c r="D1168" s="74"/>
      <c r="F1168" s="7"/>
      <c r="G1168" s="74"/>
      <c r="H1168" s="74"/>
      <c r="J1168" s="7"/>
      <c r="K1168" s="74"/>
      <c r="L1168" s="74"/>
      <c r="N1168" s="7"/>
      <c r="O1168" s="74"/>
      <c r="P1168" s="74"/>
      <c r="R1168" s="7"/>
      <c r="S1168" s="7"/>
      <c r="T1168" s="66"/>
    </row>
    <row r="1169" spans="1:20" ht="13.2">
      <c r="A1169" s="7"/>
      <c r="B1169" s="7"/>
      <c r="C1169" s="74"/>
      <c r="D1169" s="74"/>
      <c r="F1169" s="7"/>
      <c r="G1169" s="74"/>
      <c r="H1169" s="74"/>
      <c r="J1169" s="7"/>
      <c r="K1169" s="74"/>
      <c r="L1169" s="74"/>
      <c r="N1169" s="7"/>
      <c r="O1169" s="74"/>
      <c r="P1169" s="74"/>
      <c r="R1169" s="7"/>
      <c r="S1169" s="7"/>
      <c r="T1169" s="66"/>
    </row>
    <row r="1170" spans="1:20" ht="13.2">
      <c r="A1170" s="7"/>
      <c r="B1170" s="7"/>
      <c r="C1170" s="74"/>
      <c r="D1170" s="74"/>
      <c r="F1170" s="7"/>
      <c r="G1170" s="74"/>
      <c r="H1170" s="74"/>
      <c r="J1170" s="7"/>
      <c r="K1170" s="74"/>
      <c r="L1170" s="74"/>
      <c r="N1170" s="7"/>
      <c r="O1170" s="74"/>
      <c r="P1170" s="74"/>
      <c r="R1170" s="7"/>
      <c r="S1170" s="7"/>
      <c r="T1170" s="66"/>
    </row>
    <row r="1171" spans="1:20" ht="13.2">
      <c r="A1171" s="7"/>
      <c r="B1171" s="7"/>
      <c r="C1171" s="74"/>
      <c r="D1171" s="74"/>
      <c r="F1171" s="7"/>
      <c r="G1171" s="74"/>
      <c r="H1171" s="74"/>
      <c r="J1171" s="7"/>
      <c r="K1171" s="74"/>
      <c r="L1171" s="74"/>
      <c r="N1171" s="7"/>
      <c r="O1171" s="74"/>
      <c r="P1171" s="74"/>
      <c r="R1171" s="7"/>
      <c r="S1171" s="7"/>
      <c r="T1171" s="66"/>
    </row>
    <row r="1172" spans="1:20" ht="13.2">
      <c r="A1172" s="7"/>
      <c r="B1172" s="7"/>
      <c r="C1172" s="74"/>
      <c r="D1172" s="74"/>
      <c r="F1172" s="7"/>
      <c r="G1172" s="74"/>
      <c r="H1172" s="74"/>
      <c r="J1172" s="7"/>
      <c r="K1172" s="74"/>
      <c r="L1172" s="74"/>
      <c r="N1172" s="7"/>
      <c r="O1172" s="74"/>
      <c r="P1172" s="74"/>
      <c r="R1172" s="7"/>
      <c r="S1172" s="7"/>
      <c r="T1172" s="66"/>
    </row>
    <row r="1173" spans="1:20" ht="13.2">
      <c r="A1173" s="7"/>
      <c r="B1173" s="7"/>
      <c r="C1173" s="74"/>
      <c r="D1173" s="74"/>
      <c r="F1173" s="7"/>
      <c r="G1173" s="74"/>
      <c r="H1173" s="74"/>
      <c r="J1173" s="7"/>
      <c r="K1173" s="74"/>
      <c r="L1173" s="74"/>
      <c r="N1173" s="7"/>
      <c r="O1173" s="74"/>
      <c r="P1173" s="74"/>
      <c r="R1173" s="7"/>
      <c r="S1173" s="7"/>
      <c r="T1173" s="66"/>
    </row>
    <row r="1174" spans="1:20" ht="13.2">
      <c r="A1174" s="7"/>
      <c r="B1174" s="7"/>
      <c r="C1174" s="74"/>
      <c r="D1174" s="74"/>
      <c r="F1174" s="7"/>
      <c r="G1174" s="74"/>
      <c r="H1174" s="74"/>
      <c r="J1174" s="7"/>
      <c r="K1174" s="74"/>
      <c r="L1174" s="74"/>
      <c r="N1174" s="7"/>
      <c r="O1174" s="74"/>
      <c r="P1174" s="74"/>
      <c r="R1174" s="7"/>
      <c r="S1174" s="7"/>
      <c r="T1174" s="66"/>
    </row>
    <row r="1175" spans="1:20" ht="13.2">
      <c r="A1175" s="7"/>
      <c r="B1175" s="7"/>
      <c r="C1175" s="74"/>
      <c r="D1175" s="74"/>
      <c r="F1175" s="7"/>
      <c r="G1175" s="74"/>
      <c r="H1175" s="74"/>
      <c r="J1175" s="7"/>
      <c r="K1175" s="74"/>
      <c r="L1175" s="74"/>
      <c r="N1175" s="7"/>
      <c r="O1175" s="74"/>
      <c r="P1175" s="74"/>
      <c r="R1175" s="7"/>
      <c r="S1175" s="7"/>
      <c r="T1175" s="66"/>
    </row>
    <row r="1176" spans="1:20" ht="13.2">
      <c r="A1176" s="7"/>
      <c r="B1176" s="7"/>
      <c r="C1176" s="74"/>
      <c r="D1176" s="74"/>
      <c r="F1176" s="7"/>
      <c r="G1176" s="74"/>
      <c r="H1176" s="74"/>
      <c r="J1176" s="7"/>
      <c r="K1176" s="74"/>
      <c r="L1176" s="74"/>
      <c r="N1176" s="7"/>
      <c r="O1176" s="74"/>
      <c r="P1176" s="74"/>
      <c r="R1176" s="7"/>
      <c r="S1176" s="7"/>
      <c r="T1176" s="66"/>
    </row>
    <row r="1177" spans="1:20" ht="13.2">
      <c r="A1177" s="7"/>
      <c r="B1177" s="7"/>
      <c r="C1177" s="74"/>
      <c r="D1177" s="74"/>
      <c r="F1177" s="7"/>
      <c r="G1177" s="74"/>
      <c r="H1177" s="74"/>
      <c r="J1177" s="7"/>
      <c r="K1177" s="74"/>
      <c r="L1177" s="74"/>
      <c r="N1177" s="7"/>
      <c r="O1177" s="74"/>
      <c r="P1177" s="74"/>
      <c r="R1177" s="7"/>
      <c r="S1177" s="7"/>
      <c r="T1177" s="66"/>
    </row>
    <row r="1178" spans="1:20" ht="13.2">
      <c r="A1178" s="7"/>
      <c r="B1178" s="7"/>
      <c r="C1178" s="74"/>
      <c r="D1178" s="74"/>
      <c r="F1178" s="7"/>
      <c r="G1178" s="74"/>
      <c r="H1178" s="74"/>
      <c r="J1178" s="7"/>
      <c r="K1178" s="74"/>
      <c r="L1178" s="74"/>
      <c r="N1178" s="7"/>
      <c r="O1178" s="74"/>
      <c r="P1178" s="74"/>
      <c r="R1178" s="7"/>
      <c r="S1178" s="7"/>
      <c r="T1178" s="66"/>
    </row>
    <row r="1179" spans="1:20" ht="13.2">
      <c r="A1179" s="7"/>
      <c r="B1179" s="7"/>
      <c r="C1179" s="74"/>
      <c r="D1179" s="74"/>
      <c r="F1179" s="7"/>
      <c r="G1179" s="74"/>
      <c r="H1179" s="74"/>
      <c r="J1179" s="7"/>
      <c r="K1179" s="74"/>
      <c r="L1179" s="74"/>
      <c r="N1179" s="7"/>
      <c r="O1179" s="74"/>
      <c r="P1179" s="74"/>
      <c r="R1179" s="7"/>
      <c r="S1179" s="7"/>
      <c r="T1179" s="66"/>
    </row>
    <row r="1180" spans="1:20" ht="13.2">
      <c r="A1180" s="7"/>
      <c r="B1180" s="7"/>
      <c r="C1180" s="74"/>
      <c r="D1180" s="74"/>
      <c r="F1180" s="7"/>
      <c r="G1180" s="74"/>
      <c r="H1180" s="74"/>
      <c r="J1180" s="7"/>
      <c r="K1180" s="74"/>
      <c r="L1180" s="74"/>
      <c r="N1180" s="7"/>
      <c r="O1180" s="74"/>
      <c r="P1180" s="74"/>
      <c r="R1180" s="7"/>
      <c r="S1180" s="7"/>
      <c r="T1180" s="66"/>
    </row>
    <row r="1181" spans="1:20" ht="13.2">
      <c r="A1181" s="7"/>
      <c r="B1181" s="7"/>
      <c r="C1181" s="74"/>
      <c r="D1181" s="74"/>
      <c r="F1181" s="7"/>
      <c r="G1181" s="74"/>
      <c r="H1181" s="74"/>
      <c r="J1181" s="7"/>
      <c r="K1181" s="74"/>
      <c r="L1181" s="74"/>
      <c r="N1181" s="7"/>
      <c r="O1181" s="74"/>
      <c r="P1181" s="74"/>
      <c r="R1181" s="7"/>
      <c r="S1181" s="7"/>
      <c r="T1181" s="66"/>
    </row>
    <row r="1182" spans="1:20" ht="13.2">
      <c r="A1182" s="7"/>
      <c r="B1182" s="7"/>
      <c r="C1182" s="74"/>
      <c r="D1182" s="74"/>
      <c r="F1182" s="7"/>
      <c r="G1182" s="74"/>
      <c r="H1182" s="74"/>
      <c r="J1182" s="7"/>
      <c r="K1182" s="74"/>
      <c r="L1182" s="74"/>
      <c r="N1182" s="7"/>
      <c r="O1182" s="74"/>
      <c r="P1182" s="74"/>
      <c r="R1182" s="7"/>
      <c r="S1182" s="7"/>
      <c r="T1182" s="66"/>
    </row>
    <row r="1183" spans="1:20" ht="13.2">
      <c r="A1183" s="7"/>
      <c r="B1183" s="7"/>
      <c r="C1183" s="74"/>
      <c r="D1183" s="74"/>
      <c r="F1183" s="7"/>
      <c r="G1183" s="74"/>
      <c r="H1183" s="74"/>
      <c r="J1183" s="7"/>
      <c r="K1183" s="74"/>
      <c r="L1183" s="74"/>
      <c r="N1183" s="7"/>
      <c r="O1183" s="74"/>
      <c r="P1183" s="74"/>
      <c r="R1183" s="7"/>
      <c r="S1183" s="7"/>
      <c r="T1183" s="66"/>
    </row>
    <row r="1184" spans="1:20" ht="13.2">
      <c r="A1184" s="7"/>
      <c r="B1184" s="7"/>
      <c r="C1184" s="74"/>
      <c r="D1184" s="74"/>
      <c r="F1184" s="7"/>
      <c r="G1184" s="74"/>
      <c r="H1184" s="74"/>
      <c r="J1184" s="7"/>
      <c r="K1184" s="74"/>
      <c r="L1184" s="74"/>
      <c r="N1184" s="7"/>
      <c r="O1184" s="74"/>
      <c r="P1184" s="74"/>
      <c r="R1184" s="7"/>
      <c r="S1184" s="7"/>
      <c r="T1184" s="66"/>
    </row>
    <row r="1185" spans="1:20" ht="13.2">
      <c r="A1185" s="7"/>
      <c r="B1185" s="7"/>
      <c r="C1185" s="74"/>
      <c r="D1185" s="74"/>
      <c r="F1185" s="7"/>
      <c r="G1185" s="74"/>
      <c r="H1185" s="74"/>
      <c r="J1185" s="7"/>
      <c r="K1185" s="74"/>
      <c r="L1185" s="74"/>
      <c r="N1185" s="7"/>
      <c r="O1185" s="74"/>
      <c r="P1185" s="74"/>
      <c r="R1185" s="7"/>
      <c r="S1185" s="7"/>
      <c r="T1185" s="66"/>
    </row>
    <row r="1186" spans="1:20" ht="13.2">
      <c r="A1186" s="7"/>
      <c r="B1186" s="7"/>
      <c r="C1186" s="74"/>
      <c r="D1186" s="74"/>
      <c r="F1186" s="7"/>
      <c r="G1186" s="74"/>
      <c r="H1186" s="74"/>
      <c r="J1186" s="7"/>
      <c r="K1186" s="74"/>
      <c r="L1186" s="74"/>
      <c r="N1186" s="7"/>
      <c r="O1186" s="74"/>
      <c r="P1186" s="74"/>
      <c r="R1186" s="7"/>
      <c r="S1186" s="7"/>
      <c r="T1186" s="66"/>
    </row>
    <row r="1187" spans="1:20" ht="13.2">
      <c r="A1187" s="7"/>
      <c r="B1187" s="7"/>
      <c r="C1187" s="74"/>
      <c r="D1187" s="74"/>
      <c r="F1187" s="7"/>
      <c r="G1187" s="74"/>
      <c r="H1187" s="74"/>
      <c r="J1187" s="7"/>
      <c r="K1187" s="74"/>
      <c r="L1187" s="74"/>
      <c r="N1187" s="7"/>
      <c r="O1187" s="74"/>
      <c r="P1187" s="74"/>
      <c r="R1187" s="7"/>
      <c r="S1187" s="7"/>
      <c r="T1187" s="66"/>
    </row>
    <row r="1188" spans="1:20" ht="13.2">
      <c r="A1188" s="7"/>
      <c r="B1188" s="7"/>
      <c r="C1188" s="74"/>
      <c r="D1188" s="74"/>
      <c r="F1188" s="7"/>
      <c r="G1188" s="74"/>
      <c r="H1188" s="74"/>
      <c r="J1188" s="7"/>
      <c r="K1188" s="74"/>
      <c r="L1188" s="74"/>
      <c r="N1188" s="7"/>
      <c r="O1188" s="74"/>
      <c r="P1188" s="74"/>
      <c r="R1188" s="7"/>
      <c r="S1188" s="7"/>
      <c r="T1188" s="66"/>
    </row>
    <row r="1189" spans="1:20" ht="13.2">
      <c r="A1189" s="7"/>
      <c r="B1189" s="7"/>
      <c r="C1189" s="74"/>
      <c r="D1189" s="74"/>
      <c r="F1189" s="7"/>
      <c r="G1189" s="74"/>
      <c r="H1189" s="74"/>
      <c r="J1189" s="7"/>
      <c r="K1189" s="74"/>
      <c r="L1189" s="74"/>
      <c r="N1189" s="7"/>
      <c r="O1189" s="74"/>
      <c r="P1189" s="74"/>
      <c r="R1189" s="7"/>
      <c r="S1189" s="7"/>
      <c r="T1189" s="66"/>
    </row>
    <row r="1190" spans="1:20" ht="13.2">
      <c r="A1190" s="7"/>
      <c r="B1190" s="7"/>
      <c r="C1190" s="74"/>
      <c r="D1190" s="74"/>
      <c r="F1190" s="7"/>
      <c r="G1190" s="74"/>
      <c r="H1190" s="74"/>
      <c r="J1190" s="7"/>
      <c r="K1190" s="74"/>
      <c r="L1190" s="74"/>
      <c r="N1190" s="7"/>
      <c r="O1190" s="74"/>
      <c r="P1190" s="74"/>
      <c r="R1190" s="7"/>
      <c r="S1190" s="7"/>
      <c r="T1190" s="66"/>
    </row>
    <row r="1191" spans="1:20" ht="13.2">
      <c r="A1191" s="7"/>
      <c r="B1191" s="7"/>
      <c r="C1191" s="74"/>
      <c r="D1191" s="74"/>
      <c r="F1191" s="7"/>
      <c r="G1191" s="74"/>
      <c r="H1191" s="74"/>
      <c r="J1191" s="7"/>
      <c r="K1191" s="74"/>
      <c r="L1191" s="74"/>
      <c r="N1191" s="7"/>
      <c r="O1191" s="74"/>
      <c r="P1191" s="74"/>
      <c r="R1191" s="7"/>
      <c r="S1191" s="7"/>
      <c r="T1191" s="66"/>
    </row>
    <row r="1192" spans="1:20" ht="13.2">
      <c r="A1192" s="7"/>
      <c r="B1192" s="7"/>
      <c r="C1192" s="74"/>
      <c r="D1192" s="74"/>
      <c r="F1192" s="7"/>
      <c r="G1192" s="74"/>
      <c r="H1192" s="74"/>
      <c r="J1192" s="7"/>
      <c r="K1192" s="74"/>
      <c r="L1192" s="74"/>
      <c r="N1192" s="7"/>
      <c r="O1192" s="74"/>
      <c r="P1192" s="74"/>
      <c r="R1192" s="7"/>
      <c r="S1192" s="7"/>
      <c r="T1192" s="66"/>
    </row>
    <row r="1193" spans="1:20" ht="13.2">
      <c r="A1193" s="7"/>
      <c r="B1193" s="7"/>
      <c r="C1193" s="74"/>
      <c r="D1193" s="74"/>
      <c r="F1193" s="7"/>
      <c r="G1193" s="74"/>
      <c r="H1193" s="74"/>
      <c r="J1193" s="7"/>
      <c r="K1193" s="74"/>
      <c r="L1193" s="74"/>
      <c r="N1193" s="7"/>
      <c r="O1193" s="74"/>
      <c r="P1193" s="74"/>
      <c r="R1193" s="7"/>
      <c r="S1193" s="7"/>
      <c r="T1193" s="66"/>
    </row>
    <row r="1194" spans="1:20" ht="13.2">
      <c r="A1194" s="7"/>
      <c r="B1194" s="7"/>
      <c r="C1194" s="74"/>
      <c r="D1194" s="74"/>
      <c r="F1194" s="7"/>
      <c r="G1194" s="74"/>
      <c r="H1194" s="74"/>
      <c r="J1194" s="7"/>
      <c r="K1194" s="74"/>
      <c r="L1194" s="74"/>
      <c r="N1194" s="7"/>
      <c r="O1194" s="74"/>
      <c r="P1194" s="74"/>
      <c r="R1194" s="7"/>
      <c r="S1194" s="7"/>
      <c r="T1194" s="66"/>
    </row>
    <row r="1195" spans="1:20" ht="13.2">
      <c r="A1195" s="7"/>
      <c r="B1195" s="7"/>
      <c r="C1195" s="74"/>
      <c r="D1195" s="74"/>
      <c r="F1195" s="7"/>
      <c r="G1195" s="74"/>
      <c r="H1195" s="74"/>
      <c r="J1195" s="7"/>
      <c r="K1195" s="74"/>
      <c r="L1195" s="74"/>
      <c r="N1195" s="7"/>
      <c r="O1195" s="74"/>
      <c r="P1195" s="74"/>
      <c r="R1195" s="7"/>
      <c r="S1195" s="7"/>
      <c r="T1195" s="66"/>
    </row>
    <row r="1196" spans="1:20" ht="13.2">
      <c r="A1196" s="7"/>
      <c r="B1196" s="7"/>
      <c r="C1196" s="74"/>
      <c r="D1196" s="74"/>
      <c r="F1196" s="7"/>
      <c r="G1196" s="74"/>
      <c r="H1196" s="74"/>
      <c r="J1196" s="7"/>
      <c r="K1196" s="74"/>
      <c r="L1196" s="74"/>
      <c r="N1196" s="7"/>
      <c r="O1196" s="74"/>
      <c r="P1196" s="74"/>
      <c r="R1196" s="7"/>
      <c r="S1196" s="7"/>
      <c r="T1196" s="66"/>
    </row>
    <row r="1197" spans="1:20" ht="13.2">
      <c r="A1197" s="7"/>
      <c r="B1197" s="7"/>
      <c r="C1197" s="74"/>
      <c r="D1197" s="74"/>
      <c r="F1197" s="7"/>
      <c r="G1197" s="74"/>
      <c r="H1197" s="74"/>
      <c r="J1197" s="7"/>
      <c r="K1197" s="74"/>
      <c r="L1197" s="74"/>
      <c r="N1197" s="7"/>
      <c r="O1197" s="74"/>
      <c r="P1197" s="74"/>
      <c r="R1197" s="7"/>
      <c r="S1197" s="7"/>
      <c r="T1197" s="66"/>
    </row>
    <row r="1198" spans="1:20" ht="13.2">
      <c r="A1198" s="7"/>
      <c r="B1198" s="7"/>
      <c r="C1198" s="74"/>
      <c r="D1198" s="74"/>
      <c r="F1198" s="7"/>
      <c r="G1198" s="74"/>
      <c r="H1198" s="74"/>
      <c r="J1198" s="7"/>
      <c r="K1198" s="74"/>
      <c r="L1198" s="74"/>
      <c r="N1198" s="7"/>
      <c r="O1198" s="74"/>
      <c r="P1198" s="74"/>
      <c r="R1198" s="7"/>
      <c r="S1198" s="7"/>
      <c r="T1198" s="66"/>
    </row>
    <row r="1199" spans="1:20" ht="13.2">
      <c r="A1199" s="7"/>
      <c r="B1199" s="7"/>
      <c r="C1199" s="74"/>
      <c r="D1199" s="74"/>
      <c r="F1199" s="7"/>
      <c r="G1199" s="74"/>
      <c r="H1199" s="74"/>
      <c r="J1199" s="7"/>
      <c r="K1199" s="74"/>
      <c r="L1199" s="74"/>
      <c r="N1199" s="7"/>
      <c r="O1199" s="74"/>
      <c r="P1199" s="74"/>
      <c r="R1199" s="7"/>
      <c r="S1199" s="7"/>
      <c r="T1199" s="66"/>
    </row>
    <row r="1200" spans="1:20" ht="13.2">
      <c r="A1200" s="7"/>
      <c r="B1200" s="7"/>
      <c r="C1200" s="74"/>
      <c r="D1200" s="74"/>
      <c r="F1200" s="7"/>
      <c r="G1200" s="74"/>
      <c r="H1200" s="74"/>
      <c r="J1200" s="7"/>
      <c r="K1200" s="74"/>
      <c r="L1200" s="74"/>
      <c r="N1200" s="7"/>
      <c r="O1200" s="74"/>
      <c r="P1200" s="74"/>
      <c r="R1200" s="7"/>
      <c r="S1200" s="7"/>
      <c r="T1200" s="66"/>
    </row>
    <row r="1201" spans="1:20" ht="13.2">
      <c r="A1201" s="7"/>
      <c r="B1201" s="7"/>
      <c r="C1201" s="74"/>
      <c r="D1201" s="74"/>
      <c r="F1201" s="7"/>
      <c r="G1201" s="74"/>
      <c r="H1201" s="74"/>
      <c r="J1201" s="7"/>
      <c r="K1201" s="74"/>
      <c r="L1201" s="74"/>
      <c r="N1201" s="7"/>
      <c r="O1201" s="74"/>
      <c r="P1201" s="74"/>
      <c r="R1201" s="7"/>
      <c r="S1201" s="7"/>
      <c r="T1201" s="66"/>
    </row>
    <row r="1202" spans="1:20" ht="13.2">
      <c r="A1202" s="7"/>
      <c r="B1202" s="7"/>
      <c r="C1202" s="74"/>
      <c r="D1202" s="74"/>
      <c r="F1202" s="7"/>
      <c r="G1202" s="74"/>
      <c r="H1202" s="74"/>
      <c r="J1202" s="7"/>
      <c r="K1202" s="74"/>
      <c r="L1202" s="74"/>
      <c r="N1202" s="7"/>
      <c r="O1202" s="74"/>
      <c r="P1202" s="74"/>
      <c r="R1202" s="7"/>
      <c r="S1202" s="7"/>
      <c r="T1202" s="66"/>
    </row>
    <row r="1203" spans="1:20" ht="13.2">
      <c r="A1203" s="7"/>
      <c r="B1203" s="7"/>
      <c r="C1203" s="74"/>
      <c r="D1203" s="74"/>
      <c r="F1203" s="7"/>
      <c r="G1203" s="74"/>
      <c r="H1203" s="74"/>
      <c r="J1203" s="7"/>
      <c r="K1203" s="74"/>
      <c r="L1203" s="74"/>
      <c r="N1203" s="7"/>
      <c r="O1203" s="74"/>
      <c r="P1203" s="74"/>
      <c r="R1203" s="7"/>
      <c r="S1203" s="7"/>
      <c r="T1203" s="66"/>
    </row>
    <row r="1204" spans="1:20" ht="13.2">
      <c r="A1204" s="7"/>
      <c r="B1204" s="7"/>
      <c r="C1204" s="74"/>
      <c r="D1204" s="74"/>
      <c r="F1204" s="7"/>
      <c r="G1204" s="74"/>
      <c r="H1204" s="74"/>
      <c r="J1204" s="7"/>
      <c r="K1204" s="74"/>
      <c r="L1204" s="74"/>
      <c r="N1204" s="7"/>
      <c r="O1204" s="74"/>
      <c r="P1204" s="74"/>
      <c r="R1204" s="7"/>
      <c r="S1204" s="7"/>
      <c r="T1204" s="66"/>
    </row>
    <row r="1205" spans="1:20" ht="13.2">
      <c r="A1205" s="7"/>
      <c r="B1205" s="7"/>
      <c r="C1205" s="74"/>
      <c r="D1205" s="74"/>
      <c r="F1205" s="7"/>
      <c r="G1205" s="74"/>
      <c r="H1205" s="74"/>
      <c r="J1205" s="7"/>
      <c r="K1205" s="74"/>
      <c r="L1205" s="74"/>
      <c r="N1205" s="7"/>
      <c r="O1205" s="74"/>
      <c r="P1205" s="74"/>
      <c r="R1205" s="7"/>
      <c r="S1205" s="7"/>
      <c r="T1205" s="66"/>
    </row>
    <row r="1206" spans="1:20" ht="13.2">
      <c r="A1206" s="7"/>
      <c r="B1206" s="7"/>
      <c r="C1206" s="74"/>
      <c r="D1206" s="74"/>
      <c r="F1206" s="7"/>
      <c r="G1206" s="74"/>
      <c r="H1206" s="74"/>
      <c r="J1206" s="7"/>
      <c r="K1206" s="74"/>
      <c r="L1206" s="74"/>
      <c r="N1206" s="7"/>
      <c r="O1206" s="74"/>
      <c r="P1206" s="74"/>
      <c r="R1206" s="7"/>
      <c r="S1206" s="7"/>
      <c r="T1206" s="66"/>
    </row>
    <row r="1207" spans="1:20" ht="13.2">
      <c r="A1207" s="7"/>
      <c r="B1207" s="7"/>
      <c r="C1207" s="74"/>
      <c r="D1207" s="74"/>
      <c r="F1207" s="7"/>
      <c r="G1207" s="74"/>
      <c r="H1207" s="74"/>
      <c r="J1207" s="7"/>
      <c r="K1207" s="74"/>
      <c r="L1207" s="74"/>
      <c r="N1207" s="7"/>
      <c r="O1207" s="74"/>
      <c r="P1207" s="74"/>
      <c r="R1207" s="7"/>
      <c r="S1207" s="7"/>
      <c r="T1207" s="66"/>
    </row>
    <row r="1208" spans="1:20" ht="13.2">
      <c r="A1208" s="7"/>
      <c r="B1208" s="7"/>
      <c r="C1208" s="74"/>
      <c r="D1208" s="74"/>
      <c r="F1208" s="7"/>
      <c r="G1208" s="74"/>
      <c r="H1208" s="74"/>
      <c r="J1208" s="7"/>
      <c r="K1208" s="74"/>
      <c r="L1208" s="74"/>
      <c r="N1208" s="7"/>
      <c r="O1208" s="74"/>
      <c r="P1208" s="74"/>
      <c r="R1208" s="7"/>
      <c r="S1208" s="7"/>
      <c r="T1208" s="66"/>
    </row>
    <row r="1209" spans="1:20" ht="13.2">
      <c r="A1209" s="7"/>
      <c r="B1209" s="7"/>
      <c r="C1209" s="74"/>
      <c r="D1209" s="74"/>
      <c r="F1209" s="7"/>
      <c r="G1209" s="74"/>
      <c r="H1209" s="74"/>
      <c r="J1209" s="7"/>
      <c r="K1209" s="74"/>
      <c r="L1209" s="74"/>
      <c r="N1209" s="7"/>
      <c r="O1209" s="74"/>
      <c r="P1209" s="74"/>
      <c r="R1209" s="7"/>
      <c r="S1209" s="7"/>
      <c r="T1209" s="66"/>
    </row>
    <row r="1210" spans="1:20" ht="13.2">
      <c r="A1210" s="7"/>
      <c r="B1210" s="7"/>
      <c r="C1210" s="74"/>
      <c r="D1210" s="74"/>
      <c r="F1210" s="7"/>
      <c r="G1210" s="74"/>
      <c r="H1210" s="74"/>
      <c r="J1210" s="7"/>
      <c r="K1210" s="74"/>
      <c r="L1210" s="74"/>
      <c r="N1210" s="7"/>
      <c r="O1210" s="74"/>
      <c r="P1210" s="74"/>
      <c r="R1210" s="7"/>
      <c r="S1210" s="7"/>
      <c r="T1210" s="66"/>
    </row>
    <row r="1211" spans="1:20" ht="13.2">
      <c r="A1211" s="7"/>
      <c r="B1211" s="7"/>
      <c r="C1211" s="74"/>
      <c r="D1211" s="74"/>
      <c r="F1211" s="7"/>
      <c r="G1211" s="74"/>
      <c r="H1211" s="74"/>
      <c r="J1211" s="7"/>
      <c r="K1211" s="74"/>
      <c r="L1211" s="74"/>
      <c r="N1211" s="7"/>
      <c r="O1211" s="74"/>
      <c r="P1211" s="74"/>
      <c r="R1211" s="7"/>
      <c r="S1211" s="7"/>
      <c r="T1211" s="66"/>
    </row>
    <row r="1212" spans="1:20" ht="13.2">
      <c r="A1212" s="7"/>
      <c r="B1212" s="7"/>
      <c r="C1212" s="74"/>
      <c r="D1212" s="74"/>
      <c r="F1212" s="7"/>
      <c r="G1212" s="74"/>
      <c r="H1212" s="74"/>
      <c r="J1212" s="7"/>
      <c r="K1212" s="74"/>
      <c r="L1212" s="74"/>
      <c r="N1212" s="7"/>
      <c r="O1212" s="74"/>
      <c r="P1212" s="74"/>
      <c r="R1212" s="7"/>
      <c r="S1212" s="7"/>
      <c r="T1212" s="66"/>
    </row>
    <row r="1213" spans="1:20" ht="13.2">
      <c r="A1213" s="7"/>
      <c r="B1213" s="7"/>
      <c r="C1213" s="74"/>
      <c r="D1213" s="74"/>
      <c r="F1213" s="7"/>
      <c r="G1213" s="74"/>
      <c r="H1213" s="74"/>
      <c r="J1213" s="7"/>
      <c r="K1213" s="74"/>
      <c r="L1213" s="74"/>
      <c r="N1213" s="7"/>
      <c r="O1213" s="74"/>
      <c r="P1213" s="74"/>
      <c r="R1213" s="7"/>
      <c r="S1213" s="7"/>
      <c r="T1213" s="66"/>
    </row>
    <row r="1214" spans="1:20" ht="13.2">
      <c r="A1214" s="7"/>
      <c r="B1214" s="7"/>
      <c r="C1214" s="74"/>
      <c r="D1214" s="74"/>
      <c r="F1214" s="7"/>
      <c r="G1214" s="74"/>
      <c r="H1214" s="74"/>
      <c r="J1214" s="7"/>
      <c r="K1214" s="74"/>
      <c r="L1214" s="74"/>
      <c r="N1214" s="7"/>
      <c r="O1214" s="74"/>
      <c r="P1214" s="74"/>
      <c r="R1214" s="7"/>
      <c r="S1214" s="7"/>
      <c r="T1214" s="66"/>
    </row>
    <row r="1215" spans="1:20" ht="13.2">
      <c r="A1215" s="7"/>
      <c r="B1215" s="7"/>
      <c r="C1215" s="74"/>
      <c r="D1215" s="74"/>
      <c r="F1215" s="7"/>
      <c r="G1215" s="74"/>
      <c r="H1215" s="74"/>
      <c r="J1215" s="7"/>
      <c r="K1215" s="74"/>
      <c r="L1215" s="74"/>
      <c r="N1215" s="7"/>
      <c r="O1215" s="74"/>
      <c r="P1215" s="74"/>
      <c r="R1215" s="7"/>
      <c r="S1215" s="7"/>
      <c r="T1215" s="66"/>
    </row>
    <row r="1216" spans="1:20" ht="13.2">
      <c r="A1216" s="7"/>
      <c r="B1216" s="7"/>
      <c r="C1216" s="74"/>
      <c r="D1216" s="74"/>
      <c r="F1216" s="7"/>
      <c r="G1216" s="74"/>
      <c r="H1216" s="74"/>
      <c r="J1216" s="7"/>
      <c r="K1216" s="74"/>
      <c r="L1216" s="74"/>
      <c r="N1216" s="7"/>
      <c r="O1216" s="74"/>
      <c r="P1216" s="74"/>
      <c r="R1216" s="7"/>
      <c r="S1216" s="7"/>
      <c r="T1216" s="66"/>
    </row>
    <row r="1217" spans="1:20" ht="13.2">
      <c r="A1217" s="7"/>
      <c r="B1217" s="7"/>
      <c r="C1217" s="74"/>
      <c r="D1217" s="74"/>
      <c r="F1217" s="7"/>
      <c r="G1217" s="74"/>
      <c r="H1217" s="74"/>
      <c r="J1217" s="7"/>
      <c r="K1217" s="74"/>
      <c r="L1217" s="74"/>
      <c r="N1217" s="7"/>
      <c r="O1217" s="74"/>
      <c r="P1217" s="74"/>
      <c r="R1217" s="7"/>
      <c r="S1217" s="7"/>
      <c r="T1217" s="66"/>
    </row>
    <row r="1218" spans="1:20" ht="13.2">
      <c r="A1218" s="7"/>
      <c r="B1218" s="7"/>
      <c r="C1218" s="74"/>
      <c r="D1218" s="74"/>
      <c r="F1218" s="7"/>
      <c r="G1218" s="74"/>
      <c r="H1218" s="74"/>
      <c r="J1218" s="7"/>
      <c r="K1218" s="74"/>
      <c r="L1218" s="74"/>
      <c r="N1218" s="7"/>
      <c r="O1218" s="74"/>
      <c r="P1218" s="74"/>
      <c r="R1218" s="7"/>
      <c r="S1218" s="7"/>
      <c r="T1218" s="66"/>
    </row>
    <row r="1219" spans="1:20" ht="13.2">
      <c r="A1219" s="7"/>
      <c r="B1219" s="7"/>
      <c r="C1219" s="74"/>
      <c r="D1219" s="74"/>
      <c r="F1219" s="7"/>
      <c r="G1219" s="74"/>
      <c r="H1219" s="74"/>
      <c r="J1219" s="7"/>
      <c r="K1219" s="74"/>
      <c r="L1219" s="74"/>
      <c r="N1219" s="7"/>
      <c r="O1219" s="74"/>
      <c r="P1219" s="74"/>
      <c r="R1219" s="7"/>
      <c r="S1219" s="7"/>
      <c r="T1219" s="66"/>
    </row>
    <row r="1220" spans="1:20" ht="13.2">
      <c r="A1220" s="7"/>
      <c r="B1220" s="7"/>
      <c r="C1220" s="74"/>
      <c r="D1220" s="74"/>
      <c r="F1220" s="7"/>
      <c r="G1220" s="74"/>
      <c r="H1220" s="74"/>
      <c r="J1220" s="7"/>
      <c r="K1220" s="74"/>
      <c r="L1220" s="74"/>
      <c r="N1220" s="7"/>
      <c r="O1220" s="74"/>
      <c r="P1220" s="74"/>
      <c r="R1220" s="7"/>
      <c r="S1220" s="7"/>
      <c r="T1220" s="66"/>
    </row>
    <row r="1221" spans="1:20" ht="13.2">
      <c r="A1221" s="7"/>
      <c r="B1221" s="7"/>
      <c r="C1221" s="74"/>
      <c r="D1221" s="74"/>
      <c r="F1221" s="7"/>
      <c r="G1221" s="74"/>
      <c r="H1221" s="74"/>
      <c r="J1221" s="7"/>
      <c r="K1221" s="74"/>
      <c r="L1221" s="74"/>
      <c r="N1221" s="7"/>
      <c r="O1221" s="74"/>
      <c r="P1221" s="74"/>
      <c r="R1221" s="7"/>
      <c r="S1221" s="7"/>
      <c r="T1221" s="66"/>
    </row>
    <row r="1222" spans="1:20" ht="13.2">
      <c r="A1222" s="7"/>
      <c r="B1222" s="7"/>
      <c r="C1222" s="74"/>
      <c r="D1222" s="74"/>
      <c r="F1222" s="7"/>
      <c r="G1222" s="74"/>
      <c r="H1222" s="74"/>
      <c r="J1222" s="7"/>
      <c r="K1222" s="74"/>
      <c r="L1222" s="74"/>
      <c r="N1222" s="7"/>
      <c r="O1222" s="74"/>
      <c r="P1222" s="74"/>
      <c r="R1222" s="7"/>
      <c r="S1222" s="7"/>
      <c r="T1222" s="66"/>
    </row>
    <row r="1223" spans="1:20" ht="13.2">
      <c r="A1223" s="7"/>
      <c r="B1223" s="7"/>
      <c r="C1223" s="74"/>
      <c r="D1223" s="74"/>
      <c r="F1223" s="7"/>
      <c r="G1223" s="74"/>
      <c r="H1223" s="74"/>
      <c r="J1223" s="7"/>
      <c r="K1223" s="74"/>
      <c r="L1223" s="74"/>
      <c r="N1223" s="7"/>
      <c r="O1223" s="74"/>
      <c r="P1223" s="74"/>
      <c r="R1223" s="7"/>
      <c r="S1223" s="7"/>
      <c r="T1223" s="66"/>
    </row>
    <row r="1224" spans="1:20" ht="13.2">
      <c r="A1224" s="7"/>
      <c r="B1224" s="7"/>
      <c r="C1224" s="74"/>
      <c r="D1224" s="74"/>
      <c r="F1224" s="7"/>
      <c r="G1224" s="74"/>
      <c r="H1224" s="74"/>
      <c r="J1224" s="7"/>
      <c r="K1224" s="74"/>
      <c r="L1224" s="74"/>
      <c r="N1224" s="7"/>
      <c r="O1224" s="74"/>
      <c r="P1224" s="74"/>
      <c r="R1224" s="7"/>
      <c r="S1224" s="7"/>
      <c r="T1224" s="66"/>
    </row>
    <row r="1225" spans="1:20" ht="13.2">
      <c r="A1225" s="7"/>
      <c r="B1225" s="7"/>
      <c r="C1225" s="74"/>
      <c r="D1225" s="74"/>
      <c r="F1225" s="7"/>
      <c r="G1225" s="74"/>
      <c r="H1225" s="74"/>
      <c r="J1225" s="7"/>
      <c r="K1225" s="74"/>
      <c r="L1225" s="74"/>
      <c r="N1225" s="7"/>
      <c r="O1225" s="74"/>
      <c r="P1225" s="74"/>
      <c r="R1225" s="7"/>
      <c r="S1225" s="7"/>
      <c r="T1225" s="66"/>
    </row>
    <row r="1226" spans="1:20" ht="13.2">
      <c r="A1226" s="7"/>
      <c r="B1226" s="7"/>
      <c r="C1226" s="74"/>
      <c r="D1226" s="74"/>
      <c r="F1226" s="7"/>
      <c r="G1226" s="74"/>
      <c r="H1226" s="74"/>
      <c r="J1226" s="7"/>
      <c r="K1226" s="74"/>
      <c r="L1226" s="74"/>
      <c r="N1226" s="7"/>
      <c r="O1226" s="74"/>
      <c r="P1226" s="74"/>
      <c r="R1226" s="7"/>
      <c r="S1226" s="7"/>
      <c r="T1226" s="66"/>
    </row>
    <row r="1227" spans="1:20" ht="13.2">
      <c r="A1227" s="7"/>
      <c r="B1227" s="7"/>
      <c r="C1227" s="74"/>
      <c r="D1227" s="74"/>
      <c r="F1227" s="7"/>
      <c r="G1227" s="74"/>
      <c r="H1227" s="74"/>
      <c r="J1227" s="7"/>
      <c r="K1227" s="74"/>
      <c r="L1227" s="74"/>
      <c r="N1227" s="7"/>
      <c r="O1227" s="74"/>
      <c r="P1227" s="74"/>
      <c r="R1227" s="7"/>
      <c r="S1227" s="7"/>
      <c r="T1227" s="66"/>
    </row>
    <row r="1228" spans="1:20" ht="13.2">
      <c r="A1228" s="7"/>
      <c r="B1228" s="7"/>
      <c r="C1228" s="74"/>
      <c r="D1228" s="74"/>
      <c r="F1228" s="7"/>
      <c r="G1228" s="74"/>
      <c r="H1228" s="74"/>
      <c r="J1228" s="7"/>
      <c r="K1228" s="74"/>
      <c r="L1228" s="74"/>
      <c r="N1228" s="7"/>
      <c r="O1228" s="74"/>
      <c r="P1228" s="74"/>
      <c r="R1228" s="7"/>
      <c r="S1228" s="7"/>
      <c r="T1228" s="66"/>
    </row>
    <row r="1229" spans="1:20" ht="13.2">
      <c r="A1229" s="7"/>
      <c r="B1229" s="7"/>
      <c r="C1229" s="74"/>
      <c r="D1229" s="74"/>
      <c r="F1229" s="7"/>
      <c r="G1229" s="74"/>
      <c r="H1229" s="74"/>
      <c r="J1229" s="7"/>
      <c r="K1229" s="74"/>
      <c r="L1229" s="74"/>
      <c r="N1229" s="7"/>
      <c r="O1229" s="74"/>
      <c r="P1229" s="74"/>
      <c r="R1229" s="7"/>
      <c r="S1229" s="7"/>
      <c r="T1229" s="66"/>
    </row>
    <row r="1230" spans="1:20" ht="13.2">
      <c r="A1230" s="7"/>
      <c r="B1230" s="7"/>
      <c r="C1230" s="74"/>
      <c r="D1230" s="74"/>
      <c r="F1230" s="7"/>
      <c r="G1230" s="74"/>
      <c r="H1230" s="74"/>
      <c r="J1230" s="7"/>
      <c r="K1230" s="74"/>
      <c r="L1230" s="74"/>
      <c r="N1230" s="7"/>
      <c r="O1230" s="74"/>
      <c r="P1230" s="74"/>
      <c r="R1230" s="7"/>
      <c r="S1230" s="7"/>
      <c r="T1230" s="66"/>
    </row>
    <row r="1231" spans="1:20" ht="13.2">
      <c r="A1231" s="7"/>
      <c r="B1231" s="7"/>
      <c r="C1231" s="74"/>
      <c r="D1231" s="74"/>
      <c r="F1231" s="7"/>
      <c r="G1231" s="74"/>
      <c r="H1231" s="74"/>
      <c r="J1231" s="7"/>
      <c r="K1231" s="74"/>
      <c r="L1231" s="74"/>
      <c r="N1231" s="7"/>
      <c r="O1231" s="74"/>
      <c r="P1231" s="74"/>
      <c r="R1231" s="7"/>
      <c r="S1231" s="7"/>
      <c r="T1231" s="66"/>
    </row>
    <row r="1232" spans="1:20" ht="13.2">
      <c r="A1232" s="7"/>
      <c r="B1232" s="7"/>
      <c r="C1232" s="74"/>
      <c r="D1232" s="74"/>
      <c r="F1232" s="7"/>
      <c r="G1232" s="74"/>
      <c r="H1232" s="74"/>
      <c r="J1232" s="7"/>
      <c r="K1232" s="74"/>
      <c r="L1232" s="74"/>
      <c r="N1232" s="7"/>
      <c r="O1232" s="74"/>
      <c r="P1232" s="74"/>
      <c r="R1232" s="7"/>
      <c r="S1232" s="7"/>
      <c r="T1232" s="66"/>
    </row>
    <row r="1233" spans="1:20" ht="13.2">
      <c r="A1233" s="7"/>
      <c r="B1233" s="7"/>
      <c r="C1233" s="74"/>
      <c r="D1233" s="74"/>
      <c r="F1233" s="7"/>
      <c r="G1233" s="74"/>
      <c r="H1233" s="74"/>
      <c r="J1233" s="7"/>
      <c r="K1233" s="74"/>
      <c r="L1233" s="74"/>
      <c r="N1233" s="7"/>
      <c r="O1233" s="74"/>
      <c r="P1233" s="74"/>
      <c r="R1233" s="7"/>
      <c r="S1233" s="7"/>
      <c r="T1233" s="66"/>
    </row>
    <row r="1234" spans="1:20" ht="13.2">
      <c r="A1234" s="7"/>
      <c r="B1234" s="7"/>
      <c r="C1234" s="74"/>
      <c r="D1234" s="74"/>
      <c r="F1234" s="7"/>
      <c r="G1234" s="74"/>
      <c r="H1234" s="74"/>
      <c r="J1234" s="7"/>
      <c r="K1234" s="74"/>
      <c r="L1234" s="74"/>
      <c r="N1234" s="7"/>
      <c r="O1234" s="74"/>
      <c r="P1234" s="74"/>
      <c r="R1234" s="7"/>
      <c r="S1234" s="7"/>
      <c r="T1234" s="66"/>
    </row>
    <row r="1235" spans="1:20" ht="13.2">
      <c r="A1235" s="7"/>
      <c r="B1235" s="7"/>
      <c r="C1235" s="74"/>
      <c r="D1235" s="74"/>
      <c r="F1235" s="7"/>
      <c r="G1235" s="74"/>
      <c r="H1235" s="74"/>
      <c r="J1235" s="7"/>
      <c r="K1235" s="74"/>
      <c r="L1235" s="74"/>
      <c r="N1235" s="7"/>
      <c r="O1235" s="74"/>
      <c r="P1235" s="74"/>
      <c r="R1235" s="7"/>
      <c r="S1235" s="7"/>
      <c r="T1235" s="66"/>
    </row>
    <row r="1236" spans="1:20" ht="13.2">
      <c r="A1236" s="7"/>
      <c r="B1236" s="7"/>
      <c r="C1236" s="74"/>
      <c r="D1236" s="74"/>
      <c r="F1236" s="7"/>
      <c r="G1236" s="74"/>
      <c r="H1236" s="74"/>
      <c r="J1236" s="7"/>
      <c r="K1236" s="74"/>
      <c r="L1236" s="74"/>
      <c r="N1236" s="7"/>
      <c r="O1236" s="74"/>
      <c r="P1236" s="74"/>
      <c r="R1236" s="7"/>
      <c r="S1236" s="7"/>
      <c r="T1236" s="66"/>
    </row>
    <row r="1237" spans="1:20" ht="13.2">
      <c r="A1237" s="7"/>
      <c r="B1237" s="7"/>
      <c r="C1237" s="74"/>
      <c r="D1237" s="74"/>
      <c r="F1237" s="7"/>
      <c r="G1237" s="74"/>
      <c r="H1237" s="74"/>
      <c r="J1237" s="7"/>
      <c r="K1237" s="74"/>
      <c r="L1237" s="74"/>
      <c r="N1237" s="7"/>
      <c r="O1237" s="74"/>
      <c r="P1237" s="74"/>
      <c r="R1237" s="7"/>
      <c r="S1237" s="7"/>
      <c r="T1237" s="66"/>
    </row>
    <row r="1238" spans="1:20" ht="13.2">
      <c r="A1238" s="7"/>
      <c r="B1238" s="7"/>
      <c r="C1238" s="74"/>
      <c r="D1238" s="74"/>
      <c r="F1238" s="7"/>
      <c r="G1238" s="74"/>
      <c r="H1238" s="74"/>
      <c r="J1238" s="7"/>
      <c r="K1238" s="74"/>
      <c r="L1238" s="74"/>
      <c r="N1238" s="7"/>
      <c r="O1238" s="74"/>
      <c r="P1238" s="74"/>
      <c r="R1238" s="7"/>
      <c r="S1238" s="7"/>
      <c r="T1238" s="66"/>
    </row>
    <row r="1239" spans="1:20" ht="13.2">
      <c r="A1239" s="7"/>
      <c r="B1239" s="7"/>
      <c r="C1239" s="74"/>
      <c r="D1239" s="74"/>
      <c r="F1239" s="7"/>
      <c r="G1239" s="74"/>
      <c r="H1239" s="74"/>
      <c r="J1239" s="7"/>
      <c r="K1239" s="74"/>
      <c r="L1239" s="74"/>
      <c r="N1239" s="7"/>
      <c r="O1239" s="74"/>
      <c r="P1239" s="74"/>
      <c r="R1239" s="7"/>
      <c r="S1239" s="7"/>
      <c r="T1239" s="66"/>
    </row>
    <row r="1240" spans="1:20" ht="13.2">
      <c r="A1240" s="7"/>
      <c r="B1240" s="7"/>
      <c r="C1240" s="74"/>
      <c r="D1240" s="74"/>
      <c r="F1240" s="7"/>
      <c r="G1240" s="74"/>
      <c r="H1240" s="74"/>
      <c r="J1240" s="7"/>
      <c r="K1240" s="74"/>
      <c r="L1240" s="74"/>
      <c r="N1240" s="7"/>
      <c r="O1240" s="74"/>
      <c r="P1240" s="74"/>
      <c r="R1240" s="7"/>
      <c r="S1240" s="7"/>
      <c r="T1240" s="66"/>
    </row>
    <row r="1241" spans="1:20" ht="13.2">
      <c r="A1241" s="7"/>
      <c r="B1241" s="7"/>
      <c r="C1241" s="74"/>
      <c r="D1241" s="74"/>
      <c r="F1241" s="7"/>
      <c r="G1241" s="74"/>
      <c r="H1241" s="74"/>
      <c r="J1241" s="7"/>
      <c r="K1241" s="74"/>
      <c r="L1241" s="74"/>
      <c r="N1241" s="7"/>
      <c r="O1241" s="74"/>
      <c r="P1241" s="74"/>
      <c r="R1241" s="7"/>
      <c r="S1241" s="7"/>
      <c r="T1241" s="66"/>
    </row>
    <row r="1242" spans="1:20" ht="13.2">
      <c r="A1242" s="7"/>
      <c r="B1242" s="7"/>
      <c r="C1242" s="74"/>
      <c r="D1242" s="74"/>
      <c r="F1242" s="7"/>
      <c r="G1242" s="74"/>
      <c r="H1242" s="74"/>
      <c r="J1242" s="7"/>
      <c r="K1242" s="74"/>
      <c r="L1242" s="74"/>
      <c r="N1242" s="7"/>
      <c r="O1242" s="74"/>
      <c r="P1242" s="74"/>
      <c r="R1242" s="7"/>
      <c r="S1242" s="7"/>
      <c r="T1242" s="66"/>
    </row>
    <row r="1243" spans="1:20" ht="13.2">
      <c r="A1243" s="7"/>
      <c r="B1243" s="7"/>
      <c r="C1243" s="74"/>
      <c r="D1243" s="74"/>
      <c r="F1243" s="7"/>
      <c r="G1243" s="74"/>
      <c r="H1243" s="74"/>
      <c r="J1243" s="7"/>
      <c r="K1243" s="74"/>
      <c r="L1243" s="74"/>
      <c r="N1243" s="7"/>
      <c r="O1243" s="74"/>
      <c r="P1243" s="74"/>
      <c r="R1243" s="7"/>
      <c r="S1243" s="7"/>
      <c r="T1243" s="66"/>
    </row>
    <row r="1244" spans="1:20" ht="13.2">
      <c r="A1244" s="7"/>
      <c r="B1244" s="7"/>
      <c r="C1244" s="74"/>
      <c r="D1244" s="74"/>
      <c r="F1244" s="7"/>
      <c r="G1244" s="74"/>
      <c r="H1244" s="74"/>
      <c r="J1244" s="7"/>
      <c r="K1244" s="74"/>
      <c r="L1244" s="74"/>
      <c r="N1244" s="7"/>
      <c r="O1244" s="74"/>
      <c r="P1244" s="74"/>
      <c r="R1244" s="7"/>
      <c r="S1244" s="7"/>
      <c r="T1244" s="66"/>
    </row>
    <row r="1245" spans="1:20" ht="13.2">
      <c r="A1245" s="7"/>
      <c r="B1245" s="7"/>
      <c r="C1245" s="74"/>
      <c r="D1245" s="74"/>
      <c r="F1245" s="7"/>
      <c r="G1245" s="74"/>
      <c r="H1245" s="74"/>
      <c r="J1245" s="7"/>
      <c r="K1245" s="74"/>
      <c r="L1245" s="74"/>
      <c r="N1245" s="7"/>
      <c r="O1245" s="74"/>
      <c r="P1245" s="74"/>
      <c r="R1245" s="7"/>
      <c r="S1245" s="7"/>
      <c r="T1245" s="66"/>
    </row>
    <row r="1246" spans="1:20" ht="13.2">
      <c r="A1246" s="7"/>
      <c r="B1246" s="7"/>
      <c r="C1246" s="74"/>
      <c r="D1246" s="74"/>
      <c r="F1246" s="7"/>
      <c r="G1246" s="74"/>
      <c r="H1246" s="74"/>
      <c r="J1246" s="7"/>
      <c r="K1246" s="74"/>
      <c r="L1246" s="74"/>
      <c r="N1246" s="7"/>
      <c r="O1246" s="74"/>
      <c r="P1246" s="74"/>
      <c r="R1246" s="7"/>
      <c r="S1246" s="7"/>
      <c r="T1246" s="66"/>
    </row>
    <row r="1247" spans="1:20" ht="13.2">
      <c r="A1247" s="7"/>
      <c r="B1247" s="7"/>
      <c r="C1247" s="74"/>
      <c r="D1247" s="74"/>
      <c r="F1247" s="7"/>
      <c r="G1247" s="74"/>
      <c r="H1247" s="74"/>
      <c r="J1247" s="7"/>
      <c r="K1247" s="74"/>
      <c r="L1247" s="74"/>
      <c r="N1247" s="7"/>
      <c r="O1247" s="74"/>
      <c r="P1247" s="74"/>
      <c r="R1247" s="7"/>
      <c r="S1247" s="7"/>
      <c r="T1247" s="66"/>
    </row>
    <row r="1248" spans="1:20" ht="13.2">
      <c r="A1248" s="7"/>
      <c r="B1248" s="7"/>
      <c r="C1248" s="74"/>
      <c r="D1248" s="74"/>
      <c r="F1248" s="7"/>
      <c r="G1248" s="74"/>
      <c r="H1248" s="74"/>
      <c r="J1248" s="7"/>
      <c r="K1248" s="74"/>
      <c r="L1248" s="74"/>
      <c r="N1248" s="7"/>
      <c r="O1248" s="74"/>
      <c r="P1248" s="74"/>
      <c r="R1248" s="7"/>
      <c r="S1248" s="7"/>
      <c r="T1248" s="66"/>
    </row>
    <row r="1249" spans="1:20" ht="13.2">
      <c r="A1249" s="7"/>
      <c r="B1249" s="7"/>
      <c r="C1249" s="74"/>
      <c r="D1249" s="74"/>
      <c r="F1249" s="7"/>
      <c r="G1249" s="74"/>
      <c r="H1249" s="74"/>
      <c r="J1249" s="7"/>
      <c r="K1249" s="74"/>
      <c r="L1249" s="74"/>
      <c r="N1249" s="7"/>
      <c r="O1249" s="74"/>
      <c r="P1249" s="74"/>
      <c r="R1249" s="7"/>
      <c r="S1249" s="7"/>
      <c r="T1249" s="66"/>
    </row>
    <row r="1250" spans="1:20" ht="13.2">
      <c r="A1250" s="7"/>
      <c r="B1250" s="7"/>
      <c r="C1250" s="74"/>
      <c r="D1250" s="74"/>
      <c r="F1250" s="7"/>
      <c r="G1250" s="74"/>
      <c r="H1250" s="74"/>
      <c r="J1250" s="7"/>
      <c r="K1250" s="74"/>
      <c r="L1250" s="74"/>
      <c r="N1250" s="7"/>
      <c r="O1250" s="74"/>
      <c r="P1250" s="74"/>
      <c r="R1250" s="7"/>
      <c r="S1250" s="7"/>
      <c r="T1250" s="66"/>
    </row>
    <row r="1251" spans="1:20" ht="13.2">
      <c r="A1251" s="7"/>
      <c r="B1251" s="7"/>
      <c r="C1251" s="74"/>
      <c r="D1251" s="74"/>
      <c r="F1251" s="7"/>
      <c r="G1251" s="74"/>
      <c r="H1251" s="74"/>
      <c r="J1251" s="7"/>
      <c r="K1251" s="74"/>
      <c r="L1251" s="74"/>
      <c r="N1251" s="7"/>
      <c r="O1251" s="74"/>
      <c r="P1251" s="74"/>
      <c r="R1251" s="7"/>
      <c r="S1251" s="7"/>
      <c r="T1251" s="66"/>
    </row>
    <row r="1252" spans="1:20" ht="13.2">
      <c r="A1252" s="7"/>
      <c r="B1252" s="7"/>
      <c r="C1252" s="74"/>
      <c r="D1252" s="74"/>
      <c r="F1252" s="7"/>
      <c r="G1252" s="74"/>
      <c r="H1252" s="74"/>
      <c r="J1252" s="7"/>
      <c r="K1252" s="74"/>
      <c r="L1252" s="74"/>
      <c r="N1252" s="7"/>
      <c r="O1252" s="74"/>
      <c r="P1252" s="74"/>
      <c r="R1252" s="7"/>
      <c r="S1252" s="7"/>
      <c r="T1252" s="66"/>
    </row>
    <row r="1253" spans="1:20" ht="13.2">
      <c r="A1253" s="7"/>
      <c r="B1253" s="7"/>
      <c r="C1253" s="74"/>
      <c r="D1253" s="74"/>
      <c r="F1253" s="7"/>
      <c r="G1253" s="74"/>
      <c r="H1253" s="74"/>
      <c r="J1253" s="7"/>
      <c r="K1253" s="74"/>
      <c r="L1253" s="74"/>
      <c r="N1253" s="7"/>
      <c r="O1253" s="74"/>
      <c r="P1253" s="74"/>
      <c r="R1253" s="7"/>
      <c r="S1253" s="7"/>
      <c r="T1253" s="66"/>
    </row>
    <row r="1254" spans="1:20" ht="13.2">
      <c r="A1254" s="7"/>
      <c r="B1254" s="7"/>
      <c r="C1254" s="74"/>
      <c r="D1254" s="74"/>
      <c r="F1254" s="7"/>
      <c r="G1254" s="74"/>
      <c r="H1254" s="74"/>
      <c r="J1254" s="7"/>
      <c r="K1254" s="74"/>
      <c r="L1254" s="74"/>
      <c r="N1254" s="7"/>
      <c r="O1254" s="74"/>
      <c r="P1254" s="74"/>
      <c r="R1254" s="7"/>
      <c r="S1254" s="7"/>
      <c r="T1254" s="66"/>
    </row>
    <row r="1255" spans="1:20" ht="13.2">
      <c r="A1255" s="7"/>
      <c r="B1255" s="7"/>
      <c r="C1255" s="74"/>
      <c r="D1255" s="74"/>
      <c r="F1255" s="7"/>
      <c r="G1255" s="74"/>
      <c r="H1255" s="74"/>
      <c r="J1255" s="7"/>
      <c r="K1255" s="74"/>
      <c r="L1255" s="74"/>
      <c r="N1255" s="7"/>
      <c r="O1255" s="74"/>
      <c r="P1255" s="74"/>
      <c r="R1255" s="7"/>
      <c r="S1255" s="7"/>
      <c r="T1255" s="66"/>
    </row>
    <row r="1256" spans="1:20" ht="13.2">
      <c r="A1256" s="7"/>
      <c r="B1256" s="7"/>
      <c r="C1256" s="74"/>
      <c r="D1256" s="74"/>
      <c r="F1256" s="7"/>
      <c r="G1256" s="74"/>
      <c r="H1256" s="74"/>
      <c r="J1256" s="7"/>
      <c r="K1256" s="74"/>
      <c r="L1256" s="74"/>
      <c r="N1256" s="7"/>
      <c r="O1256" s="74"/>
      <c r="P1256" s="74"/>
      <c r="R1256" s="7"/>
      <c r="S1256" s="7"/>
      <c r="T1256" s="66"/>
    </row>
    <row r="1257" spans="1:20" ht="13.2">
      <c r="A1257" s="7"/>
      <c r="B1257" s="7"/>
      <c r="C1257" s="74"/>
      <c r="D1257" s="74"/>
      <c r="F1257" s="7"/>
      <c r="G1257" s="74"/>
      <c r="H1257" s="74"/>
      <c r="J1257" s="7"/>
      <c r="K1257" s="74"/>
      <c r="L1257" s="74"/>
      <c r="N1257" s="7"/>
      <c r="O1257" s="74"/>
      <c r="P1257" s="74"/>
      <c r="R1257" s="7"/>
      <c r="S1257" s="7"/>
      <c r="T1257" s="66"/>
    </row>
    <row r="1258" spans="1:20" ht="13.2">
      <c r="A1258" s="7"/>
      <c r="B1258" s="7"/>
      <c r="C1258" s="74"/>
      <c r="D1258" s="74"/>
      <c r="F1258" s="7"/>
      <c r="G1258" s="74"/>
      <c r="H1258" s="74"/>
      <c r="J1258" s="7"/>
      <c r="K1258" s="74"/>
      <c r="L1258" s="74"/>
      <c r="N1258" s="7"/>
      <c r="O1258" s="74"/>
      <c r="P1258" s="74"/>
      <c r="R1258" s="7"/>
      <c r="S1258" s="7"/>
      <c r="T1258" s="66"/>
    </row>
    <row r="1259" spans="1:20" ht="13.2">
      <c r="A1259" s="7"/>
      <c r="B1259" s="7"/>
      <c r="C1259" s="74"/>
      <c r="D1259" s="74"/>
      <c r="F1259" s="7"/>
      <c r="G1259" s="74"/>
      <c r="H1259" s="74"/>
      <c r="J1259" s="7"/>
      <c r="K1259" s="74"/>
      <c r="L1259" s="74"/>
      <c r="N1259" s="7"/>
      <c r="O1259" s="74"/>
      <c r="P1259" s="74"/>
      <c r="R1259" s="7"/>
      <c r="S1259" s="7"/>
      <c r="T1259" s="66"/>
    </row>
    <row r="1260" spans="1:20" ht="13.2">
      <c r="A1260" s="7"/>
      <c r="B1260" s="7"/>
      <c r="C1260" s="74"/>
      <c r="D1260" s="74"/>
      <c r="F1260" s="7"/>
      <c r="G1260" s="74"/>
      <c r="H1260" s="74"/>
      <c r="J1260" s="7"/>
      <c r="K1260" s="74"/>
      <c r="L1260" s="74"/>
      <c r="N1260" s="7"/>
      <c r="O1260" s="74"/>
      <c r="P1260" s="74"/>
      <c r="R1260" s="7"/>
      <c r="S1260" s="7"/>
      <c r="T1260" s="66"/>
    </row>
    <row r="1261" spans="1:20" ht="13.2">
      <c r="A1261" s="7"/>
      <c r="B1261" s="7"/>
      <c r="C1261" s="74"/>
      <c r="D1261" s="74"/>
      <c r="F1261" s="7"/>
      <c r="G1261" s="74"/>
      <c r="H1261" s="74"/>
      <c r="J1261" s="7"/>
      <c r="K1261" s="74"/>
      <c r="L1261" s="74"/>
      <c r="N1261" s="7"/>
      <c r="O1261" s="74"/>
      <c r="P1261" s="74"/>
      <c r="R1261" s="7"/>
      <c r="S1261" s="7"/>
      <c r="T1261" s="66"/>
    </row>
    <row r="1262" spans="1:20" ht="13.2">
      <c r="A1262" s="7"/>
      <c r="B1262" s="7"/>
      <c r="C1262" s="74"/>
      <c r="D1262" s="74"/>
      <c r="F1262" s="7"/>
      <c r="G1262" s="74"/>
      <c r="H1262" s="74"/>
      <c r="J1262" s="7"/>
      <c r="K1262" s="74"/>
      <c r="L1262" s="74"/>
      <c r="N1262" s="7"/>
      <c r="O1262" s="74"/>
      <c r="P1262" s="74"/>
      <c r="R1262" s="7"/>
      <c r="S1262" s="7"/>
      <c r="T1262" s="66"/>
    </row>
    <row r="1263" spans="1:20" ht="13.2">
      <c r="A1263" s="7"/>
      <c r="B1263" s="7"/>
      <c r="C1263" s="74"/>
      <c r="D1263" s="74"/>
      <c r="F1263" s="7"/>
      <c r="G1263" s="74"/>
      <c r="H1263" s="74"/>
      <c r="J1263" s="7"/>
      <c r="K1263" s="74"/>
      <c r="L1263" s="74"/>
      <c r="N1263" s="7"/>
      <c r="O1263" s="74"/>
      <c r="P1263" s="74"/>
      <c r="R1263" s="7"/>
      <c r="S1263" s="7"/>
      <c r="T1263" s="66"/>
    </row>
    <row r="1264" spans="1:20" ht="13.2">
      <c r="A1264" s="7"/>
      <c r="B1264" s="7"/>
      <c r="C1264" s="74"/>
      <c r="D1264" s="74"/>
      <c r="F1264" s="7"/>
      <c r="G1264" s="74"/>
      <c r="H1264" s="74"/>
      <c r="J1264" s="7"/>
      <c r="K1264" s="74"/>
      <c r="L1264" s="74"/>
      <c r="N1264" s="7"/>
      <c r="O1264" s="74"/>
      <c r="P1264" s="74"/>
      <c r="R1264" s="7"/>
      <c r="S1264" s="7"/>
      <c r="T1264" s="66"/>
    </row>
    <row r="1265" spans="1:20" ht="13.2">
      <c r="A1265" s="7"/>
      <c r="B1265" s="7"/>
      <c r="C1265" s="74"/>
      <c r="D1265" s="74"/>
      <c r="F1265" s="7"/>
      <c r="G1265" s="74"/>
      <c r="H1265" s="74"/>
      <c r="J1265" s="7"/>
      <c r="K1265" s="74"/>
      <c r="L1265" s="74"/>
      <c r="N1265" s="7"/>
      <c r="O1265" s="74"/>
      <c r="P1265" s="74"/>
      <c r="R1265" s="7"/>
      <c r="S1265" s="7"/>
      <c r="T1265" s="66"/>
    </row>
    <row r="1266" spans="1:20" ht="13.2">
      <c r="A1266" s="7"/>
      <c r="B1266" s="7"/>
      <c r="C1266" s="74"/>
      <c r="D1266" s="74"/>
      <c r="F1266" s="7"/>
      <c r="G1266" s="74"/>
      <c r="H1266" s="74"/>
      <c r="J1266" s="7"/>
      <c r="K1266" s="74"/>
      <c r="L1266" s="74"/>
      <c r="N1266" s="7"/>
      <c r="O1266" s="74"/>
      <c r="P1266" s="74"/>
      <c r="R1266" s="7"/>
      <c r="S1266" s="7"/>
      <c r="T1266" s="66"/>
    </row>
    <row r="1267" spans="1:20" ht="13.2">
      <c r="A1267" s="7"/>
      <c r="B1267" s="7"/>
      <c r="C1267" s="74"/>
      <c r="D1267" s="74"/>
      <c r="F1267" s="7"/>
      <c r="G1267" s="74"/>
      <c r="H1267" s="74"/>
      <c r="J1267" s="7"/>
      <c r="K1267" s="74"/>
      <c r="L1267" s="74"/>
      <c r="N1267" s="7"/>
      <c r="O1267" s="74"/>
      <c r="P1267" s="74"/>
      <c r="R1267" s="7"/>
      <c r="S1267" s="7"/>
      <c r="T1267" s="66"/>
    </row>
    <row r="1268" spans="1:20" ht="13.2">
      <c r="A1268" s="7"/>
      <c r="B1268" s="7"/>
      <c r="C1268" s="74"/>
      <c r="D1268" s="74"/>
      <c r="F1268" s="7"/>
      <c r="G1268" s="74"/>
      <c r="H1268" s="74"/>
      <c r="J1268" s="7"/>
      <c r="K1268" s="74"/>
      <c r="L1268" s="74"/>
      <c r="N1268" s="7"/>
      <c r="O1268" s="74"/>
      <c r="P1268" s="74"/>
      <c r="R1268" s="7"/>
      <c r="S1268" s="7"/>
      <c r="T1268" s="66"/>
    </row>
    <row r="1269" spans="1:20" ht="13.2">
      <c r="A1269" s="7"/>
      <c r="B1269" s="7"/>
      <c r="C1269" s="74"/>
      <c r="D1269" s="74"/>
      <c r="F1269" s="7"/>
      <c r="G1269" s="74"/>
      <c r="H1269" s="74"/>
      <c r="J1269" s="7"/>
      <c r="K1269" s="74"/>
      <c r="L1269" s="74"/>
      <c r="N1269" s="7"/>
      <c r="O1269" s="74"/>
      <c r="P1269" s="74"/>
      <c r="R1269" s="7"/>
      <c r="S1269" s="7"/>
      <c r="T1269" s="66"/>
    </row>
    <row r="1270" spans="1:20" ht="13.2">
      <c r="A1270" s="7"/>
      <c r="B1270" s="7"/>
      <c r="C1270" s="74"/>
      <c r="D1270" s="74"/>
      <c r="F1270" s="7"/>
      <c r="G1270" s="74"/>
      <c r="H1270" s="74"/>
      <c r="J1270" s="7"/>
      <c r="K1270" s="74"/>
      <c r="L1270" s="74"/>
      <c r="N1270" s="7"/>
      <c r="O1270" s="74"/>
      <c r="P1270" s="74"/>
      <c r="R1270" s="7"/>
      <c r="S1270" s="7"/>
      <c r="T1270" s="66"/>
    </row>
    <row r="1271" spans="1:20" ht="13.2">
      <c r="A1271" s="7"/>
      <c r="B1271" s="7"/>
      <c r="C1271" s="74"/>
      <c r="D1271" s="74"/>
      <c r="F1271" s="7"/>
      <c r="G1271" s="74"/>
      <c r="H1271" s="74"/>
      <c r="J1271" s="7"/>
      <c r="K1271" s="74"/>
      <c r="L1271" s="74"/>
      <c r="N1271" s="7"/>
      <c r="O1271" s="74"/>
      <c r="P1271" s="74"/>
      <c r="R1271" s="7"/>
      <c r="S1271" s="7"/>
      <c r="T1271" s="66"/>
    </row>
    <row r="1272" spans="1:20" ht="13.2">
      <c r="A1272" s="7"/>
      <c r="B1272" s="7"/>
      <c r="C1272" s="74"/>
      <c r="D1272" s="74"/>
      <c r="F1272" s="7"/>
      <c r="G1272" s="74"/>
      <c r="H1272" s="74"/>
      <c r="J1272" s="7"/>
      <c r="K1272" s="74"/>
      <c r="L1272" s="74"/>
      <c r="N1272" s="7"/>
      <c r="O1272" s="74"/>
      <c r="P1272" s="74"/>
      <c r="R1272" s="7"/>
      <c r="S1272" s="7"/>
      <c r="T1272" s="66"/>
    </row>
    <row r="1273" spans="1:20" ht="13.2">
      <c r="A1273" s="7"/>
      <c r="B1273" s="7"/>
      <c r="C1273" s="74"/>
      <c r="D1273" s="74"/>
      <c r="F1273" s="7"/>
      <c r="G1273" s="74"/>
      <c r="H1273" s="74"/>
      <c r="J1273" s="7"/>
      <c r="K1273" s="74"/>
      <c r="L1273" s="74"/>
      <c r="N1273" s="7"/>
      <c r="O1273" s="74"/>
      <c r="P1273" s="74"/>
      <c r="R1273" s="7"/>
      <c r="S1273" s="7"/>
      <c r="T1273" s="66"/>
    </row>
    <row r="1274" spans="1:20" ht="13.2">
      <c r="A1274" s="7"/>
      <c r="B1274" s="7"/>
      <c r="C1274" s="74"/>
      <c r="D1274" s="74"/>
      <c r="F1274" s="7"/>
      <c r="G1274" s="74"/>
      <c r="H1274" s="74"/>
      <c r="J1274" s="7"/>
      <c r="K1274" s="74"/>
      <c r="L1274" s="74"/>
      <c r="N1274" s="7"/>
      <c r="O1274" s="74"/>
      <c r="P1274" s="74"/>
      <c r="R1274" s="7"/>
      <c r="S1274" s="7"/>
      <c r="T1274" s="66"/>
    </row>
    <row r="1275" spans="1:20" ht="13.2">
      <c r="A1275" s="7"/>
      <c r="B1275" s="7"/>
      <c r="C1275" s="74"/>
      <c r="D1275" s="74"/>
      <c r="F1275" s="7"/>
      <c r="G1275" s="74"/>
      <c r="H1275" s="74"/>
      <c r="J1275" s="7"/>
      <c r="K1275" s="74"/>
      <c r="L1275" s="74"/>
      <c r="N1275" s="7"/>
      <c r="O1275" s="74"/>
      <c r="P1275" s="74"/>
      <c r="R1275" s="7"/>
      <c r="S1275" s="7"/>
      <c r="T1275" s="66"/>
    </row>
    <row r="1276" spans="1:20" ht="13.2">
      <c r="A1276" s="7"/>
      <c r="B1276" s="7"/>
      <c r="C1276" s="74"/>
      <c r="D1276" s="74"/>
      <c r="F1276" s="7"/>
      <c r="G1276" s="74"/>
      <c r="H1276" s="74"/>
      <c r="J1276" s="7"/>
      <c r="K1276" s="74"/>
      <c r="L1276" s="74"/>
      <c r="N1276" s="7"/>
      <c r="O1276" s="74"/>
      <c r="P1276" s="74"/>
      <c r="R1276" s="7"/>
      <c r="S1276" s="7"/>
      <c r="T1276" s="66"/>
    </row>
    <row r="1277" spans="1:20" ht="13.2">
      <c r="A1277" s="7"/>
      <c r="B1277" s="7"/>
      <c r="C1277" s="74"/>
      <c r="D1277" s="74"/>
      <c r="F1277" s="7"/>
      <c r="G1277" s="74"/>
      <c r="H1277" s="74"/>
      <c r="J1277" s="7"/>
      <c r="K1277" s="74"/>
      <c r="L1277" s="74"/>
      <c r="N1277" s="7"/>
      <c r="O1277" s="74"/>
      <c r="P1277" s="74"/>
      <c r="R1277" s="7"/>
      <c r="S1277" s="7"/>
      <c r="T1277" s="66"/>
    </row>
    <row r="1278" spans="1:20" ht="13.2">
      <c r="A1278" s="7"/>
      <c r="B1278" s="7"/>
      <c r="C1278" s="74"/>
      <c r="D1278" s="74"/>
      <c r="F1278" s="7"/>
      <c r="G1278" s="74"/>
      <c r="H1278" s="74"/>
      <c r="J1278" s="7"/>
      <c r="K1278" s="74"/>
      <c r="L1278" s="74"/>
      <c r="N1278" s="7"/>
      <c r="O1278" s="74"/>
      <c r="P1278" s="74"/>
      <c r="R1278" s="7"/>
      <c r="S1278" s="7"/>
      <c r="T1278" s="66"/>
    </row>
    <row r="1279" spans="1:20" ht="13.2">
      <c r="A1279" s="7"/>
      <c r="B1279" s="7"/>
      <c r="C1279" s="74"/>
      <c r="D1279" s="74"/>
      <c r="F1279" s="7"/>
      <c r="G1279" s="74"/>
      <c r="H1279" s="74"/>
      <c r="J1279" s="7"/>
      <c r="K1279" s="74"/>
      <c r="L1279" s="74"/>
      <c r="N1279" s="7"/>
      <c r="O1279" s="74"/>
      <c r="P1279" s="74"/>
      <c r="R1279" s="7"/>
      <c r="S1279" s="7"/>
      <c r="T1279" s="66"/>
    </row>
    <row r="1280" spans="1:20" ht="13.2">
      <c r="A1280" s="7"/>
      <c r="B1280" s="7"/>
      <c r="C1280" s="74"/>
      <c r="D1280" s="74"/>
      <c r="F1280" s="7"/>
      <c r="G1280" s="74"/>
      <c r="H1280" s="74"/>
      <c r="J1280" s="7"/>
      <c r="K1280" s="74"/>
      <c r="L1280" s="74"/>
      <c r="N1280" s="7"/>
      <c r="O1280" s="74"/>
      <c r="P1280" s="74"/>
      <c r="R1280" s="7"/>
      <c r="S1280" s="7"/>
      <c r="T1280" s="66"/>
    </row>
    <row r="1281" spans="1:20" ht="13.2">
      <c r="A1281" s="7"/>
      <c r="B1281" s="7"/>
      <c r="C1281" s="74"/>
      <c r="D1281" s="74"/>
      <c r="F1281" s="7"/>
      <c r="G1281" s="74"/>
      <c r="H1281" s="74"/>
      <c r="J1281" s="7"/>
      <c r="K1281" s="74"/>
      <c r="L1281" s="74"/>
      <c r="N1281" s="7"/>
      <c r="O1281" s="74"/>
      <c r="P1281" s="74"/>
      <c r="R1281" s="7"/>
      <c r="S1281" s="7"/>
      <c r="T1281" s="66"/>
    </row>
    <row r="1282" spans="1:20" ht="13.2">
      <c r="A1282" s="7"/>
      <c r="B1282" s="7"/>
      <c r="C1282" s="74"/>
      <c r="D1282" s="74"/>
      <c r="F1282" s="7"/>
      <c r="G1282" s="74"/>
      <c r="H1282" s="74"/>
      <c r="J1282" s="7"/>
      <c r="K1282" s="74"/>
      <c r="L1282" s="74"/>
      <c r="N1282" s="7"/>
      <c r="O1282" s="74"/>
      <c r="P1282" s="74"/>
      <c r="R1282" s="7"/>
      <c r="S1282" s="7"/>
      <c r="T1282" s="66"/>
    </row>
    <row r="1283" spans="1:20" ht="13.2">
      <c r="A1283" s="7"/>
      <c r="B1283" s="7"/>
      <c r="C1283" s="74"/>
      <c r="D1283" s="74"/>
      <c r="F1283" s="7"/>
      <c r="G1283" s="74"/>
      <c r="H1283" s="74"/>
      <c r="J1283" s="7"/>
      <c r="K1283" s="74"/>
      <c r="L1283" s="74"/>
      <c r="N1283" s="7"/>
      <c r="O1283" s="74"/>
      <c r="P1283" s="74"/>
      <c r="R1283" s="7"/>
      <c r="S1283" s="7"/>
      <c r="T1283" s="66"/>
    </row>
    <row r="1284" spans="1:20" ht="13.2">
      <c r="A1284" s="7"/>
      <c r="B1284" s="7"/>
      <c r="C1284" s="74"/>
      <c r="D1284" s="74"/>
      <c r="F1284" s="7"/>
      <c r="G1284" s="74"/>
      <c r="H1284" s="74"/>
      <c r="J1284" s="7"/>
      <c r="K1284" s="74"/>
      <c r="L1284" s="74"/>
      <c r="N1284" s="7"/>
      <c r="O1284" s="74"/>
      <c r="P1284" s="74"/>
      <c r="R1284" s="7"/>
      <c r="S1284" s="7"/>
      <c r="T1284" s="66"/>
    </row>
    <row r="1285" spans="1:20" ht="13.2">
      <c r="A1285" s="7"/>
      <c r="B1285" s="7"/>
      <c r="C1285" s="74"/>
      <c r="D1285" s="74"/>
      <c r="F1285" s="7"/>
      <c r="G1285" s="74"/>
      <c r="H1285" s="74"/>
      <c r="J1285" s="7"/>
      <c r="K1285" s="74"/>
      <c r="L1285" s="74"/>
      <c r="N1285" s="7"/>
      <c r="O1285" s="74"/>
      <c r="P1285" s="74"/>
      <c r="R1285" s="7"/>
      <c r="S1285" s="7"/>
      <c r="T1285" s="66"/>
    </row>
    <row r="1286" spans="1:20" ht="13.2">
      <c r="A1286" s="7"/>
      <c r="B1286" s="7"/>
      <c r="C1286" s="74"/>
      <c r="D1286" s="74"/>
      <c r="F1286" s="7"/>
      <c r="G1286" s="74"/>
      <c r="H1286" s="74"/>
      <c r="J1286" s="7"/>
      <c r="K1286" s="74"/>
      <c r="L1286" s="74"/>
      <c r="N1286" s="7"/>
      <c r="O1286" s="74"/>
      <c r="P1286" s="74"/>
      <c r="R1286" s="7"/>
      <c r="S1286" s="7"/>
      <c r="T1286" s="66"/>
    </row>
    <row r="1287" spans="1:20" ht="13.2">
      <c r="A1287" s="7"/>
      <c r="B1287" s="7"/>
      <c r="C1287" s="74"/>
      <c r="D1287" s="74"/>
      <c r="F1287" s="7"/>
      <c r="G1287" s="74"/>
      <c r="H1287" s="74"/>
      <c r="J1287" s="7"/>
      <c r="K1287" s="74"/>
      <c r="L1287" s="74"/>
      <c r="N1287" s="7"/>
      <c r="O1287" s="74"/>
      <c r="P1287" s="74"/>
      <c r="R1287" s="7"/>
      <c r="S1287" s="7"/>
      <c r="T1287" s="66"/>
    </row>
    <row r="1288" spans="1:20" ht="13.2">
      <c r="A1288" s="7"/>
      <c r="B1288" s="7"/>
      <c r="C1288" s="74"/>
      <c r="D1288" s="74"/>
      <c r="F1288" s="7"/>
      <c r="G1288" s="74"/>
      <c r="H1288" s="74"/>
      <c r="J1288" s="7"/>
      <c r="K1288" s="74"/>
      <c r="L1288" s="74"/>
      <c r="N1288" s="7"/>
      <c r="O1288" s="74"/>
      <c r="P1288" s="74"/>
      <c r="R1288" s="7"/>
      <c r="S1288" s="7"/>
      <c r="T1288" s="66"/>
    </row>
    <row r="1289" spans="1:20" ht="13.2">
      <c r="A1289" s="7"/>
      <c r="B1289" s="7"/>
      <c r="C1289" s="74"/>
      <c r="D1289" s="74"/>
      <c r="F1289" s="7"/>
      <c r="G1289" s="74"/>
      <c r="H1289" s="74"/>
      <c r="J1289" s="7"/>
      <c r="K1289" s="74"/>
      <c r="L1289" s="74"/>
      <c r="N1289" s="7"/>
      <c r="O1289" s="74"/>
      <c r="P1289" s="74"/>
      <c r="R1289" s="7"/>
      <c r="S1289" s="7"/>
      <c r="T1289" s="66"/>
    </row>
    <row r="1290" spans="1:20" ht="13.2">
      <c r="A1290" s="7"/>
      <c r="B1290" s="7"/>
      <c r="C1290" s="74"/>
      <c r="D1290" s="74"/>
      <c r="F1290" s="7"/>
      <c r="G1290" s="74"/>
      <c r="H1290" s="74"/>
      <c r="J1290" s="7"/>
      <c r="K1290" s="74"/>
      <c r="L1290" s="74"/>
      <c r="N1290" s="7"/>
      <c r="O1290" s="74"/>
      <c r="P1290" s="74"/>
      <c r="R1290" s="7"/>
      <c r="S1290" s="7"/>
      <c r="T1290" s="66"/>
    </row>
    <row r="1291" spans="1:20" ht="13.2">
      <c r="A1291" s="7"/>
      <c r="B1291" s="7"/>
      <c r="C1291" s="74"/>
      <c r="D1291" s="74"/>
      <c r="F1291" s="7"/>
      <c r="G1291" s="74"/>
      <c r="H1291" s="74"/>
      <c r="J1291" s="7"/>
      <c r="K1291" s="74"/>
      <c r="L1291" s="74"/>
      <c r="N1291" s="7"/>
      <c r="O1291" s="74"/>
      <c r="P1291" s="74"/>
      <c r="R1291" s="7"/>
      <c r="S1291" s="7"/>
      <c r="T1291" s="66"/>
    </row>
    <row r="1292" spans="1:20" ht="13.2">
      <c r="A1292" s="7"/>
      <c r="B1292" s="7"/>
      <c r="C1292" s="74"/>
      <c r="D1292" s="74"/>
      <c r="F1292" s="7"/>
      <c r="G1292" s="74"/>
      <c r="H1292" s="74"/>
      <c r="J1292" s="7"/>
      <c r="K1292" s="74"/>
      <c r="L1292" s="74"/>
      <c r="N1292" s="7"/>
      <c r="O1292" s="74"/>
      <c r="P1292" s="74"/>
      <c r="R1292" s="7"/>
      <c r="S1292" s="7"/>
      <c r="T1292" s="66"/>
    </row>
    <row r="1293" spans="1:20" ht="13.2">
      <c r="A1293" s="7"/>
      <c r="B1293" s="7"/>
      <c r="C1293" s="74"/>
      <c r="D1293" s="74"/>
      <c r="F1293" s="7"/>
      <c r="G1293" s="74"/>
      <c r="H1293" s="74"/>
      <c r="J1293" s="7"/>
      <c r="K1293" s="74"/>
      <c r="L1293" s="74"/>
      <c r="N1293" s="7"/>
      <c r="O1293" s="74"/>
      <c r="P1293" s="74"/>
      <c r="R1293" s="7"/>
      <c r="S1293" s="7"/>
      <c r="T1293" s="66"/>
    </row>
    <row r="1294" spans="1:20" ht="13.2">
      <c r="A1294" s="7"/>
      <c r="B1294" s="7"/>
      <c r="C1294" s="74"/>
      <c r="D1294" s="74"/>
      <c r="F1294" s="7"/>
      <c r="G1294" s="74"/>
      <c r="H1294" s="74"/>
      <c r="J1294" s="7"/>
      <c r="K1294" s="74"/>
      <c r="L1294" s="74"/>
      <c r="N1294" s="7"/>
      <c r="O1294" s="74"/>
      <c r="P1294" s="74"/>
      <c r="R1294" s="7"/>
      <c r="S1294" s="7"/>
      <c r="T1294" s="66"/>
    </row>
    <row r="1295" spans="1:20" ht="13.2">
      <c r="A1295" s="7"/>
      <c r="B1295" s="7"/>
      <c r="C1295" s="74"/>
      <c r="D1295" s="74"/>
      <c r="F1295" s="7"/>
      <c r="G1295" s="74"/>
      <c r="H1295" s="74"/>
      <c r="J1295" s="7"/>
      <c r="K1295" s="74"/>
      <c r="L1295" s="74"/>
      <c r="N1295" s="7"/>
      <c r="O1295" s="74"/>
      <c r="P1295" s="74"/>
      <c r="R1295" s="7"/>
      <c r="S1295" s="7"/>
      <c r="T1295" s="66"/>
    </row>
    <row r="1296" spans="1:20" ht="13.2">
      <c r="A1296" s="7"/>
      <c r="B1296" s="7"/>
      <c r="C1296" s="74"/>
      <c r="D1296" s="74"/>
      <c r="F1296" s="7"/>
      <c r="G1296" s="74"/>
      <c r="H1296" s="74"/>
      <c r="J1296" s="7"/>
      <c r="K1296" s="74"/>
      <c r="L1296" s="74"/>
      <c r="N1296" s="7"/>
      <c r="O1296" s="74"/>
      <c r="P1296" s="74"/>
      <c r="R1296" s="7"/>
      <c r="S1296" s="7"/>
      <c r="T1296" s="66"/>
    </row>
    <row r="1297" spans="1:20" ht="13.2">
      <c r="A1297" s="7"/>
      <c r="B1297" s="7"/>
      <c r="C1297" s="74"/>
      <c r="D1297" s="74"/>
      <c r="F1297" s="7"/>
      <c r="G1297" s="74"/>
      <c r="H1297" s="74"/>
      <c r="J1297" s="7"/>
      <c r="K1297" s="74"/>
      <c r="L1297" s="74"/>
      <c r="N1297" s="7"/>
      <c r="O1297" s="74"/>
      <c r="P1297" s="74"/>
      <c r="R1297" s="7"/>
      <c r="S1297" s="7"/>
      <c r="T1297" s="66"/>
    </row>
    <row r="1298" spans="1:20" ht="13.2">
      <c r="A1298" s="7"/>
      <c r="B1298" s="7"/>
      <c r="C1298" s="74"/>
      <c r="D1298" s="74"/>
      <c r="F1298" s="7"/>
      <c r="G1298" s="74"/>
      <c r="H1298" s="74"/>
      <c r="J1298" s="7"/>
      <c r="K1298" s="74"/>
      <c r="L1298" s="74"/>
      <c r="N1298" s="7"/>
      <c r="O1298" s="74"/>
      <c r="P1298" s="74"/>
      <c r="R1298" s="7"/>
      <c r="S1298" s="7"/>
      <c r="T1298" s="66"/>
    </row>
    <row r="1299" spans="1:20" ht="13.2">
      <c r="A1299" s="7"/>
      <c r="B1299" s="7"/>
      <c r="C1299" s="74"/>
      <c r="D1299" s="74"/>
      <c r="F1299" s="7"/>
      <c r="G1299" s="74"/>
      <c r="H1299" s="74"/>
      <c r="J1299" s="7"/>
      <c r="K1299" s="74"/>
      <c r="L1299" s="74"/>
      <c r="N1299" s="7"/>
      <c r="O1299" s="74"/>
      <c r="P1299" s="74"/>
      <c r="R1299" s="7"/>
      <c r="S1299" s="7"/>
      <c r="T1299" s="66"/>
    </row>
    <row r="1300" spans="1:20" ht="13.2">
      <c r="A1300" s="7"/>
      <c r="B1300" s="7"/>
      <c r="C1300" s="74"/>
      <c r="D1300" s="74"/>
      <c r="F1300" s="7"/>
      <c r="G1300" s="74"/>
      <c r="H1300" s="74"/>
      <c r="J1300" s="7"/>
      <c r="K1300" s="74"/>
      <c r="L1300" s="74"/>
      <c r="N1300" s="7"/>
      <c r="O1300" s="74"/>
      <c r="P1300" s="74"/>
      <c r="R1300" s="7"/>
      <c r="S1300" s="7"/>
      <c r="T1300" s="66"/>
    </row>
    <row r="1301" spans="1:20" ht="13.2">
      <c r="A1301" s="7"/>
      <c r="B1301" s="7"/>
      <c r="C1301" s="74"/>
      <c r="D1301" s="74"/>
      <c r="F1301" s="7"/>
      <c r="G1301" s="74"/>
      <c r="H1301" s="74"/>
      <c r="J1301" s="7"/>
      <c r="K1301" s="74"/>
      <c r="L1301" s="74"/>
      <c r="N1301" s="7"/>
      <c r="O1301" s="74"/>
      <c r="P1301" s="74"/>
      <c r="R1301" s="7"/>
      <c r="S1301" s="7"/>
      <c r="T1301" s="66"/>
    </row>
    <row r="1302" spans="1:20" ht="13.2">
      <c r="A1302" s="7"/>
      <c r="B1302" s="7"/>
      <c r="C1302" s="74"/>
      <c r="D1302" s="74"/>
      <c r="F1302" s="7"/>
      <c r="G1302" s="74"/>
      <c r="H1302" s="74"/>
      <c r="J1302" s="7"/>
      <c r="K1302" s="74"/>
      <c r="L1302" s="74"/>
      <c r="N1302" s="7"/>
      <c r="O1302" s="74"/>
      <c r="P1302" s="74"/>
      <c r="R1302" s="7"/>
      <c r="S1302" s="7"/>
      <c r="T1302" s="66"/>
    </row>
    <row r="1303" spans="1:20" ht="13.2">
      <c r="A1303" s="7"/>
      <c r="B1303" s="7"/>
      <c r="C1303" s="74"/>
      <c r="D1303" s="74"/>
      <c r="F1303" s="7"/>
      <c r="G1303" s="74"/>
      <c r="H1303" s="74"/>
      <c r="J1303" s="7"/>
      <c r="K1303" s="74"/>
      <c r="L1303" s="74"/>
      <c r="N1303" s="7"/>
      <c r="O1303" s="74"/>
      <c r="P1303" s="74"/>
      <c r="R1303" s="7"/>
      <c r="S1303" s="7"/>
      <c r="T1303" s="66"/>
    </row>
    <row r="1304" spans="1:20" ht="13.2">
      <c r="A1304" s="7"/>
      <c r="B1304" s="7"/>
      <c r="C1304" s="74"/>
      <c r="D1304" s="74"/>
      <c r="F1304" s="7"/>
      <c r="G1304" s="74"/>
      <c r="H1304" s="74"/>
      <c r="J1304" s="7"/>
      <c r="K1304" s="74"/>
      <c r="L1304" s="74"/>
      <c r="N1304" s="7"/>
      <c r="O1304" s="74"/>
      <c r="P1304" s="74"/>
      <c r="R1304" s="7"/>
      <c r="S1304" s="7"/>
      <c r="T1304" s="66"/>
    </row>
    <row r="1305" spans="1:20" ht="13.2">
      <c r="A1305" s="7"/>
      <c r="B1305" s="7"/>
      <c r="C1305" s="74"/>
      <c r="D1305" s="74"/>
      <c r="F1305" s="7"/>
      <c r="G1305" s="74"/>
      <c r="H1305" s="74"/>
      <c r="J1305" s="7"/>
      <c r="K1305" s="74"/>
      <c r="L1305" s="74"/>
      <c r="N1305" s="7"/>
      <c r="O1305" s="74"/>
      <c r="P1305" s="74"/>
      <c r="R1305" s="7"/>
      <c r="S1305" s="7"/>
      <c r="T1305" s="66"/>
    </row>
    <row r="1306" spans="1:20" ht="13.2">
      <c r="A1306" s="7"/>
      <c r="B1306" s="7"/>
      <c r="C1306" s="74"/>
      <c r="D1306" s="74"/>
      <c r="F1306" s="7"/>
      <c r="G1306" s="74"/>
      <c r="H1306" s="74"/>
      <c r="J1306" s="7"/>
      <c r="K1306" s="74"/>
      <c r="L1306" s="74"/>
      <c r="N1306" s="7"/>
      <c r="O1306" s="74"/>
      <c r="P1306" s="74"/>
      <c r="R1306" s="7"/>
      <c r="S1306" s="7"/>
      <c r="T1306" s="66"/>
    </row>
    <row r="1307" spans="1:20" ht="13.2">
      <c r="A1307" s="7"/>
      <c r="B1307" s="7"/>
      <c r="C1307" s="74"/>
      <c r="D1307" s="74"/>
      <c r="F1307" s="7"/>
      <c r="G1307" s="74"/>
      <c r="H1307" s="74"/>
      <c r="J1307" s="7"/>
      <c r="K1307" s="74"/>
      <c r="L1307" s="74"/>
      <c r="N1307" s="7"/>
      <c r="O1307" s="74"/>
      <c r="P1307" s="74"/>
      <c r="R1307" s="7"/>
      <c r="S1307" s="7"/>
      <c r="T1307" s="66"/>
    </row>
    <row r="1308" spans="1:20" ht="13.2">
      <c r="A1308" s="7"/>
      <c r="B1308" s="7"/>
      <c r="C1308" s="74"/>
      <c r="D1308" s="74"/>
      <c r="F1308" s="7"/>
      <c r="G1308" s="74"/>
      <c r="H1308" s="74"/>
      <c r="J1308" s="7"/>
      <c r="K1308" s="74"/>
      <c r="L1308" s="74"/>
      <c r="N1308" s="7"/>
      <c r="O1308" s="74"/>
      <c r="P1308" s="74"/>
      <c r="R1308" s="7"/>
      <c r="S1308" s="7"/>
      <c r="T1308" s="66"/>
    </row>
    <row r="1309" spans="1:20" ht="13.2">
      <c r="A1309" s="7"/>
      <c r="B1309" s="7"/>
      <c r="C1309" s="74"/>
      <c r="D1309" s="74"/>
      <c r="F1309" s="7"/>
      <c r="G1309" s="74"/>
      <c r="H1309" s="74"/>
      <c r="J1309" s="7"/>
      <c r="K1309" s="74"/>
      <c r="L1309" s="74"/>
      <c r="N1309" s="7"/>
      <c r="O1309" s="74"/>
      <c r="P1309" s="74"/>
      <c r="R1309" s="7"/>
      <c r="S1309" s="7"/>
      <c r="T1309" s="66"/>
    </row>
    <row r="1310" spans="1:20" ht="13.2">
      <c r="A1310" s="7"/>
      <c r="B1310" s="7"/>
      <c r="C1310" s="74"/>
      <c r="D1310" s="74"/>
      <c r="F1310" s="7"/>
      <c r="G1310" s="74"/>
      <c r="H1310" s="74"/>
      <c r="J1310" s="7"/>
      <c r="K1310" s="74"/>
      <c r="L1310" s="74"/>
      <c r="N1310" s="7"/>
      <c r="O1310" s="74"/>
      <c r="P1310" s="74"/>
      <c r="R1310" s="7"/>
      <c r="S1310" s="7"/>
      <c r="T1310" s="66"/>
    </row>
    <row r="1311" spans="1:20" ht="13.2">
      <c r="A1311" s="7"/>
      <c r="B1311" s="7"/>
      <c r="C1311" s="74"/>
      <c r="D1311" s="74"/>
      <c r="F1311" s="7"/>
      <c r="G1311" s="74"/>
      <c r="H1311" s="74"/>
      <c r="J1311" s="7"/>
      <c r="K1311" s="74"/>
      <c r="L1311" s="74"/>
      <c r="N1311" s="7"/>
      <c r="O1311" s="74"/>
      <c r="P1311" s="74"/>
      <c r="R1311" s="7"/>
      <c r="S1311" s="7"/>
      <c r="T1311" s="66"/>
    </row>
    <row r="1312" spans="1:20" ht="13.2">
      <c r="A1312" s="7"/>
      <c r="B1312" s="7"/>
      <c r="C1312" s="74"/>
      <c r="D1312" s="74"/>
      <c r="F1312" s="7"/>
      <c r="G1312" s="74"/>
      <c r="H1312" s="74"/>
      <c r="J1312" s="7"/>
      <c r="K1312" s="74"/>
      <c r="L1312" s="74"/>
      <c r="N1312" s="7"/>
      <c r="O1312" s="74"/>
      <c r="P1312" s="74"/>
      <c r="R1312" s="7"/>
      <c r="S1312" s="7"/>
      <c r="T1312" s="66"/>
    </row>
    <row r="1313" spans="1:20" ht="13.2">
      <c r="A1313" s="7"/>
      <c r="B1313" s="7"/>
      <c r="C1313" s="74"/>
      <c r="D1313" s="74"/>
      <c r="F1313" s="7"/>
      <c r="G1313" s="74"/>
      <c r="H1313" s="74"/>
      <c r="J1313" s="7"/>
      <c r="K1313" s="74"/>
      <c r="L1313" s="74"/>
      <c r="N1313" s="7"/>
      <c r="O1313" s="74"/>
      <c r="P1313" s="74"/>
      <c r="R1313" s="7"/>
      <c r="S1313" s="7"/>
      <c r="T1313" s="66"/>
    </row>
    <row r="1314" spans="1:20" ht="13.2">
      <c r="A1314" s="7"/>
      <c r="B1314" s="7"/>
      <c r="C1314" s="74"/>
      <c r="D1314" s="74"/>
      <c r="F1314" s="7"/>
      <c r="G1314" s="74"/>
      <c r="H1314" s="74"/>
      <c r="J1314" s="7"/>
      <c r="K1314" s="74"/>
      <c r="L1314" s="74"/>
      <c r="N1314" s="7"/>
      <c r="O1314" s="74"/>
      <c r="P1314" s="74"/>
      <c r="R1314" s="7"/>
      <c r="S1314" s="7"/>
      <c r="T1314" s="66"/>
    </row>
    <row r="1315" spans="1:20" ht="13.2">
      <c r="A1315" s="7"/>
      <c r="B1315" s="7"/>
      <c r="C1315" s="74"/>
      <c r="D1315" s="74"/>
      <c r="F1315" s="7"/>
      <c r="G1315" s="74"/>
      <c r="H1315" s="74"/>
      <c r="J1315" s="7"/>
      <c r="K1315" s="74"/>
      <c r="L1315" s="74"/>
      <c r="N1315" s="7"/>
      <c r="O1315" s="74"/>
      <c r="P1315" s="74"/>
      <c r="R1315" s="7"/>
      <c r="S1315" s="7"/>
      <c r="T1315" s="66"/>
    </row>
    <row r="1316" spans="1:20" ht="13.2">
      <c r="A1316" s="7"/>
      <c r="B1316" s="7"/>
      <c r="C1316" s="74"/>
      <c r="D1316" s="74"/>
      <c r="F1316" s="7"/>
      <c r="G1316" s="74"/>
      <c r="H1316" s="74"/>
      <c r="J1316" s="7"/>
      <c r="K1316" s="74"/>
      <c r="L1316" s="74"/>
      <c r="N1316" s="7"/>
      <c r="O1316" s="74"/>
      <c r="P1316" s="74"/>
      <c r="R1316" s="7"/>
      <c r="S1316" s="7"/>
      <c r="T1316" s="66"/>
    </row>
    <row r="1317" spans="1:20" ht="13.2">
      <c r="A1317" s="7"/>
      <c r="B1317" s="7"/>
      <c r="C1317" s="74"/>
      <c r="D1317" s="74"/>
      <c r="F1317" s="7"/>
      <c r="G1317" s="74"/>
      <c r="H1317" s="74"/>
      <c r="J1317" s="7"/>
      <c r="K1317" s="74"/>
      <c r="L1317" s="74"/>
      <c r="N1317" s="7"/>
      <c r="O1317" s="74"/>
      <c r="P1317" s="74"/>
      <c r="R1317" s="7"/>
      <c r="S1317" s="7"/>
      <c r="T1317" s="66"/>
    </row>
    <row r="1318" spans="1:20" ht="13.2">
      <c r="A1318" s="7"/>
      <c r="B1318" s="7"/>
      <c r="C1318" s="74"/>
      <c r="D1318" s="74"/>
      <c r="F1318" s="7"/>
      <c r="G1318" s="74"/>
      <c r="H1318" s="74"/>
      <c r="J1318" s="7"/>
      <c r="K1318" s="74"/>
      <c r="L1318" s="74"/>
      <c r="N1318" s="7"/>
      <c r="O1318" s="74"/>
      <c r="P1318" s="74"/>
      <c r="R1318" s="7"/>
      <c r="S1318" s="7"/>
      <c r="T1318" s="66"/>
    </row>
    <row r="1319" spans="1:20" ht="13.2">
      <c r="A1319" s="7"/>
      <c r="B1319" s="7"/>
      <c r="C1319" s="74"/>
      <c r="D1319" s="74"/>
      <c r="F1319" s="7"/>
      <c r="G1319" s="74"/>
      <c r="H1319" s="74"/>
      <c r="J1319" s="7"/>
      <c r="K1319" s="74"/>
      <c r="L1319" s="74"/>
      <c r="N1319" s="7"/>
      <c r="O1319" s="74"/>
      <c r="P1319" s="74"/>
      <c r="R1319" s="7"/>
      <c r="S1319" s="7"/>
      <c r="T1319" s="66"/>
    </row>
    <row r="1320" spans="1:20" ht="13.2">
      <c r="A1320" s="7"/>
      <c r="B1320" s="7"/>
      <c r="C1320" s="74"/>
      <c r="D1320" s="74"/>
      <c r="F1320" s="7"/>
      <c r="G1320" s="74"/>
      <c r="H1320" s="74"/>
      <c r="J1320" s="7"/>
      <c r="K1320" s="74"/>
      <c r="L1320" s="74"/>
      <c r="N1320" s="7"/>
      <c r="O1320" s="74"/>
      <c r="P1320" s="74"/>
      <c r="R1320" s="7"/>
      <c r="S1320" s="7"/>
      <c r="T1320" s="66"/>
    </row>
    <row r="1321" spans="1:20" ht="13.2">
      <c r="A1321" s="7"/>
      <c r="B1321" s="7"/>
      <c r="C1321" s="74"/>
      <c r="D1321" s="74"/>
      <c r="F1321" s="7"/>
      <c r="G1321" s="74"/>
      <c r="H1321" s="74"/>
      <c r="J1321" s="7"/>
      <c r="K1321" s="74"/>
      <c r="L1321" s="74"/>
      <c r="N1321" s="7"/>
      <c r="O1321" s="74"/>
      <c r="P1321" s="74"/>
      <c r="R1321" s="7"/>
      <c r="S1321" s="7"/>
      <c r="T1321" s="66"/>
    </row>
    <row r="1322" spans="1:20" ht="13.2">
      <c r="A1322" s="7"/>
      <c r="B1322" s="7"/>
      <c r="C1322" s="74"/>
      <c r="D1322" s="74"/>
      <c r="F1322" s="7"/>
      <c r="G1322" s="74"/>
      <c r="H1322" s="74"/>
      <c r="J1322" s="7"/>
      <c r="K1322" s="74"/>
      <c r="L1322" s="74"/>
      <c r="N1322" s="7"/>
      <c r="O1322" s="74"/>
      <c r="P1322" s="74"/>
      <c r="R1322" s="7"/>
      <c r="S1322" s="7"/>
      <c r="T1322" s="66"/>
    </row>
    <row r="1323" spans="1:20" ht="13.2">
      <c r="A1323" s="7"/>
      <c r="B1323" s="7"/>
      <c r="C1323" s="74"/>
      <c r="D1323" s="74"/>
      <c r="F1323" s="7"/>
      <c r="G1323" s="74"/>
      <c r="H1323" s="74"/>
      <c r="J1323" s="7"/>
      <c r="K1323" s="74"/>
      <c r="L1323" s="74"/>
      <c r="N1323" s="7"/>
      <c r="O1323" s="74"/>
      <c r="P1323" s="74"/>
      <c r="R1323" s="7"/>
      <c r="S1323" s="7"/>
      <c r="T1323" s="66"/>
    </row>
    <row r="1324" spans="1:20" ht="13.2">
      <c r="A1324" s="7"/>
      <c r="B1324" s="7"/>
      <c r="C1324" s="74"/>
      <c r="D1324" s="74"/>
      <c r="F1324" s="7"/>
      <c r="G1324" s="74"/>
      <c r="H1324" s="74"/>
      <c r="J1324" s="7"/>
      <c r="K1324" s="74"/>
      <c r="L1324" s="74"/>
      <c r="N1324" s="7"/>
      <c r="O1324" s="74"/>
      <c r="P1324" s="74"/>
      <c r="R1324" s="7"/>
      <c r="S1324" s="7"/>
      <c r="T1324" s="66"/>
    </row>
    <row r="1325" spans="1:20" ht="13.2">
      <c r="A1325" s="7"/>
      <c r="B1325" s="7"/>
      <c r="C1325" s="74"/>
      <c r="D1325" s="74"/>
      <c r="F1325" s="7"/>
      <c r="G1325" s="74"/>
      <c r="H1325" s="74"/>
      <c r="J1325" s="7"/>
      <c r="K1325" s="74"/>
      <c r="L1325" s="74"/>
      <c r="N1325" s="7"/>
      <c r="O1325" s="74"/>
      <c r="P1325" s="74"/>
      <c r="R1325" s="7"/>
      <c r="S1325" s="7"/>
      <c r="T1325" s="66"/>
    </row>
    <row r="1326" spans="1:20" ht="13.2">
      <c r="A1326" s="7"/>
      <c r="B1326" s="7"/>
      <c r="C1326" s="74"/>
      <c r="D1326" s="74"/>
      <c r="F1326" s="7"/>
      <c r="G1326" s="74"/>
      <c r="H1326" s="74"/>
      <c r="J1326" s="7"/>
      <c r="K1326" s="74"/>
      <c r="L1326" s="74"/>
      <c r="N1326" s="7"/>
      <c r="O1326" s="74"/>
      <c r="P1326" s="74"/>
      <c r="R1326" s="7"/>
      <c r="S1326" s="7"/>
      <c r="T1326" s="66"/>
    </row>
    <row r="1327" spans="1:20" ht="13.2">
      <c r="A1327" s="7"/>
      <c r="B1327" s="7"/>
      <c r="C1327" s="74"/>
      <c r="D1327" s="74"/>
      <c r="F1327" s="7"/>
      <c r="G1327" s="74"/>
      <c r="H1327" s="74"/>
      <c r="J1327" s="7"/>
      <c r="K1327" s="74"/>
      <c r="L1327" s="74"/>
      <c r="N1327" s="7"/>
      <c r="O1327" s="74"/>
      <c r="P1327" s="74"/>
      <c r="R1327" s="7"/>
      <c r="S1327" s="7"/>
      <c r="T1327" s="66"/>
    </row>
    <row r="1328" spans="1:20" ht="13.2">
      <c r="A1328" s="7"/>
      <c r="B1328" s="7"/>
      <c r="C1328" s="74"/>
      <c r="D1328" s="74"/>
      <c r="F1328" s="7"/>
      <c r="G1328" s="74"/>
      <c r="H1328" s="74"/>
      <c r="J1328" s="7"/>
      <c r="K1328" s="74"/>
      <c r="L1328" s="74"/>
      <c r="N1328" s="7"/>
      <c r="O1328" s="74"/>
      <c r="P1328" s="74"/>
      <c r="R1328" s="7"/>
      <c r="S1328" s="7"/>
      <c r="T1328" s="66"/>
    </row>
    <row r="1329" spans="1:20" ht="13.2">
      <c r="A1329" s="7"/>
      <c r="B1329" s="7"/>
      <c r="C1329" s="74"/>
      <c r="D1329" s="74"/>
      <c r="F1329" s="7"/>
      <c r="G1329" s="74"/>
      <c r="H1329" s="74"/>
      <c r="J1329" s="7"/>
      <c r="K1329" s="74"/>
      <c r="L1329" s="74"/>
      <c r="N1329" s="7"/>
      <c r="O1329" s="74"/>
      <c r="P1329" s="74"/>
      <c r="R1329" s="7"/>
      <c r="S1329" s="7"/>
      <c r="T1329" s="66"/>
    </row>
    <row r="1330" spans="1:20" ht="13.2">
      <c r="A1330" s="7"/>
      <c r="B1330" s="7"/>
      <c r="C1330" s="74"/>
      <c r="D1330" s="74"/>
      <c r="F1330" s="7"/>
      <c r="G1330" s="74"/>
      <c r="H1330" s="74"/>
      <c r="J1330" s="7"/>
      <c r="K1330" s="74"/>
      <c r="L1330" s="74"/>
      <c r="N1330" s="7"/>
      <c r="O1330" s="74"/>
      <c r="P1330" s="74"/>
      <c r="R1330" s="7"/>
      <c r="S1330" s="7"/>
      <c r="T1330" s="66"/>
    </row>
    <row r="1331" spans="1:20" ht="13.2">
      <c r="A1331" s="7"/>
      <c r="B1331" s="7"/>
      <c r="C1331" s="74"/>
      <c r="D1331" s="74"/>
      <c r="F1331" s="7"/>
      <c r="G1331" s="74"/>
      <c r="H1331" s="74"/>
      <c r="J1331" s="7"/>
      <c r="K1331" s="74"/>
      <c r="L1331" s="74"/>
      <c r="N1331" s="7"/>
      <c r="O1331" s="74"/>
      <c r="P1331" s="74"/>
      <c r="R1331" s="7"/>
      <c r="S1331" s="7"/>
      <c r="T1331" s="66"/>
    </row>
    <row r="1332" spans="1:20" ht="13.2">
      <c r="A1332" s="7"/>
      <c r="B1332" s="7"/>
      <c r="C1332" s="74"/>
      <c r="D1332" s="74"/>
      <c r="F1332" s="7"/>
      <c r="G1332" s="74"/>
      <c r="H1332" s="74"/>
      <c r="J1332" s="7"/>
      <c r="K1332" s="74"/>
      <c r="L1332" s="74"/>
      <c r="N1332" s="7"/>
      <c r="O1332" s="74"/>
      <c r="P1332" s="74"/>
      <c r="R1332" s="7"/>
      <c r="S1332" s="7"/>
      <c r="T1332" s="66"/>
    </row>
    <row r="1333" spans="1:20" ht="13.2">
      <c r="A1333" s="7"/>
      <c r="B1333" s="7"/>
      <c r="C1333" s="74"/>
      <c r="D1333" s="74"/>
      <c r="F1333" s="7"/>
      <c r="G1333" s="74"/>
      <c r="H1333" s="74"/>
      <c r="J1333" s="7"/>
      <c r="K1333" s="74"/>
      <c r="L1333" s="74"/>
      <c r="N1333" s="7"/>
      <c r="O1333" s="74"/>
      <c r="P1333" s="74"/>
      <c r="R1333" s="7"/>
      <c r="S1333" s="7"/>
      <c r="T1333" s="66"/>
    </row>
    <row r="1334" spans="1:20" ht="13.2">
      <c r="A1334" s="7"/>
      <c r="B1334" s="7"/>
      <c r="C1334" s="74"/>
      <c r="D1334" s="74"/>
      <c r="F1334" s="7"/>
      <c r="G1334" s="74"/>
      <c r="H1334" s="74"/>
      <c r="J1334" s="7"/>
      <c r="K1334" s="74"/>
      <c r="L1334" s="74"/>
      <c r="N1334" s="7"/>
      <c r="O1334" s="74"/>
      <c r="P1334" s="74"/>
      <c r="R1334" s="7"/>
      <c r="S1334" s="7"/>
      <c r="T1334" s="66"/>
    </row>
    <row r="1335" spans="1:20" ht="13.2">
      <c r="A1335" s="7"/>
      <c r="B1335" s="7"/>
      <c r="C1335" s="74"/>
      <c r="D1335" s="74"/>
      <c r="F1335" s="7"/>
      <c r="G1335" s="74"/>
      <c r="H1335" s="74"/>
      <c r="J1335" s="7"/>
      <c r="K1335" s="74"/>
      <c r="L1335" s="74"/>
      <c r="N1335" s="7"/>
      <c r="O1335" s="74"/>
      <c r="P1335" s="74"/>
      <c r="R1335" s="7"/>
      <c r="S1335" s="7"/>
      <c r="T1335" s="66"/>
    </row>
    <row r="1336" spans="1:20" ht="13.2">
      <c r="A1336" s="7"/>
      <c r="B1336" s="7"/>
      <c r="C1336" s="74"/>
      <c r="D1336" s="74"/>
      <c r="F1336" s="7"/>
      <c r="G1336" s="74"/>
      <c r="H1336" s="74"/>
      <c r="J1336" s="7"/>
      <c r="K1336" s="74"/>
      <c r="L1336" s="74"/>
      <c r="N1336" s="7"/>
      <c r="O1336" s="74"/>
      <c r="P1336" s="74"/>
      <c r="R1336" s="7"/>
      <c r="S1336" s="7"/>
      <c r="T1336" s="66"/>
    </row>
    <row r="1337" spans="1:20" ht="13.2">
      <c r="A1337" s="7"/>
      <c r="B1337" s="7"/>
      <c r="C1337" s="74"/>
      <c r="D1337" s="74"/>
      <c r="F1337" s="7"/>
      <c r="G1337" s="74"/>
      <c r="H1337" s="74"/>
      <c r="J1337" s="7"/>
      <c r="K1337" s="74"/>
      <c r="L1337" s="74"/>
      <c r="N1337" s="7"/>
      <c r="O1337" s="74"/>
      <c r="P1337" s="74"/>
      <c r="R1337" s="7"/>
      <c r="S1337" s="7"/>
      <c r="T1337" s="66"/>
    </row>
    <row r="1338" spans="1:20" ht="13.2">
      <c r="A1338" s="7"/>
      <c r="B1338" s="7"/>
      <c r="C1338" s="74"/>
      <c r="D1338" s="74"/>
      <c r="F1338" s="7"/>
      <c r="G1338" s="74"/>
      <c r="H1338" s="74"/>
      <c r="J1338" s="7"/>
      <c r="K1338" s="74"/>
      <c r="L1338" s="74"/>
      <c r="N1338" s="7"/>
      <c r="O1338" s="74"/>
      <c r="P1338" s="74"/>
      <c r="R1338" s="7"/>
      <c r="S1338" s="7"/>
      <c r="T1338" s="66"/>
    </row>
    <row r="1339" spans="1:20" ht="13.2">
      <c r="A1339" s="7"/>
      <c r="B1339" s="7"/>
      <c r="C1339" s="74"/>
      <c r="D1339" s="74"/>
      <c r="F1339" s="7"/>
      <c r="G1339" s="74"/>
      <c r="H1339" s="74"/>
      <c r="J1339" s="7"/>
      <c r="K1339" s="74"/>
      <c r="L1339" s="74"/>
      <c r="N1339" s="7"/>
      <c r="O1339" s="74"/>
      <c r="P1339" s="74"/>
      <c r="R1339" s="7"/>
      <c r="S1339" s="7"/>
      <c r="T1339" s="66"/>
    </row>
    <row r="1340" spans="1:20" ht="13.2">
      <c r="A1340" s="7"/>
      <c r="B1340" s="7"/>
      <c r="C1340" s="74"/>
      <c r="D1340" s="74"/>
      <c r="F1340" s="7"/>
      <c r="G1340" s="74"/>
      <c r="H1340" s="74"/>
      <c r="J1340" s="7"/>
      <c r="K1340" s="74"/>
      <c r="L1340" s="74"/>
      <c r="N1340" s="7"/>
      <c r="O1340" s="74"/>
      <c r="P1340" s="74"/>
      <c r="R1340" s="7"/>
      <c r="S1340" s="7"/>
      <c r="T1340" s="66"/>
    </row>
    <row r="1341" spans="1:20" ht="13.2">
      <c r="A1341" s="7"/>
      <c r="B1341" s="7"/>
      <c r="C1341" s="74"/>
      <c r="D1341" s="74"/>
      <c r="F1341" s="7"/>
      <c r="G1341" s="74"/>
      <c r="H1341" s="74"/>
      <c r="J1341" s="7"/>
      <c r="K1341" s="74"/>
      <c r="L1341" s="74"/>
      <c r="N1341" s="7"/>
      <c r="O1341" s="74"/>
      <c r="P1341" s="74"/>
      <c r="R1341" s="7"/>
      <c r="S1341" s="7"/>
      <c r="T1341" s="66"/>
    </row>
    <row r="1342" spans="1:20" ht="13.2">
      <c r="A1342" s="7"/>
      <c r="B1342" s="7"/>
      <c r="C1342" s="74"/>
      <c r="D1342" s="74"/>
      <c r="F1342" s="7"/>
      <c r="G1342" s="74"/>
      <c r="H1342" s="74"/>
      <c r="J1342" s="7"/>
      <c r="K1342" s="74"/>
      <c r="L1342" s="74"/>
      <c r="N1342" s="7"/>
      <c r="O1342" s="74"/>
      <c r="P1342" s="74"/>
      <c r="R1342" s="7"/>
      <c r="S1342" s="7"/>
      <c r="T1342" s="66"/>
    </row>
    <row r="1343" spans="1:20" ht="13.2">
      <c r="A1343" s="7"/>
      <c r="B1343" s="7"/>
      <c r="C1343" s="74"/>
      <c r="D1343" s="74"/>
      <c r="F1343" s="7"/>
      <c r="G1343" s="74"/>
      <c r="H1343" s="74"/>
      <c r="J1343" s="7"/>
      <c r="K1343" s="74"/>
      <c r="L1343" s="74"/>
      <c r="N1343" s="7"/>
      <c r="O1343" s="74"/>
      <c r="P1343" s="74"/>
      <c r="R1343" s="7"/>
      <c r="S1343" s="7"/>
      <c r="T1343" s="66"/>
    </row>
    <row r="1344" spans="1:20" ht="13.2">
      <c r="A1344" s="7"/>
      <c r="B1344" s="7"/>
      <c r="C1344" s="74"/>
      <c r="D1344" s="74"/>
      <c r="F1344" s="7"/>
      <c r="G1344" s="74"/>
      <c r="H1344" s="74"/>
      <c r="J1344" s="7"/>
      <c r="K1344" s="74"/>
      <c r="L1344" s="74"/>
      <c r="N1344" s="7"/>
      <c r="O1344" s="74"/>
      <c r="P1344" s="74"/>
      <c r="R1344" s="7"/>
      <c r="S1344" s="7"/>
      <c r="T1344" s="66"/>
    </row>
    <row r="1345" spans="1:20" ht="13.2">
      <c r="A1345" s="7"/>
      <c r="B1345" s="7"/>
      <c r="C1345" s="74"/>
      <c r="D1345" s="74"/>
      <c r="F1345" s="7"/>
      <c r="G1345" s="74"/>
      <c r="H1345" s="74"/>
      <c r="J1345" s="7"/>
      <c r="K1345" s="74"/>
      <c r="L1345" s="74"/>
      <c r="N1345" s="7"/>
      <c r="O1345" s="74"/>
      <c r="P1345" s="74"/>
      <c r="R1345" s="7"/>
      <c r="S1345" s="7"/>
      <c r="T1345" s="66"/>
    </row>
    <row r="1346" spans="1:20" ht="13.2">
      <c r="A1346" s="7"/>
      <c r="B1346" s="7"/>
      <c r="C1346" s="74"/>
      <c r="D1346" s="74"/>
      <c r="F1346" s="7"/>
      <c r="G1346" s="74"/>
      <c r="H1346" s="74"/>
      <c r="J1346" s="7"/>
      <c r="K1346" s="74"/>
      <c r="L1346" s="74"/>
      <c r="N1346" s="7"/>
      <c r="O1346" s="74"/>
      <c r="P1346" s="74"/>
      <c r="R1346" s="7"/>
      <c r="S1346" s="7"/>
      <c r="T1346" s="66"/>
    </row>
    <row r="1347" spans="1:20" ht="13.2">
      <c r="A1347" s="7"/>
      <c r="B1347" s="7"/>
      <c r="C1347" s="74"/>
      <c r="D1347" s="74"/>
      <c r="F1347" s="7"/>
      <c r="G1347" s="74"/>
      <c r="H1347" s="74"/>
      <c r="J1347" s="7"/>
      <c r="K1347" s="74"/>
      <c r="L1347" s="74"/>
      <c r="N1347" s="7"/>
      <c r="O1347" s="74"/>
      <c r="P1347" s="74"/>
      <c r="R1347" s="7"/>
      <c r="S1347" s="7"/>
      <c r="T1347" s="66"/>
    </row>
    <row r="1348" spans="1:20" ht="13.2">
      <c r="A1348" s="7"/>
      <c r="B1348" s="7"/>
      <c r="C1348" s="74"/>
      <c r="D1348" s="74"/>
      <c r="F1348" s="7"/>
      <c r="G1348" s="74"/>
      <c r="H1348" s="74"/>
      <c r="J1348" s="7"/>
      <c r="K1348" s="74"/>
      <c r="L1348" s="74"/>
      <c r="N1348" s="7"/>
      <c r="O1348" s="74"/>
      <c r="P1348" s="74"/>
      <c r="R1348" s="7"/>
      <c r="S1348" s="7"/>
      <c r="T1348" s="66"/>
    </row>
    <row r="1349" spans="1:20" ht="13.2">
      <c r="A1349" s="7"/>
      <c r="B1349" s="7"/>
      <c r="C1349" s="74"/>
      <c r="D1349" s="74"/>
      <c r="F1349" s="7"/>
      <c r="G1349" s="74"/>
      <c r="H1349" s="74"/>
      <c r="J1349" s="7"/>
      <c r="K1349" s="74"/>
      <c r="L1349" s="74"/>
      <c r="N1349" s="7"/>
      <c r="O1349" s="74"/>
      <c r="P1349" s="74"/>
      <c r="R1349" s="7"/>
      <c r="S1349" s="7"/>
      <c r="T1349" s="66"/>
    </row>
    <row r="1350" spans="1:20" ht="13.2">
      <c r="A1350" s="7"/>
      <c r="B1350" s="7"/>
      <c r="C1350" s="74"/>
      <c r="D1350" s="74"/>
      <c r="F1350" s="7"/>
      <c r="G1350" s="74"/>
      <c r="H1350" s="74"/>
      <c r="J1350" s="7"/>
      <c r="K1350" s="74"/>
      <c r="L1350" s="74"/>
      <c r="N1350" s="7"/>
      <c r="O1350" s="74"/>
      <c r="P1350" s="74"/>
      <c r="R1350" s="7"/>
      <c r="S1350" s="7"/>
      <c r="T1350" s="66"/>
    </row>
    <row r="1351" spans="1:20" ht="13.2">
      <c r="A1351" s="7"/>
      <c r="B1351" s="7"/>
      <c r="C1351" s="74"/>
      <c r="D1351" s="74"/>
      <c r="F1351" s="7"/>
      <c r="G1351" s="74"/>
      <c r="H1351" s="74"/>
      <c r="J1351" s="7"/>
      <c r="K1351" s="74"/>
      <c r="L1351" s="74"/>
      <c r="N1351" s="7"/>
      <c r="O1351" s="74"/>
      <c r="P1351" s="74"/>
      <c r="R1351" s="7"/>
      <c r="S1351" s="7"/>
      <c r="T1351" s="66"/>
    </row>
    <row r="1352" spans="1:20" ht="13.2">
      <c r="A1352" s="7"/>
      <c r="B1352" s="7"/>
      <c r="C1352" s="74"/>
      <c r="D1352" s="74"/>
      <c r="F1352" s="7"/>
      <c r="G1352" s="74"/>
      <c r="H1352" s="74"/>
      <c r="J1352" s="7"/>
      <c r="K1352" s="74"/>
      <c r="L1352" s="74"/>
      <c r="N1352" s="7"/>
      <c r="O1352" s="74"/>
      <c r="P1352" s="74"/>
      <c r="R1352" s="7"/>
      <c r="S1352" s="7"/>
      <c r="T1352" s="66"/>
    </row>
    <row r="1353" spans="1:20" ht="13.2">
      <c r="A1353" s="7"/>
      <c r="B1353" s="7"/>
      <c r="C1353" s="74"/>
      <c r="D1353" s="74"/>
      <c r="F1353" s="7"/>
      <c r="G1353" s="74"/>
      <c r="H1353" s="74"/>
      <c r="J1353" s="7"/>
      <c r="K1353" s="74"/>
      <c r="L1353" s="74"/>
      <c r="N1353" s="7"/>
      <c r="O1353" s="74"/>
      <c r="P1353" s="74"/>
      <c r="R1353" s="7"/>
      <c r="S1353" s="7"/>
      <c r="T1353" s="66"/>
    </row>
    <row r="1354" spans="1:20" ht="13.2">
      <c r="A1354" s="7"/>
      <c r="B1354" s="7"/>
      <c r="C1354" s="74"/>
      <c r="D1354" s="74"/>
      <c r="F1354" s="7"/>
      <c r="G1354" s="74"/>
      <c r="H1354" s="74"/>
      <c r="J1354" s="7"/>
      <c r="K1354" s="74"/>
      <c r="L1354" s="74"/>
      <c r="N1354" s="7"/>
      <c r="O1354" s="74"/>
      <c r="P1354" s="74"/>
      <c r="R1354" s="7"/>
      <c r="S1354" s="7"/>
      <c r="T1354" s="66"/>
    </row>
    <row r="1355" spans="1:20" ht="13.2">
      <c r="A1355" s="7"/>
      <c r="B1355" s="7"/>
      <c r="C1355" s="74"/>
      <c r="D1355" s="74"/>
      <c r="F1355" s="7"/>
      <c r="G1355" s="74"/>
      <c r="H1355" s="74"/>
      <c r="J1355" s="7"/>
      <c r="K1355" s="74"/>
      <c r="L1355" s="74"/>
      <c r="N1355" s="7"/>
      <c r="O1355" s="74"/>
      <c r="P1355" s="74"/>
      <c r="R1355" s="7"/>
      <c r="S1355" s="7"/>
      <c r="T1355" s="66"/>
    </row>
    <row r="1356" spans="1:20" ht="13.2">
      <c r="A1356" s="7"/>
      <c r="B1356" s="7"/>
      <c r="C1356" s="74"/>
      <c r="D1356" s="74"/>
      <c r="F1356" s="7"/>
      <c r="G1356" s="74"/>
      <c r="H1356" s="74"/>
      <c r="J1356" s="7"/>
      <c r="K1356" s="74"/>
      <c r="L1356" s="74"/>
      <c r="N1356" s="7"/>
      <c r="O1356" s="74"/>
      <c r="P1356" s="74"/>
      <c r="R1356" s="7"/>
      <c r="S1356" s="7"/>
      <c r="T1356" s="66"/>
    </row>
    <row r="1357" spans="1:20" ht="13.2">
      <c r="A1357" s="7"/>
      <c r="B1357" s="7"/>
      <c r="C1357" s="74"/>
      <c r="D1357" s="74"/>
      <c r="F1357" s="7"/>
      <c r="G1357" s="74"/>
      <c r="H1357" s="74"/>
      <c r="J1357" s="7"/>
      <c r="K1357" s="74"/>
      <c r="L1357" s="74"/>
      <c r="N1357" s="7"/>
      <c r="O1357" s="74"/>
      <c r="P1357" s="74"/>
      <c r="R1357" s="7"/>
      <c r="S1357" s="7"/>
      <c r="T1357" s="66"/>
    </row>
    <row r="1358" spans="1:20" ht="13.2">
      <c r="A1358" s="7"/>
      <c r="B1358" s="7"/>
      <c r="C1358" s="74"/>
      <c r="D1358" s="74"/>
      <c r="F1358" s="7"/>
      <c r="G1358" s="74"/>
      <c r="H1358" s="74"/>
      <c r="J1358" s="7"/>
      <c r="K1358" s="74"/>
      <c r="L1358" s="74"/>
      <c r="N1358" s="7"/>
      <c r="O1358" s="74"/>
      <c r="P1358" s="74"/>
      <c r="R1358" s="7"/>
      <c r="S1358" s="7"/>
      <c r="T1358" s="66"/>
    </row>
    <row r="1359" spans="1:20" ht="13.2">
      <c r="A1359" s="7"/>
      <c r="B1359" s="7"/>
      <c r="C1359" s="74"/>
      <c r="D1359" s="74"/>
      <c r="F1359" s="7"/>
      <c r="G1359" s="74"/>
      <c r="H1359" s="74"/>
      <c r="J1359" s="7"/>
      <c r="K1359" s="74"/>
      <c r="L1359" s="74"/>
      <c r="N1359" s="7"/>
      <c r="O1359" s="74"/>
      <c r="P1359" s="74"/>
      <c r="R1359" s="7"/>
      <c r="S1359" s="7"/>
      <c r="T1359" s="66"/>
    </row>
    <row r="1360" spans="1:20" ht="13.2">
      <c r="A1360" s="7"/>
      <c r="B1360" s="7"/>
      <c r="C1360" s="74"/>
      <c r="D1360" s="74"/>
      <c r="F1360" s="7"/>
      <c r="G1360" s="74"/>
      <c r="H1360" s="74"/>
      <c r="J1360" s="7"/>
      <c r="K1360" s="74"/>
      <c r="L1360" s="74"/>
      <c r="N1360" s="7"/>
      <c r="O1360" s="74"/>
      <c r="P1360" s="74"/>
      <c r="R1360" s="7"/>
      <c r="S1360" s="7"/>
      <c r="T1360" s="66"/>
    </row>
    <row r="1361" spans="1:20" ht="13.2">
      <c r="A1361" s="7"/>
      <c r="B1361" s="7"/>
      <c r="C1361" s="74"/>
      <c r="D1361" s="74"/>
      <c r="F1361" s="7"/>
      <c r="G1361" s="74"/>
      <c r="H1361" s="74"/>
      <c r="J1361" s="7"/>
      <c r="K1361" s="74"/>
      <c r="L1361" s="74"/>
      <c r="N1361" s="7"/>
      <c r="O1361" s="74"/>
      <c r="P1361" s="74"/>
      <c r="R1361" s="7"/>
      <c r="S1361" s="7"/>
      <c r="T1361" s="66"/>
    </row>
    <row r="1362" spans="1:20" ht="13.2">
      <c r="A1362" s="7"/>
      <c r="B1362" s="7"/>
      <c r="C1362" s="74"/>
      <c r="D1362" s="74"/>
      <c r="F1362" s="7"/>
      <c r="G1362" s="74"/>
      <c r="H1362" s="74"/>
      <c r="J1362" s="7"/>
      <c r="K1362" s="74"/>
      <c r="L1362" s="74"/>
      <c r="N1362" s="7"/>
      <c r="O1362" s="74"/>
      <c r="P1362" s="74"/>
      <c r="R1362" s="7"/>
      <c r="S1362" s="7"/>
      <c r="T1362" s="66"/>
    </row>
    <row r="1363" spans="1:20" ht="13.2">
      <c r="A1363" s="7"/>
      <c r="B1363" s="7"/>
      <c r="C1363" s="74"/>
      <c r="D1363" s="74"/>
      <c r="F1363" s="7"/>
      <c r="G1363" s="74"/>
      <c r="H1363" s="74"/>
      <c r="J1363" s="7"/>
      <c r="K1363" s="74"/>
      <c r="L1363" s="74"/>
      <c r="N1363" s="7"/>
      <c r="O1363" s="74"/>
      <c r="P1363" s="74"/>
      <c r="R1363" s="7"/>
      <c r="S1363" s="7"/>
      <c r="T1363" s="66"/>
    </row>
    <row r="1364" spans="1:20" ht="13.2">
      <c r="A1364" s="7"/>
      <c r="B1364" s="7"/>
      <c r="C1364" s="74"/>
      <c r="D1364" s="74"/>
      <c r="F1364" s="7"/>
      <c r="G1364" s="74"/>
      <c r="H1364" s="74"/>
      <c r="J1364" s="7"/>
      <c r="K1364" s="74"/>
      <c r="L1364" s="74"/>
      <c r="N1364" s="7"/>
      <c r="O1364" s="74"/>
      <c r="P1364" s="74"/>
      <c r="R1364" s="7"/>
      <c r="S1364" s="7"/>
      <c r="T1364" s="66"/>
    </row>
    <row r="1365" spans="1:20" ht="13.2">
      <c r="A1365" s="7"/>
      <c r="B1365" s="7"/>
      <c r="C1365" s="74"/>
      <c r="D1365" s="74"/>
      <c r="F1365" s="7"/>
      <c r="G1365" s="74"/>
      <c r="H1365" s="74"/>
      <c r="J1365" s="7"/>
      <c r="K1365" s="74"/>
      <c r="L1365" s="74"/>
      <c r="N1365" s="7"/>
      <c r="O1365" s="74"/>
      <c r="P1365" s="74"/>
      <c r="R1365" s="7"/>
      <c r="S1365" s="7"/>
      <c r="T1365" s="66"/>
    </row>
    <row r="1366" spans="1:20" ht="13.2">
      <c r="A1366" s="7"/>
      <c r="B1366" s="7"/>
      <c r="C1366" s="74"/>
      <c r="D1366" s="74"/>
      <c r="F1366" s="7"/>
      <c r="G1366" s="74"/>
      <c r="H1366" s="74"/>
      <c r="J1366" s="7"/>
      <c r="K1366" s="74"/>
      <c r="L1366" s="74"/>
      <c r="N1366" s="7"/>
      <c r="O1366" s="74"/>
      <c r="P1366" s="74"/>
      <c r="R1366" s="7"/>
      <c r="S1366" s="7"/>
      <c r="T1366" s="66"/>
    </row>
    <row r="1367" spans="1:20" ht="13.2">
      <c r="A1367" s="7"/>
      <c r="B1367" s="7"/>
      <c r="C1367" s="74"/>
      <c r="D1367" s="74"/>
      <c r="F1367" s="7"/>
      <c r="G1367" s="74"/>
      <c r="H1367" s="74"/>
      <c r="J1367" s="7"/>
      <c r="K1367" s="74"/>
      <c r="L1367" s="74"/>
      <c r="N1367" s="7"/>
      <c r="O1367" s="74"/>
      <c r="P1367" s="74"/>
      <c r="R1367" s="7"/>
      <c r="S1367" s="7"/>
      <c r="T1367" s="66"/>
    </row>
    <row r="1368" spans="1:20" ht="13.2">
      <c r="A1368" s="7"/>
      <c r="B1368" s="7"/>
      <c r="C1368" s="74"/>
      <c r="D1368" s="74"/>
      <c r="F1368" s="7"/>
      <c r="G1368" s="74"/>
      <c r="H1368" s="74"/>
      <c r="J1368" s="7"/>
      <c r="K1368" s="74"/>
      <c r="L1368" s="74"/>
      <c r="N1368" s="7"/>
      <c r="O1368" s="74"/>
      <c r="P1368" s="74"/>
      <c r="R1368" s="7"/>
      <c r="S1368" s="7"/>
      <c r="T1368" s="66"/>
    </row>
    <row r="1369" spans="1:20" ht="13.2">
      <c r="A1369" s="7"/>
      <c r="B1369" s="7"/>
      <c r="C1369" s="74"/>
      <c r="D1369" s="74"/>
      <c r="F1369" s="7"/>
      <c r="G1369" s="74"/>
      <c r="H1369" s="74"/>
      <c r="J1369" s="7"/>
      <c r="K1369" s="74"/>
      <c r="L1369" s="74"/>
      <c r="N1369" s="7"/>
      <c r="O1369" s="74"/>
      <c r="P1369" s="74"/>
      <c r="R1369" s="7"/>
      <c r="S1369" s="7"/>
      <c r="T1369" s="66"/>
    </row>
    <row r="1370" spans="1:20" ht="13.2">
      <c r="A1370" s="7"/>
      <c r="B1370" s="7"/>
      <c r="C1370" s="74"/>
      <c r="D1370" s="74"/>
      <c r="F1370" s="7"/>
      <c r="G1370" s="74"/>
      <c r="H1370" s="74"/>
      <c r="J1370" s="7"/>
      <c r="K1370" s="74"/>
      <c r="L1370" s="74"/>
      <c r="N1370" s="7"/>
      <c r="O1370" s="74"/>
      <c r="P1370" s="74"/>
      <c r="R1370" s="7"/>
      <c r="S1370" s="7"/>
      <c r="T1370" s="66"/>
    </row>
    <row r="1371" spans="1:20" ht="13.2">
      <c r="A1371" s="7"/>
      <c r="B1371" s="7"/>
      <c r="C1371" s="74"/>
      <c r="D1371" s="74"/>
      <c r="F1371" s="7"/>
      <c r="G1371" s="74"/>
      <c r="H1371" s="74"/>
      <c r="J1371" s="7"/>
      <c r="K1371" s="74"/>
      <c r="L1371" s="74"/>
      <c r="N1371" s="7"/>
      <c r="O1371" s="74"/>
      <c r="P1371" s="74"/>
      <c r="R1371" s="7"/>
      <c r="S1371" s="7"/>
      <c r="T1371" s="66"/>
    </row>
    <row r="1372" spans="1:20" ht="13.2">
      <c r="A1372" s="7"/>
      <c r="B1372" s="7"/>
      <c r="C1372" s="74"/>
      <c r="D1372" s="74"/>
      <c r="F1372" s="7"/>
      <c r="G1372" s="74"/>
      <c r="H1372" s="74"/>
      <c r="J1372" s="7"/>
      <c r="K1372" s="74"/>
      <c r="L1372" s="74"/>
      <c r="N1372" s="7"/>
      <c r="O1372" s="74"/>
      <c r="P1372" s="74"/>
      <c r="R1372" s="7"/>
      <c r="S1372" s="7"/>
      <c r="T1372" s="66"/>
    </row>
    <row r="1373" spans="1:20" ht="13.2">
      <c r="A1373" s="7"/>
      <c r="B1373" s="7"/>
      <c r="C1373" s="74"/>
      <c r="D1373" s="74"/>
      <c r="F1373" s="7"/>
      <c r="G1373" s="74"/>
      <c r="H1373" s="74"/>
      <c r="J1373" s="7"/>
      <c r="K1373" s="74"/>
      <c r="L1373" s="74"/>
      <c r="N1373" s="7"/>
      <c r="O1373" s="74"/>
      <c r="P1373" s="74"/>
      <c r="R1373" s="7"/>
      <c r="S1373" s="7"/>
      <c r="T1373" s="66"/>
    </row>
    <row r="1374" spans="1:20" ht="13.2">
      <c r="A1374" s="7"/>
      <c r="B1374" s="7"/>
      <c r="C1374" s="74"/>
      <c r="D1374" s="74"/>
      <c r="F1374" s="7"/>
      <c r="G1374" s="74"/>
      <c r="H1374" s="74"/>
      <c r="J1374" s="7"/>
      <c r="K1374" s="74"/>
      <c r="L1374" s="74"/>
      <c r="N1374" s="7"/>
      <c r="O1374" s="74"/>
      <c r="P1374" s="74"/>
      <c r="R1374" s="7"/>
      <c r="S1374" s="7"/>
      <c r="T1374" s="66"/>
    </row>
    <row r="1375" spans="1:20" ht="13.2">
      <c r="A1375" s="7"/>
      <c r="B1375" s="7"/>
      <c r="C1375" s="74"/>
      <c r="D1375" s="74"/>
      <c r="F1375" s="7"/>
      <c r="G1375" s="74"/>
      <c r="H1375" s="74"/>
      <c r="J1375" s="7"/>
      <c r="K1375" s="74"/>
      <c r="L1375" s="74"/>
      <c r="N1375" s="7"/>
      <c r="O1375" s="74"/>
      <c r="P1375" s="74"/>
      <c r="R1375" s="7"/>
      <c r="S1375" s="7"/>
      <c r="T1375" s="66"/>
    </row>
    <row r="1376" spans="1:20" ht="13.2">
      <c r="A1376" s="7"/>
      <c r="B1376" s="7"/>
      <c r="C1376" s="74"/>
      <c r="D1376" s="74"/>
      <c r="F1376" s="7"/>
      <c r="G1376" s="74"/>
      <c r="H1376" s="74"/>
      <c r="J1376" s="7"/>
      <c r="K1376" s="74"/>
      <c r="L1376" s="74"/>
      <c r="N1376" s="7"/>
      <c r="O1376" s="74"/>
      <c r="P1376" s="74"/>
      <c r="R1376" s="7"/>
      <c r="S1376" s="7"/>
      <c r="T1376" s="66"/>
    </row>
    <row r="1377" spans="1:20" ht="13.2">
      <c r="A1377" s="7"/>
      <c r="B1377" s="7"/>
      <c r="C1377" s="74"/>
      <c r="D1377" s="74"/>
      <c r="F1377" s="7"/>
      <c r="G1377" s="74"/>
      <c r="H1377" s="74"/>
      <c r="J1377" s="7"/>
      <c r="K1377" s="74"/>
      <c r="L1377" s="74"/>
      <c r="N1377" s="7"/>
      <c r="O1377" s="74"/>
      <c r="P1377" s="74"/>
      <c r="R1377" s="7"/>
      <c r="S1377" s="7"/>
      <c r="T1377" s="66"/>
    </row>
    <row r="1378" spans="1:20" ht="13.2">
      <c r="A1378" s="7"/>
      <c r="B1378" s="7"/>
      <c r="C1378" s="74"/>
      <c r="D1378" s="74"/>
      <c r="F1378" s="7"/>
      <c r="G1378" s="74"/>
      <c r="H1378" s="74"/>
      <c r="J1378" s="7"/>
      <c r="K1378" s="74"/>
      <c r="L1378" s="74"/>
      <c r="N1378" s="7"/>
      <c r="O1378" s="74"/>
      <c r="P1378" s="74"/>
      <c r="R1378" s="7"/>
      <c r="S1378" s="7"/>
      <c r="T1378" s="66"/>
    </row>
    <row r="1379" spans="1:20" ht="13.2">
      <c r="A1379" s="7"/>
      <c r="B1379" s="7"/>
      <c r="C1379" s="74"/>
      <c r="D1379" s="74"/>
      <c r="F1379" s="7"/>
      <c r="G1379" s="74"/>
      <c r="H1379" s="74"/>
      <c r="J1379" s="7"/>
      <c r="K1379" s="74"/>
      <c r="L1379" s="74"/>
      <c r="N1379" s="7"/>
      <c r="O1379" s="74"/>
      <c r="P1379" s="74"/>
      <c r="R1379" s="7"/>
      <c r="S1379" s="7"/>
      <c r="T1379" s="66"/>
    </row>
    <row r="1380" spans="1:20" ht="13.2">
      <c r="A1380" s="7"/>
      <c r="B1380" s="7"/>
      <c r="C1380" s="74"/>
      <c r="D1380" s="74"/>
      <c r="F1380" s="7"/>
      <c r="G1380" s="74"/>
      <c r="H1380" s="74"/>
      <c r="J1380" s="7"/>
      <c r="K1380" s="74"/>
      <c r="L1380" s="74"/>
      <c r="N1380" s="7"/>
      <c r="O1380" s="74"/>
      <c r="P1380" s="74"/>
      <c r="R1380" s="7"/>
      <c r="S1380" s="7"/>
      <c r="T1380" s="66"/>
    </row>
    <row r="1381" spans="1:20" ht="13.2">
      <c r="A1381" s="7"/>
      <c r="B1381" s="7"/>
      <c r="C1381" s="74"/>
      <c r="D1381" s="74"/>
      <c r="F1381" s="7"/>
      <c r="G1381" s="74"/>
      <c r="H1381" s="74"/>
      <c r="J1381" s="7"/>
      <c r="K1381" s="74"/>
      <c r="L1381" s="74"/>
      <c r="N1381" s="7"/>
      <c r="O1381" s="74"/>
      <c r="P1381" s="74"/>
      <c r="R1381" s="7"/>
      <c r="S1381" s="7"/>
      <c r="T1381" s="66"/>
    </row>
    <row r="1382" spans="1:20" ht="13.2">
      <c r="A1382" s="7"/>
      <c r="B1382" s="7"/>
      <c r="C1382" s="74"/>
      <c r="D1382" s="74"/>
      <c r="F1382" s="7"/>
      <c r="G1382" s="74"/>
      <c r="H1382" s="74"/>
      <c r="J1382" s="7"/>
      <c r="K1382" s="74"/>
      <c r="L1382" s="74"/>
      <c r="N1382" s="7"/>
      <c r="O1382" s="74"/>
      <c r="P1382" s="74"/>
      <c r="R1382" s="7"/>
      <c r="S1382" s="7"/>
      <c r="T1382" s="66"/>
    </row>
    <row r="1383" spans="1:20" ht="13.2">
      <c r="A1383" s="7"/>
      <c r="B1383" s="7"/>
      <c r="C1383" s="74"/>
      <c r="D1383" s="74"/>
      <c r="F1383" s="7"/>
      <c r="G1383" s="74"/>
      <c r="H1383" s="74"/>
      <c r="J1383" s="7"/>
      <c r="K1383" s="74"/>
      <c r="L1383" s="74"/>
      <c r="N1383" s="7"/>
      <c r="O1383" s="74"/>
      <c r="P1383" s="74"/>
      <c r="R1383" s="7"/>
      <c r="S1383" s="7"/>
      <c r="T1383" s="66"/>
    </row>
    <row r="1384" spans="1:20" ht="13.2">
      <c r="A1384" s="7"/>
      <c r="B1384" s="7"/>
      <c r="C1384" s="74"/>
      <c r="D1384" s="74"/>
      <c r="F1384" s="7"/>
      <c r="G1384" s="74"/>
      <c r="H1384" s="74"/>
      <c r="J1384" s="7"/>
      <c r="K1384" s="74"/>
      <c r="L1384" s="74"/>
      <c r="N1384" s="7"/>
      <c r="O1384" s="74"/>
      <c r="P1384" s="74"/>
      <c r="R1384" s="7"/>
      <c r="S1384" s="7"/>
      <c r="T1384" s="66"/>
    </row>
    <row r="1385" spans="1:20" ht="13.2">
      <c r="A1385" s="7"/>
      <c r="B1385" s="7"/>
      <c r="C1385" s="74"/>
      <c r="D1385" s="74"/>
      <c r="F1385" s="7"/>
      <c r="G1385" s="74"/>
      <c r="H1385" s="74"/>
      <c r="J1385" s="7"/>
      <c r="K1385" s="74"/>
      <c r="L1385" s="74"/>
      <c r="N1385" s="7"/>
      <c r="O1385" s="74"/>
      <c r="P1385" s="74"/>
      <c r="R1385" s="7"/>
      <c r="S1385" s="7"/>
      <c r="T1385" s="66"/>
    </row>
    <row r="1386" spans="1:20" ht="13.2">
      <c r="A1386" s="7"/>
      <c r="B1386" s="7"/>
      <c r="C1386" s="74"/>
      <c r="D1386" s="74"/>
      <c r="F1386" s="7"/>
      <c r="G1386" s="74"/>
      <c r="H1386" s="74"/>
      <c r="J1386" s="7"/>
      <c r="K1386" s="74"/>
      <c r="L1386" s="74"/>
      <c r="N1386" s="7"/>
      <c r="O1386" s="74"/>
      <c r="P1386" s="74"/>
      <c r="R1386" s="7"/>
      <c r="S1386" s="7"/>
      <c r="T1386" s="66"/>
    </row>
    <row r="1387" spans="1:20" ht="13.2">
      <c r="A1387" s="7"/>
      <c r="B1387" s="7"/>
      <c r="C1387" s="74"/>
      <c r="D1387" s="74"/>
      <c r="F1387" s="7"/>
      <c r="G1387" s="74"/>
      <c r="H1387" s="74"/>
      <c r="J1387" s="7"/>
      <c r="K1387" s="74"/>
      <c r="L1387" s="74"/>
      <c r="N1387" s="7"/>
      <c r="O1387" s="74"/>
      <c r="P1387" s="74"/>
      <c r="R1387" s="7"/>
      <c r="S1387" s="7"/>
      <c r="T1387" s="66"/>
    </row>
    <row r="1388" spans="1:20" ht="13.2">
      <c r="A1388" s="7"/>
      <c r="B1388" s="7"/>
      <c r="C1388" s="74"/>
      <c r="D1388" s="74"/>
      <c r="F1388" s="7"/>
      <c r="G1388" s="74"/>
      <c r="H1388" s="74"/>
      <c r="J1388" s="7"/>
      <c r="K1388" s="74"/>
      <c r="L1388" s="74"/>
      <c r="N1388" s="7"/>
      <c r="O1388" s="74"/>
      <c r="P1388" s="74"/>
      <c r="R1388" s="7"/>
      <c r="S1388" s="7"/>
      <c r="T1388" s="66"/>
    </row>
    <row r="1389" spans="1:20" ht="13.2">
      <c r="A1389" s="7"/>
      <c r="B1389" s="7"/>
      <c r="C1389" s="74"/>
      <c r="D1389" s="74"/>
      <c r="F1389" s="7"/>
      <c r="G1389" s="74"/>
      <c r="H1389" s="74"/>
      <c r="J1389" s="7"/>
      <c r="K1389" s="74"/>
      <c r="L1389" s="74"/>
      <c r="N1389" s="7"/>
      <c r="O1389" s="74"/>
      <c r="P1389" s="74"/>
      <c r="R1389" s="7"/>
      <c r="S1389" s="7"/>
      <c r="T1389" s="66"/>
    </row>
    <row r="1390" spans="1:20" ht="13.2">
      <c r="A1390" s="7"/>
      <c r="B1390" s="7"/>
      <c r="C1390" s="74"/>
      <c r="D1390" s="74"/>
      <c r="F1390" s="7"/>
      <c r="G1390" s="74"/>
      <c r="H1390" s="74"/>
      <c r="J1390" s="7"/>
      <c r="K1390" s="74"/>
      <c r="L1390" s="74"/>
      <c r="N1390" s="7"/>
      <c r="O1390" s="74"/>
      <c r="P1390" s="74"/>
      <c r="R1390" s="7"/>
      <c r="S1390" s="7"/>
      <c r="T1390" s="66"/>
    </row>
    <row r="1391" spans="1:20" ht="13.2">
      <c r="A1391" s="7"/>
      <c r="B1391" s="7"/>
      <c r="C1391" s="74"/>
      <c r="D1391" s="74"/>
      <c r="F1391" s="7"/>
      <c r="G1391" s="74"/>
      <c r="H1391" s="74"/>
      <c r="J1391" s="7"/>
      <c r="K1391" s="74"/>
      <c r="L1391" s="74"/>
      <c r="N1391" s="7"/>
      <c r="O1391" s="74"/>
      <c r="P1391" s="74"/>
      <c r="R1391" s="7"/>
      <c r="S1391" s="7"/>
      <c r="T1391" s="66"/>
    </row>
    <row r="1392" spans="1:20" ht="13.2">
      <c r="A1392" s="7"/>
      <c r="B1392" s="7"/>
      <c r="C1392" s="74"/>
      <c r="D1392" s="74"/>
      <c r="F1392" s="7"/>
      <c r="G1392" s="74"/>
      <c r="H1392" s="74"/>
      <c r="J1392" s="7"/>
      <c r="K1392" s="74"/>
      <c r="L1392" s="74"/>
      <c r="N1392" s="7"/>
      <c r="O1392" s="74"/>
      <c r="P1392" s="74"/>
      <c r="R1392" s="7"/>
      <c r="S1392" s="7"/>
      <c r="T1392" s="66"/>
    </row>
    <row r="1393" spans="1:20" ht="13.2">
      <c r="A1393" s="7"/>
      <c r="B1393" s="7"/>
      <c r="C1393" s="74"/>
      <c r="D1393" s="74"/>
      <c r="F1393" s="7"/>
      <c r="G1393" s="74"/>
      <c r="H1393" s="74"/>
      <c r="J1393" s="7"/>
      <c r="K1393" s="74"/>
      <c r="L1393" s="74"/>
      <c r="N1393" s="7"/>
      <c r="O1393" s="74"/>
      <c r="P1393" s="74"/>
      <c r="R1393" s="7"/>
      <c r="S1393" s="7"/>
      <c r="T1393" s="66"/>
    </row>
    <row r="1394" spans="1:20" ht="13.2">
      <c r="A1394" s="7"/>
      <c r="B1394" s="7"/>
      <c r="C1394" s="74"/>
      <c r="D1394" s="74"/>
      <c r="F1394" s="7"/>
      <c r="G1394" s="74"/>
      <c r="H1394" s="74"/>
      <c r="J1394" s="7"/>
      <c r="K1394" s="74"/>
      <c r="L1394" s="74"/>
      <c r="N1394" s="7"/>
      <c r="O1394" s="74"/>
      <c r="P1394" s="74"/>
      <c r="R1394" s="7"/>
      <c r="S1394" s="7"/>
      <c r="T1394" s="66"/>
    </row>
    <row r="1395" spans="1:20" ht="13.2">
      <c r="A1395" s="7"/>
      <c r="B1395" s="7"/>
      <c r="C1395" s="74"/>
      <c r="D1395" s="74"/>
      <c r="F1395" s="7"/>
      <c r="G1395" s="74"/>
      <c r="H1395" s="74"/>
      <c r="J1395" s="7"/>
      <c r="K1395" s="74"/>
      <c r="L1395" s="74"/>
      <c r="N1395" s="7"/>
      <c r="O1395" s="74"/>
      <c r="P1395" s="74"/>
      <c r="R1395" s="7"/>
      <c r="S1395" s="7"/>
      <c r="T1395" s="66"/>
    </row>
    <row r="1396" spans="1:20" ht="13.2">
      <c r="A1396" s="7"/>
      <c r="B1396" s="7"/>
      <c r="C1396" s="74"/>
      <c r="D1396" s="74"/>
      <c r="F1396" s="7"/>
      <c r="G1396" s="74"/>
      <c r="H1396" s="74"/>
      <c r="J1396" s="7"/>
      <c r="K1396" s="74"/>
      <c r="L1396" s="74"/>
      <c r="N1396" s="7"/>
      <c r="O1396" s="74"/>
      <c r="P1396" s="74"/>
      <c r="R1396" s="7"/>
      <c r="S1396" s="7"/>
      <c r="T1396" s="66"/>
    </row>
    <row r="1397" spans="1:20" ht="13.2">
      <c r="A1397" s="7"/>
      <c r="B1397" s="7"/>
      <c r="C1397" s="74"/>
      <c r="D1397" s="74"/>
      <c r="F1397" s="7"/>
      <c r="G1397" s="74"/>
      <c r="H1397" s="74"/>
      <c r="J1397" s="7"/>
      <c r="K1397" s="74"/>
      <c r="L1397" s="74"/>
      <c r="N1397" s="7"/>
      <c r="O1397" s="74"/>
      <c r="P1397" s="74"/>
      <c r="R1397" s="7"/>
      <c r="S1397" s="7"/>
      <c r="T1397" s="66"/>
    </row>
    <row r="1398" spans="1:20" ht="13.2">
      <c r="A1398" s="7"/>
      <c r="B1398" s="7"/>
      <c r="C1398" s="74"/>
      <c r="D1398" s="74"/>
      <c r="F1398" s="7"/>
      <c r="G1398" s="74"/>
      <c r="H1398" s="74"/>
      <c r="J1398" s="7"/>
      <c r="K1398" s="74"/>
      <c r="L1398" s="74"/>
      <c r="N1398" s="7"/>
      <c r="O1398" s="74"/>
      <c r="P1398" s="74"/>
      <c r="R1398" s="7"/>
      <c r="S1398" s="7"/>
      <c r="T1398" s="66"/>
    </row>
    <row r="1399" spans="1:20" ht="13.2">
      <c r="A1399" s="7"/>
      <c r="B1399" s="7"/>
      <c r="C1399" s="74"/>
      <c r="D1399" s="74"/>
      <c r="F1399" s="7"/>
      <c r="G1399" s="74"/>
      <c r="H1399" s="74"/>
      <c r="J1399" s="7"/>
      <c r="K1399" s="74"/>
      <c r="L1399" s="74"/>
      <c r="N1399" s="7"/>
      <c r="O1399" s="74"/>
      <c r="P1399" s="74"/>
      <c r="R1399" s="7"/>
      <c r="S1399" s="7"/>
      <c r="T1399" s="66"/>
    </row>
    <row r="1400" spans="1:20" ht="13.2">
      <c r="A1400" s="7"/>
      <c r="B1400" s="7"/>
      <c r="C1400" s="74"/>
      <c r="D1400" s="74"/>
      <c r="F1400" s="7"/>
      <c r="G1400" s="74"/>
      <c r="H1400" s="74"/>
      <c r="J1400" s="7"/>
      <c r="K1400" s="74"/>
      <c r="L1400" s="74"/>
      <c r="N1400" s="7"/>
      <c r="O1400" s="74"/>
      <c r="P1400" s="74"/>
      <c r="R1400" s="7"/>
      <c r="S1400" s="7"/>
      <c r="T1400" s="66"/>
    </row>
    <row r="1401" spans="1:20" ht="13.2">
      <c r="A1401" s="7"/>
      <c r="B1401" s="7"/>
      <c r="C1401" s="74"/>
      <c r="D1401" s="74"/>
      <c r="F1401" s="7"/>
      <c r="G1401" s="74"/>
      <c r="H1401" s="74"/>
      <c r="J1401" s="7"/>
      <c r="K1401" s="74"/>
      <c r="L1401" s="74"/>
      <c r="N1401" s="7"/>
      <c r="O1401" s="74"/>
      <c r="P1401" s="74"/>
      <c r="R1401" s="7"/>
      <c r="S1401" s="7"/>
      <c r="T1401" s="66"/>
    </row>
    <row r="1402" spans="1:20" ht="13.2">
      <c r="A1402" s="7"/>
      <c r="B1402" s="7"/>
      <c r="C1402" s="74"/>
      <c r="D1402" s="74"/>
      <c r="F1402" s="7"/>
      <c r="G1402" s="74"/>
      <c r="H1402" s="74"/>
      <c r="J1402" s="7"/>
      <c r="K1402" s="74"/>
      <c r="L1402" s="74"/>
      <c r="N1402" s="7"/>
      <c r="O1402" s="74"/>
      <c r="P1402" s="74"/>
      <c r="R1402" s="7"/>
      <c r="S1402" s="7"/>
      <c r="T1402" s="66"/>
    </row>
    <row r="1403" spans="1:20" ht="13.2">
      <c r="A1403" s="7"/>
      <c r="B1403" s="7"/>
      <c r="C1403" s="74"/>
      <c r="D1403" s="74"/>
      <c r="F1403" s="7"/>
      <c r="G1403" s="74"/>
      <c r="H1403" s="74"/>
      <c r="J1403" s="7"/>
      <c r="K1403" s="74"/>
      <c r="L1403" s="74"/>
      <c r="N1403" s="7"/>
      <c r="O1403" s="74"/>
      <c r="P1403" s="74"/>
      <c r="R1403" s="7"/>
      <c r="S1403" s="7"/>
      <c r="T1403" s="66"/>
    </row>
    <row r="1404" spans="1:20" ht="13.2">
      <c r="A1404" s="7"/>
      <c r="B1404" s="7"/>
      <c r="C1404" s="74"/>
      <c r="D1404" s="74"/>
      <c r="F1404" s="7"/>
      <c r="G1404" s="74"/>
      <c r="H1404" s="74"/>
      <c r="J1404" s="7"/>
      <c r="K1404" s="74"/>
      <c r="L1404" s="74"/>
      <c r="N1404" s="7"/>
      <c r="O1404" s="74"/>
      <c r="P1404" s="74"/>
      <c r="R1404" s="7"/>
      <c r="S1404" s="7"/>
      <c r="T1404" s="66"/>
    </row>
    <row r="1405" spans="1:20" ht="13.2">
      <c r="A1405" s="7"/>
      <c r="B1405" s="7"/>
      <c r="C1405" s="74"/>
      <c r="D1405" s="74"/>
      <c r="F1405" s="7"/>
      <c r="G1405" s="74"/>
      <c r="H1405" s="74"/>
      <c r="J1405" s="7"/>
      <c r="K1405" s="74"/>
      <c r="L1405" s="74"/>
      <c r="N1405" s="7"/>
      <c r="O1405" s="74"/>
      <c r="P1405" s="74"/>
      <c r="R1405" s="7"/>
      <c r="S1405" s="7"/>
      <c r="T1405" s="66"/>
    </row>
    <row r="1406" spans="1:20" ht="13.2">
      <c r="A1406" s="7"/>
      <c r="B1406" s="7"/>
      <c r="C1406" s="74"/>
      <c r="D1406" s="74"/>
      <c r="F1406" s="7"/>
      <c r="G1406" s="74"/>
      <c r="H1406" s="74"/>
      <c r="J1406" s="7"/>
      <c r="K1406" s="74"/>
      <c r="L1406" s="74"/>
      <c r="N1406" s="7"/>
      <c r="O1406" s="74"/>
      <c r="P1406" s="74"/>
      <c r="R1406" s="7"/>
      <c r="S1406" s="7"/>
      <c r="T1406" s="66"/>
    </row>
    <row r="1407" spans="1:20" ht="13.2">
      <c r="A1407" s="7"/>
      <c r="B1407" s="7"/>
      <c r="C1407" s="74"/>
      <c r="D1407" s="74"/>
      <c r="F1407" s="7"/>
      <c r="G1407" s="74"/>
      <c r="H1407" s="74"/>
      <c r="J1407" s="7"/>
      <c r="K1407" s="74"/>
      <c r="L1407" s="74"/>
      <c r="N1407" s="7"/>
      <c r="O1407" s="74"/>
      <c r="P1407" s="74"/>
      <c r="R1407" s="7"/>
      <c r="S1407" s="7"/>
      <c r="T1407" s="66"/>
    </row>
    <row r="1408" spans="1:20" ht="13.2">
      <c r="A1408" s="7"/>
      <c r="B1408" s="7"/>
      <c r="C1408" s="74"/>
      <c r="D1408" s="74"/>
      <c r="F1408" s="7"/>
      <c r="G1408" s="74"/>
      <c r="H1408" s="74"/>
      <c r="J1408" s="7"/>
      <c r="K1408" s="74"/>
      <c r="L1408" s="74"/>
      <c r="N1408" s="7"/>
      <c r="O1408" s="74"/>
      <c r="P1408" s="74"/>
      <c r="R1408" s="7"/>
      <c r="S1408" s="7"/>
      <c r="T1408" s="66"/>
    </row>
    <row r="1409" spans="1:20" ht="13.2">
      <c r="A1409" s="7"/>
      <c r="B1409" s="7"/>
      <c r="C1409" s="74"/>
      <c r="D1409" s="74"/>
      <c r="F1409" s="7"/>
      <c r="G1409" s="74"/>
      <c r="H1409" s="74"/>
      <c r="J1409" s="7"/>
      <c r="K1409" s="74"/>
      <c r="L1409" s="74"/>
      <c r="N1409" s="7"/>
      <c r="O1409" s="74"/>
      <c r="P1409" s="74"/>
      <c r="R1409" s="7"/>
      <c r="S1409" s="7"/>
      <c r="T1409" s="66"/>
    </row>
    <row r="1410" spans="1:20" ht="13.2">
      <c r="A1410" s="7"/>
      <c r="B1410" s="7"/>
      <c r="C1410" s="74"/>
      <c r="D1410" s="74"/>
      <c r="F1410" s="7"/>
      <c r="G1410" s="74"/>
      <c r="H1410" s="74"/>
      <c r="J1410" s="7"/>
      <c r="K1410" s="74"/>
      <c r="L1410" s="74"/>
      <c r="N1410" s="7"/>
      <c r="O1410" s="74"/>
      <c r="P1410" s="74"/>
      <c r="R1410" s="7"/>
      <c r="S1410" s="7"/>
      <c r="T1410" s="66"/>
    </row>
    <row r="1411" spans="1:20" ht="13.2">
      <c r="A1411" s="7"/>
      <c r="B1411" s="7"/>
      <c r="C1411" s="74"/>
      <c r="D1411" s="74"/>
      <c r="F1411" s="7"/>
      <c r="G1411" s="74"/>
      <c r="H1411" s="74"/>
      <c r="J1411" s="7"/>
      <c r="K1411" s="74"/>
      <c r="L1411" s="74"/>
      <c r="N1411" s="7"/>
      <c r="O1411" s="74"/>
      <c r="P1411" s="74"/>
      <c r="R1411" s="7"/>
      <c r="S1411" s="7"/>
      <c r="T1411" s="66"/>
    </row>
    <row r="1412" spans="1:20" ht="13.2">
      <c r="A1412" s="7"/>
      <c r="B1412" s="7"/>
      <c r="C1412" s="74"/>
      <c r="D1412" s="74"/>
      <c r="F1412" s="7"/>
      <c r="G1412" s="74"/>
      <c r="H1412" s="74"/>
      <c r="J1412" s="7"/>
      <c r="K1412" s="74"/>
      <c r="L1412" s="74"/>
      <c r="N1412" s="7"/>
      <c r="O1412" s="74"/>
      <c r="P1412" s="74"/>
      <c r="R1412" s="7"/>
      <c r="S1412" s="7"/>
      <c r="T1412" s="66"/>
    </row>
    <row r="1413" spans="1:20" ht="13.2">
      <c r="A1413" s="7"/>
      <c r="B1413" s="7"/>
      <c r="C1413" s="74"/>
      <c r="D1413" s="74"/>
      <c r="F1413" s="7"/>
      <c r="G1413" s="74"/>
      <c r="H1413" s="74"/>
      <c r="J1413" s="7"/>
      <c r="K1413" s="74"/>
      <c r="L1413" s="74"/>
      <c r="N1413" s="7"/>
      <c r="O1413" s="74"/>
      <c r="P1413" s="74"/>
      <c r="R1413" s="7"/>
      <c r="S1413" s="7"/>
      <c r="T1413" s="66"/>
    </row>
    <row r="1414" spans="1:20" ht="13.2">
      <c r="A1414" s="7"/>
      <c r="B1414" s="7"/>
      <c r="C1414" s="74"/>
      <c r="D1414" s="74"/>
      <c r="F1414" s="7"/>
      <c r="G1414" s="74"/>
      <c r="H1414" s="74"/>
      <c r="J1414" s="7"/>
      <c r="K1414" s="74"/>
      <c r="L1414" s="74"/>
      <c r="N1414" s="7"/>
      <c r="O1414" s="74"/>
      <c r="P1414" s="74"/>
      <c r="R1414" s="7"/>
      <c r="S1414" s="7"/>
      <c r="T1414" s="66"/>
    </row>
    <row r="1415" spans="1:20" ht="13.2">
      <c r="A1415" s="7"/>
      <c r="B1415" s="7"/>
      <c r="C1415" s="74"/>
      <c r="D1415" s="74"/>
      <c r="F1415" s="7"/>
      <c r="G1415" s="74"/>
      <c r="H1415" s="74"/>
      <c r="J1415" s="7"/>
      <c r="K1415" s="74"/>
      <c r="L1415" s="74"/>
      <c r="N1415" s="7"/>
      <c r="O1415" s="74"/>
      <c r="P1415" s="74"/>
      <c r="R1415" s="7"/>
      <c r="S1415" s="7"/>
      <c r="T1415" s="66"/>
    </row>
    <row r="1416" spans="1:20" ht="13.2">
      <c r="A1416" s="7"/>
      <c r="B1416" s="7"/>
      <c r="C1416" s="74"/>
      <c r="D1416" s="74"/>
      <c r="F1416" s="7"/>
      <c r="G1416" s="74"/>
      <c r="H1416" s="74"/>
      <c r="J1416" s="7"/>
      <c r="K1416" s="74"/>
      <c r="L1416" s="74"/>
      <c r="N1416" s="7"/>
      <c r="O1416" s="74"/>
      <c r="P1416" s="74"/>
      <c r="R1416" s="7"/>
      <c r="S1416" s="7"/>
      <c r="T1416" s="66"/>
    </row>
    <row r="1417" spans="1:20" ht="13.2">
      <c r="A1417" s="7"/>
      <c r="B1417" s="7"/>
      <c r="C1417" s="74"/>
      <c r="D1417" s="74"/>
      <c r="F1417" s="7"/>
      <c r="G1417" s="74"/>
      <c r="H1417" s="74"/>
      <c r="J1417" s="7"/>
      <c r="K1417" s="74"/>
      <c r="L1417" s="74"/>
      <c r="N1417" s="7"/>
      <c r="O1417" s="74"/>
      <c r="P1417" s="74"/>
      <c r="R1417" s="7"/>
      <c r="S1417" s="7"/>
      <c r="T1417" s="66"/>
    </row>
    <row r="1418" spans="1:20" ht="13.2">
      <c r="A1418" s="7"/>
      <c r="B1418" s="7"/>
      <c r="C1418" s="74"/>
      <c r="D1418" s="74"/>
      <c r="F1418" s="7"/>
      <c r="G1418" s="74"/>
      <c r="H1418" s="74"/>
      <c r="J1418" s="7"/>
      <c r="K1418" s="74"/>
      <c r="L1418" s="74"/>
      <c r="N1418" s="7"/>
      <c r="O1418" s="74"/>
      <c r="P1418" s="74"/>
      <c r="R1418" s="7"/>
      <c r="S1418" s="7"/>
      <c r="T1418" s="66"/>
    </row>
    <row r="1419" spans="1:20" ht="13.2">
      <c r="A1419" s="7"/>
      <c r="B1419" s="7"/>
      <c r="C1419" s="74"/>
      <c r="D1419" s="74"/>
      <c r="F1419" s="7"/>
      <c r="G1419" s="74"/>
      <c r="H1419" s="74"/>
      <c r="J1419" s="7"/>
      <c r="K1419" s="74"/>
      <c r="L1419" s="74"/>
      <c r="N1419" s="7"/>
      <c r="O1419" s="74"/>
      <c r="P1419" s="74"/>
      <c r="R1419" s="7"/>
      <c r="S1419" s="7"/>
      <c r="T1419" s="66"/>
    </row>
    <row r="1420" spans="1:20" ht="13.2">
      <c r="A1420" s="7"/>
      <c r="B1420" s="7"/>
      <c r="C1420" s="74"/>
      <c r="D1420" s="74"/>
      <c r="F1420" s="7"/>
      <c r="G1420" s="74"/>
      <c r="H1420" s="74"/>
      <c r="J1420" s="7"/>
      <c r="K1420" s="74"/>
      <c r="L1420" s="74"/>
      <c r="N1420" s="7"/>
      <c r="O1420" s="74"/>
      <c r="P1420" s="74"/>
      <c r="R1420" s="7"/>
      <c r="S1420" s="7"/>
      <c r="T1420" s="66"/>
    </row>
    <row r="1421" spans="1:20" ht="13.2">
      <c r="A1421" s="7"/>
      <c r="B1421" s="7"/>
      <c r="C1421" s="74"/>
      <c r="D1421" s="74"/>
      <c r="F1421" s="7"/>
      <c r="G1421" s="74"/>
      <c r="H1421" s="74"/>
      <c r="J1421" s="7"/>
      <c r="K1421" s="74"/>
      <c r="L1421" s="74"/>
      <c r="N1421" s="7"/>
      <c r="O1421" s="74"/>
      <c r="P1421" s="74"/>
      <c r="R1421" s="7"/>
      <c r="S1421" s="7"/>
      <c r="T1421" s="66"/>
    </row>
    <row r="1422" spans="1:20" ht="13.2">
      <c r="A1422" s="7"/>
      <c r="B1422" s="7"/>
      <c r="C1422" s="74"/>
      <c r="D1422" s="74"/>
      <c r="F1422" s="7"/>
      <c r="G1422" s="74"/>
      <c r="H1422" s="74"/>
      <c r="J1422" s="7"/>
      <c r="K1422" s="74"/>
      <c r="L1422" s="74"/>
      <c r="N1422" s="7"/>
      <c r="O1422" s="74"/>
      <c r="P1422" s="74"/>
      <c r="R1422" s="7"/>
      <c r="S1422" s="7"/>
      <c r="T1422" s="66"/>
    </row>
    <row r="1423" spans="1:20" ht="13.2">
      <c r="A1423" s="7"/>
      <c r="B1423" s="7"/>
      <c r="C1423" s="74"/>
      <c r="D1423" s="74"/>
      <c r="F1423" s="7"/>
      <c r="G1423" s="74"/>
      <c r="H1423" s="74"/>
      <c r="J1423" s="7"/>
      <c r="K1423" s="74"/>
      <c r="L1423" s="74"/>
      <c r="N1423" s="7"/>
      <c r="O1423" s="74"/>
      <c r="P1423" s="74"/>
      <c r="R1423" s="7"/>
      <c r="S1423" s="7"/>
      <c r="T1423" s="66"/>
    </row>
    <row r="1424" spans="1:20" ht="13.2">
      <c r="A1424" s="7"/>
      <c r="B1424" s="7"/>
      <c r="C1424" s="74"/>
      <c r="D1424" s="74"/>
      <c r="F1424" s="7"/>
      <c r="G1424" s="74"/>
      <c r="H1424" s="74"/>
      <c r="J1424" s="7"/>
      <c r="K1424" s="74"/>
      <c r="L1424" s="74"/>
      <c r="N1424" s="7"/>
      <c r="O1424" s="74"/>
      <c r="P1424" s="74"/>
      <c r="R1424" s="7"/>
      <c r="S1424" s="7"/>
      <c r="T1424" s="66"/>
    </row>
    <row r="1425" spans="1:20" ht="13.2">
      <c r="A1425" s="7"/>
      <c r="B1425" s="7"/>
      <c r="C1425" s="74"/>
      <c r="D1425" s="74"/>
      <c r="F1425" s="7"/>
      <c r="G1425" s="74"/>
      <c r="H1425" s="74"/>
      <c r="J1425" s="7"/>
      <c r="K1425" s="74"/>
      <c r="L1425" s="74"/>
      <c r="N1425" s="7"/>
      <c r="O1425" s="74"/>
      <c r="P1425" s="74"/>
      <c r="R1425" s="7"/>
      <c r="S1425" s="7"/>
      <c r="T1425" s="66"/>
    </row>
    <row r="1426" spans="1:20" ht="13.2">
      <c r="A1426" s="7"/>
      <c r="B1426" s="7"/>
      <c r="C1426" s="74"/>
      <c r="D1426" s="74"/>
      <c r="F1426" s="7"/>
      <c r="G1426" s="74"/>
      <c r="H1426" s="74"/>
      <c r="J1426" s="7"/>
      <c r="K1426" s="74"/>
      <c r="L1426" s="74"/>
      <c r="N1426" s="7"/>
      <c r="O1426" s="74"/>
      <c r="P1426" s="74"/>
      <c r="R1426" s="7"/>
      <c r="S1426" s="7"/>
      <c r="T1426" s="66"/>
    </row>
    <row r="1427" spans="1:20" ht="13.2">
      <c r="A1427" s="7"/>
      <c r="B1427" s="7"/>
      <c r="C1427" s="74"/>
      <c r="D1427" s="74"/>
      <c r="F1427" s="7"/>
      <c r="G1427" s="74"/>
      <c r="H1427" s="74"/>
      <c r="J1427" s="7"/>
      <c r="K1427" s="74"/>
      <c r="L1427" s="74"/>
      <c r="N1427" s="7"/>
      <c r="O1427" s="74"/>
      <c r="P1427" s="74"/>
      <c r="R1427" s="7"/>
      <c r="S1427" s="7"/>
      <c r="T1427" s="66"/>
    </row>
    <row r="1428" spans="1:20" ht="13.2">
      <c r="A1428" s="7"/>
      <c r="B1428" s="7"/>
      <c r="C1428" s="74"/>
      <c r="D1428" s="74"/>
      <c r="F1428" s="7"/>
      <c r="G1428" s="74"/>
      <c r="H1428" s="74"/>
      <c r="J1428" s="7"/>
      <c r="K1428" s="74"/>
      <c r="L1428" s="74"/>
      <c r="N1428" s="7"/>
      <c r="O1428" s="74"/>
      <c r="P1428" s="74"/>
      <c r="R1428" s="7"/>
      <c r="S1428" s="7"/>
      <c r="T1428" s="66"/>
    </row>
    <row r="1429" spans="1:20" ht="13.2">
      <c r="A1429" s="7"/>
      <c r="B1429" s="7"/>
      <c r="C1429" s="74"/>
      <c r="D1429" s="74"/>
      <c r="F1429" s="7"/>
      <c r="G1429" s="74"/>
      <c r="H1429" s="74"/>
      <c r="J1429" s="7"/>
      <c r="K1429" s="74"/>
      <c r="L1429" s="74"/>
      <c r="N1429" s="7"/>
      <c r="O1429" s="74"/>
      <c r="P1429" s="74"/>
      <c r="R1429" s="7"/>
      <c r="S1429" s="7"/>
      <c r="T1429" s="66"/>
    </row>
    <row r="1430" spans="1:20" ht="13.2">
      <c r="A1430" s="7"/>
      <c r="B1430" s="7"/>
      <c r="C1430" s="74"/>
      <c r="D1430" s="74"/>
      <c r="F1430" s="7"/>
      <c r="G1430" s="74"/>
      <c r="H1430" s="74"/>
      <c r="J1430" s="7"/>
      <c r="K1430" s="74"/>
      <c r="L1430" s="74"/>
      <c r="N1430" s="7"/>
      <c r="O1430" s="74"/>
      <c r="P1430" s="74"/>
      <c r="R1430" s="7"/>
      <c r="S1430" s="7"/>
      <c r="T1430" s="66"/>
    </row>
    <row r="1431" spans="1:20" ht="13.2">
      <c r="A1431" s="7"/>
      <c r="B1431" s="7"/>
      <c r="C1431" s="74"/>
      <c r="D1431" s="74"/>
      <c r="F1431" s="7"/>
      <c r="G1431" s="74"/>
      <c r="H1431" s="74"/>
      <c r="J1431" s="7"/>
      <c r="K1431" s="74"/>
      <c r="L1431" s="74"/>
      <c r="N1431" s="7"/>
      <c r="O1431" s="74"/>
      <c r="P1431" s="74"/>
      <c r="R1431" s="7"/>
      <c r="S1431" s="7"/>
      <c r="T1431" s="66"/>
    </row>
    <row r="1432" spans="1:20" ht="13.2">
      <c r="A1432" s="7"/>
      <c r="B1432" s="7"/>
      <c r="C1432" s="74"/>
      <c r="D1432" s="74"/>
      <c r="F1432" s="7"/>
      <c r="G1432" s="74"/>
      <c r="H1432" s="74"/>
      <c r="J1432" s="7"/>
      <c r="K1432" s="74"/>
      <c r="L1432" s="74"/>
      <c r="N1432" s="7"/>
      <c r="O1432" s="74"/>
      <c r="P1432" s="74"/>
      <c r="R1432" s="7"/>
      <c r="S1432" s="7"/>
      <c r="T1432" s="66"/>
    </row>
    <row r="1433" spans="1:20" ht="13.2">
      <c r="A1433" s="7"/>
      <c r="B1433" s="7"/>
      <c r="C1433" s="74"/>
      <c r="D1433" s="74"/>
      <c r="F1433" s="7"/>
      <c r="G1433" s="74"/>
      <c r="H1433" s="74"/>
      <c r="J1433" s="7"/>
      <c r="K1433" s="74"/>
      <c r="L1433" s="74"/>
      <c r="N1433" s="7"/>
      <c r="O1433" s="74"/>
      <c r="P1433" s="74"/>
      <c r="R1433" s="7"/>
      <c r="S1433" s="7"/>
      <c r="T1433" s="66"/>
    </row>
    <row r="1434" spans="1:20" ht="13.2">
      <c r="A1434" s="7"/>
      <c r="B1434" s="7"/>
      <c r="C1434" s="74"/>
      <c r="D1434" s="74"/>
      <c r="F1434" s="7"/>
      <c r="G1434" s="74"/>
      <c r="H1434" s="74"/>
      <c r="J1434" s="7"/>
      <c r="K1434" s="74"/>
      <c r="L1434" s="74"/>
      <c r="N1434" s="7"/>
      <c r="O1434" s="74"/>
      <c r="P1434" s="74"/>
      <c r="R1434" s="7"/>
      <c r="S1434" s="7"/>
      <c r="T1434" s="66"/>
    </row>
    <row r="1435" spans="1:20" ht="13.2">
      <c r="A1435" s="7"/>
      <c r="B1435" s="7"/>
      <c r="C1435" s="74"/>
      <c r="D1435" s="74"/>
      <c r="F1435" s="7"/>
      <c r="G1435" s="74"/>
      <c r="H1435" s="74"/>
      <c r="J1435" s="7"/>
      <c r="K1435" s="74"/>
      <c r="L1435" s="74"/>
      <c r="N1435" s="7"/>
      <c r="O1435" s="74"/>
      <c r="P1435" s="74"/>
      <c r="R1435" s="7"/>
      <c r="S1435" s="7"/>
      <c r="T1435" s="66"/>
    </row>
    <row r="1436" spans="1:20" ht="13.2">
      <c r="A1436" s="7"/>
      <c r="B1436" s="7"/>
      <c r="C1436" s="74"/>
      <c r="D1436" s="74"/>
      <c r="F1436" s="7"/>
      <c r="G1436" s="74"/>
      <c r="H1436" s="74"/>
      <c r="J1436" s="7"/>
      <c r="K1436" s="74"/>
      <c r="L1436" s="74"/>
      <c r="N1436" s="7"/>
      <c r="O1436" s="74"/>
      <c r="P1436" s="74"/>
      <c r="R1436" s="7"/>
      <c r="S1436" s="7"/>
      <c r="T1436" s="66"/>
    </row>
    <row r="1437" spans="1:20" ht="13.2">
      <c r="A1437" s="7"/>
      <c r="B1437" s="7"/>
      <c r="C1437" s="74"/>
      <c r="D1437" s="74"/>
      <c r="F1437" s="7"/>
      <c r="G1437" s="74"/>
      <c r="H1437" s="74"/>
      <c r="J1437" s="7"/>
      <c r="K1437" s="74"/>
      <c r="L1437" s="74"/>
      <c r="N1437" s="7"/>
      <c r="O1437" s="74"/>
      <c r="P1437" s="74"/>
      <c r="R1437" s="7"/>
      <c r="S1437" s="7"/>
      <c r="T1437" s="66"/>
    </row>
    <row r="1438" spans="1:20" ht="13.2">
      <c r="A1438" s="7"/>
      <c r="B1438" s="7"/>
      <c r="C1438" s="74"/>
      <c r="D1438" s="74"/>
      <c r="F1438" s="7"/>
      <c r="G1438" s="74"/>
      <c r="H1438" s="74"/>
      <c r="J1438" s="7"/>
      <c r="K1438" s="74"/>
      <c r="L1438" s="74"/>
      <c r="N1438" s="7"/>
      <c r="O1438" s="74"/>
      <c r="P1438" s="74"/>
      <c r="R1438" s="7"/>
      <c r="S1438" s="7"/>
      <c r="T1438" s="66"/>
    </row>
    <row r="1439" spans="1:20" ht="13.2">
      <c r="A1439" s="7"/>
      <c r="B1439" s="7"/>
      <c r="C1439" s="74"/>
      <c r="D1439" s="74"/>
      <c r="F1439" s="7"/>
      <c r="G1439" s="74"/>
      <c r="H1439" s="74"/>
      <c r="J1439" s="7"/>
      <c r="K1439" s="74"/>
      <c r="L1439" s="74"/>
      <c r="N1439" s="7"/>
      <c r="O1439" s="74"/>
      <c r="P1439" s="74"/>
      <c r="R1439" s="7"/>
      <c r="S1439" s="7"/>
      <c r="T1439" s="66"/>
    </row>
    <row r="1440" spans="1:20" ht="13.2">
      <c r="A1440" s="7"/>
      <c r="B1440" s="7"/>
      <c r="C1440" s="74"/>
      <c r="D1440" s="74"/>
      <c r="F1440" s="7"/>
      <c r="G1440" s="74"/>
      <c r="H1440" s="74"/>
      <c r="J1440" s="7"/>
      <c r="K1440" s="74"/>
      <c r="L1440" s="74"/>
      <c r="N1440" s="7"/>
      <c r="O1440" s="74"/>
      <c r="P1440" s="74"/>
      <c r="R1440" s="7"/>
      <c r="S1440" s="7"/>
      <c r="T1440" s="66"/>
    </row>
    <row r="1441" spans="1:20" ht="13.2">
      <c r="A1441" s="7"/>
      <c r="B1441" s="7"/>
      <c r="C1441" s="74"/>
      <c r="D1441" s="74"/>
      <c r="F1441" s="7"/>
      <c r="G1441" s="74"/>
      <c r="H1441" s="74"/>
      <c r="J1441" s="7"/>
      <c r="K1441" s="74"/>
      <c r="L1441" s="74"/>
      <c r="N1441" s="7"/>
      <c r="O1441" s="74"/>
      <c r="P1441" s="74"/>
      <c r="R1441" s="7"/>
      <c r="S1441" s="7"/>
      <c r="T1441" s="66"/>
    </row>
    <row r="1442" spans="1:20" ht="13.2">
      <c r="A1442" s="7"/>
      <c r="B1442" s="7"/>
      <c r="C1442" s="74"/>
      <c r="D1442" s="74"/>
      <c r="F1442" s="7"/>
      <c r="G1442" s="74"/>
      <c r="H1442" s="74"/>
      <c r="J1442" s="7"/>
      <c r="K1442" s="74"/>
      <c r="L1442" s="74"/>
      <c r="N1442" s="7"/>
      <c r="O1442" s="74"/>
      <c r="P1442" s="74"/>
      <c r="R1442" s="7"/>
      <c r="S1442" s="7"/>
      <c r="T1442" s="66"/>
    </row>
    <row r="1443" spans="1:20" ht="13.2">
      <c r="A1443" s="7"/>
      <c r="B1443" s="7"/>
      <c r="C1443" s="74"/>
      <c r="D1443" s="74"/>
      <c r="F1443" s="7"/>
      <c r="G1443" s="74"/>
      <c r="H1443" s="74"/>
      <c r="J1443" s="7"/>
      <c r="K1443" s="74"/>
      <c r="L1443" s="74"/>
      <c r="N1443" s="7"/>
      <c r="O1443" s="74"/>
      <c r="P1443" s="74"/>
      <c r="R1443" s="7"/>
      <c r="S1443" s="7"/>
      <c r="T1443" s="66"/>
    </row>
    <row r="1444" spans="1:20" ht="13.2">
      <c r="A1444" s="7"/>
      <c r="B1444" s="7"/>
      <c r="C1444" s="74"/>
      <c r="D1444" s="74"/>
      <c r="F1444" s="7"/>
      <c r="G1444" s="74"/>
      <c r="H1444" s="74"/>
      <c r="J1444" s="7"/>
      <c r="K1444" s="74"/>
      <c r="L1444" s="74"/>
      <c r="N1444" s="7"/>
      <c r="O1444" s="74"/>
      <c r="P1444" s="74"/>
      <c r="R1444" s="7"/>
      <c r="S1444" s="7"/>
      <c r="T1444" s="66"/>
    </row>
    <row r="1445" spans="1:20" ht="13.2">
      <c r="A1445" s="7"/>
      <c r="B1445" s="7"/>
      <c r="C1445" s="74"/>
      <c r="D1445" s="74"/>
      <c r="F1445" s="7"/>
      <c r="G1445" s="74"/>
      <c r="H1445" s="74"/>
      <c r="J1445" s="7"/>
      <c r="K1445" s="74"/>
      <c r="L1445" s="74"/>
      <c r="N1445" s="7"/>
      <c r="O1445" s="74"/>
      <c r="P1445" s="74"/>
      <c r="R1445" s="7"/>
      <c r="S1445" s="7"/>
      <c r="T1445" s="66"/>
    </row>
    <row r="1446" spans="1:20" ht="13.2">
      <c r="A1446" s="7"/>
      <c r="B1446" s="7"/>
      <c r="C1446" s="74"/>
      <c r="D1446" s="74"/>
      <c r="F1446" s="7"/>
      <c r="G1446" s="74"/>
      <c r="H1446" s="74"/>
      <c r="J1446" s="7"/>
      <c r="K1446" s="74"/>
      <c r="L1446" s="74"/>
      <c r="N1446" s="7"/>
      <c r="O1446" s="74"/>
      <c r="P1446" s="74"/>
      <c r="R1446" s="7"/>
      <c r="S1446" s="7"/>
      <c r="T1446" s="66"/>
    </row>
    <row r="1447" spans="1:20" ht="13.2">
      <c r="A1447" s="7"/>
      <c r="B1447" s="7"/>
      <c r="C1447" s="74"/>
      <c r="D1447" s="74"/>
      <c r="F1447" s="7"/>
      <c r="G1447" s="74"/>
      <c r="H1447" s="74"/>
      <c r="J1447" s="7"/>
      <c r="K1447" s="74"/>
      <c r="L1447" s="74"/>
      <c r="N1447" s="7"/>
      <c r="O1447" s="74"/>
      <c r="P1447" s="74"/>
      <c r="R1447" s="7"/>
      <c r="S1447" s="7"/>
      <c r="T1447" s="66"/>
    </row>
    <row r="1448" spans="1:20" ht="13.2">
      <c r="A1448" s="7"/>
      <c r="B1448" s="7"/>
      <c r="C1448" s="74"/>
      <c r="D1448" s="74"/>
      <c r="F1448" s="7"/>
      <c r="G1448" s="74"/>
      <c r="H1448" s="74"/>
      <c r="J1448" s="7"/>
      <c r="K1448" s="74"/>
      <c r="L1448" s="74"/>
      <c r="N1448" s="7"/>
      <c r="O1448" s="74"/>
      <c r="P1448" s="74"/>
      <c r="R1448" s="7"/>
      <c r="S1448" s="7"/>
      <c r="T1448" s="66"/>
    </row>
    <row r="1449" spans="1:20" ht="13.2">
      <c r="A1449" s="7"/>
      <c r="B1449" s="7"/>
      <c r="C1449" s="74"/>
      <c r="D1449" s="74"/>
      <c r="F1449" s="7"/>
      <c r="G1449" s="74"/>
      <c r="H1449" s="74"/>
      <c r="J1449" s="7"/>
      <c r="K1449" s="74"/>
      <c r="L1449" s="74"/>
      <c r="N1449" s="7"/>
      <c r="O1449" s="74"/>
      <c r="P1449" s="74"/>
      <c r="R1449" s="7"/>
      <c r="S1449" s="7"/>
      <c r="T1449" s="66"/>
    </row>
    <row r="1450" spans="1:20" ht="13.2">
      <c r="A1450" s="7"/>
      <c r="B1450" s="7"/>
      <c r="C1450" s="74"/>
      <c r="D1450" s="74"/>
      <c r="F1450" s="7"/>
      <c r="G1450" s="74"/>
      <c r="H1450" s="74"/>
      <c r="J1450" s="7"/>
      <c r="K1450" s="74"/>
      <c r="L1450" s="74"/>
      <c r="N1450" s="7"/>
      <c r="O1450" s="74"/>
      <c r="P1450" s="74"/>
      <c r="R1450" s="7"/>
      <c r="S1450" s="7"/>
      <c r="T1450" s="66"/>
    </row>
    <row r="1451" spans="1:20" ht="13.2">
      <c r="A1451" s="7"/>
      <c r="B1451" s="7"/>
      <c r="C1451" s="74"/>
      <c r="D1451" s="74"/>
      <c r="F1451" s="7"/>
      <c r="G1451" s="74"/>
      <c r="H1451" s="74"/>
      <c r="J1451" s="7"/>
      <c r="K1451" s="74"/>
      <c r="L1451" s="74"/>
      <c r="N1451" s="7"/>
      <c r="O1451" s="74"/>
      <c r="P1451" s="74"/>
      <c r="R1451" s="7"/>
      <c r="S1451" s="7"/>
      <c r="T1451" s="66"/>
    </row>
    <row r="1452" spans="1:20" ht="13.2">
      <c r="A1452" s="7"/>
      <c r="B1452" s="7"/>
      <c r="C1452" s="74"/>
      <c r="D1452" s="74"/>
      <c r="F1452" s="7"/>
      <c r="G1452" s="74"/>
      <c r="H1452" s="74"/>
      <c r="J1452" s="7"/>
      <c r="K1452" s="74"/>
      <c r="L1452" s="74"/>
      <c r="N1452" s="7"/>
      <c r="O1452" s="74"/>
      <c r="P1452" s="74"/>
      <c r="R1452" s="7"/>
      <c r="S1452" s="7"/>
      <c r="T1452" s="66"/>
    </row>
    <row r="1453" spans="1:20" ht="13.2">
      <c r="A1453" s="7"/>
      <c r="B1453" s="7"/>
      <c r="C1453" s="74"/>
      <c r="D1453" s="74"/>
      <c r="F1453" s="7"/>
      <c r="G1453" s="74"/>
      <c r="H1453" s="74"/>
      <c r="J1453" s="7"/>
      <c r="K1453" s="74"/>
      <c r="L1453" s="74"/>
      <c r="N1453" s="7"/>
      <c r="O1453" s="74"/>
      <c r="P1453" s="74"/>
      <c r="R1453" s="7"/>
      <c r="S1453" s="7"/>
      <c r="T1453" s="66"/>
    </row>
    <row r="1454" spans="1:20" ht="13.2">
      <c r="A1454" s="7"/>
      <c r="B1454" s="7"/>
      <c r="C1454" s="74"/>
      <c r="D1454" s="74"/>
      <c r="F1454" s="7"/>
      <c r="G1454" s="74"/>
      <c r="H1454" s="74"/>
      <c r="J1454" s="7"/>
      <c r="K1454" s="74"/>
      <c r="L1454" s="74"/>
      <c r="N1454" s="7"/>
      <c r="O1454" s="74"/>
      <c r="P1454" s="74"/>
      <c r="R1454" s="7"/>
      <c r="S1454" s="7"/>
      <c r="T1454" s="66"/>
    </row>
    <row r="1455" spans="1:20" ht="13.2">
      <c r="A1455" s="7"/>
      <c r="B1455" s="7"/>
      <c r="C1455" s="74"/>
      <c r="D1455" s="74"/>
      <c r="F1455" s="7"/>
      <c r="G1455" s="74"/>
      <c r="H1455" s="74"/>
      <c r="J1455" s="7"/>
      <c r="K1455" s="74"/>
      <c r="L1455" s="74"/>
      <c r="N1455" s="7"/>
      <c r="O1455" s="74"/>
      <c r="P1455" s="74"/>
      <c r="R1455" s="7"/>
      <c r="S1455" s="7"/>
      <c r="T1455" s="66"/>
    </row>
    <row r="1456" spans="1:20" ht="13.2">
      <c r="A1456" s="7"/>
      <c r="B1456" s="7"/>
      <c r="C1456" s="74"/>
      <c r="D1456" s="74"/>
      <c r="F1456" s="7"/>
      <c r="G1456" s="74"/>
      <c r="H1456" s="74"/>
      <c r="J1456" s="7"/>
      <c r="K1456" s="74"/>
      <c r="L1456" s="74"/>
      <c r="N1456" s="7"/>
      <c r="O1456" s="74"/>
      <c r="P1456" s="74"/>
      <c r="R1456" s="7"/>
      <c r="S1456" s="7"/>
      <c r="T1456" s="66"/>
    </row>
    <row r="1457" spans="1:20" ht="13.2">
      <c r="A1457" s="7"/>
      <c r="B1457" s="7"/>
      <c r="C1457" s="74"/>
      <c r="D1457" s="74"/>
      <c r="F1457" s="7"/>
      <c r="G1457" s="74"/>
      <c r="H1457" s="74"/>
      <c r="J1457" s="7"/>
      <c r="K1457" s="74"/>
      <c r="L1457" s="74"/>
      <c r="N1457" s="7"/>
      <c r="O1457" s="74"/>
      <c r="P1457" s="74"/>
      <c r="R1457" s="7"/>
      <c r="S1457" s="7"/>
      <c r="T1457" s="66"/>
    </row>
    <row r="1458" spans="1:20" ht="13.2">
      <c r="A1458" s="7"/>
      <c r="B1458" s="7"/>
      <c r="C1458" s="74"/>
      <c r="D1458" s="74"/>
      <c r="F1458" s="7"/>
      <c r="G1458" s="74"/>
      <c r="H1458" s="74"/>
      <c r="J1458" s="7"/>
      <c r="K1458" s="74"/>
      <c r="L1458" s="74"/>
      <c r="N1458" s="7"/>
      <c r="O1458" s="74"/>
      <c r="P1458" s="74"/>
      <c r="R1458" s="7"/>
      <c r="S1458" s="7"/>
      <c r="T1458" s="66"/>
    </row>
    <row r="1459" spans="1:20" ht="13.2">
      <c r="A1459" s="7"/>
      <c r="B1459" s="7"/>
      <c r="C1459" s="74"/>
      <c r="D1459" s="74"/>
      <c r="F1459" s="7"/>
      <c r="G1459" s="74"/>
      <c r="H1459" s="74"/>
      <c r="J1459" s="7"/>
      <c r="K1459" s="74"/>
      <c r="L1459" s="74"/>
      <c r="N1459" s="7"/>
      <c r="O1459" s="74"/>
      <c r="P1459" s="74"/>
      <c r="R1459" s="7"/>
      <c r="S1459" s="7"/>
      <c r="T1459" s="66"/>
    </row>
    <row r="1460" spans="1:20" ht="13.2">
      <c r="A1460" s="7"/>
      <c r="B1460" s="7"/>
      <c r="C1460" s="74"/>
      <c r="D1460" s="74"/>
      <c r="F1460" s="7"/>
      <c r="G1460" s="74"/>
      <c r="H1460" s="74"/>
      <c r="J1460" s="7"/>
      <c r="K1460" s="74"/>
      <c r="L1460" s="74"/>
      <c r="N1460" s="7"/>
      <c r="O1460" s="74"/>
      <c r="P1460" s="74"/>
      <c r="R1460" s="7"/>
      <c r="S1460" s="7"/>
      <c r="T1460" s="66"/>
    </row>
    <row r="1461" spans="1:20" ht="13.2">
      <c r="A1461" s="7"/>
      <c r="B1461" s="7"/>
      <c r="C1461" s="74"/>
      <c r="D1461" s="74"/>
      <c r="F1461" s="7"/>
      <c r="G1461" s="74"/>
      <c r="H1461" s="74"/>
      <c r="J1461" s="7"/>
      <c r="K1461" s="74"/>
      <c r="L1461" s="74"/>
      <c r="N1461" s="7"/>
      <c r="O1461" s="74"/>
      <c r="P1461" s="74"/>
      <c r="R1461" s="7"/>
      <c r="S1461" s="7"/>
      <c r="T1461" s="66"/>
    </row>
    <row r="1462" spans="1:20" ht="13.2">
      <c r="A1462" s="7"/>
      <c r="B1462" s="7"/>
      <c r="C1462" s="74"/>
      <c r="D1462" s="74"/>
      <c r="F1462" s="7"/>
      <c r="G1462" s="74"/>
      <c r="H1462" s="74"/>
      <c r="J1462" s="7"/>
      <c r="K1462" s="74"/>
      <c r="L1462" s="74"/>
      <c r="N1462" s="7"/>
      <c r="O1462" s="74"/>
      <c r="P1462" s="74"/>
      <c r="R1462" s="7"/>
      <c r="S1462" s="7"/>
      <c r="T1462" s="66"/>
    </row>
    <row r="1463" spans="1:20" ht="13.2">
      <c r="A1463" s="7"/>
      <c r="B1463" s="7"/>
      <c r="C1463" s="74"/>
      <c r="D1463" s="74"/>
      <c r="F1463" s="7"/>
      <c r="G1463" s="74"/>
      <c r="H1463" s="74"/>
      <c r="J1463" s="7"/>
      <c r="K1463" s="74"/>
      <c r="L1463" s="74"/>
      <c r="N1463" s="7"/>
      <c r="O1463" s="74"/>
      <c r="P1463" s="74"/>
      <c r="R1463" s="7"/>
      <c r="S1463" s="7"/>
      <c r="T1463" s="66"/>
    </row>
    <row r="1464" spans="1:20" ht="13.2">
      <c r="A1464" s="7"/>
      <c r="B1464" s="7"/>
      <c r="C1464" s="74"/>
      <c r="D1464" s="74"/>
      <c r="F1464" s="7"/>
      <c r="G1464" s="74"/>
      <c r="H1464" s="74"/>
      <c r="J1464" s="7"/>
      <c r="K1464" s="74"/>
      <c r="L1464" s="74"/>
      <c r="N1464" s="7"/>
      <c r="O1464" s="74"/>
      <c r="P1464" s="74"/>
      <c r="R1464" s="7"/>
      <c r="S1464" s="7"/>
      <c r="T1464" s="66"/>
    </row>
    <row r="1465" spans="1:20" ht="13.2">
      <c r="A1465" s="7"/>
      <c r="B1465" s="7"/>
      <c r="C1465" s="74"/>
      <c r="D1465" s="74"/>
      <c r="F1465" s="7"/>
      <c r="G1465" s="74"/>
      <c r="H1465" s="74"/>
      <c r="J1465" s="7"/>
      <c r="K1465" s="74"/>
      <c r="L1465" s="74"/>
      <c r="N1465" s="7"/>
      <c r="O1465" s="74"/>
      <c r="P1465" s="74"/>
      <c r="R1465" s="7"/>
      <c r="S1465" s="7"/>
      <c r="T1465" s="66"/>
    </row>
    <row r="1466" spans="1:20" ht="13.2">
      <c r="A1466" s="7"/>
      <c r="B1466" s="7"/>
      <c r="C1466" s="74"/>
      <c r="D1466" s="74"/>
      <c r="F1466" s="7"/>
      <c r="G1466" s="74"/>
      <c r="H1466" s="74"/>
      <c r="J1466" s="7"/>
      <c r="K1466" s="74"/>
      <c r="L1466" s="74"/>
      <c r="N1466" s="7"/>
      <c r="O1466" s="74"/>
      <c r="P1466" s="74"/>
      <c r="R1466" s="7"/>
      <c r="S1466" s="7"/>
      <c r="T1466" s="66"/>
    </row>
    <row r="1467" spans="1:20" ht="13.2">
      <c r="A1467" s="7"/>
      <c r="B1467" s="7"/>
      <c r="C1467" s="74"/>
      <c r="D1467" s="74"/>
      <c r="F1467" s="7"/>
      <c r="G1467" s="74"/>
      <c r="H1467" s="74"/>
      <c r="J1467" s="7"/>
      <c r="K1467" s="74"/>
      <c r="L1467" s="74"/>
      <c r="N1467" s="7"/>
      <c r="O1467" s="74"/>
      <c r="P1467" s="74"/>
      <c r="R1467" s="7"/>
      <c r="S1467" s="7"/>
      <c r="T1467" s="66"/>
    </row>
    <row r="1468" spans="1:20" ht="13.2">
      <c r="A1468" s="7"/>
      <c r="B1468" s="7"/>
      <c r="C1468" s="74"/>
      <c r="D1468" s="74"/>
      <c r="F1468" s="7"/>
      <c r="G1468" s="74"/>
      <c r="H1468" s="74"/>
      <c r="J1468" s="7"/>
      <c r="K1468" s="74"/>
      <c r="L1468" s="74"/>
      <c r="N1468" s="7"/>
      <c r="O1468" s="74"/>
      <c r="P1468" s="74"/>
      <c r="R1468" s="7"/>
      <c r="S1468" s="7"/>
      <c r="T1468" s="66"/>
    </row>
    <row r="1469" spans="1:20" ht="13.2">
      <c r="A1469" s="7"/>
      <c r="B1469" s="7"/>
      <c r="C1469" s="74"/>
      <c r="D1469" s="74"/>
      <c r="F1469" s="7"/>
      <c r="G1469" s="74"/>
      <c r="H1469" s="74"/>
      <c r="J1469" s="7"/>
      <c r="K1469" s="74"/>
      <c r="L1469" s="74"/>
      <c r="N1469" s="7"/>
      <c r="O1469" s="74"/>
      <c r="P1469" s="74"/>
      <c r="R1469" s="7"/>
      <c r="S1469" s="7"/>
      <c r="T1469" s="66"/>
    </row>
    <row r="1470" spans="1:20" ht="13.2">
      <c r="A1470" s="7"/>
      <c r="B1470" s="7"/>
      <c r="C1470" s="74"/>
      <c r="D1470" s="74"/>
      <c r="F1470" s="7"/>
      <c r="G1470" s="74"/>
      <c r="H1470" s="74"/>
      <c r="J1470" s="7"/>
      <c r="K1470" s="74"/>
      <c r="L1470" s="74"/>
      <c r="N1470" s="7"/>
      <c r="O1470" s="74"/>
      <c r="P1470" s="74"/>
      <c r="R1470" s="7"/>
      <c r="S1470" s="7"/>
      <c r="T1470" s="66"/>
    </row>
    <row r="1471" spans="1:20" ht="13.2">
      <c r="A1471" s="7"/>
      <c r="B1471" s="7"/>
      <c r="C1471" s="74"/>
      <c r="D1471" s="74"/>
      <c r="F1471" s="7"/>
      <c r="G1471" s="74"/>
      <c r="H1471" s="74"/>
      <c r="J1471" s="7"/>
      <c r="K1471" s="74"/>
      <c r="L1471" s="74"/>
      <c r="N1471" s="7"/>
      <c r="O1471" s="74"/>
      <c r="P1471" s="74"/>
      <c r="R1471" s="7"/>
      <c r="S1471" s="7"/>
      <c r="T1471" s="66"/>
    </row>
    <row r="1472" spans="1:20" ht="13.2">
      <c r="A1472" s="7"/>
      <c r="B1472" s="7"/>
      <c r="C1472" s="74"/>
      <c r="D1472" s="74"/>
      <c r="F1472" s="7"/>
      <c r="G1472" s="74"/>
      <c r="H1472" s="74"/>
      <c r="J1472" s="7"/>
      <c r="K1472" s="74"/>
      <c r="L1472" s="74"/>
      <c r="N1472" s="7"/>
      <c r="O1472" s="74"/>
      <c r="P1472" s="74"/>
      <c r="R1472" s="7"/>
      <c r="S1472" s="7"/>
      <c r="T1472" s="66"/>
    </row>
    <row r="1473" spans="1:20" ht="13.2">
      <c r="A1473" s="7"/>
      <c r="B1473" s="7"/>
      <c r="C1473" s="74"/>
      <c r="D1473" s="74"/>
      <c r="F1473" s="7"/>
      <c r="G1473" s="74"/>
      <c r="H1473" s="74"/>
      <c r="J1473" s="7"/>
      <c r="K1473" s="74"/>
      <c r="L1473" s="74"/>
      <c r="N1473" s="7"/>
      <c r="O1473" s="74"/>
      <c r="P1473" s="74"/>
      <c r="R1473" s="7"/>
      <c r="S1473" s="7"/>
      <c r="T1473" s="66"/>
    </row>
    <row r="1474" spans="1:20" ht="13.2">
      <c r="A1474" s="7"/>
      <c r="B1474" s="7"/>
      <c r="C1474" s="74"/>
      <c r="D1474" s="74"/>
      <c r="F1474" s="7"/>
      <c r="G1474" s="74"/>
      <c r="H1474" s="74"/>
      <c r="J1474" s="7"/>
      <c r="K1474" s="74"/>
      <c r="L1474" s="74"/>
      <c r="N1474" s="7"/>
      <c r="O1474" s="74"/>
      <c r="P1474" s="74"/>
      <c r="R1474" s="7"/>
      <c r="S1474" s="7"/>
      <c r="T1474" s="66"/>
    </row>
    <row r="1475" spans="1:20" ht="13.2">
      <c r="A1475" s="7"/>
      <c r="B1475" s="7"/>
      <c r="C1475" s="74"/>
      <c r="D1475" s="74"/>
      <c r="F1475" s="7"/>
      <c r="G1475" s="74"/>
      <c r="H1475" s="74"/>
      <c r="J1475" s="7"/>
      <c r="K1475" s="74"/>
      <c r="L1475" s="74"/>
      <c r="N1475" s="7"/>
      <c r="O1475" s="74"/>
      <c r="P1475" s="74"/>
      <c r="R1475" s="7"/>
      <c r="S1475" s="7"/>
      <c r="T1475" s="66"/>
    </row>
    <row r="1476" spans="1:20" ht="13.2">
      <c r="A1476" s="7"/>
      <c r="B1476" s="7"/>
      <c r="C1476" s="74"/>
      <c r="D1476" s="74"/>
      <c r="F1476" s="7"/>
      <c r="G1476" s="74"/>
      <c r="H1476" s="74"/>
      <c r="J1476" s="7"/>
      <c r="K1476" s="74"/>
      <c r="L1476" s="74"/>
      <c r="N1476" s="7"/>
      <c r="O1476" s="74"/>
      <c r="P1476" s="74"/>
      <c r="R1476" s="7"/>
      <c r="S1476" s="7"/>
      <c r="T1476" s="66"/>
    </row>
    <row r="1477" spans="1:20" ht="13.2">
      <c r="A1477" s="7"/>
      <c r="B1477" s="7"/>
      <c r="C1477" s="74"/>
      <c r="D1477" s="74"/>
      <c r="F1477" s="7"/>
      <c r="G1477" s="74"/>
      <c r="H1477" s="74"/>
      <c r="J1477" s="7"/>
      <c r="K1477" s="74"/>
      <c r="L1477" s="74"/>
      <c r="N1477" s="7"/>
      <c r="O1477" s="74"/>
      <c r="P1477" s="74"/>
      <c r="R1477" s="7"/>
      <c r="S1477" s="7"/>
      <c r="T1477" s="66"/>
    </row>
    <row r="1478" spans="1:20" ht="13.2">
      <c r="A1478" s="7"/>
      <c r="B1478" s="7"/>
      <c r="C1478" s="74"/>
      <c r="D1478" s="74"/>
      <c r="F1478" s="7"/>
      <c r="G1478" s="74"/>
      <c r="H1478" s="74"/>
      <c r="J1478" s="7"/>
      <c r="K1478" s="74"/>
      <c r="L1478" s="74"/>
      <c r="N1478" s="7"/>
      <c r="O1478" s="74"/>
      <c r="P1478" s="74"/>
      <c r="R1478" s="7"/>
      <c r="S1478" s="7"/>
      <c r="T1478" s="66"/>
    </row>
    <row r="1479" spans="1:20" ht="13.2">
      <c r="A1479" s="7"/>
      <c r="B1479" s="7"/>
      <c r="C1479" s="74"/>
      <c r="D1479" s="74"/>
      <c r="F1479" s="7"/>
      <c r="G1479" s="74"/>
      <c r="H1479" s="74"/>
      <c r="J1479" s="7"/>
      <c r="K1479" s="74"/>
      <c r="L1479" s="74"/>
      <c r="N1479" s="7"/>
      <c r="O1479" s="74"/>
      <c r="P1479" s="74"/>
      <c r="R1479" s="7"/>
      <c r="S1479" s="7"/>
      <c r="T1479" s="66"/>
    </row>
    <row r="1480" spans="1:20" ht="13.2">
      <c r="A1480" s="7"/>
      <c r="B1480" s="7"/>
      <c r="C1480" s="74"/>
      <c r="D1480" s="74"/>
      <c r="F1480" s="7"/>
      <c r="G1480" s="74"/>
      <c r="H1480" s="74"/>
      <c r="J1480" s="7"/>
      <c r="K1480" s="74"/>
      <c r="L1480" s="74"/>
      <c r="N1480" s="7"/>
      <c r="O1480" s="74"/>
      <c r="P1480" s="74"/>
      <c r="R1480" s="7"/>
      <c r="S1480" s="7"/>
      <c r="T1480" s="66"/>
    </row>
    <row r="1481" spans="1:20" ht="13.2">
      <c r="A1481" s="7"/>
      <c r="B1481" s="7"/>
      <c r="C1481" s="74"/>
      <c r="D1481" s="74"/>
      <c r="F1481" s="7"/>
      <c r="G1481" s="74"/>
      <c r="H1481" s="74"/>
      <c r="J1481" s="7"/>
      <c r="K1481" s="74"/>
      <c r="L1481" s="74"/>
      <c r="N1481" s="7"/>
      <c r="O1481" s="74"/>
      <c r="P1481" s="74"/>
      <c r="R1481" s="7"/>
      <c r="S1481" s="7"/>
      <c r="T1481" s="66"/>
    </row>
    <row r="1482" spans="1:20" ht="13.2">
      <c r="A1482" s="7"/>
      <c r="B1482" s="7"/>
      <c r="C1482" s="74"/>
      <c r="D1482" s="74"/>
      <c r="F1482" s="7"/>
      <c r="G1482" s="74"/>
      <c r="H1482" s="74"/>
      <c r="J1482" s="7"/>
      <c r="K1482" s="74"/>
      <c r="L1482" s="74"/>
      <c r="N1482" s="7"/>
      <c r="O1482" s="74"/>
      <c r="P1482" s="74"/>
      <c r="R1482" s="7"/>
      <c r="S1482" s="7"/>
      <c r="T1482" s="66"/>
    </row>
    <row r="1483" spans="1:20" ht="13.2">
      <c r="A1483" s="7"/>
      <c r="B1483" s="7"/>
      <c r="C1483" s="74"/>
      <c r="D1483" s="74"/>
      <c r="F1483" s="7"/>
      <c r="G1483" s="74"/>
      <c r="H1483" s="74"/>
      <c r="J1483" s="7"/>
      <c r="K1483" s="74"/>
      <c r="L1483" s="74"/>
      <c r="N1483" s="7"/>
      <c r="O1483" s="74"/>
      <c r="P1483" s="74"/>
      <c r="R1483" s="7"/>
      <c r="S1483" s="7"/>
      <c r="T1483" s="66"/>
    </row>
    <row r="1484" spans="1:20" ht="13.2">
      <c r="A1484" s="7"/>
      <c r="B1484" s="7"/>
      <c r="C1484" s="74"/>
      <c r="D1484" s="74"/>
      <c r="F1484" s="7"/>
      <c r="G1484" s="74"/>
      <c r="H1484" s="74"/>
      <c r="J1484" s="7"/>
      <c r="K1484" s="74"/>
      <c r="L1484" s="74"/>
      <c r="N1484" s="7"/>
      <c r="O1484" s="74"/>
      <c r="P1484" s="74"/>
      <c r="R1484" s="7"/>
      <c r="S1484" s="7"/>
      <c r="T1484" s="66"/>
    </row>
    <row r="1485" spans="1:20" ht="13.2">
      <c r="A1485" s="7"/>
      <c r="B1485" s="7"/>
      <c r="C1485" s="74"/>
      <c r="D1485" s="74"/>
      <c r="F1485" s="7"/>
      <c r="G1485" s="74"/>
      <c r="H1485" s="74"/>
      <c r="J1485" s="7"/>
      <c r="K1485" s="74"/>
      <c r="L1485" s="74"/>
      <c r="N1485" s="7"/>
      <c r="O1485" s="74"/>
      <c r="P1485" s="74"/>
      <c r="R1485" s="7"/>
      <c r="S1485" s="7"/>
      <c r="T1485" s="66"/>
    </row>
    <row r="1486" spans="1:20" ht="13.2">
      <c r="A1486" s="7"/>
      <c r="B1486" s="7"/>
      <c r="C1486" s="74"/>
      <c r="D1486" s="74"/>
      <c r="F1486" s="7"/>
      <c r="G1486" s="74"/>
      <c r="H1486" s="74"/>
      <c r="J1486" s="7"/>
      <c r="K1486" s="74"/>
      <c r="L1486" s="74"/>
      <c r="N1486" s="7"/>
      <c r="O1486" s="74"/>
      <c r="P1486" s="74"/>
      <c r="R1486" s="7"/>
      <c r="S1486" s="7"/>
      <c r="T1486" s="66"/>
    </row>
    <row r="1487" spans="1:20" ht="13.2">
      <c r="A1487" s="7"/>
      <c r="B1487" s="7"/>
      <c r="C1487" s="74"/>
      <c r="D1487" s="74"/>
      <c r="F1487" s="7"/>
      <c r="G1487" s="74"/>
      <c r="H1487" s="74"/>
      <c r="J1487" s="7"/>
      <c r="K1487" s="74"/>
      <c r="L1487" s="74"/>
      <c r="N1487" s="7"/>
      <c r="O1487" s="74"/>
      <c r="P1487" s="74"/>
      <c r="R1487" s="7"/>
      <c r="S1487" s="7"/>
      <c r="T1487" s="66"/>
    </row>
    <row r="1488" spans="1:20" ht="13.2">
      <c r="A1488" s="7"/>
      <c r="B1488" s="7"/>
      <c r="C1488" s="74"/>
      <c r="D1488" s="74"/>
      <c r="F1488" s="7"/>
      <c r="G1488" s="74"/>
      <c r="H1488" s="74"/>
      <c r="J1488" s="7"/>
      <c r="K1488" s="74"/>
      <c r="L1488" s="74"/>
      <c r="N1488" s="7"/>
      <c r="O1488" s="74"/>
      <c r="P1488" s="74"/>
      <c r="R1488" s="7"/>
      <c r="S1488" s="7"/>
      <c r="T1488" s="66"/>
    </row>
    <row r="1489" spans="1:20" ht="13.2">
      <c r="A1489" s="7"/>
      <c r="B1489" s="7"/>
      <c r="C1489" s="74"/>
      <c r="D1489" s="74"/>
      <c r="F1489" s="7"/>
      <c r="G1489" s="74"/>
      <c r="H1489" s="74"/>
      <c r="J1489" s="7"/>
      <c r="K1489" s="74"/>
      <c r="L1489" s="74"/>
      <c r="N1489" s="7"/>
      <c r="O1489" s="74"/>
      <c r="P1489" s="74"/>
      <c r="R1489" s="7"/>
      <c r="S1489" s="7"/>
      <c r="T1489" s="66"/>
    </row>
    <row r="1490" spans="1:20" ht="13.2">
      <c r="A1490" s="7"/>
      <c r="B1490" s="7"/>
      <c r="C1490" s="74"/>
      <c r="D1490" s="74"/>
      <c r="F1490" s="7"/>
      <c r="G1490" s="74"/>
      <c r="H1490" s="74"/>
      <c r="J1490" s="7"/>
      <c r="K1490" s="74"/>
      <c r="L1490" s="74"/>
      <c r="N1490" s="7"/>
      <c r="O1490" s="74"/>
      <c r="P1490" s="74"/>
      <c r="R1490" s="7"/>
      <c r="S1490" s="7"/>
      <c r="T1490" s="66"/>
    </row>
    <row r="1491" spans="1:20" ht="13.2">
      <c r="A1491" s="7"/>
      <c r="B1491" s="7"/>
      <c r="C1491" s="74"/>
      <c r="D1491" s="74"/>
      <c r="F1491" s="7"/>
      <c r="G1491" s="74"/>
      <c r="H1491" s="74"/>
      <c r="J1491" s="7"/>
      <c r="K1491" s="74"/>
      <c r="L1491" s="74"/>
      <c r="N1491" s="7"/>
      <c r="O1491" s="74"/>
      <c r="P1491" s="74"/>
      <c r="R1491" s="7"/>
      <c r="S1491" s="7"/>
      <c r="T1491" s="66"/>
    </row>
    <row r="1492" spans="1:20" ht="13.2">
      <c r="A1492" s="7"/>
      <c r="B1492" s="7"/>
      <c r="C1492" s="74"/>
      <c r="D1492" s="74"/>
      <c r="F1492" s="7"/>
      <c r="G1492" s="74"/>
      <c r="H1492" s="74"/>
      <c r="J1492" s="7"/>
      <c r="K1492" s="74"/>
      <c r="L1492" s="74"/>
      <c r="N1492" s="7"/>
      <c r="O1492" s="74"/>
      <c r="P1492" s="74"/>
      <c r="R1492" s="7"/>
      <c r="S1492" s="7"/>
      <c r="T1492" s="66"/>
    </row>
    <row r="1493" spans="1:20" ht="13.2">
      <c r="A1493" s="7"/>
      <c r="B1493" s="7"/>
      <c r="C1493" s="74"/>
      <c r="D1493" s="74"/>
      <c r="F1493" s="7"/>
      <c r="G1493" s="74"/>
      <c r="H1493" s="74"/>
      <c r="J1493" s="7"/>
      <c r="K1493" s="74"/>
      <c r="L1493" s="74"/>
      <c r="N1493" s="7"/>
      <c r="O1493" s="74"/>
      <c r="P1493" s="74"/>
      <c r="R1493" s="7"/>
      <c r="S1493" s="7"/>
      <c r="T1493" s="66"/>
    </row>
    <row r="1494" spans="1:20" ht="13.2">
      <c r="A1494" s="7"/>
      <c r="B1494" s="7"/>
      <c r="C1494" s="74"/>
      <c r="D1494" s="74"/>
      <c r="F1494" s="7"/>
      <c r="G1494" s="74"/>
      <c r="H1494" s="74"/>
      <c r="J1494" s="7"/>
      <c r="K1494" s="74"/>
      <c r="L1494" s="74"/>
      <c r="N1494" s="7"/>
      <c r="O1494" s="74"/>
      <c r="P1494" s="74"/>
      <c r="R1494" s="7"/>
      <c r="S1494" s="7"/>
      <c r="T1494" s="66"/>
    </row>
    <row r="1495" spans="1:20" ht="13.2">
      <c r="A1495" s="7"/>
      <c r="B1495" s="7"/>
      <c r="C1495" s="74"/>
      <c r="D1495" s="74"/>
      <c r="F1495" s="7"/>
      <c r="G1495" s="74"/>
      <c r="H1495" s="74"/>
      <c r="J1495" s="7"/>
      <c r="K1495" s="74"/>
      <c r="L1495" s="74"/>
      <c r="N1495" s="7"/>
      <c r="O1495" s="74"/>
      <c r="P1495" s="74"/>
      <c r="R1495" s="7"/>
      <c r="S1495" s="7"/>
      <c r="T1495" s="66"/>
    </row>
    <row r="1496" spans="1:20" ht="13.2">
      <c r="A1496" s="7"/>
      <c r="B1496" s="7"/>
      <c r="C1496" s="74"/>
      <c r="D1496" s="74"/>
      <c r="F1496" s="7"/>
      <c r="G1496" s="74"/>
      <c r="H1496" s="74"/>
      <c r="J1496" s="7"/>
      <c r="K1496" s="74"/>
      <c r="L1496" s="74"/>
      <c r="N1496" s="7"/>
      <c r="O1496" s="74"/>
      <c r="P1496" s="74"/>
      <c r="R1496" s="7"/>
      <c r="S1496" s="7"/>
      <c r="T1496" s="66"/>
    </row>
    <row r="1497" spans="1:20" ht="13.2">
      <c r="A1497" s="7"/>
      <c r="B1497" s="7"/>
      <c r="C1497" s="74"/>
      <c r="D1497" s="74"/>
      <c r="F1497" s="7"/>
      <c r="G1497" s="74"/>
      <c r="H1497" s="74"/>
      <c r="J1497" s="7"/>
      <c r="K1497" s="74"/>
      <c r="L1497" s="74"/>
      <c r="N1497" s="7"/>
      <c r="O1497" s="74"/>
      <c r="P1497" s="74"/>
      <c r="R1497" s="7"/>
      <c r="S1497" s="7"/>
      <c r="T1497" s="66"/>
    </row>
    <row r="1498" spans="1:20" ht="13.2">
      <c r="A1498" s="7"/>
      <c r="B1498" s="7"/>
      <c r="C1498" s="74"/>
      <c r="D1498" s="74"/>
      <c r="F1498" s="7"/>
      <c r="G1498" s="74"/>
      <c r="H1498" s="74"/>
      <c r="J1498" s="7"/>
      <c r="K1498" s="74"/>
      <c r="L1498" s="74"/>
      <c r="N1498" s="7"/>
      <c r="O1498" s="74"/>
      <c r="P1498" s="74"/>
      <c r="R1498" s="7"/>
      <c r="S1498" s="7"/>
      <c r="T1498" s="66"/>
    </row>
    <row r="1499" spans="1:20" ht="13.2">
      <c r="A1499" s="7"/>
      <c r="B1499" s="7"/>
      <c r="C1499" s="74"/>
      <c r="D1499" s="74"/>
      <c r="F1499" s="7"/>
      <c r="G1499" s="74"/>
      <c r="H1499" s="74"/>
      <c r="J1499" s="7"/>
      <c r="K1499" s="74"/>
      <c r="L1499" s="74"/>
      <c r="N1499" s="7"/>
      <c r="O1499" s="74"/>
      <c r="P1499" s="74"/>
      <c r="R1499" s="7"/>
      <c r="S1499" s="7"/>
      <c r="T1499" s="66"/>
    </row>
    <row r="1500" spans="1:20" ht="13.2">
      <c r="A1500" s="7"/>
      <c r="B1500" s="7"/>
      <c r="C1500" s="74"/>
      <c r="D1500" s="74"/>
      <c r="F1500" s="7"/>
      <c r="G1500" s="74"/>
      <c r="H1500" s="74"/>
      <c r="J1500" s="7"/>
      <c r="K1500" s="74"/>
      <c r="L1500" s="74"/>
      <c r="N1500" s="7"/>
      <c r="O1500" s="74"/>
      <c r="P1500" s="74"/>
      <c r="R1500" s="7"/>
      <c r="S1500" s="7"/>
      <c r="T1500" s="66"/>
    </row>
    <row r="1501" spans="1:20" ht="13.2">
      <c r="A1501" s="7"/>
      <c r="B1501" s="7"/>
      <c r="C1501" s="74"/>
      <c r="D1501" s="74"/>
      <c r="F1501" s="7"/>
      <c r="G1501" s="74"/>
      <c r="H1501" s="74"/>
      <c r="J1501" s="7"/>
      <c r="K1501" s="74"/>
      <c r="L1501" s="74"/>
      <c r="N1501" s="7"/>
      <c r="O1501" s="74"/>
      <c r="P1501" s="74"/>
      <c r="R1501" s="7"/>
      <c r="S1501" s="7"/>
      <c r="T1501" s="66"/>
    </row>
    <row r="1502" spans="1:20" ht="13.2">
      <c r="A1502" s="7"/>
      <c r="B1502" s="7"/>
      <c r="C1502" s="74"/>
      <c r="D1502" s="74"/>
      <c r="F1502" s="7"/>
      <c r="G1502" s="74"/>
      <c r="H1502" s="74"/>
      <c r="J1502" s="7"/>
      <c r="K1502" s="74"/>
      <c r="L1502" s="74"/>
      <c r="N1502" s="7"/>
      <c r="O1502" s="74"/>
      <c r="P1502" s="74"/>
      <c r="R1502" s="7"/>
      <c r="S1502" s="7"/>
      <c r="T1502" s="66"/>
    </row>
    <row r="1503" spans="1:20" ht="13.2">
      <c r="A1503" s="7"/>
      <c r="B1503" s="7"/>
      <c r="C1503" s="74"/>
      <c r="D1503" s="74"/>
      <c r="F1503" s="7"/>
      <c r="G1503" s="74"/>
      <c r="H1503" s="74"/>
      <c r="J1503" s="7"/>
      <c r="K1503" s="74"/>
      <c r="L1503" s="74"/>
      <c r="N1503" s="7"/>
      <c r="O1503" s="74"/>
      <c r="P1503" s="74"/>
      <c r="R1503" s="7"/>
      <c r="S1503" s="7"/>
      <c r="T1503" s="66"/>
    </row>
    <row r="1504" spans="1:20" ht="13.2">
      <c r="A1504" s="7"/>
      <c r="B1504" s="7"/>
      <c r="C1504" s="74"/>
      <c r="D1504" s="74"/>
      <c r="F1504" s="7"/>
      <c r="G1504" s="74"/>
      <c r="H1504" s="74"/>
      <c r="J1504" s="7"/>
      <c r="K1504" s="74"/>
      <c r="L1504" s="74"/>
      <c r="N1504" s="7"/>
      <c r="O1504" s="74"/>
      <c r="P1504" s="74"/>
      <c r="R1504" s="7"/>
      <c r="S1504" s="7"/>
      <c r="T1504" s="66"/>
    </row>
    <row r="1505" spans="1:20" ht="13.2">
      <c r="A1505" s="7"/>
      <c r="B1505" s="7"/>
      <c r="C1505" s="74"/>
      <c r="D1505" s="74"/>
      <c r="F1505" s="7"/>
      <c r="G1505" s="74"/>
      <c r="H1505" s="74"/>
      <c r="J1505" s="7"/>
      <c r="K1505" s="74"/>
      <c r="L1505" s="74"/>
      <c r="N1505" s="7"/>
      <c r="O1505" s="74"/>
      <c r="P1505" s="74"/>
      <c r="R1505" s="7"/>
      <c r="S1505" s="7"/>
      <c r="T1505" s="66"/>
    </row>
    <row r="1506" spans="1:20" ht="13.2">
      <c r="A1506" s="7"/>
      <c r="B1506" s="7"/>
      <c r="C1506" s="74"/>
      <c r="D1506" s="74"/>
      <c r="F1506" s="7"/>
      <c r="G1506" s="74"/>
      <c r="H1506" s="74"/>
      <c r="J1506" s="7"/>
      <c r="K1506" s="74"/>
      <c r="L1506" s="74"/>
      <c r="N1506" s="7"/>
      <c r="O1506" s="74"/>
      <c r="P1506" s="74"/>
      <c r="R1506" s="7"/>
      <c r="S1506" s="7"/>
      <c r="T1506" s="66"/>
    </row>
    <row r="1507" spans="1:20" ht="13.2">
      <c r="A1507" s="7"/>
      <c r="B1507" s="7"/>
      <c r="C1507" s="74"/>
      <c r="D1507" s="74"/>
      <c r="F1507" s="7"/>
      <c r="G1507" s="74"/>
      <c r="H1507" s="74"/>
      <c r="J1507" s="7"/>
      <c r="K1507" s="74"/>
      <c r="L1507" s="74"/>
      <c r="N1507" s="7"/>
      <c r="O1507" s="74"/>
      <c r="P1507" s="74"/>
      <c r="R1507" s="7"/>
      <c r="S1507" s="7"/>
      <c r="T1507" s="66"/>
    </row>
    <row r="1508" spans="1:20" ht="13.2">
      <c r="A1508" s="7"/>
      <c r="B1508" s="7"/>
      <c r="C1508" s="74"/>
      <c r="D1508" s="74"/>
      <c r="F1508" s="7"/>
      <c r="G1508" s="74"/>
      <c r="H1508" s="74"/>
      <c r="J1508" s="7"/>
      <c r="K1508" s="74"/>
      <c r="L1508" s="74"/>
      <c r="N1508" s="7"/>
      <c r="O1508" s="74"/>
      <c r="P1508" s="74"/>
      <c r="R1508" s="7"/>
      <c r="S1508" s="7"/>
      <c r="T1508" s="66"/>
    </row>
    <row r="1509" spans="1:20" ht="13.2">
      <c r="A1509" s="7"/>
      <c r="B1509" s="7"/>
      <c r="C1509" s="74"/>
      <c r="D1509" s="74"/>
      <c r="F1509" s="7"/>
      <c r="G1509" s="74"/>
      <c r="H1509" s="74"/>
      <c r="J1509" s="7"/>
      <c r="K1509" s="74"/>
      <c r="L1509" s="74"/>
      <c r="N1509" s="7"/>
      <c r="O1509" s="74"/>
      <c r="P1509" s="74"/>
      <c r="R1509" s="7"/>
      <c r="S1509" s="7"/>
      <c r="T1509" s="66"/>
    </row>
    <row r="1510" spans="1:20" ht="13.2">
      <c r="A1510" s="7"/>
      <c r="B1510" s="7"/>
      <c r="C1510" s="74"/>
      <c r="D1510" s="74"/>
      <c r="F1510" s="7"/>
      <c r="G1510" s="74"/>
      <c r="H1510" s="74"/>
      <c r="J1510" s="7"/>
      <c r="K1510" s="74"/>
      <c r="L1510" s="74"/>
      <c r="N1510" s="7"/>
      <c r="O1510" s="74"/>
      <c r="P1510" s="74"/>
      <c r="R1510" s="7"/>
      <c r="S1510" s="7"/>
      <c r="T1510" s="66"/>
    </row>
    <row r="1511" spans="1:20" ht="13.2">
      <c r="A1511" s="7"/>
      <c r="B1511" s="7"/>
      <c r="C1511" s="74"/>
      <c r="D1511" s="74"/>
      <c r="F1511" s="7"/>
      <c r="G1511" s="74"/>
      <c r="H1511" s="74"/>
      <c r="J1511" s="7"/>
      <c r="K1511" s="74"/>
      <c r="L1511" s="74"/>
      <c r="N1511" s="7"/>
      <c r="O1511" s="74"/>
      <c r="P1511" s="74"/>
      <c r="R1511" s="7"/>
      <c r="S1511" s="7"/>
      <c r="T1511" s="66"/>
    </row>
    <row r="1512" spans="1:20" ht="13.2">
      <c r="A1512" s="7"/>
      <c r="B1512" s="7"/>
      <c r="C1512" s="74"/>
      <c r="D1512" s="74"/>
      <c r="F1512" s="7"/>
      <c r="G1512" s="74"/>
      <c r="H1512" s="74"/>
      <c r="J1512" s="7"/>
      <c r="K1512" s="74"/>
      <c r="L1512" s="74"/>
      <c r="N1512" s="7"/>
      <c r="O1512" s="74"/>
      <c r="P1512" s="74"/>
      <c r="R1512" s="7"/>
      <c r="S1512" s="7"/>
      <c r="T1512" s="66"/>
    </row>
    <row r="1513" spans="1:20" ht="13.2">
      <c r="A1513" s="7"/>
      <c r="B1513" s="7"/>
      <c r="C1513" s="74"/>
      <c r="D1513" s="74"/>
      <c r="F1513" s="7"/>
      <c r="G1513" s="74"/>
      <c r="H1513" s="74"/>
      <c r="J1513" s="7"/>
      <c r="K1513" s="74"/>
      <c r="L1513" s="74"/>
      <c r="N1513" s="7"/>
      <c r="O1513" s="74"/>
      <c r="P1513" s="74"/>
      <c r="R1513" s="7"/>
      <c r="S1513" s="7"/>
      <c r="T1513" s="66"/>
    </row>
    <row r="1514" spans="1:20" ht="13.2">
      <c r="A1514" s="7"/>
      <c r="B1514" s="7"/>
      <c r="C1514" s="74"/>
      <c r="D1514" s="74"/>
      <c r="F1514" s="7"/>
      <c r="G1514" s="74"/>
      <c r="H1514" s="74"/>
      <c r="J1514" s="7"/>
      <c r="K1514" s="74"/>
      <c r="L1514" s="74"/>
      <c r="N1514" s="7"/>
      <c r="O1514" s="74"/>
      <c r="P1514" s="74"/>
      <c r="R1514" s="7"/>
      <c r="S1514" s="7"/>
      <c r="T1514" s="66"/>
    </row>
    <row r="1515" spans="1:20" ht="13.2">
      <c r="A1515" s="7"/>
      <c r="B1515" s="7"/>
      <c r="C1515" s="74"/>
      <c r="D1515" s="74"/>
      <c r="F1515" s="7"/>
      <c r="G1515" s="74"/>
      <c r="H1515" s="74"/>
      <c r="J1515" s="7"/>
      <c r="K1515" s="74"/>
      <c r="L1515" s="74"/>
      <c r="N1515" s="7"/>
      <c r="O1515" s="74"/>
      <c r="P1515" s="74"/>
      <c r="R1515" s="7"/>
      <c r="S1515" s="7"/>
      <c r="T1515" s="66"/>
    </row>
    <row r="1516" spans="1:20" ht="13.2">
      <c r="A1516" s="7"/>
      <c r="B1516" s="7"/>
      <c r="C1516" s="74"/>
      <c r="D1516" s="74"/>
      <c r="F1516" s="7"/>
      <c r="G1516" s="74"/>
      <c r="H1516" s="74"/>
      <c r="J1516" s="7"/>
      <c r="K1516" s="74"/>
      <c r="L1516" s="74"/>
      <c r="N1516" s="7"/>
      <c r="O1516" s="74"/>
      <c r="P1516" s="74"/>
      <c r="R1516" s="7"/>
      <c r="S1516" s="7"/>
      <c r="T1516" s="66"/>
    </row>
    <row r="1517" spans="1:20" ht="13.2">
      <c r="A1517" s="7"/>
      <c r="B1517" s="7"/>
      <c r="C1517" s="74"/>
      <c r="D1517" s="74"/>
      <c r="F1517" s="7"/>
      <c r="G1517" s="74"/>
      <c r="H1517" s="74"/>
      <c r="J1517" s="7"/>
      <c r="K1517" s="74"/>
      <c r="L1517" s="74"/>
      <c r="N1517" s="7"/>
      <c r="O1517" s="74"/>
      <c r="P1517" s="74"/>
      <c r="R1517" s="7"/>
      <c r="S1517" s="7"/>
      <c r="T1517" s="66"/>
    </row>
    <row r="1518" spans="1:20" ht="13.2">
      <c r="A1518" s="7"/>
      <c r="B1518" s="7"/>
      <c r="C1518" s="74"/>
      <c r="D1518" s="74"/>
      <c r="F1518" s="7"/>
      <c r="G1518" s="74"/>
      <c r="H1518" s="74"/>
      <c r="J1518" s="7"/>
      <c r="K1518" s="74"/>
      <c r="L1518" s="74"/>
      <c r="N1518" s="7"/>
      <c r="O1518" s="74"/>
      <c r="P1518" s="74"/>
      <c r="R1518" s="7"/>
      <c r="S1518" s="7"/>
      <c r="T1518" s="66"/>
    </row>
    <row r="1519" spans="1:20" ht="13.2">
      <c r="A1519" s="7"/>
      <c r="B1519" s="7"/>
      <c r="C1519" s="74"/>
      <c r="D1519" s="74"/>
      <c r="F1519" s="7"/>
      <c r="G1519" s="74"/>
      <c r="H1519" s="74"/>
      <c r="J1519" s="7"/>
      <c r="K1519" s="74"/>
      <c r="L1519" s="74"/>
      <c r="N1519" s="7"/>
      <c r="O1519" s="74"/>
      <c r="P1519" s="74"/>
      <c r="R1519" s="7"/>
      <c r="S1519" s="7"/>
      <c r="T1519" s="66"/>
    </row>
    <row r="1520" spans="1:20" ht="13.2">
      <c r="A1520" s="7"/>
      <c r="B1520" s="7"/>
      <c r="C1520" s="74"/>
      <c r="D1520" s="74"/>
      <c r="F1520" s="7"/>
      <c r="G1520" s="74"/>
      <c r="H1520" s="74"/>
      <c r="J1520" s="7"/>
      <c r="K1520" s="74"/>
      <c r="L1520" s="74"/>
      <c r="N1520" s="7"/>
      <c r="O1520" s="74"/>
      <c r="P1520" s="74"/>
      <c r="R1520" s="7"/>
      <c r="S1520" s="7"/>
      <c r="T1520" s="66"/>
    </row>
    <row r="1521" spans="1:20" ht="13.2">
      <c r="A1521" s="7"/>
      <c r="B1521" s="7"/>
      <c r="C1521" s="74"/>
      <c r="D1521" s="74"/>
      <c r="F1521" s="7"/>
      <c r="G1521" s="74"/>
      <c r="H1521" s="74"/>
      <c r="J1521" s="7"/>
      <c r="K1521" s="74"/>
      <c r="L1521" s="74"/>
      <c r="N1521" s="7"/>
      <c r="O1521" s="74"/>
      <c r="P1521" s="74"/>
      <c r="R1521" s="7"/>
      <c r="S1521" s="7"/>
      <c r="T1521" s="66"/>
    </row>
    <row r="1522" spans="1:20" ht="13.2">
      <c r="A1522" s="7"/>
      <c r="B1522" s="7"/>
      <c r="C1522" s="74"/>
      <c r="D1522" s="74"/>
      <c r="F1522" s="7"/>
      <c r="G1522" s="74"/>
      <c r="H1522" s="74"/>
      <c r="J1522" s="7"/>
      <c r="K1522" s="74"/>
      <c r="L1522" s="74"/>
      <c r="N1522" s="7"/>
      <c r="O1522" s="74"/>
      <c r="P1522" s="74"/>
      <c r="R1522" s="7"/>
      <c r="S1522" s="7"/>
      <c r="T1522" s="66"/>
    </row>
    <row r="1523" spans="1:20" ht="13.2">
      <c r="A1523" s="7"/>
      <c r="B1523" s="7"/>
      <c r="C1523" s="74"/>
      <c r="D1523" s="74"/>
      <c r="F1523" s="7"/>
      <c r="G1523" s="74"/>
      <c r="H1523" s="74"/>
      <c r="J1523" s="7"/>
      <c r="K1523" s="74"/>
      <c r="L1523" s="74"/>
      <c r="N1523" s="7"/>
      <c r="O1523" s="74"/>
      <c r="P1523" s="74"/>
      <c r="R1523" s="7"/>
      <c r="S1523" s="7"/>
      <c r="T1523" s="66"/>
    </row>
    <row r="1524" spans="1:20" ht="13.2">
      <c r="A1524" s="7"/>
      <c r="B1524" s="7"/>
      <c r="C1524" s="74"/>
      <c r="D1524" s="74"/>
      <c r="F1524" s="7"/>
      <c r="G1524" s="74"/>
      <c r="H1524" s="74"/>
      <c r="J1524" s="7"/>
      <c r="K1524" s="74"/>
      <c r="L1524" s="74"/>
      <c r="N1524" s="7"/>
      <c r="O1524" s="74"/>
      <c r="P1524" s="74"/>
      <c r="R1524" s="7"/>
      <c r="S1524" s="7"/>
      <c r="T1524" s="66"/>
    </row>
    <row r="1525" spans="1:20" ht="13.2">
      <c r="A1525" s="7"/>
      <c r="B1525" s="7"/>
      <c r="C1525" s="74"/>
      <c r="D1525" s="74"/>
      <c r="F1525" s="7"/>
      <c r="G1525" s="74"/>
      <c r="H1525" s="74"/>
      <c r="J1525" s="7"/>
      <c r="K1525" s="74"/>
      <c r="L1525" s="74"/>
      <c r="N1525" s="7"/>
      <c r="O1525" s="74"/>
      <c r="P1525" s="74"/>
      <c r="R1525" s="7"/>
      <c r="S1525" s="7"/>
      <c r="T1525" s="66"/>
    </row>
    <row r="1526" spans="1:20" ht="13.2">
      <c r="A1526" s="7"/>
      <c r="B1526" s="7"/>
      <c r="C1526" s="74"/>
      <c r="D1526" s="74"/>
      <c r="F1526" s="7"/>
      <c r="G1526" s="74"/>
      <c r="H1526" s="74"/>
      <c r="J1526" s="7"/>
      <c r="K1526" s="74"/>
      <c r="L1526" s="74"/>
      <c r="N1526" s="7"/>
      <c r="O1526" s="74"/>
      <c r="P1526" s="74"/>
      <c r="R1526" s="7"/>
      <c r="S1526" s="7"/>
      <c r="T1526" s="66"/>
    </row>
    <row r="1527" spans="1:20" ht="13.2">
      <c r="A1527" s="7"/>
      <c r="B1527" s="7"/>
      <c r="C1527" s="74"/>
      <c r="D1527" s="74"/>
      <c r="F1527" s="7"/>
      <c r="G1527" s="74"/>
      <c r="H1527" s="74"/>
      <c r="J1527" s="7"/>
      <c r="K1527" s="74"/>
      <c r="L1527" s="74"/>
      <c r="N1527" s="7"/>
      <c r="O1527" s="74"/>
      <c r="P1527" s="74"/>
      <c r="R1527" s="7"/>
      <c r="S1527" s="7"/>
      <c r="T1527" s="66"/>
    </row>
    <row r="1528" spans="1:20" ht="13.2">
      <c r="A1528" s="7"/>
      <c r="B1528" s="7"/>
      <c r="C1528" s="74"/>
      <c r="D1528" s="74"/>
      <c r="F1528" s="7"/>
      <c r="G1528" s="74"/>
      <c r="H1528" s="74"/>
      <c r="J1528" s="7"/>
      <c r="K1528" s="74"/>
      <c r="L1528" s="74"/>
      <c r="N1528" s="7"/>
      <c r="O1528" s="74"/>
      <c r="P1528" s="74"/>
      <c r="R1528" s="7"/>
      <c r="S1528" s="7"/>
      <c r="T1528" s="66"/>
    </row>
    <row r="1529" spans="1:20" ht="13.2">
      <c r="A1529" s="7"/>
      <c r="B1529" s="7"/>
      <c r="C1529" s="74"/>
      <c r="D1529" s="74"/>
      <c r="F1529" s="7"/>
      <c r="G1529" s="74"/>
      <c r="H1529" s="74"/>
      <c r="J1529" s="7"/>
      <c r="K1529" s="74"/>
      <c r="L1529" s="74"/>
      <c r="N1529" s="7"/>
      <c r="O1529" s="74"/>
      <c r="P1529" s="74"/>
      <c r="R1529" s="7"/>
      <c r="S1529" s="7"/>
      <c r="T1529" s="66"/>
    </row>
    <row r="1530" spans="1:20" ht="13.2">
      <c r="A1530" s="7"/>
      <c r="B1530" s="7"/>
      <c r="C1530" s="74"/>
      <c r="D1530" s="74"/>
      <c r="F1530" s="7"/>
      <c r="G1530" s="74"/>
      <c r="H1530" s="74"/>
      <c r="J1530" s="7"/>
      <c r="K1530" s="74"/>
      <c r="L1530" s="74"/>
      <c r="N1530" s="7"/>
      <c r="O1530" s="74"/>
      <c r="P1530" s="74"/>
      <c r="R1530" s="7"/>
      <c r="S1530" s="7"/>
      <c r="T1530" s="66"/>
    </row>
    <row r="1531" spans="1:20" ht="13.2">
      <c r="A1531" s="7"/>
      <c r="B1531" s="7"/>
      <c r="C1531" s="74"/>
      <c r="D1531" s="74"/>
      <c r="F1531" s="7"/>
      <c r="G1531" s="74"/>
      <c r="H1531" s="74"/>
      <c r="J1531" s="7"/>
      <c r="K1531" s="74"/>
      <c r="L1531" s="74"/>
      <c r="N1531" s="7"/>
      <c r="O1531" s="74"/>
      <c r="P1531" s="74"/>
      <c r="R1531" s="7"/>
      <c r="S1531" s="7"/>
      <c r="T1531" s="66"/>
    </row>
    <row r="1532" spans="1:20" ht="13.2">
      <c r="A1532" s="7"/>
      <c r="B1532" s="7"/>
      <c r="C1532" s="74"/>
      <c r="D1532" s="74"/>
      <c r="F1532" s="7"/>
      <c r="G1532" s="74"/>
      <c r="H1532" s="74"/>
      <c r="J1532" s="7"/>
      <c r="K1532" s="74"/>
      <c r="L1532" s="74"/>
      <c r="N1532" s="7"/>
      <c r="O1532" s="74"/>
      <c r="P1532" s="74"/>
      <c r="R1532" s="7"/>
      <c r="S1532" s="7"/>
      <c r="T1532" s="66"/>
    </row>
    <row r="1533" spans="1:20" ht="13.2">
      <c r="A1533" s="7"/>
      <c r="B1533" s="7"/>
      <c r="C1533" s="74"/>
      <c r="D1533" s="74"/>
      <c r="F1533" s="7"/>
      <c r="G1533" s="74"/>
      <c r="H1533" s="74"/>
      <c r="J1533" s="7"/>
      <c r="K1533" s="74"/>
      <c r="L1533" s="74"/>
      <c r="N1533" s="7"/>
      <c r="O1533" s="74"/>
      <c r="P1533" s="74"/>
      <c r="R1533" s="7"/>
      <c r="S1533" s="7"/>
      <c r="T1533" s="66"/>
    </row>
    <row r="1534" spans="1:20" ht="13.2">
      <c r="A1534" s="7"/>
      <c r="B1534" s="7"/>
      <c r="C1534" s="74"/>
      <c r="D1534" s="74"/>
      <c r="F1534" s="7"/>
      <c r="G1534" s="74"/>
      <c r="H1534" s="74"/>
      <c r="J1534" s="7"/>
      <c r="K1534" s="74"/>
      <c r="L1534" s="74"/>
      <c r="N1534" s="7"/>
      <c r="O1534" s="74"/>
      <c r="P1534" s="74"/>
      <c r="R1534" s="7"/>
      <c r="S1534" s="7"/>
      <c r="T1534" s="66"/>
    </row>
    <row r="1535" spans="1:20" ht="13.2">
      <c r="A1535" s="7"/>
      <c r="B1535" s="7"/>
      <c r="C1535" s="74"/>
      <c r="D1535" s="74"/>
      <c r="F1535" s="7"/>
      <c r="G1535" s="74"/>
      <c r="H1535" s="74"/>
      <c r="J1535" s="7"/>
      <c r="K1535" s="74"/>
      <c r="L1535" s="74"/>
      <c r="N1535" s="7"/>
      <c r="O1535" s="74"/>
      <c r="P1535" s="74"/>
      <c r="R1535" s="7"/>
      <c r="S1535" s="7"/>
      <c r="T1535" s="66"/>
    </row>
    <row r="1536" spans="1:20" ht="13.2">
      <c r="A1536" s="7"/>
      <c r="B1536" s="7"/>
      <c r="C1536" s="74"/>
      <c r="D1536" s="74"/>
      <c r="F1536" s="7"/>
      <c r="G1536" s="74"/>
      <c r="H1536" s="74"/>
      <c r="J1536" s="7"/>
      <c r="K1536" s="74"/>
      <c r="L1536" s="74"/>
      <c r="N1536" s="7"/>
      <c r="O1536" s="74"/>
      <c r="P1536" s="74"/>
      <c r="R1536" s="7"/>
      <c r="S1536" s="7"/>
      <c r="T1536" s="66"/>
    </row>
    <row r="1537" spans="1:20" ht="13.2">
      <c r="A1537" s="7"/>
      <c r="B1537" s="7"/>
      <c r="C1537" s="74"/>
      <c r="D1537" s="74"/>
      <c r="F1537" s="7"/>
      <c r="G1537" s="74"/>
      <c r="H1537" s="74"/>
      <c r="J1537" s="7"/>
      <c r="K1537" s="74"/>
      <c r="L1537" s="74"/>
      <c r="N1537" s="7"/>
      <c r="O1537" s="74"/>
      <c r="P1537" s="74"/>
      <c r="R1537" s="7"/>
      <c r="S1537" s="7"/>
      <c r="T1537" s="66"/>
    </row>
    <row r="1538" spans="1:20" ht="13.2">
      <c r="A1538" s="7"/>
      <c r="B1538" s="7"/>
      <c r="C1538" s="74"/>
      <c r="D1538" s="74"/>
      <c r="F1538" s="7"/>
      <c r="G1538" s="74"/>
      <c r="H1538" s="74"/>
      <c r="J1538" s="7"/>
      <c r="K1538" s="74"/>
      <c r="L1538" s="74"/>
      <c r="N1538" s="7"/>
      <c r="O1538" s="74"/>
      <c r="P1538" s="74"/>
      <c r="R1538" s="7"/>
      <c r="S1538" s="7"/>
      <c r="T1538" s="66"/>
    </row>
    <row r="1539" spans="1:20" ht="13.2">
      <c r="A1539" s="7"/>
      <c r="B1539" s="7"/>
      <c r="C1539" s="74"/>
      <c r="D1539" s="74"/>
      <c r="F1539" s="7"/>
      <c r="G1539" s="74"/>
      <c r="H1539" s="74"/>
      <c r="J1539" s="7"/>
      <c r="K1539" s="74"/>
      <c r="L1539" s="74"/>
      <c r="N1539" s="7"/>
      <c r="O1539" s="74"/>
      <c r="P1539" s="74"/>
      <c r="R1539" s="7"/>
      <c r="S1539" s="7"/>
      <c r="T1539" s="66"/>
    </row>
    <row r="1540" spans="1:20" ht="13.2">
      <c r="A1540" s="7"/>
      <c r="B1540" s="7"/>
      <c r="C1540" s="74"/>
      <c r="D1540" s="74"/>
      <c r="F1540" s="7"/>
      <c r="G1540" s="74"/>
      <c r="H1540" s="74"/>
      <c r="J1540" s="7"/>
      <c r="K1540" s="74"/>
      <c r="L1540" s="74"/>
      <c r="N1540" s="7"/>
      <c r="O1540" s="74"/>
      <c r="P1540" s="74"/>
      <c r="R1540" s="7"/>
      <c r="S1540" s="7"/>
      <c r="T1540" s="66"/>
    </row>
    <row r="1541" spans="1:20" ht="13.2">
      <c r="A1541" s="7"/>
      <c r="B1541" s="7"/>
      <c r="C1541" s="74"/>
      <c r="D1541" s="74"/>
      <c r="F1541" s="7"/>
      <c r="G1541" s="74"/>
      <c r="H1541" s="74"/>
      <c r="J1541" s="7"/>
      <c r="K1541" s="74"/>
      <c r="L1541" s="74"/>
      <c r="N1541" s="7"/>
      <c r="O1541" s="74"/>
      <c r="P1541" s="74"/>
      <c r="R1541" s="7"/>
      <c r="S1541" s="7"/>
      <c r="T1541" s="66"/>
    </row>
    <row r="1542" spans="1:20" ht="13.2">
      <c r="A1542" s="7"/>
      <c r="B1542" s="7"/>
      <c r="C1542" s="74"/>
      <c r="D1542" s="74"/>
      <c r="F1542" s="7"/>
      <c r="G1542" s="74"/>
      <c r="H1542" s="74"/>
      <c r="J1542" s="7"/>
      <c r="K1542" s="74"/>
      <c r="L1542" s="74"/>
      <c r="N1542" s="7"/>
      <c r="O1542" s="74"/>
      <c r="P1542" s="74"/>
      <c r="R1542" s="7"/>
      <c r="S1542" s="7"/>
      <c r="T1542" s="66"/>
    </row>
    <row r="1543" spans="1:20" ht="13.2">
      <c r="A1543" s="7"/>
      <c r="B1543" s="7"/>
      <c r="C1543" s="74"/>
      <c r="D1543" s="74"/>
      <c r="F1543" s="7"/>
      <c r="G1543" s="74"/>
      <c r="H1543" s="74"/>
      <c r="J1543" s="7"/>
      <c r="K1543" s="74"/>
      <c r="L1543" s="74"/>
      <c r="N1543" s="7"/>
      <c r="O1543" s="74"/>
      <c r="P1543" s="74"/>
      <c r="R1543" s="7"/>
      <c r="S1543" s="7"/>
      <c r="T1543" s="66"/>
    </row>
    <row r="1544" spans="1:20" ht="13.2">
      <c r="A1544" s="7"/>
      <c r="B1544" s="7"/>
      <c r="C1544" s="74"/>
      <c r="D1544" s="74"/>
      <c r="F1544" s="7"/>
      <c r="G1544" s="74"/>
      <c r="H1544" s="74"/>
      <c r="J1544" s="7"/>
      <c r="K1544" s="74"/>
      <c r="L1544" s="74"/>
      <c r="N1544" s="7"/>
      <c r="O1544" s="74"/>
      <c r="P1544" s="74"/>
      <c r="R1544" s="7"/>
      <c r="S1544" s="7"/>
      <c r="T1544" s="66"/>
    </row>
    <row r="1545" spans="1:20" ht="13.2">
      <c r="A1545" s="7"/>
      <c r="B1545" s="7"/>
      <c r="C1545" s="74"/>
      <c r="D1545" s="74"/>
      <c r="F1545" s="7"/>
      <c r="G1545" s="74"/>
      <c r="H1545" s="74"/>
      <c r="J1545" s="7"/>
      <c r="K1545" s="74"/>
      <c r="L1545" s="74"/>
      <c r="N1545" s="7"/>
      <c r="O1545" s="74"/>
      <c r="P1545" s="74"/>
      <c r="R1545" s="7"/>
      <c r="S1545" s="7"/>
      <c r="T1545" s="66"/>
    </row>
    <row r="1546" spans="1:20" ht="13.2">
      <c r="A1546" s="7"/>
      <c r="B1546" s="7"/>
      <c r="C1546" s="74"/>
      <c r="D1546" s="74"/>
      <c r="F1546" s="7"/>
      <c r="G1546" s="74"/>
      <c r="H1546" s="74"/>
      <c r="J1546" s="7"/>
      <c r="K1546" s="74"/>
      <c r="L1546" s="74"/>
      <c r="N1546" s="7"/>
      <c r="O1546" s="74"/>
      <c r="P1546" s="74"/>
      <c r="R1546" s="7"/>
      <c r="S1546" s="7"/>
      <c r="T1546" s="66"/>
    </row>
    <row r="1547" spans="1:20" ht="13.2">
      <c r="A1547" s="7"/>
      <c r="B1547" s="7"/>
      <c r="C1547" s="74"/>
      <c r="D1547" s="74"/>
      <c r="F1547" s="7"/>
      <c r="G1547" s="74"/>
      <c r="H1547" s="74"/>
      <c r="J1547" s="7"/>
      <c r="K1547" s="74"/>
      <c r="L1547" s="74"/>
      <c r="N1547" s="7"/>
      <c r="O1547" s="74"/>
      <c r="P1547" s="74"/>
      <c r="R1547" s="7"/>
      <c r="S1547" s="7"/>
      <c r="T1547" s="66"/>
    </row>
    <row r="1548" spans="1:20" ht="13.2">
      <c r="A1548" s="7"/>
      <c r="B1548" s="7"/>
      <c r="C1548" s="74"/>
      <c r="D1548" s="74"/>
      <c r="F1548" s="7"/>
      <c r="G1548" s="74"/>
      <c r="H1548" s="74"/>
      <c r="J1548" s="7"/>
      <c r="K1548" s="74"/>
      <c r="L1548" s="74"/>
      <c r="N1548" s="7"/>
      <c r="O1548" s="74"/>
      <c r="P1548" s="74"/>
      <c r="R1548" s="7"/>
      <c r="S1548" s="7"/>
      <c r="T1548" s="66"/>
    </row>
    <row r="1549" spans="1:20" ht="13.2">
      <c r="A1549" s="7"/>
      <c r="B1549" s="7"/>
      <c r="C1549" s="74"/>
      <c r="D1549" s="74"/>
      <c r="F1549" s="7"/>
      <c r="G1549" s="74"/>
      <c r="H1549" s="74"/>
      <c r="J1549" s="7"/>
      <c r="K1549" s="74"/>
      <c r="L1549" s="74"/>
      <c r="N1549" s="7"/>
      <c r="O1549" s="74"/>
      <c r="P1549" s="74"/>
      <c r="R1549" s="7"/>
      <c r="S1549" s="7"/>
      <c r="T1549" s="66"/>
    </row>
    <row r="1550" spans="1:20" ht="13.2">
      <c r="A1550" s="7"/>
      <c r="B1550" s="7"/>
      <c r="C1550" s="74"/>
      <c r="D1550" s="74"/>
      <c r="F1550" s="7"/>
      <c r="G1550" s="74"/>
      <c r="H1550" s="74"/>
      <c r="J1550" s="7"/>
      <c r="K1550" s="74"/>
      <c r="L1550" s="74"/>
      <c r="N1550" s="7"/>
      <c r="O1550" s="74"/>
      <c r="P1550" s="74"/>
      <c r="R1550" s="7"/>
      <c r="S1550" s="7"/>
      <c r="T1550" s="66"/>
    </row>
    <row r="1551" spans="1:20" ht="13.2">
      <c r="A1551" s="7"/>
      <c r="B1551" s="7"/>
      <c r="C1551" s="74"/>
      <c r="D1551" s="74"/>
      <c r="F1551" s="7"/>
      <c r="G1551" s="74"/>
      <c r="H1551" s="74"/>
      <c r="J1551" s="7"/>
      <c r="K1551" s="74"/>
      <c r="L1551" s="74"/>
      <c r="N1551" s="7"/>
      <c r="O1551" s="74"/>
      <c r="P1551" s="74"/>
      <c r="R1551" s="7"/>
      <c r="S1551" s="7"/>
      <c r="T1551" s="66"/>
    </row>
    <row r="1552" spans="1:20" ht="13.2">
      <c r="A1552" s="7"/>
      <c r="B1552" s="7"/>
      <c r="C1552" s="74"/>
      <c r="D1552" s="74"/>
      <c r="F1552" s="7"/>
      <c r="G1552" s="74"/>
      <c r="H1552" s="74"/>
      <c r="J1552" s="7"/>
      <c r="K1552" s="74"/>
      <c r="L1552" s="74"/>
      <c r="N1552" s="7"/>
      <c r="O1552" s="74"/>
      <c r="P1552" s="74"/>
      <c r="R1552" s="7"/>
      <c r="S1552" s="7"/>
      <c r="T1552" s="66"/>
    </row>
    <row r="1553" spans="1:20" ht="13.2">
      <c r="A1553" s="7"/>
      <c r="B1553" s="7"/>
      <c r="C1553" s="74"/>
      <c r="D1553" s="74"/>
      <c r="F1553" s="7"/>
      <c r="G1553" s="74"/>
      <c r="H1553" s="74"/>
      <c r="J1553" s="7"/>
      <c r="K1553" s="74"/>
      <c r="L1553" s="74"/>
      <c r="N1553" s="7"/>
      <c r="O1553" s="74"/>
      <c r="P1553" s="74"/>
      <c r="R1553" s="7"/>
      <c r="S1553" s="7"/>
      <c r="T1553" s="66"/>
    </row>
    <row r="1554" spans="1:20" ht="13.2">
      <c r="A1554" s="7"/>
      <c r="B1554" s="7"/>
      <c r="C1554" s="74"/>
      <c r="D1554" s="74"/>
      <c r="F1554" s="7"/>
      <c r="G1554" s="74"/>
      <c r="H1554" s="74"/>
      <c r="J1554" s="7"/>
      <c r="K1554" s="74"/>
      <c r="L1554" s="74"/>
      <c r="N1554" s="7"/>
      <c r="O1554" s="74"/>
      <c r="P1554" s="74"/>
      <c r="R1554" s="7"/>
      <c r="S1554" s="7"/>
      <c r="T1554" s="66"/>
    </row>
    <row r="1555" spans="1:20" ht="13.2">
      <c r="A1555" s="7"/>
      <c r="B1555" s="7"/>
      <c r="C1555" s="74"/>
      <c r="D1555" s="74"/>
      <c r="F1555" s="7"/>
      <c r="G1555" s="74"/>
      <c r="H1555" s="74"/>
      <c r="J1555" s="7"/>
      <c r="K1555" s="74"/>
      <c r="L1555" s="74"/>
      <c r="N1555" s="7"/>
      <c r="O1555" s="74"/>
      <c r="P1555" s="74"/>
      <c r="R1555" s="7"/>
      <c r="S1555" s="7"/>
      <c r="T1555" s="66"/>
    </row>
    <row r="1556" spans="1:20" ht="13.2">
      <c r="A1556" s="7"/>
      <c r="B1556" s="7"/>
      <c r="C1556" s="74"/>
      <c r="D1556" s="74"/>
      <c r="F1556" s="7"/>
      <c r="G1556" s="74"/>
      <c r="H1556" s="74"/>
      <c r="J1556" s="7"/>
      <c r="K1556" s="74"/>
      <c r="L1556" s="74"/>
      <c r="N1556" s="7"/>
      <c r="O1556" s="74"/>
      <c r="P1556" s="74"/>
      <c r="R1556" s="7"/>
      <c r="S1556" s="7"/>
      <c r="T1556" s="66"/>
    </row>
    <row r="1557" spans="1:20" ht="13.2">
      <c r="A1557" s="7"/>
      <c r="B1557" s="7"/>
      <c r="C1557" s="74"/>
      <c r="D1557" s="74"/>
      <c r="F1557" s="7"/>
      <c r="G1557" s="74"/>
      <c r="H1557" s="74"/>
      <c r="J1557" s="7"/>
      <c r="K1557" s="74"/>
      <c r="L1557" s="74"/>
      <c r="N1557" s="7"/>
      <c r="O1557" s="74"/>
      <c r="P1557" s="74"/>
      <c r="R1557" s="7"/>
      <c r="S1557" s="7"/>
      <c r="T1557" s="66"/>
    </row>
    <row r="1558" spans="1:20" ht="13.2">
      <c r="A1558" s="7"/>
      <c r="B1558" s="7"/>
      <c r="C1558" s="74"/>
      <c r="D1558" s="74"/>
      <c r="F1558" s="7"/>
      <c r="G1558" s="74"/>
      <c r="H1558" s="74"/>
      <c r="J1558" s="7"/>
      <c r="K1558" s="74"/>
      <c r="L1558" s="74"/>
      <c r="N1558" s="7"/>
      <c r="O1558" s="74"/>
      <c r="P1558" s="74"/>
      <c r="R1558" s="7"/>
      <c r="S1558" s="7"/>
      <c r="T1558" s="66"/>
    </row>
    <row r="1559" spans="1:20" ht="13.2">
      <c r="A1559" s="7"/>
      <c r="B1559" s="7"/>
      <c r="C1559" s="74"/>
      <c r="D1559" s="74"/>
      <c r="F1559" s="7"/>
      <c r="G1559" s="74"/>
      <c r="H1559" s="74"/>
      <c r="J1559" s="7"/>
      <c r="K1559" s="74"/>
      <c r="L1559" s="74"/>
      <c r="N1559" s="7"/>
      <c r="O1559" s="74"/>
      <c r="P1559" s="74"/>
      <c r="R1559" s="7"/>
      <c r="S1559" s="7"/>
      <c r="T1559" s="66"/>
    </row>
    <row r="1560" spans="1:20" ht="13.2">
      <c r="A1560" s="7"/>
      <c r="B1560" s="7"/>
      <c r="C1560" s="74"/>
      <c r="D1560" s="74"/>
      <c r="F1560" s="7"/>
      <c r="G1560" s="74"/>
      <c r="H1560" s="74"/>
      <c r="J1560" s="7"/>
      <c r="K1560" s="74"/>
      <c r="L1560" s="74"/>
      <c r="N1560" s="7"/>
      <c r="O1560" s="74"/>
      <c r="P1560" s="74"/>
      <c r="R1560" s="7"/>
      <c r="S1560" s="7"/>
      <c r="T1560" s="66"/>
    </row>
    <row r="1561" spans="1:20" ht="13.2">
      <c r="A1561" s="7"/>
      <c r="B1561" s="7"/>
      <c r="C1561" s="74"/>
      <c r="D1561" s="74"/>
      <c r="F1561" s="7"/>
      <c r="G1561" s="74"/>
      <c r="H1561" s="74"/>
      <c r="J1561" s="7"/>
      <c r="K1561" s="74"/>
      <c r="L1561" s="74"/>
      <c r="N1561" s="7"/>
      <c r="O1561" s="74"/>
      <c r="P1561" s="74"/>
      <c r="R1561" s="7"/>
      <c r="S1561" s="7"/>
      <c r="T1561" s="66"/>
    </row>
    <row r="1562" spans="1:20" ht="13.2">
      <c r="A1562" s="7"/>
      <c r="B1562" s="7"/>
      <c r="C1562" s="74"/>
      <c r="D1562" s="74"/>
      <c r="F1562" s="7"/>
      <c r="G1562" s="74"/>
      <c r="H1562" s="74"/>
      <c r="J1562" s="7"/>
      <c r="K1562" s="74"/>
      <c r="L1562" s="74"/>
      <c r="N1562" s="7"/>
      <c r="O1562" s="74"/>
      <c r="P1562" s="74"/>
      <c r="R1562" s="7"/>
      <c r="S1562" s="7"/>
      <c r="T1562" s="66"/>
    </row>
    <row r="1563" spans="1:20" ht="13.2">
      <c r="A1563" s="7"/>
      <c r="B1563" s="7"/>
      <c r="C1563" s="74"/>
      <c r="D1563" s="74"/>
      <c r="F1563" s="7"/>
      <c r="G1563" s="74"/>
      <c r="H1563" s="74"/>
      <c r="J1563" s="7"/>
      <c r="K1563" s="74"/>
      <c r="L1563" s="74"/>
      <c r="N1563" s="7"/>
      <c r="O1563" s="74"/>
      <c r="P1563" s="74"/>
      <c r="R1563" s="7"/>
      <c r="S1563" s="7"/>
      <c r="T1563" s="66"/>
    </row>
    <row r="1564" spans="1:20" ht="13.2">
      <c r="A1564" s="7"/>
      <c r="B1564" s="7"/>
      <c r="C1564" s="74"/>
      <c r="D1564" s="74"/>
      <c r="F1564" s="7"/>
      <c r="G1564" s="74"/>
      <c r="H1564" s="74"/>
      <c r="J1564" s="7"/>
      <c r="K1564" s="74"/>
      <c r="L1564" s="74"/>
      <c r="N1564" s="7"/>
      <c r="O1564" s="74"/>
      <c r="P1564" s="74"/>
      <c r="R1564" s="7"/>
      <c r="S1564" s="7"/>
      <c r="T1564" s="66"/>
    </row>
    <row r="1565" spans="1:20" ht="13.2">
      <c r="A1565" s="7"/>
      <c r="B1565" s="7"/>
      <c r="C1565" s="74"/>
      <c r="D1565" s="74"/>
      <c r="F1565" s="7"/>
      <c r="G1565" s="74"/>
      <c r="H1565" s="74"/>
      <c r="J1565" s="7"/>
      <c r="K1565" s="74"/>
      <c r="L1565" s="74"/>
      <c r="N1565" s="7"/>
      <c r="O1565" s="74"/>
      <c r="P1565" s="74"/>
      <c r="R1565" s="7"/>
      <c r="S1565" s="7"/>
      <c r="T1565" s="66"/>
    </row>
    <row r="1566" spans="1:20" ht="13.2">
      <c r="A1566" s="7"/>
      <c r="B1566" s="7"/>
      <c r="C1566" s="74"/>
      <c r="D1566" s="74"/>
      <c r="F1566" s="7"/>
      <c r="G1566" s="74"/>
      <c r="H1566" s="74"/>
      <c r="J1566" s="7"/>
      <c r="K1566" s="74"/>
      <c r="L1566" s="74"/>
      <c r="N1566" s="7"/>
      <c r="O1566" s="74"/>
      <c r="P1566" s="74"/>
      <c r="R1566" s="7"/>
      <c r="S1566" s="7"/>
      <c r="T1566" s="66"/>
    </row>
    <row r="1567" spans="1:20" ht="13.2">
      <c r="A1567" s="7"/>
      <c r="B1567" s="7"/>
      <c r="C1567" s="74"/>
      <c r="D1567" s="74"/>
      <c r="F1567" s="7"/>
      <c r="G1567" s="74"/>
      <c r="H1567" s="74"/>
      <c r="J1567" s="7"/>
      <c r="K1567" s="74"/>
      <c r="L1567" s="74"/>
      <c r="N1567" s="7"/>
      <c r="O1567" s="74"/>
      <c r="P1567" s="74"/>
      <c r="R1567" s="7"/>
      <c r="S1567" s="7"/>
      <c r="T1567" s="66"/>
    </row>
    <row r="1568" spans="1:20" ht="13.2">
      <c r="A1568" s="7"/>
      <c r="B1568" s="7"/>
      <c r="C1568" s="74"/>
      <c r="D1568" s="74"/>
      <c r="F1568" s="7"/>
      <c r="G1568" s="74"/>
      <c r="H1568" s="74"/>
      <c r="J1568" s="7"/>
      <c r="K1568" s="74"/>
      <c r="L1568" s="74"/>
      <c r="N1568" s="7"/>
      <c r="O1568" s="74"/>
      <c r="P1568" s="74"/>
      <c r="R1568" s="7"/>
      <c r="S1568" s="7"/>
      <c r="T1568" s="66"/>
    </row>
    <row r="1569" spans="1:20" ht="13.2">
      <c r="A1569" s="7"/>
      <c r="B1569" s="7"/>
      <c r="C1569" s="74"/>
      <c r="D1569" s="74"/>
      <c r="F1569" s="7"/>
      <c r="G1569" s="74"/>
      <c r="H1569" s="74"/>
      <c r="J1569" s="7"/>
      <c r="K1569" s="74"/>
      <c r="L1569" s="74"/>
      <c r="N1569" s="7"/>
      <c r="O1569" s="74"/>
      <c r="P1569" s="74"/>
      <c r="R1569" s="7"/>
      <c r="S1569" s="7"/>
      <c r="T1569" s="66"/>
    </row>
    <row r="1570" spans="1:20" ht="13.2">
      <c r="A1570" s="7"/>
      <c r="B1570" s="7"/>
      <c r="C1570" s="74"/>
      <c r="D1570" s="74"/>
      <c r="F1570" s="7"/>
      <c r="G1570" s="74"/>
      <c r="H1570" s="74"/>
      <c r="J1570" s="7"/>
      <c r="K1570" s="74"/>
      <c r="L1570" s="74"/>
      <c r="N1570" s="7"/>
      <c r="O1570" s="74"/>
      <c r="P1570" s="74"/>
      <c r="R1570" s="7"/>
      <c r="S1570" s="7"/>
      <c r="T1570" s="66"/>
    </row>
    <row r="1571" spans="1:20" ht="13.2">
      <c r="A1571" s="7"/>
      <c r="B1571" s="7"/>
      <c r="C1571" s="74"/>
      <c r="D1571" s="74"/>
      <c r="F1571" s="7"/>
      <c r="G1571" s="74"/>
      <c r="H1571" s="74"/>
      <c r="J1571" s="7"/>
      <c r="K1571" s="74"/>
      <c r="L1571" s="74"/>
      <c r="N1571" s="7"/>
      <c r="O1571" s="74"/>
      <c r="P1571" s="74"/>
      <c r="R1571" s="7"/>
      <c r="S1571" s="7"/>
      <c r="T1571" s="66"/>
    </row>
    <row r="1572" spans="1:20" ht="13.2">
      <c r="A1572" s="7"/>
      <c r="B1572" s="7"/>
      <c r="C1572" s="74"/>
      <c r="D1572" s="74"/>
      <c r="F1572" s="7"/>
      <c r="G1572" s="74"/>
      <c r="H1572" s="74"/>
      <c r="J1572" s="7"/>
      <c r="K1572" s="74"/>
      <c r="L1572" s="74"/>
      <c r="N1572" s="7"/>
      <c r="O1572" s="74"/>
      <c r="P1572" s="74"/>
      <c r="R1572" s="7"/>
      <c r="S1572" s="7"/>
      <c r="T1572" s="66"/>
    </row>
    <row r="1573" spans="1:20" ht="13.2">
      <c r="A1573" s="7"/>
      <c r="B1573" s="7"/>
      <c r="C1573" s="74"/>
      <c r="D1573" s="74"/>
      <c r="F1573" s="7"/>
      <c r="G1573" s="74"/>
      <c r="H1573" s="74"/>
      <c r="J1573" s="7"/>
      <c r="K1573" s="74"/>
      <c r="L1573" s="74"/>
      <c r="N1573" s="7"/>
      <c r="O1573" s="74"/>
      <c r="P1573" s="74"/>
      <c r="R1573" s="7"/>
      <c r="S1573" s="7"/>
      <c r="T1573" s="66"/>
    </row>
    <row r="1574" spans="1:20" ht="13.2">
      <c r="A1574" s="7"/>
      <c r="B1574" s="7"/>
      <c r="C1574" s="74"/>
      <c r="D1574" s="74"/>
      <c r="F1574" s="7"/>
      <c r="G1574" s="74"/>
      <c r="H1574" s="74"/>
      <c r="J1574" s="7"/>
      <c r="K1574" s="74"/>
      <c r="L1574" s="74"/>
      <c r="N1574" s="7"/>
      <c r="O1574" s="74"/>
      <c r="P1574" s="74"/>
      <c r="R1574" s="7"/>
      <c r="S1574" s="7"/>
      <c r="T1574" s="66"/>
    </row>
    <row r="1575" spans="1:20" ht="13.2">
      <c r="A1575" s="7"/>
      <c r="B1575" s="7"/>
      <c r="C1575" s="74"/>
      <c r="D1575" s="74"/>
      <c r="F1575" s="7"/>
      <c r="G1575" s="74"/>
      <c r="H1575" s="74"/>
      <c r="J1575" s="7"/>
      <c r="K1575" s="74"/>
      <c r="L1575" s="74"/>
      <c r="N1575" s="7"/>
      <c r="O1575" s="74"/>
      <c r="P1575" s="74"/>
      <c r="R1575" s="7"/>
      <c r="S1575" s="7"/>
      <c r="T1575" s="66"/>
    </row>
    <row r="1576" spans="1:20" ht="13.2">
      <c r="A1576" s="7"/>
      <c r="B1576" s="7"/>
      <c r="C1576" s="74"/>
      <c r="D1576" s="74"/>
      <c r="F1576" s="7"/>
      <c r="G1576" s="74"/>
      <c r="H1576" s="74"/>
      <c r="J1576" s="7"/>
      <c r="K1576" s="74"/>
      <c r="L1576" s="74"/>
      <c r="N1576" s="7"/>
      <c r="O1576" s="74"/>
      <c r="P1576" s="74"/>
      <c r="R1576" s="7"/>
      <c r="S1576" s="7"/>
      <c r="T1576" s="66"/>
    </row>
    <row r="1577" spans="1:20" ht="13.2">
      <c r="A1577" s="7"/>
      <c r="B1577" s="7"/>
      <c r="C1577" s="74"/>
      <c r="D1577" s="74"/>
      <c r="F1577" s="7"/>
      <c r="G1577" s="74"/>
      <c r="H1577" s="74"/>
      <c r="J1577" s="7"/>
      <c r="K1577" s="74"/>
      <c r="L1577" s="74"/>
      <c r="N1577" s="7"/>
      <c r="O1577" s="74"/>
      <c r="P1577" s="74"/>
      <c r="R1577" s="7"/>
      <c r="S1577" s="7"/>
      <c r="T1577" s="66"/>
    </row>
    <row r="1578" spans="1:20" ht="13.2">
      <c r="A1578" s="7"/>
      <c r="B1578" s="7"/>
      <c r="C1578" s="74"/>
      <c r="D1578" s="74"/>
      <c r="F1578" s="7"/>
      <c r="G1578" s="74"/>
      <c r="H1578" s="74"/>
      <c r="J1578" s="7"/>
      <c r="K1578" s="74"/>
      <c r="L1578" s="74"/>
      <c r="N1578" s="7"/>
      <c r="O1578" s="74"/>
      <c r="P1578" s="74"/>
      <c r="R1578" s="7"/>
      <c r="S1578" s="7"/>
      <c r="T1578" s="66"/>
    </row>
    <row r="1579" spans="1:20" ht="13.2">
      <c r="A1579" s="7"/>
      <c r="B1579" s="7"/>
      <c r="C1579" s="74"/>
      <c r="D1579" s="74"/>
      <c r="F1579" s="7"/>
      <c r="G1579" s="74"/>
      <c r="H1579" s="74"/>
      <c r="J1579" s="7"/>
      <c r="K1579" s="74"/>
      <c r="L1579" s="74"/>
      <c r="N1579" s="7"/>
      <c r="O1579" s="74"/>
      <c r="P1579" s="74"/>
      <c r="R1579" s="7"/>
      <c r="S1579" s="7"/>
      <c r="T1579" s="66"/>
    </row>
    <row r="1580" spans="1:20" ht="13.2">
      <c r="A1580" s="7"/>
      <c r="B1580" s="7"/>
      <c r="C1580" s="74"/>
      <c r="D1580" s="74"/>
      <c r="F1580" s="7"/>
      <c r="G1580" s="74"/>
      <c r="H1580" s="74"/>
      <c r="J1580" s="7"/>
      <c r="K1580" s="74"/>
      <c r="L1580" s="74"/>
      <c r="N1580" s="7"/>
      <c r="O1580" s="74"/>
      <c r="P1580" s="74"/>
      <c r="R1580" s="7"/>
      <c r="S1580" s="7"/>
      <c r="T1580" s="66"/>
    </row>
    <row r="1581" spans="1:20" ht="13.2">
      <c r="A1581" s="7"/>
      <c r="B1581" s="7"/>
      <c r="C1581" s="74"/>
      <c r="D1581" s="74"/>
      <c r="F1581" s="7"/>
      <c r="G1581" s="74"/>
      <c r="H1581" s="74"/>
      <c r="J1581" s="7"/>
      <c r="K1581" s="74"/>
      <c r="L1581" s="74"/>
      <c r="N1581" s="7"/>
      <c r="O1581" s="74"/>
      <c r="P1581" s="74"/>
      <c r="R1581" s="7"/>
      <c r="S1581" s="7"/>
      <c r="T1581" s="66"/>
    </row>
    <row r="1582" spans="1:20" ht="13.2">
      <c r="A1582" s="7"/>
      <c r="B1582" s="7"/>
      <c r="C1582" s="74"/>
      <c r="D1582" s="74"/>
      <c r="F1582" s="7"/>
      <c r="G1582" s="74"/>
      <c r="H1582" s="74"/>
      <c r="J1582" s="7"/>
      <c r="K1582" s="74"/>
      <c r="L1582" s="74"/>
      <c r="N1582" s="7"/>
      <c r="O1582" s="74"/>
      <c r="P1582" s="74"/>
      <c r="R1582" s="7"/>
      <c r="S1582" s="7"/>
      <c r="T1582" s="66"/>
    </row>
    <row r="1583" spans="1:20" ht="13.2">
      <c r="A1583" s="7"/>
      <c r="B1583" s="7"/>
      <c r="C1583" s="74"/>
      <c r="D1583" s="74"/>
      <c r="F1583" s="7"/>
      <c r="G1583" s="74"/>
      <c r="H1583" s="74"/>
      <c r="J1583" s="7"/>
      <c r="K1583" s="74"/>
      <c r="L1583" s="74"/>
      <c r="N1583" s="7"/>
      <c r="O1583" s="74"/>
      <c r="P1583" s="74"/>
      <c r="R1583" s="7"/>
      <c r="S1583" s="7"/>
      <c r="T1583" s="66"/>
    </row>
    <row r="1584" spans="1:20" ht="13.2">
      <c r="A1584" s="7"/>
      <c r="B1584" s="7"/>
      <c r="C1584" s="74"/>
      <c r="D1584" s="74"/>
      <c r="F1584" s="7"/>
      <c r="G1584" s="74"/>
      <c r="H1584" s="74"/>
      <c r="J1584" s="7"/>
      <c r="K1584" s="74"/>
      <c r="L1584" s="74"/>
      <c r="N1584" s="7"/>
      <c r="O1584" s="74"/>
      <c r="P1584" s="74"/>
      <c r="R1584" s="7"/>
      <c r="S1584" s="7"/>
      <c r="T1584" s="66"/>
    </row>
    <row r="1585" spans="1:20" ht="13.2">
      <c r="A1585" s="7"/>
      <c r="B1585" s="7"/>
      <c r="C1585" s="74"/>
      <c r="D1585" s="74"/>
      <c r="F1585" s="7"/>
      <c r="G1585" s="74"/>
      <c r="H1585" s="74"/>
      <c r="J1585" s="7"/>
      <c r="K1585" s="74"/>
      <c r="L1585" s="74"/>
      <c r="N1585" s="7"/>
      <c r="O1585" s="74"/>
      <c r="P1585" s="74"/>
      <c r="R1585" s="7"/>
      <c r="S1585" s="7"/>
      <c r="T1585" s="66"/>
    </row>
    <row r="1586" spans="1:20" ht="13.2">
      <c r="A1586" s="7"/>
      <c r="B1586" s="7"/>
      <c r="C1586" s="74"/>
      <c r="D1586" s="74"/>
      <c r="F1586" s="7"/>
      <c r="G1586" s="74"/>
      <c r="H1586" s="74"/>
      <c r="J1586" s="7"/>
      <c r="K1586" s="74"/>
      <c r="L1586" s="74"/>
      <c r="N1586" s="7"/>
      <c r="O1586" s="74"/>
      <c r="P1586" s="74"/>
      <c r="R1586" s="7"/>
      <c r="S1586" s="7"/>
      <c r="T1586" s="66"/>
    </row>
    <row r="1587" spans="1:20" ht="13.2">
      <c r="A1587" s="7"/>
      <c r="B1587" s="7"/>
      <c r="C1587" s="74"/>
      <c r="D1587" s="74"/>
      <c r="F1587" s="7"/>
      <c r="G1587" s="74"/>
      <c r="H1587" s="74"/>
      <c r="J1587" s="7"/>
      <c r="K1587" s="74"/>
      <c r="L1587" s="74"/>
      <c r="N1587" s="7"/>
      <c r="O1587" s="74"/>
      <c r="P1587" s="74"/>
      <c r="R1587" s="7"/>
      <c r="S1587" s="7"/>
      <c r="T1587" s="66"/>
    </row>
    <row r="1588" spans="1:20" ht="13.2">
      <c r="A1588" s="7"/>
      <c r="B1588" s="7"/>
      <c r="C1588" s="74"/>
      <c r="D1588" s="74"/>
      <c r="F1588" s="7"/>
      <c r="G1588" s="74"/>
      <c r="H1588" s="74"/>
      <c r="J1588" s="7"/>
      <c r="K1588" s="74"/>
      <c r="L1588" s="74"/>
      <c r="N1588" s="7"/>
      <c r="O1588" s="74"/>
      <c r="P1588" s="74"/>
      <c r="R1588" s="7"/>
      <c r="S1588" s="7"/>
      <c r="T1588" s="66"/>
    </row>
    <row r="1589" spans="1:20" ht="13.2">
      <c r="A1589" s="7"/>
      <c r="B1589" s="7"/>
      <c r="C1589" s="74"/>
      <c r="D1589" s="74"/>
      <c r="F1589" s="7"/>
      <c r="G1589" s="74"/>
      <c r="H1589" s="74"/>
      <c r="J1589" s="7"/>
      <c r="K1589" s="74"/>
      <c r="L1589" s="74"/>
      <c r="N1589" s="7"/>
      <c r="O1589" s="74"/>
      <c r="P1589" s="74"/>
      <c r="R1589" s="7"/>
      <c r="S1589" s="7"/>
      <c r="T1589" s="66"/>
    </row>
    <row r="1590" spans="1:20" ht="13.2">
      <c r="A1590" s="7"/>
      <c r="B1590" s="7"/>
      <c r="C1590" s="74"/>
      <c r="D1590" s="74"/>
      <c r="F1590" s="7"/>
      <c r="G1590" s="74"/>
      <c r="H1590" s="74"/>
      <c r="J1590" s="7"/>
      <c r="K1590" s="74"/>
      <c r="L1590" s="74"/>
      <c r="N1590" s="7"/>
      <c r="O1590" s="74"/>
      <c r="P1590" s="74"/>
      <c r="R1590" s="7"/>
      <c r="S1590" s="7"/>
      <c r="T1590" s="66"/>
    </row>
    <row r="1591" spans="1:20" ht="13.2">
      <c r="A1591" s="7"/>
      <c r="B1591" s="7"/>
      <c r="C1591" s="74"/>
      <c r="D1591" s="74"/>
      <c r="F1591" s="7"/>
      <c r="G1591" s="74"/>
      <c r="H1591" s="74"/>
      <c r="J1591" s="7"/>
      <c r="K1591" s="74"/>
      <c r="L1591" s="74"/>
      <c r="N1591" s="7"/>
      <c r="O1591" s="74"/>
      <c r="P1591" s="74"/>
      <c r="R1591" s="7"/>
      <c r="S1591" s="7"/>
      <c r="T1591" s="66"/>
    </row>
    <row r="1592" spans="1:20" ht="13.2">
      <c r="A1592" s="7"/>
      <c r="B1592" s="7"/>
      <c r="C1592" s="74"/>
      <c r="D1592" s="74"/>
      <c r="F1592" s="7"/>
      <c r="G1592" s="74"/>
      <c r="H1592" s="74"/>
      <c r="J1592" s="7"/>
      <c r="K1592" s="74"/>
      <c r="L1592" s="74"/>
      <c r="N1592" s="7"/>
      <c r="O1592" s="74"/>
      <c r="P1592" s="74"/>
      <c r="R1592" s="7"/>
      <c r="S1592" s="7"/>
      <c r="T1592" s="66"/>
    </row>
    <row r="1593" spans="1:20" ht="13.2">
      <c r="A1593" s="7"/>
      <c r="B1593" s="7"/>
      <c r="C1593" s="74"/>
      <c r="D1593" s="74"/>
      <c r="F1593" s="7"/>
      <c r="G1593" s="74"/>
      <c r="H1593" s="74"/>
      <c r="J1593" s="7"/>
      <c r="K1593" s="74"/>
      <c r="L1593" s="74"/>
      <c r="N1593" s="7"/>
      <c r="O1593" s="74"/>
      <c r="P1593" s="74"/>
      <c r="R1593" s="7"/>
      <c r="S1593" s="7"/>
      <c r="T1593" s="66"/>
    </row>
    <row r="1594" spans="1:20" ht="13.2">
      <c r="A1594" s="7"/>
      <c r="B1594" s="7"/>
      <c r="C1594" s="74"/>
      <c r="D1594" s="74"/>
      <c r="F1594" s="7"/>
      <c r="G1594" s="74"/>
      <c r="H1594" s="74"/>
      <c r="J1594" s="7"/>
      <c r="K1594" s="74"/>
      <c r="L1594" s="74"/>
      <c r="N1594" s="7"/>
      <c r="O1594" s="74"/>
      <c r="P1594" s="74"/>
      <c r="R1594" s="7"/>
      <c r="S1594" s="7"/>
      <c r="T1594" s="66"/>
    </row>
    <row r="1595" spans="1:20" ht="13.2">
      <c r="A1595" s="7"/>
      <c r="B1595" s="7"/>
      <c r="C1595" s="74"/>
      <c r="D1595" s="74"/>
      <c r="F1595" s="7"/>
      <c r="G1595" s="74"/>
      <c r="H1595" s="74"/>
      <c r="J1595" s="7"/>
      <c r="K1595" s="74"/>
      <c r="L1595" s="74"/>
      <c r="N1595" s="7"/>
      <c r="O1595" s="74"/>
      <c r="P1595" s="74"/>
      <c r="R1595" s="7"/>
      <c r="S1595" s="7"/>
      <c r="T1595" s="66"/>
    </row>
    <row r="1596" spans="1:20" ht="13.2">
      <c r="A1596" s="7"/>
      <c r="B1596" s="7"/>
      <c r="C1596" s="74"/>
      <c r="D1596" s="74"/>
      <c r="F1596" s="7"/>
      <c r="G1596" s="74"/>
      <c r="H1596" s="74"/>
      <c r="J1596" s="7"/>
      <c r="K1596" s="74"/>
      <c r="L1596" s="74"/>
      <c r="N1596" s="7"/>
      <c r="O1596" s="74"/>
      <c r="P1596" s="74"/>
      <c r="R1596" s="7"/>
      <c r="S1596" s="7"/>
      <c r="T1596" s="66"/>
    </row>
    <row r="1597" spans="1:20" ht="13.2">
      <c r="A1597" s="7"/>
      <c r="B1597" s="7"/>
      <c r="C1597" s="74"/>
      <c r="D1597" s="74"/>
      <c r="F1597" s="7"/>
      <c r="G1597" s="74"/>
      <c r="H1597" s="74"/>
      <c r="J1597" s="7"/>
      <c r="K1597" s="74"/>
      <c r="L1597" s="74"/>
      <c r="N1597" s="7"/>
      <c r="O1597" s="74"/>
      <c r="P1597" s="74"/>
      <c r="R1597" s="7"/>
      <c r="S1597" s="7"/>
      <c r="T1597" s="66"/>
    </row>
    <row r="1598" spans="1:20" ht="13.2">
      <c r="A1598" s="7"/>
      <c r="B1598" s="7"/>
      <c r="C1598" s="74"/>
      <c r="D1598" s="74"/>
      <c r="F1598" s="7"/>
      <c r="G1598" s="74"/>
      <c r="H1598" s="74"/>
      <c r="J1598" s="7"/>
      <c r="K1598" s="74"/>
      <c r="L1598" s="74"/>
      <c r="N1598" s="7"/>
      <c r="O1598" s="74"/>
      <c r="P1598" s="74"/>
      <c r="R1598" s="7"/>
      <c r="S1598" s="7"/>
      <c r="T1598" s="66"/>
    </row>
    <row r="1599" spans="1:20" ht="13.2">
      <c r="A1599" s="7"/>
      <c r="B1599" s="7"/>
      <c r="C1599" s="74"/>
      <c r="D1599" s="74"/>
      <c r="F1599" s="7"/>
      <c r="G1599" s="74"/>
      <c r="H1599" s="74"/>
      <c r="J1599" s="7"/>
      <c r="K1599" s="74"/>
      <c r="L1599" s="74"/>
      <c r="N1599" s="7"/>
      <c r="O1599" s="74"/>
      <c r="P1599" s="74"/>
      <c r="R1599" s="7"/>
      <c r="S1599" s="7"/>
      <c r="T1599" s="66"/>
    </row>
    <row r="1600" spans="1:20" ht="13.2">
      <c r="A1600" s="7"/>
      <c r="B1600" s="7"/>
      <c r="C1600" s="74"/>
      <c r="D1600" s="74"/>
      <c r="F1600" s="7"/>
      <c r="G1600" s="74"/>
      <c r="H1600" s="74"/>
      <c r="J1600" s="7"/>
      <c r="K1600" s="74"/>
      <c r="L1600" s="74"/>
      <c r="N1600" s="7"/>
      <c r="O1600" s="74"/>
      <c r="P1600" s="74"/>
      <c r="R1600" s="7"/>
      <c r="S1600" s="7"/>
      <c r="T1600" s="66"/>
    </row>
    <row r="1601" spans="1:20" ht="13.2">
      <c r="A1601" s="7"/>
      <c r="B1601" s="7"/>
      <c r="C1601" s="74"/>
      <c r="D1601" s="74"/>
      <c r="F1601" s="7"/>
      <c r="G1601" s="74"/>
      <c r="H1601" s="74"/>
      <c r="J1601" s="7"/>
      <c r="K1601" s="74"/>
      <c r="L1601" s="74"/>
      <c r="N1601" s="7"/>
      <c r="O1601" s="74"/>
      <c r="P1601" s="74"/>
      <c r="R1601" s="7"/>
      <c r="S1601" s="7"/>
      <c r="T1601" s="66"/>
    </row>
    <row r="1602" spans="1:20" ht="13.2">
      <c r="A1602" s="7"/>
      <c r="B1602" s="7"/>
      <c r="C1602" s="74"/>
      <c r="D1602" s="74"/>
      <c r="F1602" s="7"/>
      <c r="G1602" s="74"/>
      <c r="H1602" s="74"/>
      <c r="J1602" s="7"/>
      <c r="K1602" s="74"/>
      <c r="L1602" s="74"/>
      <c r="N1602" s="7"/>
      <c r="O1602" s="74"/>
      <c r="P1602" s="74"/>
      <c r="R1602" s="7"/>
      <c r="S1602" s="7"/>
      <c r="T1602" s="66"/>
    </row>
    <row r="1603" spans="1:20" ht="13.2">
      <c r="A1603" s="7"/>
      <c r="B1603" s="7"/>
      <c r="C1603" s="74"/>
      <c r="D1603" s="74"/>
      <c r="F1603" s="7"/>
      <c r="G1603" s="74"/>
      <c r="H1603" s="74"/>
      <c r="J1603" s="7"/>
      <c r="K1603" s="74"/>
      <c r="L1603" s="74"/>
      <c r="N1603" s="7"/>
      <c r="O1603" s="74"/>
      <c r="P1603" s="74"/>
      <c r="R1603" s="7"/>
      <c r="S1603" s="7"/>
      <c r="T1603" s="66"/>
    </row>
    <row r="1604" spans="1:20" ht="13.2">
      <c r="A1604" s="7"/>
      <c r="B1604" s="7"/>
      <c r="C1604" s="74"/>
      <c r="D1604" s="74"/>
      <c r="F1604" s="7"/>
      <c r="G1604" s="74"/>
      <c r="H1604" s="74"/>
      <c r="J1604" s="7"/>
      <c r="K1604" s="74"/>
      <c r="L1604" s="74"/>
      <c r="N1604" s="7"/>
      <c r="O1604" s="74"/>
      <c r="P1604" s="74"/>
      <c r="R1604" s="7"/>
      <c r="S1604" s="7"/>
      <c r="T1604" s="66"/>
    </row>
    <row r="1605" spans="1:20" ht="13.2">
      <c r="A1605" s="7"/>
      <c r="B1605" s="7"/>
      <c r="C1605" s="74"/>
      <c r="D1605" s="74"/>
      <c r="F1605" s="7"/>
      <c r="G1605" s="74"/>
      <c r="H1605" s="74"/>
      <c r="J1605" s="7"/>
      <c r="K1605" s="74"/>
      <c r="L1605" s="74"/>
      <c r="N1605" s="7"/>
      <c r="O1605" s="74"/>
      <c r="P1605" s="74"/>
      <c r="R1605" s="7"/>
      <c r="S1605" s="7"/>
      <c r="T1605" s="66"/>
    </row>
    <row r="1606" spans="1:20" ht="13.2">
      <c r="A1606" s="7"/>
      <c r="B1606" s="7"/>
      <c r="C1606" s="74"/>
      <c r="D1606" s="74"/>
      <c r="F1606" s="7"/>
      <c r="G1606" s="74"/>
      <c r="H1606" s="74"/>
      <c r="J1606" s="7"/>
      <c r="K1606" s="74"/>
      <c r="L1606" s="74"/>
      <c r="N1606" s="7"/>
      <c r="O1606" s="74"/>
      <c r="P1606" s="74"/>
      <c r="R1606" s="7"/>
      <c r="S1606" s="7"/>
      <c r="T1606" s="66"/>
    </row>
    <row r="1607" spans="1:20" ht="13.2">
      <c r="A1607" s="7"/>
      <c r="B1607" s="7"/>
      <c r="C1607" s="74"/>
      <c r="D1607" s="74"/>
      <c r="F1607" s="7"/>
      <c r="G1607" s="74"/>
      <c r="H1607" s="74"/>
      <c r="J1607" s="7"/>
      <c r="K1607" s="74"/>
      <c r="L1607" s="74"/>
      <c r="N1607" s="7"/>
      <c r="O1607" s="74"/>
      <c r="P1607" s="74"/>
      <c r="R1607" s="7"/>
      <c r="S1607" s="7"/>
      <c r="T1607" s="66"/>
    </row>
    <row r="1608" spans="1:20" ht="13.2">
      <c r="A1608" s="7"/>
      <c r="B1608" s="7"/>
      <c r="C1608" s="74"/>
      <c r="D1608" s="74"/>
      <c r="F1608" s="7"/>
      <c r="G1608" s="74"/>
      <c r="H1608" s="74"/>
      <c r="J1608" s="7"/>
      <c r="K1608" s="74"/>
      <c r="L1608" s="74"/>
      <c r="N1608" s="7"/>
      <c r="O1608" s="74"/>
      <c r="P1608" s="74"/>
      <c r="R1608" s="7"/>
      <c r="S1608" s="7"/>
      <c r="T1608" s="66"/>
    </row>
    <row r="1609" spans="1:20" ht="13.2">
      <c r="A1609" s="7"/>
      <c r="B1609" s="7"/>
      <c r="C1609" s="74"/>
      <c r="D1609" s="74"/>
      <c r="F1609" s="7"/>
      <c r="G1609" s="74"/>
      <c r="H1609" s="74"/>
      <c r="J1609" s="7"/>
      <c r="K1609" s="74"/>
      <c r="L1609" s="74"/>
      <c r="N1609" s="7"/>
      <c r="O1609" s="74"/>
      <c r="P1609" s="74"/>
      <c r="R1609" s="7"/>
      <c r="S1609" s="7"/>
      <c r="T1609" s="66"/>
    </row>
    <row r="1610" spans="1:20" ht="13.2">
      <c r="A1610" s="7"/>
      <c r="B1610" s="7"/>
      <c r="C1610" s="74"/>
      <c r="D1610" s="74"/>
      <c r="F1610" s="7"/>
      <c r="G1610" s="74"/>
      <c r="H1610" s="74"/>
      <c r="J1610" s="7"/>
      <c r="K1610" s="74"/>
      <c r="L1610" s="74"/>
      <c r="N1610" s="7"/>
      <c r="O1610" s="74"/>
      <c r="P1610" s="74"/>
      <c r="R1610" s="7"/>
      <c r="S1610" s="7"/>
      <c r="T1610" s="66"/>
    </row>
    <row r="1611" spans="1:20" ht="13.2">
      <c r="A1611" s="7"/>
      <c r="B1611" s="7"/>
      <c r="C1611" s="74"/>
      <c r="D1611" s="74"/>
      <c r="F1611" s="7"/>
      <c r="G1611" s="74"/>
      <c r="H1611" s="74"/>
      <c r="J1611" s="7"/>
      <c r="K1611" s="74"/>
      <c r="L1611" s="74"/>
      <c r="N1611" s="7"/>
      <c r="O1611" s="74"/>
      <c r="P1611" s="74"/>
      <c r="R1611" s="7"/>
      <c r="S1611" s="7"/>
      <c r="T1611" s="66"/>
    </row>
    <row r="1612" spans="1:20" ht="13.2">
      <c r="A1612" s="7"/>
      <c r="B1612" s="7"/>
      <c r="C1612" s="74"/>
      <c r="D1612" s="74"/>
      <c r="F1612" s="7"/>
      <c r="G1612" s="74"/>
      <c r="H1612" s="74"/>
      <c r="J1612" s="7"/>
      <c r="K1612" s="74"/>
      <c r="L1612" s="74"/>
      <c r="N1612" s="7"/>
      <c r="O1612" s="74"/>
      <c r="P1612" s="74"/>
      <c r="R1612" s="7"/>
      <c r="S1612" s="7"/>
      <c r="T1612" s="66"/>
    </row>
    <row r="1613" spans="1:20" ht="13.2">
      <c r="A1613" s="7"/>
      <c r="B1613" s="7"/>
      <c r="C1613" s="74"/>
      <c r="D1613" s="74"/>
      <c r="F1613" s="7"/>
      <c r="G1613" s="74"/>
      <c r="H1613" s="74"/>
      <c r="J1613" s="7"/>
      <c r="K1613" s="74"/>
      <c r="L1613" s="74"/>
      <c r="N1613" s="7"/>
      <c r="O1613" s="74"/>
      <c r="P1613" s="74"/>
      <c r="R1613" s="7"/>
      <c r="S1613" s="7"/>
      <c r="T1613" s="66"/>
    </row>
    <row r="1614" spans="1:20" ht="13.2">
      <c r="A1614" s="7"/>
      <c r="B1614" s="7"/>
      <c r="C1614" s="74"/>
      <c r="D1614" s="74"/>
      <c r="F1614" s="7"/>
      <c r="G1614" s="74"/>
      <c r="H1614" s="74"/>
      <c r="J1614" s="7"/>
      <c r="K1614" s="74"/>
      <c r="L1614" s="74"/>
      <c r="N1614" s="7"/>
      <c r="O1614" s="74"/>
      <c r="P1614" s="74"/>
      <c r="R1614" s="7"/>
      <c r="S1614" s="7"/>
      <c r="T1614" s="66"/>
    </row>
    <row r="1615" spans="1:20" ht="13.2">
      <c r="A1615" s="7"/>
      <c r="B1615" s="7"/>
      <c r="C1615" s="74"/>
      <c r="D1615" s="74"/>
      <c r="F1615" s="7"/>
      <c r="G1615" s="74"/>
      <c r="H1615" s="74"/>
      <c r="J1615" s="7"/>
      <c r="K1615" s="74"/>
      <c r="L1615" s="74"/>
      <c r="N1615" s="7"/>
      <c r="O1615" s="74"/>
      <c r="P1615" s="74"/>
      <c r="R1615" s="7"/>
      <c r="S1615" s="7"/>
      <c r="T1615" s="66"/>
    </row>
    <row r="1616" spans="1:20" ht="13.2">
      <c r="A1616" s="7"/>
      <c r="B1616" s="7"/>
      <c r="C1616" s="74"/>
      <c r="D1616" s="74"/>
      <c r="F1616" s="7"/>
      <c r="G1616" s="74"/>
      <c r="H1616" s="74"/>
      <c r="J1616" s="7"/>
      <c r="K1616" s="74"/>
      <c r="L1616" s="74"/>
      <c r="N1616" s="7"/>
      <c r="O1616" s="74"/>
      <c r="P1616" s="74"/>
      <c r="R1616" s="7"/>
      <c r="S1616" s="7"/>
      <c r="T1616" s="66"/>
    </row>
    <row r="1617" spans="1:20" ht="13.2">
      <c r="A1617" s="7"/>
      <c r="B1617" s="7"/>
      <c r="C1617" s="74"/>
      <c r="D1617" s="74"/>
      <c r="F1617" s="7"/>
      <c r="G1617" s="74"/>
      <c r="H1617" s="74"/>
      <c r="J1617" s="7"/>
      <c r="K1617" s="74"/>
      <c r="L1617" s="74"/>
      <c r="N1617" s="7"/>
      <c r="O1617" s="74"/>
      <c r="P1617" s="74"/>
      <c r="R1617" s="7"/>
      <c r="S1617" s="7"/>
      <c r="T1617" s="66"/>
    </row>
    <row r="1618" spans="1:20" ht="13.2">
      <c r="A1618" s="7"/>
      <c r="B1618" s="7"/>
      <c r="C1618" s="74"/>
      <c r="D1618" s="74"/>
      <c r="F1618" s="7"/>
      <c r="G1618" s="74"/>
      <c r="H1618" s="74"/>
      <c r="J1618" s="7"/>
      <c r="K1618" s="74"/>
      <c r="L1618" s="74"/>
      <c r="N1618" s="7"/>
      <c r="O1618" s="74"/>
      <c r="P1618" s="74"/>
      <c r="R1618" s="7"/>
      <c r="S1618" s="7"/>
      <c r="T1618" s="66"/>
    </row>
    <row r="1619" spans="1:20" ht="13.2">
      <c r="A1619" s="7"/>
      <c r="B1619" s="7"/>
      <c r="C1619" s="74"/>
      <c r="D1619" s="74"/>
      <c r="F1619" s="7"/>
      <c r="G1619" s="74"/>
      <c r="H1619" s="74"/>
      <c r="J1619" s="7"/>
      <c r="K1619" s="74"/>
      <c r="L1619" s="74"/>
      <c r="N1619" s="7"/>
      <c r="O1619" s="74"/>
      <c r="P1619" s="74"/>
      <c r="R1619" s="7"/>
      <c r="S1619" s="7"/>
      <c r="T1619" s="66"/>
    </row>
    <row r="1620" spans="1:20" ht="13.2">
      <c r="A1620" s="7"/>
      <c r="B1620" s="7"/>
      <c r="C1620" s="74"/>
      <c r="D1620" s="74"/>
      <c r="F1620" s="7"/>
      <c r="G1620" s="74"/>
      <c r="H1620" s="74"/>
      <c r="J1620" s="7"/>
      <c r="K1620" s="74"/>
      <c r="L1620" s="74"/>
      <c r="N1620" s="7"/>
      <c r="O1620" s="74"/>
      <c r="P1620" s="74"/>
      <c r="R1620" s="7"/>
      <c r="S1620" s="7"/>
      <c r="T1620" s="66"/>
    </row>
    <row r="1621" spans="1:20" ht="13.2">
      <c r="A1621" s="7"/>
      <c r="B1621" s="7"/>
      <c r="C1621" s="74"/>
      <c r="D1621" s="74"/>
      <c r="F1621" s="7"/>
      <c r="G1621" s="74"/>
      <c r="H1621" s="74"/>
      <c r="J1621" s="7"/>
      <c r="K1621" s="74"/>
      <c r="L1621" s="74"/>
      <c r="N1621" s="7"/>
      <c r="O1621" s="74"/>
      <c r="P1621" s="74"/>
      <c r="R1621" s="7"/>
      <c r="S1621" s="7"/>
      <c r="T1621" s="66"/>
    </row>
    <row r="1622" spans="1:20" ht="13.2">
      <c r="A1622" s="7"/>
      <c r="B1622" s="7"/>
      <c r="C1622" s="74"/>
      <c r="D1622" s="74"/>
      <c r="F1622" s="7"/>
      <c r="G1622" s="74"/>
      <c r="H1622" s="74"/>
      <c r="J1622" s="7"/>
      <c r="K1622" s="74"/>
      <c r="L1622" s="74"/>
      <c r="N1622" s="7"/>
      <c r="O1622" s="74"/>
      <c r="P1622" s="74"/>
      <c r="R1622" s="7"/>
      <c r="S1622" s="7"/>
      <c r="T1622" s="66"/>
    </row>
    <row r="1623" spans="1:20" ht="13.2">
      <c r="A1623" s="7"/>
      <c r="B1623" s="7"/>
      <c r="C1623" s="74"/>
      <c r="D1623" s="74"/>
      <c r="F1623" s="7"/>
      <c r="G1623" s="74"/>
      <c r="H1623" s="74"/>
      <c r="J1623" s="7"/>
      <c r="K1623" s="74"/>
      <c r="L1623" s="74"/>
      <c r="N1623" s="7"/>
      <c r="O1623" s="74"/>
      <c r="P1623" s="74"/>
      <c r="R1623" s="7"/>
      <c r="S1623" s="7"/>
      <c r="T1623" s="66"/>
    </row>
    <row r="1624" spans="1:20" ht="13.2">
      <c r="A1624" s="7"/>
      <c r="B1624" s="7"/>
      <c r="C1624" s="74"/>
      <c r="D1624" s="74"/>
      <c r="F1624" s="7"/>
      <c r="G1624" s="74"/>
      <c r="H1624" s="74"/>
      <c r="J1624" s="7"/>
      <c r="K1624" s="74"/>
      <c r="L1624" s="74"/>
      <c r="N1624" s="7"/>
      <c r="O1624" s="74"/>
      <c r="P1624" s="74"/>
      <c r="R1624" s="7"/>
      <c r="S1624" s="7"/>
      <c r="T1624" s="66"/>
    </row>
    <row r="1625" spans="1:20" ht="13.2">
      <c r="A1625" s="7"/>
      <c r="B1625" s="7"/>
      <c r="C1625" s="74"/>
      <c r="D1625" s="74"/>
      <c r="F1625" s="7"/>
      <c r="G1625" s="74"/>
      <c r="H1625" s="74"/>
      <c r="J1625" s="7"/>
      <c r="K1625" s="74"/>
      <c r="L1625" s="74"/>
      <c r="N1625" s="7"/>
      <c r="O1625" s="74"/>
      <c r="P1625" s="74"/>
      <c r="R1625" s="7"/>
      <c r="S1625" s="7"/>
      <c r="T1625" s="66"/>
    </row>
    <row r="1626" spans="1:20" ht="13.2">
      <c r="A1626" s="7"/>
      <c r="B1626" s="7"/>
      <c r="C1626" s="74"/>
      <c r="D1626" s="74"/>
      <c r="F1626" s="7"/>
      <c r="G1626" s="74"/>
      <c r="H1626" s="74"/>
      <c r="J1626" s="7"/>
      <c r="K1626" s="74"/>
      <c r="L1626" s="74"/>
      <c r="N1626" s="7"/>
      <c r="O1626" s="74"/>
      <c r="P1626" s="74"/>
      <c r="R1626" s="7"/>
      <c r="S1626" s="7"/>
      <c r="T1626" s="66"/>
    </row>
    <row r="1627" spans="1:20" ht="13.2">
      <c r="A1627" s="7"/>
      <c r="B1627" s="7"/>
      <c r="C1627" s="74"/>
      <c r="D1627" s="74"/>
      <c r="F1627" s="7"/>
      <c r="G1627" s="74"/>
      <c r="H1627" s="74"/>
      <c r="J1627" s="7"/>
      <c r="K1627" s="74"/>
      <c r="L1627" s="74"/>
      <c r="N1627" s="7"/>
      <c r="O1627" s="74"/>
      <c r="P1627" s="74"/>
      <c r="R1627" s="7"/>
      <c r="S1627" s="7"/>
      <c r="T1627" s="66"/>
    </row>
    <row r="1628" spans="1:20" ht="13.2">
      <c r="A1628" s="7"/>
      <c r="B1628" s="7"/>
      <c r="C1628" s="74"/>
      <c r="D1628" s="74"/>
      <c r="F1628" s="7"/>
      <c r="G1628" s="74"/>
      <c r="H1628" s="74"/>
      <c r="J1628" s="7"/>
      <c r="K1628" s="74"/>
      <c r="L1628" s="74"/>
      <c r="N1628" s="7"/>
      <c r="O1628" s="74"/>
      <c r="P1628" s="74"/>
      <c r="R1628" s="7"/>
      <c r="S1628" s="7"/>
      <c r="T1628" s="66"/>
    </row>
    <row r="1629" spans="1:20" ht="13.2">
      <c r="A1629" s="7"/>
      <c r="B1629" s="7"/>
      <c r="C1629" s="74"/>
      <c r="D1629" s="74"/>
      <c r="F1629" s="7"/>
      <c r="G1629" s="74"/>
      <c r="H1629" s="74"/>
      <c r="J1629" s="7"/>
      <c r="K1629" s="74"/>
      <c r="L1629" s="74"/>
      <c r="N1629" s="7"/>
      <c r="O1629" s="74"/>
      <c r="P1629" s="74"/>
      <c r="R1629" s="7"/>
      <c r="S1629" s="7"/>
      <c r="T1629" s="66"/>
    </row>
    <row r="1630" spans="1:20" ht="13.2">
      <c r="A1630" s="7"/>
      <c r="B1630" s="7"/>
      <c r="C1630" s="74"/>
      <c r="D1630" s="74"/>
      <c r="F1630" s="7"/>
      <c r="G1630" s="74"/>
      <c r="H1630" s="74"/>
      <c r="J1630" s="7"/>
      <c r="K1630" s="74"/>
      <c r="L1630" s="74"/>
      <c r="N1630" s="7"/>
      <c r="O1630" s="74"/>
      <c r="P1630" s="74"/>
      <c r="R1630" s="7"/>
      <c r="S1630" s="7"/>
      <c r="T1630" s="66"/>
    </row>
    <row r="1631" spans="1:20" ht="13.2">
      <c r="A1631" s="7"/>
      <c r="B1631" s="7"/>
      <c r="C1631" s="74"/>
      <c r="D1631" s="74"/>
      <c r="F1631" s="7"/>
      <c r="G1631" s="74"/>
      <c r="H1631" s="74"/>
      <c r="J1631" s="7"/>
      <c r="K1631" s="74"/>
      <c r="L1631" s="74"/>
      <c r="N1631" s="7"/>
      <c r="O1631" s="74"/>
      <c r="P1631" s="74"/>
      <c r="R1631" s="7"/>
      <c r="S1631" s="7"/>
      <c r="T1631" s="66"/>
    </row>
    <row r="1632" spans="1:20" ht="13.2">
      <c r="A1632" s="7"/>
      <c r="B1632" s="7"/>
      <c r="C1632" s="74"/>
      <c r="D1632" s="74"/>
      <c r="F1632" s="7"/>
      <c r="G1632" s="74"/>
      <c r="H1632" s="74"/>
      <c r="J1632" s="7"/>
      <c r="K1632" s="74"/>
      <c r="L1632" s="74"/>
      <c r="N1632" s="7"/>
      <c r="O1632" s="74"/>
      <c r="P1632" s="74"/>
      <c r="R1632" s="7"/>
      <c r="S1632" s="7"/>
      <c r="T1632" s="66"/>
    </row>
    <row r="1633" spans="1:20" ht="13.2">
      <c r="A1633" s="7"/>
      <c r="B1633" s="7"/>
      <c r="C1633" s="74"/>
      <c r="D1633" s="74"/>
      <c r="F1633" s="7"/>
      <c r="G1633" s="74"/>
      <c r="H1633" s="74"/>
      <c r="J1633" s="7"/>
      <c r="K1633" s="74"/>
      <c r="L1633" s="74"/>
      <c r="N1633" s="7"/>
      <c r="O1633" s="74"/>
      <c r="P1633" s="74"/>
      <c r="R1633" s="7"/>
      <c r="S1633" s="7"/>
      <c r="T1633" s="66"/>
    </row>
    <row r="1634" spans="1:20" ht="13.2">
      <c r="A1634" s="7"/>
      <c r="B1634" s="7"/>
      <c r="C1634" s="74"/>
      <c r="D1634" s="74"/>
      <c r="F1634" s="7"/>
      <c r="G1634" s="74"/>
      <c r="H1634" s="74"/>
      <c r="J1634" s="7"/>
      <c r="K1634" s="74"/>
      <c r="L1634" s="74"/>
      <c r="N1634" s="7"/>
      <c r="O1634" s="74"/>
      <c r="P1634" s="74"/>
      <c r="R1634" s="7"/>
      <c r="S1634" s="7"/>
      <c r="T1634" s="66"/>
    </row>
    <row r="1635" spans="1:20" ht="13.2">
      <c r="A1635" s="7"/>
      <c r="B1635" s="7"/>
      <c r="C1635" s="74"/>
      <c r="D1635" s="74"/>
      <c r="F1635" s="7"/>
      <c r="G1635" s="74"/>
      <c r="H1635" s="74"/>
      <c r="J1635" s="7"/>
      <c r="K1635" s="74"/>
      <c r="L1635" s="74"/>
      <c r="N1635" s="7"/>
      <c r="O1635" s="74"/>
      <c r="P1635" s="74"/>
      <c r="R1635" s="7"/>
      <c r="S1635" s="7"/>
      <c r="T1635" s="66"/>
    </row>
    <row r="1636" spans="1:20" ht="13.2">
      <c r="A1636" s="7"/>
      <c r="B1636" s="7"/>
      <c r="C1636" s="74"/>
      <c r="D1636" s="74"/>
      <c r="F1636" s="7"/>
      <c r="G1636" s="74"/>
      <c r="H1636" s="74"/>
      <c r="J1636" s="7"/>
      <c r="K1636" s="74"/>
      <c r="L1636" s="74"/>
      <c r="N1636" s="7"/>
      <c r="O1636" s="74"/>
      <c r="P1636" s="74"/>
      <c r="R1636" s="7"/>
      <c r="S1636" s="7"/>
      <c r="T1636" s="66"/>
    </row>
    <row r="1637" spans="1:20" ht="13.2">
      <c r="A1637" s="7"/>
      <c r="B1637" s="7"/>
      <c r="C1637" s="74"/>
      <c r="D1637" s="74"/>
      <c r="F1637" s="7"/>
      <c r="G1637" s="74"/>
      <c r="H1637" s="74"/>
      <c r="J1637" s="7"/>
      <c r="K1637" s="74"/>
      <c r="L1637" s="74"/>
      <c r="N1637" s="7"/>
      <c r="O1637" s="74"/>
      <c r="P1637" s="74"/>
      <c r="R1637" s="7"/>
      <c r="S1637" s="7"/>
      <c r="T1637" s="66"/>
    </row>
    <row r="1638" spans="1:20" ht="13.2">
      <c r="A1638" s="7"/>
      <c r="B1638" s="7"/>
      <c r="C1638" s="74"/>
      <c r="D1638" s="74"/>
      <c r="F1638" s="7"/>
      <c r="G1638" s="74"/>
      <c r="H1638" s="74"/>
      <c r="J1638" s="7"/>
      <c r="K1638" s="74"/>
      <c r="L1638" s="74"/>
      <c r="N1638" s="7"/>
      <c r="O1638" s="74"/>
      <c r="P1638" s="74"/>
      <c r="R1638" s="7"/>
      <c r="S1638" s="7"/>
      <c r="T1638" s="66"/>
    </row>
    <row r="1639" spans="1:20" ht="13.2">
      <c r="A1639" s="7"/>
      <c r="B1639" s="7"/>
      <c r="C1639" s="74"/>
      <c r="D1639" s="74"/>
      <c r="F1639" s="7"/>
      <c r="G1639" s="74"/>
      <c r="H1639" s="74"/>
      <c r="J1639" s="7"/>
      <c r="K1639" s="74"/>
      <c r="L1639" s="74"/>
      <c r="N1639" s="7"/>
      <c r="O1639" s="74"/>
      <c r="P1639" s="74"/>
      <c r="R1639" s="7"/>
      <c r="S1639" s="7"/>
      <c r="T1639" s="66"/>
    </row>
    <row r="1640" spans="1:20" ht="13.2">
      <c r="A1640" s="7"/>
      <c r="B1640" s="7"/>
      <c r="C1640" s="74"/>
      <c r="D1640" s="74"/>
      <c r="F1640" s="7"/>
      <c r="G1640" s="74"/>
      <c r="H1640" s="74"/>
      <c r="J1640" s="7"/>
      <c r="K1640" s="74"/>
      <c r="L1640" s="74"/>
      <c r="N1640" s="7"/>
      <c r="O1640" s="74"/>
      <c r="P1640" s="74"/>
      <c r="R1640" s="7"/>
      <c r="S1640" s="7"/>
      <c r="T1640" s="66"/>
    </row>
    <row r="1641" spans="1:20" ht="13.2">
      <c r="A1641" s="7"/>
      <c r="B1641" s="7"/>
      <c r="C1641" s="74"/>
      <c r="D1641" s="74"/>
      <c r="F1641" s="7"/>
      <c r="G1641" s="74"/>
      <c r="H1641" s="74"/>
      <c r="J1641" s="7"/>
      <c r="K1641" s="74"/>
      <c r="L1641" s="74"/>
      <c r="N1641" s="7"/>
      <c r="O1641" s="74"/>
      <c r="P1641" s="74"/>
      <c r="R1641" s="7"/>
      <c r="S1641" s="7"/>
      <c r="T1641" s="66"/>
    </row>
    <row r="1642" spans="1:20" ht="13.2">
      <c r="A1642" s="7"/>
      <c r="B1642" s="7"/>
      <c r="C1642" s="74"/>
      <c r="D1642" s="74"/>
      <c r="F1642" s="7"/>
      <c r="G1642" s="74"/>
      <c r="H1642" s="74"/>
      <c r="J1642" s="7"/>
      <c r="K1642" s="74"/>
      <c r="L1642" s="74"/>
      <c r="N1642" s="7"/>
      <c r="O1642" s="74"/>
      <c r="P1642" s="74"/>
      <c r="R1642" s="7"/>
      <c r="S1642" s="7"/>
      <c r="T1642" s="66"/>
    </row>
    <row r="1643" spans="1:20" ht="13.2">
      <c r="A1643" s="7"/>
      <c r="B1643" s="7"/>
      <c r="C1643" s="74"/>
      <c r="D1643" s="74"/>
      <c r="F1643" s="7"/>
      <c r="G1643" s="74"/>
      <c r="H1643" s="74"/>
      <c r="J1643" s="7"/>
      <c r="K1643" s="74"/>
      <c r="L1643" s="74"/>
      <c r="N1643" s="7"/>
      <c r="O1643" s="74"/>
      <c r="P1643" s="74"/>
      <c r="R1643" s="7"/>
      <c r="S1643" s="7"/>
      <c r="T1643" s="66"/>
    </row>
    <row r="1644" spans="1:20" ht="13.2">
      <c r="A1644" s="7"/>
      <c r="B1644" s="7"/>
      <c r="C1644" s="74"/>
      <c r="D1644" s="74"/>
      <c r="F1644" s="7"/>
      <c r="G1644" s="74"/>
      <c r="H1644" s="74"/>
      <c r="J1644" s="7"/>
      <c r="K1644" s="74"/>
      <c r="L1644" s="74"/>
      <c r="N1644" s="7"/>
      <c r="O1644" s="74"/>
      <c r="P1644" s="74"/>
      <c r="R1644" s="7"/>
      <c r="S1644" s="7"/>
      <c r="T1644" s="66"/>
    </row>
    <row r="1645" spans="1:20" ht="13.2">
      <c r="A1645" s="7"/>
      <c r="B1645" s="7"/>
      <c r="C1645" s="74"/>
      <c r="D1645" s="74"/>
      <c r="F1645" s="7"/>
      <c r="G1645" s="74"/>
      <c r="H1645" s="74"/>
      <c r="J1645" s="7"/>
      <c r="K1645" s="74"/>
      <c r="L1645" s="74"/>
      <c r="N1645" s="7"/>
      <c r="O1645" s="74"/>
      <c r="P1645" s="74"/>
      <c r="R1645" s="7"/>
      <c r="S1645" s="7"/>
      <c r="T1645" s="66"/>
    </row>
    <row r="1646" spans="1:20" ht="13.2">
      <c r="A1646" s="7"/>
      <c r="B1646" s="7"/>
      <c r="C1646" s="74"/>
      <c r="D1646" s="74"/>
      <c r="F1646" s="7"/>
      <c r="G1646" s="74"/>
      <c r="H1646" s="74"/>
      <c r="J1646" s="7"/>
      <c r="K1646" s="74"/>
      <c r="L1646" s="74"/>
      <c r="N1646" s="7"/>
      <c r="O1646" s="74"/>
      <c r="P1646" s="74"/>
      <c r="R1646" s="7"/>
      <c r="S1646" s="7"/>
      <c r="T1646" s="66"/>
    </row>
    <row r="1647" spans="1:20" ht="13.2">
      <c r="A1647" s="7"/>
      <c r="B1647" s="7"/>
      <c r="C1647" s="74"/>
      <c r="D1647" s="74"/>
      <c r="F1647" s="7"/>
      <c r="G1647" s="74"/>
      <c r="H1647" s="74"/>
      <c r="J1647" s="7"/>
      <c r="K1647" s="74"/>
      <c r="L1647" s="74"/>
      <c r="N1647" s="7"/>
      <c r="O1647" s="74"/>
      <c r="P1647" s="74"/>
      <c r="R1647" s="7"/>
      <c r="S1647" s="7"/>
      <c r="T1647" s="66"/>
    </row>
    <row r="1648" spans="1:20" ht="13.2">
      <c r="A1648" s="7"/>
      <c r="B1648" s="7"/>
      <c r="C1648" s="74"/>
      <c r="D1648" s="74"/>
      <c r="F1648" s="7"/>
      <c r="G1648" s="74"/>
      <c r="H1648" s="74"/>
      <c r="J1648" s="7"/>
      <c r="K1648" s="74"/>
      <c r="L1648" s="74"/>
      <c r="N1648" s="7"/>
      <c r="O1648" s="74"/>
      <c r="P1648" s="74"/>
      <c r="R1648" s="7"/>
      <c r="S1648" s="7"/>
      <c r="T1648" s="66"/>
    </row>
    <row r="1649" spans="1:20" ht="13.2">
      <c r="A1649" s="7"/>
      <c r="B1649" s="7"/>
      <c r="C1649" s="74"/>
      <c r="D1649" s="74"/>
      <c r="F1649" s="7"/>
      <c r="G1649" s="74"/>
      <c r="H1649" s="74"/>
      <c r="J1649" s="7"/>
      <c r="K1649" s="74"/>
      <c r="L1649" s="74"/>
      <c r="N1649" s="7"/>
      <c r="O1649" s="74"/>
      <c r="P1649" s="74"/>
      <c r="R1649" s="7"/>
      <c r="S1649" s="7"/>
      <c r="T1649" s="66"/>
    </row>
    <row r="1650" spans="1:20" ht="13.2">
      <c r="A1650" s="7"/>
      <c r="B1650" s="7"/>
      <c r="C1650" s="74"/>
      <c r="D1650" s="74"/>
      <c r="F1650" s="7"/>
      <c r="G1650" s="74"/>
      <c r="H1650" s="74"/>
      <c r="J1650" s="7"/>
      <c r="K1650" s="74"/>
      <c r="L1650" s="74"/>
      <c r="N1650" s="7"/>
      <c r="O1650" s="74"/>
      <c r="P1650" s="74"/>
      <c r="R1650" s="7"/>
      <c r="S1650" s="7"/>
      <c r="T1650" s="66"/>
    </row>
    <row r="1651" spans="1:20" ht="13.2">
      <c r="A1651" s="7"/>
      <c r="B1651" s="7"/>
      <c r="C1651" s="74"/>
      <c r="D1651" s="74"/>
      <c r="F1651" s="7"/>
      <c r="G1651" s="74"/>
      <c r="H1651" s="74"/>
      <c r="J1651" s="7"/>
      <c r="K1651" s="74"/>
      <c r="L1651" s="74"/>
      <c r="N1651" s="7"/>
      <c r="O1651" s="74"/>
      <c r="P1651" s="74"/>
      <c r="R1651" s="7"/>
      <c r="S1651" s="7"/>
      <c r="T1651" s="66"/>
    </row>
    <row r="1652" spans="1:20" ht="13.2">
      <c r="A1652" s="7"/>
      <c r="B1652" s="7"/>
      <c r="C1652" s="74"/>
      <c r="D1652" s="74"/>
      <c r="F1652" s="7"/>
      <c r="G1652" s="74"/>
      <c r="H1652" s="74"/>
      <c r="J1652" s="7"/>
      <c r="K1652" s="74"/>
      <c r="L1652" s="74"/>
      <c r="N1652" s="7"/>
      <c r="O1652" s="74"/>
      <c r="P1652" s="74"/>
      <c r="R1652" s="7"/>
      <c r="S1652" s="7"/>
      <c r="T1652" s="66"/>
    </row>
    <row r="1653" spans="1:20" ht="13.2">
      <c r="A1653" s="7"/>
      <c r="B1653" s="7"/>
      <c r="C1653" s="74"/>
      <c r="D1653" s="74"/>
      <c r="F1653" s="7"/>
      <c r="G1653" s="74"/>
      <c r="H1653" s="74"/>
      <c r="J1653" s="7"/>
      <c r="K1653" s="74"/>
      <c r="L1653" s="74"/>
      <c r="N1653" s="7"/>
      <c r="O1653" s="74"/>
      <c r="P1653" s="74"/>
      <c r="R1653" s="7"/>
      <c r="S1653" s="7"/>
      <c r="T1653" s="66"/>
    </row>
    <row r="1654" spans="1:20" ht="13.2">
      <c r="A1654" s="7"/>
      <c r="B1654" s="7"/>
      <c r="C1654" s="74"/>
      <c r="D1654" s="74"/>
      <c r="F1654" s="7"/>
      <c r="G1654" s="74"/>
      <c r="H1654" s="74"/>
      <c r="J1654" s="7"/>
      <c r="K1654" s="74"/>
      <c r="L1654" s="74"/>
      <c r="N1654" s="7"/>
      <c r="O1654" s="74"/>
      <c r="P1654" s="74"/>
      <c r="R1654" s="7"/>
      <c r="S1654" s="7"/>
      <c r="T1654" s="66"/>
    </row>
    <row r="1655" spans="1:20" ht="13.2">
      <c r="A1655" s="7"/>
      <c r="B1655" s="7"/>
      <c r="C1655" s="74"/>
      <c r="D1655" s="74"/>
      <c r="F1655" s="7"/>
      <c r="G1655" s="74"/>
      <c r="H1655" s="74"/>
      <c r="J1655" s="7"/>
      <c r="K1655" s="74"/>
      <c r="L1655" s="74"/>
      <c r="N1655" s="7"/>
      <c r="O1655" s="74"/>
      <c r="P1655" s="74"/>
      <c r="R1655" s="7"/>
      <c r="S1655" s="7"/>
      <c r="T1655" s="66"/>
    </row>
    <row r="1656" spans="1:20" ht="13.2">
      <c r="A1656" s="7"/>
      <c r="B1656" s="7"/>
      <c r="C1656" s="74"/>
      <c r="D1656" s="74"/>
      <c r="F1656" s="7"/>
      <c r="G1656" s="74"/>
      <c r="H1656" s="74"/>
      <c r="J1656" s="7"/>
      <c r="K1656" s="74"/>
      <c r="L1656" s="74"/>
      <c r="N1656" s="7"/>
      <c r="O1656" s="74"/>
      <c r="P1656" s="74"/>
      <c r="R1656" s="7"/>
      <c r="S1656" s="7"/>
      <c r="T1656" s="66"/>
    </row>
    <row r="1657" spans="1:20" ht="13.2">
      <c r="A1657" s="7"/>
      <c r="B1657" s="7"/>
      <c r="C1657" s="74"/>
      <c r="D1657" s="74"/>
      <c r="F1657" s="7"/>
      <c r="G1657" s="74"/>
      <c r="H1657" s="74"/>
      <c r="J1657" s="7"/>
      <c r="K1657" s="74"/>
      <c r="L1657" s="74"/>
      <c r="N1657" s="7"/>
      <c r="O1657" s="74"/>
      <c r="P1657" s="74"/>
      <c r="R1657" s="7"/>
      <c r="S1657" s="7"/>
      <c r="T1657" s="66"/>
    </row>
    <row r="1658" spans="1:20" ht="13.2">
      <c r="A1658" s="7"/>
      <c r="B1658" s="7"/>
      <c r="C1658" s="74"/>
      <c r="D1658" s="74"/>
      <c r="F1658" s="7"/>
      <c r="G1658" s="74"/>
      <c r="H1658" s="74"/>
      <c r="J1658" s="7"/>
      <c r="K1658" s="74"/>
      <c r="L1658" s="74"/>
      <c r="N1658" s="7"/>
      <c r="O1658" s="74"/>
      <c r="P1658" s="74"/>
      <c r="R1658" s="7"/>
      <c r="S1658" s="7"/>
      <c r="T1658" s="66"/>
    </row>
    <row r="1659" spans="1:20" ht="13.2">
      <c r="A1659" s="7"/>
      <c r="B1659" s="7"/>
      <c r="C1659" s="74"/>
      <c r="D1659" s="74"/>
      <c r="F1659" s="7"/>
      <c r="G1659" s="74"/>
      <c r="H1659" s="74"/>
      <c r="J1659" s="7"/>
      <c r="K1659" s="74"/>
      <c r="L1659" s="74"/>
      <c r="N1659" s="7"/>
      <c r="O1659" s="74"/>
      <c r="P1659" s="74"/>
      <c r="R1659" s="7"/>
      <c r="S1659" s="7"/>
      <c r="T1659" s="66"/>
    </row>
    <row r="1660" spans="1:20" ht="13.2">
      <c r="A1660" s="7"/>
      <c r="B1660" s="7"/>
      <c r="C1660" s="74"/>
      <c r="D1660" s="74"/>
      <c r="F1660" s="7"/>
      <c r="G1660" s="74"/>
      <c r="H1660" s="74"/>
      <c r="J1660" s="7"/>
      <c r="K1660" s="74"/>
      <c r="L1660" s="74"/>
      <c r="N1660" s="7"/>
      <c r="O1660" s="74"/>
      <c r="P1660" s="74"/>
      <c r="R1660" s="7"/>
      <c r="S1660" s="7"/>
      <c r="T1660" s="66"/>
    </row>
    <row r="1661" spans="1:20" ht="13.2">
      <c r="A1661" s="7"/>
      <c r="B1661" s="7"/>
      <c r="C1661" s="74"/>
      <c r="D1661" s="74"/>
      <c r="F1661" s="7"/>
      <c r="G1661" s="74"/>
      <c r="H1661" s="74"/>
      <c r="J1661" s="7"/>
      <c r="K1661" s="74"/>
      <c r="L1661" s="74"/>
      <c r="N1661" s="7"/>
      <c r="O1661" s="74"/>
      <c r="P1661" s="74"/>
      <c r="R1661" s="7"/>
      <c r="S1661" s="7"/>
      <c r="T1661" s="66"/>
    </row>
    <row r="1662" spans="1:20" ht="13.2">
      <c r="A1662" s="7"/>
      <c r="B1662" s="7"/>
      <c r="C1662" s="74"/>
      <c r="D1662" s="74"/>
      <c r="F1662" s="7"/>
      <c r="G1662" s="74"/>
      <c r="H1662" s="74"/>
      <c r="J1662" s="7"/>
      <c r="K1662" s="74"/>
      <c r="L1662" s="74"/>
      <c r="N1662" s="7"/>
      <c r="O1662" s="74"/>
      <c r="P1662" s="74"/>
      <c r="R1662" s="7"/>
      <c r="S1662" s="7"/>
      <c r="T1662" s="66"/>
    </row>
    <row r="1663" spans="1:20" ht="13.2">
      <c r="A1663" s="7"/>
      <c r="B1663" s="7"/>
      <c r="C1663" s="74"/>
      <c r="D1663" s="74"/>
      <c r="F1663" s="7"/>
      <c r="G1663" s="74"/>
      <c r="H1663" s="74"/>
      <c r="J1663" s="7"/>
      <c r="K1663" s="74"/>
      <c r="L1663" s="74"/>
      <c r="N1663" s="7"/>
      <c r="O1663" s="74"/>
      <c r="P1663" s="74"/>
      <c r="R1663" s="7"/>
      <c r="S1663" s="7"/>
      <c r="T1663" s="66"/>
    </row>
    <row r="1664" spans="1:20" ht="13.2">
      <c r="A1664" s="7"/>
      <c r="B1664" s="7"/>
      <c r="C1664" s="74"/>
      <c r="D1664" s="74"/>
      <c r="F1664" s="7"/>
      <c r="G1664" s="74"/>
      <c r="H1664" s="74"/>
      <c r="J1664" s="7"/>
      <c r="K1664" s="74"/>
      <c r="L1664" s="74"/>
      <c r="N1664" s="7"/>
      <c r="O1664" s="74"/>
      <c r="P1664" s="74"/>
      <c r="R1664" s="7"/>
      <c r="S1664" s="7"/>
      <c r="T1664" s="66"/>
    </row>
    <row r="1665" spans="1:20" ht="13.2">
      <c r="A1665" s="7"/>
      <c r="B1665" s="7"/>
      <c r="C1665" s="74"/>
      <c r="D1665" s="74"/>
      <c r="F1665" s="7"/>
      <c r="G1665" s="74"/>
      <c r="H1665" s="74"/>
      <c r="J1665" s="7"/>
      <c r="K1665" s="74"/>
      <c r="L1665" s="74"/>
      <c r="N1665" s="7"/>
      <c r="O1665" s="74"/>
      <c r="P1665" s="74"/>
      <c r="R1665" s="7"/>
      <c r="S1665" s="7"/>
      <c r="T1665" s="66"/>
    </row>
    <row r="1666" spans="1:20" ht="13.2">
      <c r="A1666" s="7"/>
      <c r="B1666" s="7"/>
      <c r="C1666" s="74"/>
      <c r="D1666" s="74"/>
      <c r="F1666" s="7"/>
      <c r="G1666" s="74"/>
      <c r="H1666" s="74"/>
      <c r="J1666" s="7"/>
      <c r="K1666" s="74"/>
      <c r="L1666" s="74"/>
      <c r="N1666" s="7"/>
      <c r="O1666" s="74"/>
      <c r="P1666" s="74"/>
      <c r="R1666" s="7"/>
      <c r="S1666" s="7"/>
      <c r="T1666" s="66"/>
    </row>
    <row r="1667" spans="1:20" ht="13.2">
      <c r="A1667" s="7"/>
      <c r="B1667" s="7"/>
      <c r="C1667" s="74"/>
      <c r="D1667" s="74"/>
      <c r="F1667" s="7"/>
      <c r="G1667" s="74"/>
      <c r="H1667" s="74"/>
      <c r="J1667" s="7"/>
      <c r="K1667" s="74"/>
      <c r="L1667" s="74"/>
      <c r="N1667" s="7"/>
      <c r="O1667" s="74"/>
      <c r="P1667" s="74"/>
      <c r="R1667" s="7"/>
      <c r="S1667" s="7"/>
      <c r="T1667" s="66"/>
    </row>
    <row r="1668" spans="1:20" ht="13.2">
      <c r="A1668" s="7"/>
      <c r="B1668" s="7"/>
      <c r="C1668" s="74"/>
      <c r="D1668" s="74"/>
      <c r="F1668" s="7"/>
      <c r="G1668" s="74"/>
      <c r="H1668" s="74"/>
      <c r="J1668" s="7"/>
      <c r="K1668" s="74"/>
      <c r="L1668" s="74"/>
      <c r="N1668" s="7"/>
      <c r="O1668" s="74"/>
      <c r="P1668" s="74"/>
      <c r="R1668" s="7"/>
      <c r="S1668" s="7"/>
      <c r="T1668" s="66"/>
    </row>
    <row r="1669" spans="1:20" ht="13.2">
      <c r="A1669" s="7"/>
      <c r="B1669" s="7"/>
      <c r="C1669" s="74"/>
      <c r="D1669" s="74"/>
      <c r="F1669" s="7"/>
      <c r="G1669" s="74"/>
      <c r="H1669" s="74"/>
      <c r="J1669" s="7"/>
      <c r="K1669" s="74"/>
      <c r="L1669" s="74"/>
      <c r="N1669" s="7"/>
      <c r="O1669" s="74"/>
      <c r="P1669" s="74"/>
      <c r="R1669" s="7"/>
      <c r="S1669" s="7"/>
      <c r="T1669" s="66"/>
    </row>
    <row r="1670" spans="1:20" ht="13.2">
      <c r="A1670" s="7"/>
      <c r="B1670" s="7"/>
      <c r="C1670" s="74"/>
      <c r="D1670" s="74"/>
      <c r="F1670" s="7"/>
      <c r="G1670" s="74"/>
      <c r="H1670" s="74"/>
      <c r="J1670" s="7"/>
      <c r="K1670" s="74"/>
      <c r="L1670" s="74"/>
      <c r="N1670" s="7"/>
      <c r="O1670" s="74"/>
      <c r="P1670" s="74"/>
      <c r="R1670" s="7"/>
      <c r="S1670" s="7"/>
      <c r="T1670" s="66"/>
    </row>
    <row r="1671" spans="1:20" ht="13.2">
      <c r="A1671" s="7"/>
      <c r="B1671" s="7"/>
      <c r="C1671" s="74"/>
      <c r="D1671" s="74"/>
      <c r="F1671" s="7"/>
      <c r="G1671" s="74"/>
      <c r="H1671" s="74"/>
      <c r="J1671" s="7"/>
      <c r="K1671" s="74"/>
      <c r="L1671" s="74"/>
      <c r="N1671" s="7"/>
      <c r="O1671" s="74"/>
      <c r="P1671" s="74"/>
      <c r="R1671" s="7"/>
      <c r="S1671" s="7"/>
      <c r="T1671" s="66"/>
    </row>
    <row r="1672" spans="1:20" ht="13.2">
      <c r="A1672" s="7"/>
      <c r="B1672" s="7"/>
      <c r="C1672" s="74"/>
      <c r="D1672" s="74"/>
      <c r="F1672" s="7"/>
      <c r="G1672" s="74"/>
      <c r="H1672" s="74"/>
      <c r="J1672" s="7"/>
      <c r="K1672" s="74"/>
      <c r="L1672" s="74"/>
      <c r="N1672" s="7"/>
      <c r="O1672" s="74"/>
      <c r="P1672" s="74"/>
      <c r="R1672" s="7"/>
      <c r="S1672" s="7"/>
      <c r="T1672" s="66"/>
    </row>
    <row r="1673" spans="1:20" ht="13.2">
      <c r="A1673" s="7"/>
      <c r="B1673" s="7"/>
      <c r="C1673" s="74"/>
      <c r="D1673" s="74"/>
      <c r="F1673" s="7"/>
      <c r="G1673" s="74"/>
      <c r="H1673" s="74"/>
      <c r="J1673" s="7"/>
      <c r="K1673" s="74"/>
      <c r="L1673" s="74"/>
      <c r="N1673" s="7"/>
      <c r="O1673" s="74"/>
      <c r="P1673" s="74"/>
      <c r="R1673" s="7"/>
      <c r="S1673" s="7"/>
      <c r="T1673" s="66"/>
    </row>
    <row r="1674" spans="1:20" ht="13.2">
      <c r="A1674" s="7"/>
      <c r="B1674" s="7"/>
      <c r="C1674" s="74"/>
      <c r="D1674" s="74"/>
      <c r="F1674" s="7"/>
      <c r="G1674" s="74"/>
      <c r="H1674" s="74"/>
      <c r="J1674" s="7"/>
      <c r="K1674" s="74"/>
      <c r="L1674" s="74"/>
      <c r="N1674" s="7"/>
      <c r="O1674" s="74"/>
      <c r="P1674" s="74"/>
      <c r="R1674" s="7"/>
      <c r="S1674" s="7"/>
      <c r="T1674" s="66"/>
    </row>
    <row r="1675" spans="1:20" ht="13.2">
      <c r="A1675" s="7"/>
      <c r="B1675" s="7"/>
      <c r="C1675" s="74"/>
      <c r="D1675" s="74"/>
      <c r="F1675" s="7"/>
      <c r="G1675" s="74"/>
      <c r="H1675" s="74"/>
      <c r="J1675" s="7"/>
      <c r="K1675" s="74"/>
      <c r="L1675" s="74"/>
      <c r="N1675" s="7"/>
      <c r="O1675" s="74"/>
      <c r="P1675" s="74"/>
      <c r="R1675" s="7"/>
      <c r="S1675" s="7"/>
      <c r="T1675" s="66"/>
    </row>
    <row r="1676" spans="1:20" ht="13.2">
      <c r="A1676" s="7"/>
      <c r="B1676" s="7"/>
      <c r="C1676" s="74"/>
      <c r="D1676" s="74"/>
      <c r="F1676" s="7"/>
      <c r="G1676" s="74"/>
      <c r="H1676" s="74"/>
      <c r="J1676" s="7"/>
      <c r="K1676" s="74"/>
      <c r="L1676" s="74"/>
      <c r="N1676" s="7"/>
      <c r="O1676" s="74"/>
      <c r="P1676" s="74"/>
      <c r="R1676" s="7"/>
      <c r="S1676" s="7"/>
      <c r="T1676" s="66"/>
    </row>
    <row r="1677" spans="1:20" ht="13.2">
      <c r="A1677" s="7"/>
      <c r="B1677" s="7"/>
      <c r="C1677" s="74"/>
      <c r="D1677" s="74"/>
      <c r="F1677" s="7"/>
      <c r="G1677" s="74"/>
      <c r="H1677" s="74"/>
      <c r="J1677" s="7"/>
      <c r="K1677" s="74"/>
      <c r="L1677" s="74"/>
      <c r="N1677" s="7"/>
      <c r="O1677" s="74"/>
      <c r="P1677" s="74"/>
      <c r="R1677" s="7"/>
      <c r="S1677" s="7"/>
      <c r="T1677" s="66"/>
    </row>
    <row r="1678" spans="1:20" ht="13.2">
      <c r="A1678" s="7"/>
      <c r="B1678" s="7"/>
      <c r="C1678" s="74"/>
      <c r="D1678" s="74"/>
      <c r="F1678" s="7"/>
      <c r="G1678" s="74"/>
      <c r="H1678" s="74"/>
      <c r="J1678" s="7"/>
      <c r="K1678" s="74"/>
      <c r="L1678" s="74"/>
      <c r="N1678" s="7"/>
      <c r="O1678" s="74"/>
      <c r="P1678" s="74"/>
      <c r="R1678" s="7"/>
      <c r="S1678" s="7"/>
      <c r="T1678" s="66"/>
    </row>
    <row r="1679" spans="1:20" ht="13.2">
      <c r="A1679" s="7"/>
      <c r="B1679" s="7"/>
      <c r="C1679" s="74"/>
      <c r="D1679" s="74"/>
      <c r="F1679" s="7"/>
      <c r="G1679" s="74"/>
      <c r="H1679" s="74"/>
      <c r="J1679" s="7"/>
      <c r="K1679" s="74"/>
      <c r="L1679" s="74"/>
      <c r="N1679" s="7"/>
      <c r="O1679" s="74"/>
      <c r="P1679" s="74"/>
      <c r="R1679" s="7"/>
      <c r="S1679" s="7"/>
      <c r="T1679" s="66"/>
    </row>
    <row r="1680" spans="1:20" ht="13.2">
      <c r="A1680" s="7"/>
      <c r="B1680" s="7"/>
      <c r="C1680" s="74"/>
      <c r="D1680" s="74"/>
      <c r="F1680" s="7"/>
      <c r="G1680" s="74"/>
      <c r="H1680" s="74"/>
      <c r="J1680" s="7"/>
      <c r="K1680" s="74"/>
      <c r="L1680" s="74"/>
      <c r="N1680" s="7"/>
      <c r="O1680" s="74"/>
      <c r="P1680" s="74"/>
      <c r="R1680" s="7"/>
      <c r="S1680" s="7"/>
      <c r="T1680" s="66"/>
    </row>
    <row r="1681" spans="1:20" ht="13.2">
      <c r="A1681" s="7"/>
      <c r="B1681" s="7"/>
      <c r="C1681" s="74"/>
      <c r="D1681" s="74"/>
      <c r="F1681" s="7"/>
      <c r="G1681" s="74"/>
      <c r="H1681" s="74"/>
      <c r="J1681" s="7"/>
      <c r="K1681" s="74"/>
      <c r="L1681" s="74"/>
      <c r="N1681" s="7"/>
      <c r="O1681" s="74"/>
      <c r="P1681" s="74"/>
      <c r="R1681" s="7"/>
      <c r="S1681" s="7"/>
      <c r="T1681" s="66"/>
    </row>
    <row r="1682" spans="1:20" ht="13.2">
      <c r="A1682" s="7"/>
      <c r="B1682" s="7"/>
      <c r="C1682" s="74"/>
      <c r="D1682" s="74"/>
      <c r="F1682" s="7"/>
      <c r="G1682" s="74"/>
      <c r="H1682" s="74"/>
      <c r="J1682" s="7"/>
      <c r="K1682" s="74"/>
      <c r="L1682" s="74"/>
      <c r="N1682" s="7"/>
      <c r="O1682" s="74"/>
      <c r="P1682" s="74"/>
      <c r="R1682" s="7"/>
      <c r="S1682" s="7"/>
      <c r="T1682" s="66"/>
    </row>
    <row r="1683" spans="1:20" ht="13.2">
      <c r="A1683" s="7"/>
      <c r="B1683" s="7"/>
      <c r="C1683" s="74"/>
      <c r="D1683" s="74"/>
      <c r="F1683" s="7"/>
      <c r="G1683" s="74"/>
      <c r="H1683" s="74"/>
      <c r="J1683" s="7"/>
      <c r="K1683" s="74"/>
      <c r="L1683" s="74"/>
      <c r="N1683" s="7"/>
      <c r="O1683" s="74"/>
      <c r="P1683" s="74"/>
      <c r="R1683" s="7"/>
      <c r="S1683" s="7"/>
      <c r="T1683" s="66"/>
    </row>
    <row r="1684" spans="1:20" ht="13.2">
      <c r="A1684" s="7"/>
      <c r="B1684" s="7"/>
      <c r="C1684" s="74"/>
      <c r="D1684" s="74"/>
      <c r="F1684" s="7"/>
      <c r="G1684" s="74"/>
      <c r="H1684" s="74"/>
      <c r="J1684" s="7"/>
      <c r="K1684" s="74"/>
      <c r="L1684" s="74"/>
      <c r="N1684" s="7"/>
      <c r="O1684" s="74"/>
      <c r="P1684" s="74"/>
      <c r="R1684" s="7"/>
      <c r="S1684" s="7"/>
      <c r="T1684" s="66"/>
    </row>
    <row r="1685" spans="1:20" ht="13.2">
      <c r="A1685" s="7"/>
      <c r="B1685" s="7"/>
      <c r="C1685" s="74"/>
      <c r="D1685" s="74"/>
      <c r="F1685" s="7"/>
      <c r="G1685" s="74"/>
      <c r="H1685" s="74"/>
      <c r="J1685" s="7"/>
      <c r="K1685" s="74"/>
      <c r="L1685" s="74"/>
      <c r="N1685" s="7"/>
      <c r="O1685" s="74"/>
      <c r="P1685" s="74"/>
      <c r="R1685" s="7"/>
      <c r="S1685" s="7"/>
      <c r="T1685" s="66"/>
    </row>
    <row r="1686" spans="1:20" ht="13.2">
      <c r="A1686" s="7"/>
      <c r="B1686" s="7"/>
      <c r="C1686" s="74"/>
      <c r="D1686" s="74"/>
      <c r="F1686" s="7"/>
      <c r="G1686" s="74"/>
      <c r="H1686" s="74"/>
      <c r="J1686" s="7"/>
      <c r="K1686" s="74"/>
      <c r="L1686" s="74"/>
      <c r="N1686" s="7"/>
      <c r="O1686" s="74"/>
      <c r="P1686" s="74"/>
      <c r="R1686" s="7"/>
      <c r="S1686" s="7"/>
      <c r="T1686" s="66"/>
    </row>
    <row r="1687" spans="1:20" ht="13.2">
      <c r="A1687" s="7"/>
      <c r="B1687" s="7"/>
      <c r="C1687" s="74"/>
      <c r="D1687" s="74"/>
      <c r="F1687" s="7"/>
      <c r="G1687" s="74"/>
      <c r="H1687" s="74"/>
      <c r="J1687" s="7"/>
      <c r="K1687" s="74"/>
      <c r="L1687" s="74"/>
      <c r="N1687" s="7"/>
      <c r="O1687" s="74"/>
      <c r="P1687" s="74"/>
      <c r="R1687" s="7"/>
      <c r="S1687" s="7"/>
      <c r="T1687" s="66"/>
    </row>
    <row r="1688" spans="1:20" ht="13.2">
      <c r="A1688" s="7"/>
      <c r="B1688" s="7"/>
      <c r="C1688" s="74"/>
      <c r="D1688" s="74"/>
      <c r="F1688" s="7"/>
      <c r="G1688" s="74"/>
      <c r="H1688" s="74"/>
      <c r="J1688" s="7"/>
      <c r="K1688" s="74"/>
      <c r="L1688" s="74"/>
      <c r="N1688" s="7"/>
      <c r="O1688" s="74"/>
      <c r="P1688" s="74"/>
      <c r="R1688" s="7"/>
      <c r="S1688" s="7"/>
      <c r="T1688" s="66"/>
    </row>
    <row r="1689" spans="1:20" ht="13.2">
      <c r="A1689" s="7"/>
      <c r="B1689" s="7"/>
      <c r="C1689" s="74"/>
      <c r="D1689" s="74"/>
      <c r="F1689" s="7"/>
      <c r="G1689" s="74"/>
      <c r="H1689" s="74"/>
      <c r="J1689" s="7"/>
      <c r="K1689" s="74"/>
      <c r="L1689" s="74"/>
      <c r="N1689" s="7"/>
      <c r="O1689" s="74"/>
      <c r="P1689" s="74"/>
      <c r="R1689" s="7"/>
      <c r="S1689" s="7"/>
      <c r="T1689" s="66"/>
    </row>
    <row r="1690" spans="1:20" ht="13.2">
      <c r="A1690" s="7"/>
      <c r="B1690" s="7"/>
      <c r="C1690" s="74"/>
      <c r="D1690" s="74"/>
      <c r="F1690" s="7"/>
      <c r="G1690" s="74"/>
      <c r="H1690" s="74"/>
      <c r="J1690" s="7"/>
      <c r="K1690" s="74"/>
      <c r="L1690" s="74"/>
      <c r="N1690" s="7"/>
      <c r="O1690" s="74"/>
      <c r="P1690" s="74"/>
      <c r="R1690" s="7"/>
      <c r="S1690" s="7"/>
      <c r="T1690" s="66"/>
    </row>
    <row r="1691" spans="1:20" ht="13.2">
      <c r="A1691" s="7"/>
      <c r="B1691" s="7"/>
      <c r="C1691" s="74"/>
      <c r="D1691" s="74"/>
      <c r="F1691" s="7"/>
      <c r="G1691" s="74"/>
      <c r="H1691" s="74"/>
      <c r="J1691" s="7"/>
      <c r="K1691" s="74"/>
      <c r="L1691" s="74"/>
      <c r="N1691" s="7"/>
      <c r="O1691" s="74"/>
      <c r="P1691" s="74"/>
      <c r="R1691" s="7"/>
      <c r="S1691" s="7"/>
      <c r="T1691" s="66"/>
    </row>
    <row r="1692" spans="1:20" ht="13.2">
      <c r="A1692" s="7"/>
      <c r="B1692" s="7"/>
      <c r="C1692" s="74"/>
      <c r="D1692" s="74"/>
      <c r="F1692" s="7"/>
      <c r="G1692" s="74"/>
      <c r="H1692" s="74"/>
      <c r="J1692" s="7"/>
      <c r="K1692" s="74"/>
      <c r="L1692" s="74"/>
      <c r="N1692" s="7"/>
      <c r="O1692" s="74"/>
      <c r="P1692" s="74"/>
      <c r="R1692" s="7"/>
      <c r="S1692" s="7"/>
      <c r="T1692" s="66"/>
    </row>
    <row r="1693" spans="1:20" ht="13.2">
      <c r="A1693" s="7"/>
      <c r="B1693" s="7"/>
      <c r="C1693" s="74"/>
      <c r="D1693" s="74"/>
      <c r="F1693" s="7"/>
      <c r="G1693" s="74"/>
      <c r="H1693" s="74"/>
      <c r="J1693" s="7"/>
      <c r="K1693" s="74"/>
      <c r="L1693" s="74"/>
      <c r="N1693" s="7"/>
      <c r="O1693" s="74"/>
      <c r="P1693" s="74"/>
      <c r="R1693" s="7"/>
      <c r="S1693" s="7"/>
      <c r="T1693" s="66"/>
    </row>
    <row r="1694" spans="1:20" ht="13.2">
      <c r="A1694" s="7"/>
      <c r="B1694" s="7"/>
      <c r="C1694" s="74"/>
      <c r="D1694" s="74"/>
      <c r="F1694" s="7"/>
      <c r="G1694" s="74"/>
      <c r="H1694" s="74"/>
      <c r="J1694" s="7"/>
      <c r="K1694" s="74"/>
      <c r="L1694" s="74"/>
      <c r="N1694" s="7"/>
      <c r="O1694" s="74"/>
      <c r="P1694" s="74"/>
      <c r="R1694" s="7"/>
      <c r="S1694" s="7"/>
      <c r="T1694" s="66"/>
    </row>
    <row r="1695" spans="1:20" ht="13.2">
      <c r="A1695" s="7"/>
      <c r="B1695" s="7"/>
      <c r="C1695" s="74"/>
      <c r="D1695" s="74"/>
      <c r="F1695" s="7"/>
      <c r="G1695" s="74"/>
      <c r="H1695" s="74"/>
      <c r="J1695" s="7"/>
      <c r="K1695" s="74"/>
      <c r="L1695" s="74"/>
      <c r="N1695" s="7"/>
      <c r="O1695" s="74"/>
      <c r="P1695" s="74"/>
      <c r="R1695" s="7"/>
      <c r="S1695" s="7"/>
      <c r="T1695" s="66"/>
    </row>
    <row r="1696" spans="1:20" ht="13.2">
      <c r="A1696" s="7"/>
      <c r="B1696" s="7"/>
      <c r="C1696" s="74"/>
      <c r="D1696" s="74"/>
      <c r="F1696" s="7"/>
      <c r="G1696" s="74"/>
      <c r="H1696" s="74"/>
      <c r="J1696" s="7"/>
      <c r="K1696" s="74"/>
      <c r="L1696" s="74"/>
      <c r="N1696" s="7"/>
      <c r="O1696" s="74"/>
      <c r="P1696" s="74"/>
      <c r="R1696" s="7"/>
      <c r="S1696" s="7"/>
      <c r="T1696" s="66"/>
    </row>
    <row r="1697" spans="1:20" ht="13.2">
      <c r="A1697" s="7"/>
      <c r="B1697" s="7"/>
      <c r="C1697" s="74"/>
      <c r="D1697" s="74"/>
      <c r="F1697" s="7"/>
      <c r="G1697" s="74"/>
      <c r="H1697" s="74"/>
      <c r="J1697" s="7"/>
      <c r="K1697" s="74"/>
      <c r="L1697" s="74"/>
      <c r="N1697" s="7"/>
      <c r="O1697" s="74"/>
      <c r="P1697" s="74"/>
      <c r="R1697" s="7"/>
      <c r="S1697" s="7"/>
      <c r="T1697" s="66"/>
    </row>
    <row r="1698" spans="1:20" ht="13.2">
      <c r="A1698" s="7"/>
      <c r="B1698" s="7"/>
      <c r="C1698" s="74"/>
      <c r="D1698" s="74"/>
      <c r="F1698" s="7"/>
      <c r="G1698" s="74"/>
      <c r="H1698" s="74"/>
      <c r="J1698" s="7"/>
      <c r="K1698" s="74"/>
      <c r="L1698" s="74"/>
      <c r="N1698" s="7"/>
      <c r="O1698" s="74"/>
      <c r="P1698" s="74"/>
      <c r="R1698" s="7"/>
      <c r="S1698" s="7"/>
      <c r="T1698" s="66"/>
    </row>
    <row r="1699" spans="1:20" ht="13.2">
      <c r="A1699" s="7"/>
      <c r="B1699" s="7"/>
      <c r="C1699" s="74"/>
      <c r="D1699" s="74"/>
      <c r="F1699" s="7"/>
      <c r="G1699" s="74"/>
      <c r="H1699" s="74"/>
      <c r="J1699" s="7"/>
      <c r="K1699" s="74"/>
      <c r="L1699" s="74"/>
      <c r="N1699" s="7"/>
      <c r="O1699" s="74"/>
      <c r="P1699" s="74"/>
      <c r="R1699" s="7"/>
      <c r="S1699" s="7"/>
      <c r="T1699" s="66"/>
    </row>
    <row r="1700" spans="1:20" ht="13.2">
      <c r="A1700" s="7"/>
      <c r="B1700" s="7"/>
      <c r="C1700" s="74"/>
      <c r="D1700" s="74"/>
      <c r="F1700" s="7"/>
      <c r="G1700" s="74"/>
      <c r="H1700" s="74"/>
      <c r="J1700" s="7"/>
      <c r="K1700" s="74"/>
      <c r="L1700" s="74"/>
      <c r="N1700" s="7"/>
      <c r="O1700" s="74"/>
      <c r="P1700" s="74"/>
      <c r="R1700" s="7"/>
      <c r="S1700" s="7"/>
      <c r="T1700" s="66"/>
    </row>
    <row r="1701" spans="1:20" ht="13.2">
      <c r="A1701" s="7"/>
      <c r="B1701" s="7"/>
      <c r="C1701" s="74"/>
      <c r="D1701" s="74"/>
      <c r="F1701" s="7"/>
      <c r="G1701" s="74"/>
      <c r="H1701" s="74"/>
      <c r="J1701" s="7"/>
      <c r="K1701" s="74"/>
      <c r="L1701" s="74"/>
      <c r="N1701" s="7"/>
      <c r="O1701" s="74"/>
      <c r="P1701" s="74"/>
      <c r="R1701" s="7"/>
      <c r="S1701" s="7"/>
      <c r="T1701" s="66"/>
    </row>
    <row r="1702" spans="1:20" ht="13.2">
      <c r="A1702" s="7"/>
      <c r="B1702" s="7"/>
      <c r="C1702" s="74"/>
      <c r="D1702" s="74"/>
      <c r="F1702" s="7"/>
      <c r="G1702" s="74"/>
      <c r="H1702" s="74"/>
      <c r="J1702" s="7"/>
      <c r="K1702" s="74"/>
      <c r="L1702" s="74"/>
      <c r="N1702" s="7"/>
      <c r="O1702" s="74"/>
      <c r="P1702" s="74"/>
      <c r="R1702" s="7"/>
      <c r="S1702" s="7"/>
      <c r="T1702" s="66"/>
    </row>
    <row r="1703" spans="1:20" ht="13.2">
      <c r="A1703" s="7"/>
      <c r="B1703" s="7"/>
      <c r="C1703" s="74"/>
      <c r="D1703" s="74"/>
      <c r="F1703" s="7"/>
      <c r="G1703" s="74"/>
      <c r="H1703" s="74"/>
      <c r="J1703" s="7"/>
      <c r="K1703" s="74"/>
      <c r="L1703" s="74"/>
      <c r="N1703" s="7"/>
      <c r="O1703" s="74"/>
      <c r="P1703" s="74"/>
      <c r="R1703" s="7"/>
      <c r="S1703" s="7"/>
      <c r="T1703" s="66"/>
    </row>
    <row r="1704" spans="1:20" ht="13.2">
      <c r="A1704" s="7"/>
      <c r="B1704" s="7"/>
      <c r="C1704" s="74"/>
      <c r="D1704" s="74"/>
      <c r="F1704" s="7"/>
      <c r="G1704" s="74"/>
      <c r="H1704" s="74"/>
      <c r="J1704" s="7"/>
      <c r="K1704" s="74"/>
      <c r="L1704" s="74"/>
      <c r="N1704" s="7"/>
      <c r="O1704" s="74"/>
      <c r="P1704" s="74"/>
      <c r="R1704" s="7"/>
      <c r="S1704" s="7"/>
      <c r="T1704" s="66"/>
    </row>
    <row r="1705" spans="1:20" ht="13.2">
      <c r="A1705" s="7"/>
      <c r="B1705" s="7"/>
      <c r="C1705" s="74"/>
      <c r="D1705" s="74"/>
      <c r="F1705" s="7"/>
      <c r="G1705" s="74"/>
      <c r="H1705" s="74"/>
      <c r="J1705" s="7"/>
      <c r="K1705" s="74"/>
      <c r="L1705" s="74"/>
      <c r="N1705" s="7"/>
      <c r="O1705" s="74"/>
      <c r="P1705" s="74"/>
      <c r="R1705" s="7"/>
      <c r="S1705" s="7"/>
      <c r="T1705" s="66"/>
    </row>
    <row r="1706" spans="1:20" ht="13.2">
      <c r="A1706" s="7"/>
      <c r="B1706" s="7"/>
      <c r="C1706" s="74"/>
      <c r="D1706" s="74"/>
      <c r="F1706" s="7"/>
      <c r="G1706" s="74"/>
      <c r="H1706" s="74"/>
      <c r="J1706" s="7"/>
      <c r="K1706" s="74"/>
      <c r="L1706" s="74"/>
      <c r="N1706" s="7"/>
      <c r="O1706" s="74"/>
      <c r="P1706" s="74"/>
      <c r="R1706" s="7"/>
      <c r="S1706" s="7"/>
      <c r="T1706" s="66"/>
    </row>
    <row r="1707" spans="1:20" ht="13.2">
      <c r="A1707" s="7"/>
      <c r="B1707" s="7"/>
      <c r="C1707" s="74"/>
      <c r="D1707" s="74"/>
      <c r="F1707" s="7"/>
      <c r="G1707" s="74"/>
      <c r="H1707" s="74"/>
      <c r="J1707" s="7"/>
      <c r="K1707" s="74"/>
      <c r="L1707" s="74"/>
      <c r="N1707" s="7"/>
      <c r="O1707" s="74"/>
      <c r="P1707" s="74"/>
      <c r="R1707" s="7"/>
      <c r="S1707" s="7"/>
      <c r="T1707" s="66"/>
    </row>
    <row r="1708" spans="1:20" ht="13.2">
      <c r="A1708" s="7"/>
      <c r="B1708" s="7"/>
      <c r="C1708" s="74"/>
      <c r="D1708" s="74"/>
      <c r="F1708" s="7"/>
      <c r="G1708" s="74"/>
      <c r="H1708" s="74"/>
      <c r="J1708" s="7"/>
      <c r="K1708" s="74"/>
      <c r="L1708" s="74"/>
      <c r="N1708" s="7"/>
      <c r="O1708" s="74"/>
      <c r="P1708" s="74"/>
      <c r="R1708" s="7"/>
      <c r="S1708" s="7"/>
      <c r="T1708" s="66"/>
    </row>
    <row r="1709" spans="1:20" ht="13.2">
      <c r="A1709" s="7"/>
      <c r="B1709" s="7"/>
      <c r="C1709" s="74"/>
      <c r="D1709" s="74"/>
      <c r="F1709" s="7"/>
      <c r="G1709" s="74"/>
      <c r="H1709" s="74"/>
      <c r="J1709" s="7"/>
      <c r="K1709" s="74"/>
      <c r="L1709" s="74"/>
      <c r="N1709" s="7"/>
      <c r="O1709" s="74"/>
      <c r="P1709" s="74"/>
      <c r="R1709" s="7"/>
      <c r="S1709" s="7"/>
      <c r="T1709" s="66"/>
    </row>
    <row r="1710" spans="1:20" ht="13.2">
      <c r="A1710" s="7"/>
      <c r="B1710" s="7"/>
      <c r="C1710" s="74"/>
      <c r="D1710" s="74"/>
      <c r="F1710" s="7"/>
      <c r="G1710" s="74"/>
      <c r="H1710" s="74"/>
      <c r="J1710" s="7"/>
      <c r="K1710" s="74"/>
      <c r="L1710" s="74"/>
      <c r="N1710" s="7"/>
      <c r="O1710" s="74"/>
      <c r="P1710" s="74"/>
      <c r="R1710" s="7"/>
      <c r="S1710" s="7"/>
      <c r="T1710" s="66"/>
    </row>
    <row r="1711" spans="1:20" ht="13.2">
      <c r="A1711" s="7"/>
      <c r="B1711" s="7"/>
      <c r="C1711" s="74"/>
      <c r="D1711" s="74"/>
      <c r="F1711" s="7"/>
      <c r="G1711" s="74"/>
      <c r="H1711" s="74"/>
      <c r="J1711" s="7"/>
      <c r="K1711" s="74"/>
      <c r="L1711" s="74"/>
      <c r="N1711" s="7"/>
      <c r="O1711" s="74"/>
      <c r="P1711" s="74"/>
      <c r="R1711" s="7"/>
      <c r="S1711" s="7"/>
      <c r="T1711" s="66"/>
    </row>
    <row r="1712" spans="1:20" ht="13.2">
      <c r="A1712" s="7"/>
      <c r="B1712" s="7"/>
      <c r="C1712" s="74"/>
      <c r="D1712" s="74"/>
      <c r="F1712" s="7"/>
      <c r="G1712" s="74"/>
      <c r="H1712" s="74"/>
      <c r="J1712" s="7"/>
      <c r="K1712" s="74"/>
      <c r="L1712" s="74"/>
      <c r="N1712" s="7"/>
      <c r="O1712" s="74"/>
      <c r="P1712" s="74"/>
      <c r="R1712" s="7"/>
      <c r="S1712" s="7"/>
      <c r="T1712" s="66"/>
    </row>
    <row r="1713" spans="1:20" ht="13.2">
      <c r="A1713" s="7"/>
      <c r="B1713" s="7"/>
      <c r="C1713" s="74"/>
      <c r="D1713" s="74"/>
      <c r="F1713" s="7"/>
      <c r="G1713" s="74"/>
      <c r="H1713" s="74"/>
      <c r="J1713" s="7"/>
      <c r="K1713" s="74"/>
      <c r="L1713" s="74"/>
      <c r="N1713" s="7"/>
      <c r="O1713" s="74"/>
      <c r="P1713" s="74"/>
      <c r="R1713" s="7"/>
      <c r="S1713" s="7"/>
      <c r="T1713" s="66"/>
    </row>
    <row r="1714" spans="1:20" ht="13.2">
      <c r="A1714" s="7"/>
      <c r="B1714" s="7"/>
      <c r="C1714" s="74"/>
      <c r="D1714" s="74"/>
      <c r="F1714" s="7"/>
      <c r="G1714" s="74"/>
      <c r="H1714" s="74"/>
      <c r="J1714" s="7"/>
      <c r="K1714" s="74"/>
      <c r="L1714" s="74"/>
      <c r="N1714" s="7"/>
      <c r="O1714" s="74"/>
      <c r="P1714" s="74"/>
      <c r="R1714" s="7"/>
      <c r="S1714" s="7"/>
      <c r="T1714" s="66"/>
    </row>
    <row r="1715" spans="1:20" ht="13.2">
      <c r="A1715" s="7"/>
      <c r="B1715" s="7"/>
      <c r="C1715" s="74"/>
      <c r="D1715" s="74"/>
      <c r="F1715" s="7"/>
      <c r="G1715" s="74"/>
      <c r="H1715" s="74"/>
      <c r="J1715" s="7"/>
      <c r="K1715" s="74"/>
      <c r="L1715" s="74"/>
      <c r="N1715" s="7"/>
      <c r="O1715" s="74"/>
      <c r="P1715" s="74"/>
      <c r="R1715" s="7"/>
      <c r="S1715" s="7"/>
      <c r="T1715" s="66"/>
    </row>
    <row r="1716" spans="1:20" ht="13.2">
      <c r="A1716" s="7"/>
      <c r="B1716" s="7"/>
      <c r="C1716" s="74"/>
      <c r="D1716" s="74"/>
      <c r="F1716" s="7"/>
      <c r="G1716" s="74"/>
      <c r="H1716" s="74"/>
      <c r="J1716" s="7"/>
      <c r="K1716" s="74"/>
      <c r="L1716" s="74"/>
      <c r="N1716" s="7"/>
      <c r="O1716" s="74"/>
      <c r="P1716" s="74"/>
      <c r="R1716" s="7"/>
      <c r="S1716" s="7"/>
      <c r="T1716" s="66"/>
    </row>
    <row r="1717" spans="1:20" ht="13.2">
      <c r="A1717" s="7"/>
      <c r="B1717" s="7"/>
      <c r="C1717" s="74"/>
      <c r="D1717" s="74"/>
      <c r="F1717" s="7"/>
      <c r="G1717" s="74"/>
      <c r="H1717" s="74"/>
      <c r="J1717" s="7"/>
      <c r="K1717" s="74"/>
      <c r="L1717" s="74"/>
      <c r="N1717" s="7"/>
      <c r="O1717" s="74"/>
      <c r="P1717" s="74"/>
      <c r="R1717" s="7"/>
      <c r="S1717" s="7"/>
      <c r="T1717" s="66"/>
    </row>
    <row r="1718" spans="1:20" ht="13.2">
      <c r="A1718" s="7"/>
      <c r="B1718" s="7"/>
      <c r="C1718" s="74"/>
      <c r="D1718" s="74"/>
      <c r="F1718" s="7"/>
      <c r="G1718" s="74"/>
      <c r="H1718" s="74"/>
      <c r="J1718" s="7"/>
      <c r="K1718" s="74"/>
      <c r="L1718" s="74"/>
      <c r="N1718" s="7"/>
      <c r="O1718" s="74"/>
      <c r="P1718" s="74"/>
      <c r="R1718" s="7"/>
      <c r="S1718" s="7"/>
      <c r="T1718" s="66"/>
    </row>
    <row r="1719" spans="1:20" ht="13.2">
      <c r="A1719" s="7"/>
      <c r="B1719" s="7"/>
      <c r="C1719" s="74"/>
      <c r="D1719" s="74"/>
      <c r="F1719" s="7"/>
      <c r="G1719" s="74"/>
      <c r="H1719" s="74"/>
      <c r="J1719" s="7"/>
      <c r="K1719" s="74"/>
      <c r="L1719" s="74"/>
      <c r="N1719" s="7"/>
      <c r="O1719" s="74"/>
      <c r="P1719" s="74"/>
      <c r="R1719" s="7"/>
      <c r="S1719" s="7"/>
      <c r="T1719" s="66"/>
    </row>
    <row r="1720" spans="1:20" ht="13.2">
      <c r="A1720" s="7"/>
      <c r="B1720" s="7"/>
      <c r="C1720" s="74"/>
      <c r="D1720" s="74"/>
      <c r="F1720" s="7"/>
      <c r="G1720" s="74"/>
      <c r="H1720" s="74"/>
      <c r="J1720" s="7"/>
      <c r="K1720" s="74"/>
      <c r="L1720" s="74"/>
      <c r="N1720" s="7"/>
      <c r="O1720" s="74"/>
      <c r="P1720" s="74"/>
      <c r="R1720" s="7"/>
      <c r="S1720" s="7"/>
      <c r="T1720" s="66"/>
    </row>
    <row r="1721" spans="1:20" ht="13.2">
      <c r="A1721" s="7"/>
      <c r="B1721" s="7"/>
      <c r="C1721" s="74"/>
      <c r="D1721" s="74"/>
      <c r="F1721" s="7"/>
      <c r="G1721" s="74"/>
      <c r="H1721" s="74"/>
      <c r="J1721" s="7"/>
      <c r="K1721" s="74"/>
      <c r="L1721" s="74"/>
      <c r="N1721" s="7"/>
      <c r="O1721" s="74"/>
      <c r="P1721" s="74"/>
      <c r="R1721" s="7"/>
      <c r="S1721" s="7"/>
      <c r="T1721" s="66"/>
    </row>
    <row r="1722" spans="1:20" ht="13.2">
      <c r="A1722" s="7"/>
      <c r="B1722" s="7"/>
      <c r="C1722" s="74"/>
      <c r="D1722" s="74"/>
      <c r="F1722" s="7"/>
      <c r="G1722" s="74"/>
      <c r="H1722" s="74"/>
      <c r="J1722" s="7"/>
      <c r="K1722" s="74"/>
      <c r="L1722" s="74"/>
      <c r="N1722" s="7"/>
      <c r="O1722" s="74"/>
      <c r="P1722" s="74"/>
      <c r="R1722" s="7"/>
      <c r="S1722" s="7"/>
      <c r="T1722" s="66"/>
    </row>
    <row r="1723" spans="1:20" ht="13.2">
      <c r="A1723" s="7"/>
      <c r="B1723" s="7"/>
      <c r="C1723" s="74"/>
      <c r="D1723" s="74"/>
      <c r="F1723" s="7"/>
      <c r="G1723" s="74"/>
      <c r="H1723" s="74"/>
      <c r="J1723" s="7"/>
      <c r="K1723" s="74"/>
      <c r="L1723" s="74"/>
      <c r="N1723" s="7"/>
      <c r="O1723" s="74"/>
      <c r="P1723" s="74"/>
      <c r="R1723" s="7"/>
      <c r="S1723" s="7"/>
      <c r="T1723" s="66"/>
    </row>
    <row r="1724" spans="1:20" ht="13.2">
      <c r="A1724" s="7"/>
      <c r="B1724" s="7"/>
      <c r="C1724" s="74"/>
      <c r="D1724" s="74"/>
      <c r="F1724" s="7"/>
      <c r="G1724" s="74"/>
      <c r="H1724" s="74"/>
      <c r="J1724" s="7"/>
      <c r="K1724" s="74"/>
      <c r="L1724" s="74"/>
      <c r="N1724" s="7"/>
      <c r="O1724" s="74"/>
      <c r="P1724" s="74"/>
      <c r="R1724" s="7"/>
      <c r="S1724" s="7"/>
      <c r="T1724" s="66"/>
    </row>
    <row r="1725" spans="1:20" ht="13.2">
      <c r="A1725" s="7"/>
      <c r="B1725" s="7"/>
      <c r="C1725" s="74"/>
      <c r="D1725" s="74"/>
      <c r="F1725" s="7"/>
      <c r="G1725" s="74"/>
      <c r="H1725" s="74"/>
      <c r="J1725" s="7"/>
      <c r="K1725" s="74"/>
      <c r="L1725" s="74"/>
      <c r="N1725" s="7"/>
      <c r="O1725" s="74"/>
      <c r="P1725" s="74"/>
      <c r="R1725" s="7"/>
      <c r="S1725" s="7"/>
      <c r="T1725" s="66"/>
    </row>
    <row r="1726" spans="1:20" ht="13.2">
      <c r="A1726" s="7"/>
      <c r="B1726" s="7"/>
      <c r="C1726" s="74"/>
      <c r="D1726" s="74"/>
      <c r="F1726" s="7"/>
      <c r="G1726" s="74"/>
      <c r="H1726" s="74"/>
      <c r="J1726" s="7"/>
      <c r="K1726" s="74"/>
      <c r="L1726" s="74"/>
      <c r="N1726" s="7"/>
      <c r="O1726" s="74"/>
      <c r="P1726" s="74"/>
      <c r="R1726" s="7"/>
      <c r="S1726" s="7"/>
      <c r="T1726" s="66"/>
    </row>
    <row r="1727" spans="1:20" ht="13.2">
      <c r="A1727" s="7"/>
      <c r="B1727" s="7"/>
      <c r="C1727" s="74"/>
      <c r="D1727" s="74"/>
      <c r="F1727" s="7"/>
      <c r="G1727" s="74"/>
      <c r="H1727" s="74"/>
      <c r="J1727" s="7"/>
      <c r="K1727" s="74"/>
      <c r="L1727" s="74"/>
      <c r="N1727" s="7"/>
      <c r="O1727" s="74"/>
      <c r="P1727" s="74"/>
      <c r="R1727" s="7"/>
      <c r="S1727" s="7"/>
      <c r="T1727" s="66"/>
    </row>
    <row r="1728" spans="1:20" ht="13.2">
      <c r="A1728" s="7"/>
      <c r="B1728" s="7"/>
      <c r="C1728" s="74"/>
      <c r="D1728" s="74"/>
      <c r="F1728" s="7"/>
      <c r="G1728" s="74"/>
      <c r="H1728" s="74"/>
      <c r="J1728" s="7"/>
      <c r="K1728" s="74"/>
      <c r="L1728" s="74"/>
      <c r="N1728" s="7"/>
      <c r="O1728" s="74"/>
      <c r="P1728" s="74"/>
      <c r="R1728" s="7"/>
      <c r="S1728" s="7"/>
      <c r="T1728" s="66"/>
    </row>
    <row r="1729" spans="1:20" ht="13.2">
      <c r="A1729" s="7"/>
      <c r="B1729" s="7"/>
      <c r="C1729" s="74"/>
      <c r="D1729" s="74"/>
      <c r="F1729" s="7"/>
      <c r="G1729" s="74"/>
      <c r="H1729" s="74"/>
      <c r="J1729" s="7"/>
      <c r="K1729" s="74"/>
      <c r="L1729" s="74"/>
      <c r="N1729" s="7"/>
      <c r="O1729" s="74"/>
      <c r="P1729" s="74"/>
      <c r="R1729" s="7"/>
      <c r="S1729" s="7"/>
      <c r="T1729" s="66"/>
    </row>
    <row r="1730" spans="1:20" ht="13.2">
      <c r="A1730" s="7"/>
      <c r="B1730" s="7"/>
      <c r="C1730" s="74"/>
      <c r="D1730" s="74"/>
      <c r="F1730" s="7"/>
      <c r="G1730" s="74"/>
      <c r="H1730" s="74"/>
      <c r="J1730" s="7"/>
      <c r="K1730" s="74"/>
      <c r="L1730" s="74"/>
      <c r="N1730" s="7"/>
      <c r="O1730" s="74"/>
      <c r="P1730" s="74"/>
      <c r="R1730" s="7"/>
      <c r="S1730" s="7"/>
      <c r="T1730" s="66"/>
    </row>
    <row r="1731" spans="1:20" ht="13.2">
      <c r="A1731" s="7"/>
      <c r="B1731" s="7"/>
      <c r="C1731" s="74"/>
      <c r="D1731" s="74"/>
      <c r="F1731" s="7"/>
      <c r="G1731" s="74"/>
      <c r="H1731" s="74"/>
      <c r="J1731" s="7"/>
      <c r="K1731" s="74"/>
      <c r="L1731" s="74"/>
      <c r="N1731" s="7"/>
      <c r="O1731" s="74"/>
      <c r="P1731" s="74"/>
      <c r="R1731" s="7"/>
      <c r="S1731" s="7"/>
      <c r="T1731" s="66"/>
    </row>
    <row r="1732" spans="1:20" ht="13.2">
      <c r="A1732" s="7"/>
      <c r="B1732" s="7"/>
      <c r="C1732" s="74"/>
      <c r="D1732" s="74"/>
      <c r="F1732" s="7"/>
      <c r="G1732" s="74"/>
      <c r="H1732" s="74"/>
      <c r="J1732" s="7"/>
      <c r="K1732" s="74"/>
      <c r="L1732" s="74"/>
      <c r="N1732" s="7"/>
      <c r="O1732" s="74"/>
      <c r="P1732" s="74"/>
      <c r="R1732" s="7"/>
      <c r="S1732" s="7"/>
      <c r="T1732" s="66"/>
    </row>
    <row r="1733" spans="1:20" ht="13.2">
      <c r="A1733" s="7"/>
      <c r="B1733" s="7"/>
      <c r="C1733" s="74"/>
      <c r="D1733" s="74"/>
      <c r="F1733" s="7"/>
      <c r="G1733" s="74"/>
      <c r="H1733" s="74"/>
      <c r="J1733" s="7"/>
      <c r="K1733" s="74"/>
      <c r="L1733" s="74"/>
      <c r="N1733" s="7"/>
      <c r="O1733" s="74"/>
      <c r="P1733" s="74"/>
      <c r="R1733" s="7"/>
      <c r="S1733" s="7"/>
      <c r="T1733" s="66"/>
    </row>
    <row r="1734" spans="1:20" ht="13.2">
      <c r="A1734" s="7"/>
      <c r="B1734" s="7"/>
      <c r="C1734" s="74"/>
      <c r="D1734" s="74"/>
      <c r="F1734" s="7"/>
      <c r="G1734" s="74"/>
      <c r="H1734" s="74"/>
      <c r="J1734" s="7"/>
      <c r="K1734" s="74"/>
      <c r="L1734" s="74"/>
      <c r="N1734" s="7"/>
      <c r="O1734" s="74"/>
      <c r="P1734" s="74"/>
      <c r="R1734" s="7"/>
      <c r="S1734" s="7"/>
      <c r="T1734" s="66"/>
    </row>
    <row r="1735" spans="1:20" ht="13.2">
      <c r="A1735" s="7"/>
      <c r="B1735" s="7"/>
      <c r="C1735" s="74"/>
      <c r="D1735" s="74"/>
      <c r="F1735" s="7"/>
      <c r="G1735" s="74"/>
      <c r="H1735" s="74"/>
      <c r="J1735" s="7"/>
      <c r="K1735" s="74"/>
      <c r="L1735" s="74"/>
      <c r="N1735" s="7"/>
      <c r="O1735" s="74"/>
      <c r="P1735" s="74"/>
      <c r="R1735" s="7"/>
      <c r="S1735" s="7"/>
      <c r="T1735" s="66"/>
    </row>
    <row r="1736" spans="1:20" ht="13.2">
      <c r="A1736" s="7"/>
      <c r="B1736" s="7"/>
      <c r="C1736" s="74"/>
      <c r="D1736" s="74"/>
      <c r="F1736" s="7"/>
      <c r="G1736" s="74"/>
      <c r="H1736" s="74"/>
      <c r="J1736" s="7"/>
      <c r="K1736" s="74"/>
      <c r="L1736" s="74"/>
      <c r="N1736" s="7"/>
      <c r="O1736" s="74"/>
      <c r="P1736" s="74"/>
      <c r="R1736" s="7"/>
      <c r="S1736" s="7"/>
      <c r="T1736" s="66"/>
    </row>
    <row r="1737" spans="1:20" ht="13.2">
      <c r="A1737" s="7"/>
      <c r="B1737" s="7"/>
      <c r="C1737" s="74"/>
      <c r="D1737" s="74"/>
      <c r="F1737" s="7"/>
      <c r="G1737" s="74"/>
      <c r="H1737" s="74"/>
      <c r="J1737" s="7"/>
      <c r="K1737" s="74"/>
      <c r="L1737" s="74"/>
      <c r="N1737" s="7"/>
      <c r="O1737" s="74"/>
      <c r="P1737" s="74"/>
      <c r="R1737" s="7"/>
      <c r="S1737" s="7"/>
      <c r="T1737" s="66"/>
    </row>
    <row r="1738" spans="1:20" ht="13.2">
      <c r="A1738" s="7"/>
      <c r="B1738" s="7"/>
      <c r="C1738" s="74"/>
      <c r="D1738" s="74"/>
      <c r="F1738" s="7"/>
      <c r="G1738" s="74"/>
      <c r="H1738" s="74"/>
      <c r="J1738" s="7"/>
      <c r="K1738" s="74"/>
      <c r="L1738" s="74"/>
      <c r="N1738" s="7"/>
      <c r="O1738" s="74"/>
      <c r="P1738" s="74"/>
      <c r="R1738" s="7"/>
      <c r="S1738" s="7"/>
      <c r="T1738" s="66"/>
    </row>
    <row r="1739" spans="1:20" ht="13.2">
      <c r="A1739" s="7"/>
      <c r="B1739" s="7"/>
      <c r="C1739" s="74"/>
      <c r="D1739" s="74"/>
      <c r="F1739" s="7"/>
      <c r="G1739" s="74"/>
      <c r="H1739" s="74"/>
      <c r="J1739" s="7"/>
      <c r="K1739" s="74"/>
      <c r="L1739" s="74"/>
      <c r="N1739" s="7"/>
      <c r="O1739" s="74"/>
      <c r="P1739" s="74"/>
      <c r="R1739" s="7"/>
      <c r="S1739" s="7"/>
      <c r="T1739" s="66"/>
    </row>
    <row r="1740" spans="1:20" ht="13.2">
      <c r="A1740" s="7"/>
      <c r="B1740" s="7"/>
      <c r="C1740" s="74"/>
      <c r="D1740" s="74"/>
      <c r="F1740" s="7"/>
      <c r="G1740" s="74"/>
      <c r="H1740" s="74"/>
      <c r="J1740" s="7"/>
      <c r="K1740" s="74"/>
      <c r="L1740" s="74"/>
      <c r="N1740" s="7"/>
      <c r="O1740" s="74"/>
      <c r="P1740" s="74"/>
      <c r="R1740" s="7"/>
      <c r="S1740" s="7"/>
      <c r="T1740" s="66"/>
    </row>
    <row r="1741" spans="1:20" ht="13.2">
      <c r="A1741" s="7"/>
      <c r="B1741" s="7"/>
      <c r="C1741" s="74"/>
      <c r="D1741" s="74"/>
      <c r="F1741" s="7"/>
      <c r="G1741" s="74"/>
      <c r="H1741" s="74"/>
      <c r="J1741" s="7"/>
      <c r="K1741" s="74"/>
      <c r="L1741" s="74"/>
      <c r="N1741" s="7"/>
      <c r="O1741" s="74"/>
      <c r="P1741" s="74"/>
      <c r="R1741" s="7"/>
      <c r="S1741" s="7"/>
      <c r="T1741" s="66"/>
    </row>
    <row r="1742" spans="1:20" ht="13.2">
      <c r="A1742" s="7"/>
      <c r="B1742" s="7"/>
      <c r="C1742" s="74"/>
      <c r="D1742" s="74"/>
      <c r="F1742" s="7"/>
      <c r="G1742" s="74"/>
      <c r="H1742" s="74"/>
      <c r="J1742" s="7"/>
      <c r="K1742" s="74"/>
      <c r="L1742" s="74"/>
      <c r="N1742" s="7"/>
      <c r="O1742" s="74"/>
      <c r="P1742" s="74"/>
      <c r="R1742" s="7"/>
      <c r="S1742" s="7"/>
      <c r="T1742" s="66"/>
    </row>
    <row r="1743" spans="1:20" ht="13.2">
      <c r="A1743" s="7"/>
      <c r="B1743" s="7"/>
      <c r="C1743" s="74"/>
      <c r="D1743" s="74"/>
      <c r="F1743" s="7"/>
      <c r="G1743" s="74"/>
      <c r="H1743" s="74"/>
      <c r="J1743" s="7"/>
      <c r="K1743" s="74"/>
      <c r="L1743" s="74"/>
      <c r="N1743" s="7"/>
      <c r="O1743" s="74"/>
      <c r="P1743" s="74"/>
      <c r="R1743" s="7"/>
      <c r="S1743" s="7"/>
      <c r="T1743" s="66"/>
    </row>
    <row r="1744" spans="1:20" ht="13.2">
      <c r="A1744" s="7"/>
      <c r="B1744" s="7"/>
      <c r="C1744" s="74"/>
      <c r="D1744" s="74"/>
      <c r="F1744" s="7"/>
      <c r="G1744" s="74"/>
      <c r="H1744" s="74"/>
      <c r="J1744" s="7"/>
      <c r="K1744" s="74"/>
      <c r="L1744" s="74"/>
      <c r="N1744" s="7"/>
      <c r="O1744" s="74"/>
      <c r="P1744" s="74"/>
      <c r="R1744" s="7"/>
      <c r="S1744" s="7"/>
      <c r="T1744" s="66"/>
    </row>
    <row r="1745" spans="1:20" ht="13.2">
      <c r="A1745" s="7"/>
      <c r="B1745" s="7"/>
      <c r="C1745" s="74"/>
      <c r="D1745" s="74"/>
      <c r="F1745" s="7"/>
      <c r="G1745" s="74"/>
      <c r="H1745" s="74"/>
      <c r="J1745" s="7"/>
      <c r="K1745" s="74"/>
      <c r="L1745" s="74"/>
      <c r="N1745" s="7"/>
      <c r="O1745" s="74"/>
      <c r="P1745" s="74"/>
      <c r="R1745" s="7"/>
      <c r="S1745" s="7"/>
      <c r="T1745" s="66"/>
    </row>
    <row r="1746" spans="1:20" ht="13.2">
      <c r="A1746" s="7"/>
      <c r="B1746" s="7"/>
      <c r="C1746" s="74"/>
      <c r="D1746" s="74"/>
      <c r="F1746" s="7"/>
      <c r="G1746" s="74"/>
      <c r="H1746" s="74"/>
      <c r="J1746" s="7"/>
      <c r="K1746" s="74"/>
      <c r="L1746" s="74"/>
      <c r="N1746" s="7"/>
      <c r="O1746" s="74"/>
      <c r="P1746" s="74"/>
      <c r="R1746" s="7"/>
      <c r="S1746" s="7"/>
      <c r="T1746" s="66"/>
    </row>
    <row r="1747" spans="1:20" ht="13.2">
      <c r="A1747" s="7"/>
      <c r="B1747" s="7"/>
      <c r="C1747" s="74"/>
      <c r="D1747" s="74"/>
      <c r="F1747" s="7"/>
      <c r="G1747" s="74"/>
      <c r="H1747" s="74"/>
      <c r="J1747" s="7"/>
      <c r="K1747" s="74"/>
      <c r="L1747" s="74"/>
      <c r="N1747" s="7"/>
      <c r="O1747" s="74"/>
      <c r="P1747" s="74"/>
      <c r="R1747" s="7"/>
      <c r="S1747" s="7"/>
      <c r="T1747" s="66"/>
    </row>
    <row r="1748" spans="1:20" ht="13.2">
      <c r="A1748" s="7"/>
      <c r="B1748" s="7"/>
      <c r="C1748" s="74"/>
      <c r="D1748" s="74"/>
      <c r="F1748" s="7"/>
      <c r="G1748" s="74"/>
      <c r="H1748" s="74"/>
      <c r="J1748" s="7"/>
      <c r="K1748" s="74"/>
      <c r="L1748" s="74"/>
      <c r="N1748" s="7"/>
      <c r="O1748" s="74"/>
      <c r="P1748" s="74"/>
      <c r="R1748" s="7"/>
      <c r="S1748" s="7"/>
      <c r="T1748" s="66"/>
    </row>
    <row r="1749" spans="1:20" ht="13.2">
      <c r="A1749" s="7"/>
      <c r="B1749" s="7"/>
      <c r="C1749" s="74"/>
      <c r="D1749" s="74"/>
      <c r="F1749" s="7"/>
      <c r="G1749" s="74"/>
      <c r="H1749" s="74"/>
      <c r="J1749" s="7"/>
      <c r="K1749" s="74"/>
      <c r="L1749" s="74"/>
      <c r="N1749" s="7"/>
      <c r="O1749" s="74"/>
      <c r="P1749" s="74"/>
      <c r="R1749" s="7"/>
      <c r="S1749" s="7"/>
      <c r="T1749" s="66"/>
    </row>
    <row r="1750" spans="1:20" ht="13.2">
      <c r="A1750" s="7"/>
      <c r="B1750" s="7"/>
      <c r="C1750" s="74"/>
      <c r="D1750" s="74"/>
      <c r="F1750" s="7"/>
      <c r="G1750" s="74"/>
      <c r="H1750" s="74"/>
      <c r="J1750" s="7"/>
      <c r="K1750" s="74"/>
      <c r="L1750" s="74"/>
      <c r="N1750" s="7"/>
      <c r="O1750" s="74"/>
      <c r="P1750" s="74"/>
      <c r="R1750" s="7"/>
      <c r="S1750" s="7"/>
      <c r="T1750" s="66"/>
    </row>
    <row r="1751" spans="1:20" ht="13.2">
      <c r="A1751" s="7"/>
      <c r="B1751" s="7"/>
      <c r="C1751" s="74"/>
      <c r="D1751" s="74"/>
      <c r="F1751" s="7"/>
      <c r="G1751" s="74"/>
      <c r="H1751" s="74"/>
      <c r="J1751" s="7"/>
      <c r="K1751" s="74"/>
      <c r="L1751" s="74"/>
      <c r="N1751" s="7"/>
      <c r="O1751" s="74"/>
      <c r="P1751" s="74"/>
      <c r="R1751" s="7"/>
      <c r="S1751" s="7"/>
      <c r="T1751" s="66"/>
    </row>
    <row r="1752" spans="1:20" ht="13.2">
      <c r="A1752" s="7"/>
      <c r="B1752" s="7"/>
      <c r="C1752" s="74"/>
      <c r="D1752" s="74"/>
      <c r="F1752" s="7"/>
      <c r="G1752" s="74"/>
      <c r="H1752" s="74"/>
      <c r="J1752" s="7"/>
      <c r="K1752" s="74"/>
      <c r="L1752" s="74"/>
      <c r="N1752" s="7"/>
      <c r="O1752" s="74"/>
      <c r="P1752" s="74"/>
      <c r="R1752" s="7"/>
      <c r="S1752" s="7"/>
      <c r="T1752" s="66"/>
    </row>
    <row r="1753" spans="1:20" ht="13.2">
      <c r="A1753" s="7"/>
      <c r="B1753" s="7"/>
      <c r="C1753" s="74"/>
      <c r="D1753" s="74"/>
      <c r="F1753" s="7"/>
      <c r="G1753" s="74"/>
      <c r="H1753" s="74"/>
      <c r="J1753" s="7"/>
      <c r="K1753" s="74"/>
      <c r="L1753" s="74"/>
      <c r="N1753" s="7"/>
      <c r="O1753" s="74"/>
      <c r="P1753" s="74"/>
      <c r="R1753" s="7"/>
      <c r="S1753" s="7"/>
      <c r="T1753" s="66"/>
    </row>
    <row r="1754" spans="1:20" ht="13.2">
      <c r="A1754" s="7"/>
      <c r="B1754" s="7"/>
      <c r="C1754" s="74"/>
      <c r="D1754" s="74"/>
      <c r="F1754" s="7"/>
      <c r="G1754" s="74"/>
      <c r="H1754" s="74"/>
      <c r="J1754" s="7"/>
      <c r="K1754" s="74"/>
      <c r="L1754" s="74"/>
      <c r="N1754" s="7"/>
      <c r="O1754" s="74"/>
      <c r="P1754" s="74"/>
      <c r="R1754" s="7"/>
      <c r="S1754" s="7"/>
      <c r="T1754" s="66"/>
    </row>
    <row r="1755" spans="1:20" ht="13.2">
      <c r="A1755" s="7"/>
      <c r="B1755" s="7"/>
      <c r="C1755" s="74"/>
      <c r="D1755" s="74"/>
      <c r="F1755" s="7"/>
      <c r="G1755" s="74"/>
      <c r="H1755" s="74"/>
      <c r="J1755" s="7"/>
      <c r="K1755" s="74"/>
      <c r="L1755" s="74"/>
      <c r="N1755" s="7"/>
      <c r="O1755" s="74"/>
      <c r="P1755" s="74"/>
      <c r="R1755" s="7"/>
      <c r="S1755" s="7"/>
      <c r="T1755" s="66"/>
    </row>
    <row r="1756" spans="1:20" ht="13.2">
      <c r="A1756" s="7"/>
      <c r="B1756" s="7"/>
      <c r="C1756" s="74"/>
      <c r="D1756" s="74"/>
      <c r="F1756" s="7"/>
      <c r="G1756" s="74"/>
      <c r="H1756" s="74"/>
      <c r="J1756" s="7"/>
      <c r="K1756" s="74"/>
      <c r="L1756" s="74"/>
      <c r="N1756" s="7"/>
      <c r="O1756" s="74"/>
      <c r="P1756" s="74"/>
      <c r="R1756" s="7"/>
      <c r="S1756" s="7"/>
      <c r="T1756" s="66"/>
    </row>
    <row r="1757" spans="1:20" ht="13.2">
      <c r="A1757" s="7"/>
      <c r="B1757" s="7"/>
      <c r="C1757" s="74"/>
      <c r="D1757" s="74"/>
      <c r="F1757" s="7"/>
      <c r="G1757" s="74"/>
      <c r="H1757" s="74"/>
      <c r="J1757" s="7"/>
      <c r="K1757" s="74"/>
      <c r="L1757" s="74"/>
      <c r="N1757" s="7"/>
      <c r="O1757" s="74"/>
      <c r="P1757" s="74"/>
      <c r="R1757" s="7"/>
      <c r="S1757" s="7"/>
      <c r="T1757" s="66"/>
    </row>
    <row r="1758" spans="1:20" ht="13.2">
      <c r="A1758" s="7"/>
      <c r="B1758" s="7"/>
      <c r="C1758" s="74"/>
      <c r="D1758" s="74"/>
      <c r="F1758" s="7"/>
      <c r="G1758" s="74"/>
      <c r="H1758" s="74"/>
      <c r="J1758" s="7"/>
      <c r="K1758" s="74"/>
      <c r="L1758" s="74"/>
      <c r="N1758" s="7"/>
      <c r="O1758" s="74"/>
      <c r="P1758" s="74"/>
      <c r="R1758" s="7"/>
      <c r="S1758" s="7"/>
      <c r="T1758" s="66"/>
    </row>
    <row r="1759" spans="1:20" ht="13.2">
      <c r="A1759" s="7"/>
      <c r="B1759" s="7"/>
      <c r="C1759" s="74"/>
      <c r="D1759" s="74"/>
      <c r="F1759" s="7"/>
      <c r="G1759" s="74"/>
      <c r="H1759" s="74"/>
      <c r="J1759" s="7"/>
      <c r="K1759" s="74"/>
      <c r="L1759" s="74"/>
      <c r="N1759" s="7"/>
      <c r="O1759" s="74"/>
      <c r="P1759" s="74"/>
      <c r="R1759" s="7"/>
      <c r="S1759" s="7"/>
      <c r="T1759" s="66"/>
    </row>
    <row r="1760" spans="1:20" ht="13.2">
      <c r="A1760" s="7"/>
      <c r="B1760" s="7"/>
      <c r="C1760" s="74"/>
      <c r="D1760" s="74"/>
      <c r="F1760" s="7"/>
      <c r="G1760" s="74"/>
      <c r="H1760" s="74"/>
      <c r="J1760" s="7"/>
      <c r="K1760" s="74"/>
      <c r="L1760" s="74"/>
      <c r="N1760" s="7"/>
      <c r="O1760" s="74"/>
      <c r="P1760" s="74"/>
      <c r="R1760" s="7"/>
      <c r="S1760" s="7"/>
      <c r="T1760" s="66"/>
    </row>
    <row r="1761" spans="1:20" ht="13.2">
      <c r="A1761" s="7"/>
      <c r="B1761" s="7"/>
      <c r="C1761" s="74"/>
      <c r="D1761" s="74"/>
      <c r="F1761" s="7"/>
      <c r="G1761" s="74"/>
      <c r="H1761" s="74"/>
      <c r="J1761" s="7"/>
      <c r="K1761" s="74"/>
      <c r="L1761" s="74"/>
      <c r="N1761" s="7"/>
      <c r="O1761" s="74"/>
      <c r="P1761" s="74"/>
      <c r="R1761" s="7"/>
      <c r="S1761" s="7"/>
      <c r="T1761" s="66"/>
    </row>
    <row r="1762" spans="1:20" ht="13.2">
      <c r="A1762" s="7"/>
      <c r="B1762" s="7"/>
      <c r="C1762" s="74"/>
      <c r="D1762" s="74"/>
      <c r="F1762" s="7"/>
      <c r="G1762" s="74"/>
      <c r="H1762" s="74"/>
      <c r="J1762" s="7"/>
      <c r="K1762" s="74"/>
      <c r="L1762" s="74"/>
      <c r="N1762" s="7"/>
      <c r="O1762" s="74"/>
      <c r="P1762" s="74"/>
      <c r="R1762" s="7"/>
      <c r="S1762" s="7"/>
      <c r="T1762" s="66"/>
    </row>
    <row r="1763" spans="1:20" ht="13.2">
      <c r="A1763" s="7"/>
      <c r="B1763" s="7"/>
      <c r="C1763" s="74"/>
      <c r="D1763" s="74"/>
      <c r="F1763" s="7"/>
      <c r="G1763" s="74"/>
      <c r="H1763" s="74"/>
      <c r="J1763" s="7"/>
      <c r="K1763" s="74"/>
      <c r="L1763" s="74"/>
      <c r="N1763" s="7"/>
      <c r="O1763" s="74"/>
      <c r="P1763" s="74"/>
      <c r="R1763" s="7"/>
      <c r="S1763" s="7"/>
      <c r="T1763" s="66"/>
    </row>
    <row r="1764" spans="1:20" ht="13.2">
      <c r="A1764" s="7"/>
      <c r="B1764" s="7"/>
      <c r="C1764" s="74"/>
      <c r="D1764" s="74"/>
      <c r="F1764" s="7"/>
      <c r="G1764" s="74"/>
      <c r="H1764" s="74"/>
      <c r="J1764" s="7"/>
      <c r="K1764" s="74"/>
      <c r="L1764" s="74"/>
      <c r="N1764" s="7"/>
      <c r="O1764" s="74"/>
      <c r="P1764" s="74"/>
      <c r="R1764" s="7"/>
      <c r="S1764" s="7"/>
      <c r="T1764" s="66"/>
    </row>
    <row r="1765" spans="1:20" ht="13.2">
      <c r="A1765" s="7"/>
      <c r="B1765" s="7"/>
      <c r="C1765" s="74"/>
      <c r="D1765" s="74"/>
      <c r="F1765" s="7"/>
      <c r="G1765" s="74"/>
      <c r="H1765" s="74"/>
      <c r="J1765" s="7"/>
      <c r="K1765" s="74"/>
      <c r="L1765" s="74"/>
      <c r="N1765" s="7"/>
      <c r="O1765" s="74"/>
      <c r="P1765" s="74"/>
      <c r="R1765" s="7"/>
      <c r="S1765" s="7"/>
      <c r="T1765" s="66"/>
    </row>
    <row r="1766" spans="1:20" ht="13.2">
      <c r="A1766" s="7"/>
      <c r="B1766" s="7"/>
      <c r="C1766" s="74"/>
      <c r="D1766" s="74"/>
      <c r="F1766" s="7"/>
      <c r="G1766" s="74"/>
      <c r="H1766" s="74"/>
      <c r="J1766" s="7"/>
      <c r="K1766" s="74"/>
      <c r="L1766" s="74"/>
      <c r="N1766" s="7"/>
      <c r="O1766" s="74"/>
      <c r="P1766" s="74"/>
      <c r="R1766" s="7"/>
      <c r="S1766" s="7"/>
      <c r="T1766" s="66"/>
    </row>
    <row r="1767" spans="1:20" ht="13.2">
      <c r="A1767" s="7"/>
      <c r="B1767" s="7"/>
      <c r="C1767" s="74"/>
      <c r="D1767" s="74"/>
      <c r="F1767" s="7"/>
      <c r="G1767" s="74"/>
      <c r="H1767" s="74"/>
      <c r="J1767" s="7"/>
      <c r="K1767" s="74"/>
      <c r="L1767" s="74"/>
      <c r="N1767" s="7"/>
      <c r="O1767" s="74"/>
      <c r="P1767" s="74"/>
      <c r="R1767" s="7"/>
      <c r="S1767" s="7"/>
      <c r="T1767" s="66"/>
    </row>
    <row r="1768" spans="1:20" ht="13.2">
      <c r="A1768" s="7"/>
      <c r="B1768" s="7"/>
      <c r="C1768" s="74"/>
      <c r="D1768" s="74"/>
      <c r="F1768" s="7"/>
      <c r="G1768" s="74"/>
      <c r="H1768" s="74"/>
      <c r="J1768" s="7"/>
      <c r="K1768" s="74"/>
      <c r="L1768" s="74"/>
      <c r="N1768" s="7"/>
      <c r="O1768" s="74"/>
      <c r="P1768" s="74"/>
      <c r="R1768" s="7"/>
      <c r="S1768" s="7"/>
      <c r="T1768" s="66"/>
    </row>
    <row r="1769" spans="1:20" ht="13.2">
      <c r="A1769" s="7"/>
      <c r="B1769" s="7"/>
      <c r="C1769" s="74"/>
      <c r="D1769" s="74"/>
      <c r="F1769" s="7"/>
      <c r="G1769" s="74"/>
      <c r="H1769" s="74"/>
      <c r="J1769" s="7"/>
      <c r="K1769" s="74"/>
      <c r="L1769" s="74"/>
      <c r="N1769" s="7"/>
      <c r="O1769" s="74"/>
      <c r="P1769" s="74"/>
      <c r="R1769" s="7"/>
      <c r="S1769" s="7"/>
      <c r="T1769" s="66"/>
    </row>
    <row r="1770" spans="1:20" ht="13.2">
      <c r="A1770" s="7"/>
      <c r="B1770" s="7"/>
      <c r="C1770" s="74"/>
      <c r="D1770" s="74"/>
      <c r="F1770" s="7"/>
      <c r="G1770" s="74"/>
      <c r="H1770" s="74"/>
      <c r="J1770" s="7"/>
      <c r="K1770" s="74"/>
      <c r="L1770" s="74"/>
      <c r="N1770" s="7"/>
      <c r="O1770" s="74"/>
      <c r="P1770" s="74"/>
      <c r="R1770" s="7"/>
      <c r="S1770" s="7"/>
      <c r="T1770" s="66"/>
    </row>
    <row r="1771" spans="1:20" ht="13.2">
      <c r="A1771" s="7"/>
      <c r="B1771" s="7"/>
      <c r="C1771" s="74"/>
      <c r="D1771" s="74"/>
      <c r="F1771" s="7"/>
      <c r="G1771" s="74"/>
      <c r="H1771" s="74"/>
      <c r="J1771" s="7"/>
      <c r="K1771" s="74"/>
      <c r="L1771" s="74"/>
      <c r="N1771" s="7"/>
      <c r="O1771" s="74"/>
      <c r="P1771" s="74"/>
      <c r="R1771" s="7"/>
      <c r="S1771" s="7"/>
      <c r="T1771" s="66"/>
    </row>
    <row r="1772" spans="1:20" ht="13.2">
      <c r="A1772" s="7"/>
      <c r="B1772" s="7"/>
      <c r="C1772" s="74"/>
      <c r="D1772" s="74"/>
      <c r="F1772" s="7"/>
      <c r="G1772" s="74"/>
      <c r="H1772" s="74"/>
      <c r="J1772" s="7"/>
      <c r="K1772" s="74"/>
      <c r="L1772" s="74"/>
      <c r="N1772" s="7"/>
      <c r="O1772" s="74"/>
      <c r="P1772" s="74"/>
      <c r="R1772" s="7"/>
      <c r="S1772" s="7"/>
      <c r="T1772" s="66"/>
    </row>
    <row r="1773" spans="1:20" ht="13.2">
      <c r="A1773" s="7"/>
      <c r="B1773" s="7"/>
      <c r="C1773" s="74"/>
      <c r="D1773" s="74"/>
      <c r="F1773" s="7"/>
      <c r="G1773" s="74"/>
      <c r="H1773" s="74"/>
      <c r="J1773" s="7"/>
      <c r="K1773" s="74"/>
      <c r="L1773" s="74"/>
      <c r="N1773" s="7"/>
      <c r="O1773" s="74"/>
      <c r="P1773" s="74"/>
      <c r="R1773" s="7"/>
      <c r="S1773" s="7"/>
      <c r="T1773" s="66"/>
    </row>
    <row r="1774" spans="1:20" ht="13.2">
      <c r="A1774" s="7"/>
      <c r="B1774" s="7"/>
      <c r="C1774" s="74"/>
      <c r="D1774" s="74"/>
      <c r="F1774" s="7"/>
      <c r="G1774" s="74"/>
      <c r="H1774" s="74"/>
      <c r="J1774" s="7"/>
      <c r="K1774" s="74"/>
      <c r="L1774" s="74"/>
      <c r="N1774" s="7"/>
      <c r="O1774" s="74"/>
      <c r="P1774" s="74"/>
      <c r="R1774" s="7"/>
      <c r="S1774" s="7"/>
      <c r="T1774" s="66"/>
    </row>
    <row r="1775" spans="1:20" ht="13.2">
      <c r="A1775" s="7"/>
      <c r="B1775" s="7"/>
      <c r="C1775" s="74"/>
      <c r="D1775" s="74"/>
      <c r="F1775" s="7"/>
      <c r="G1775" s="74"/>
      <c r="H1775" s="74"/>
      <c r="J1775" s="7"/>
      <c r="K1775" s="74"/>
      <c r="L1775" s="74"/>
      <c r="N1775" s="7"/>
      <c r="O1775" s="74"/>
      <c r="P1775" s="74"/>
      <c r="R1775" s="7"/>
      <c r="S1775" s="7"/>
      <c r="T1775" s="66"/>
    </row>
    <row r="1776" spans="1:20" ht="13.2">
      <c r="A1776" s="7"/>
      <c r="B1776" s="7"/>
      <c r="C1776" s="74"/>
      <c r="D1776" s="74"/>
      <c r="F1776" s="7"/>
      <c r="G1776" s="74"/>
      <c r="H1776" s="74"/>
      <c r="J1776" s="7"/>
      <c r="K1776" s="74"/>
      <c r="L1776" s="74"/>
      <c r="N1776" s="7"/>
      <c r="O1776" s="74"/>
      <c r="P1776" s="74"/>
      <c r="R1776" s="7"/>
      <c r="S1776" s="7"/>
      <c r="T1776" s="66"/>
    </row>
    <row r="1777" spans="1:20" ht="13.2">
      <c r="A1777" s="7"/>
      <c r="B1777" s="7"/>
      <c r="C1777" s="74"/>
      <c r="D1777" s="74"/>
      <c r="F1777" s="7"/>
      <c r="G1777" s="74"/>
      <c r="H1777" s="74"/>
      <c r="J1777" s="7"/>
      <c r="K1777" s="74"/>
      <c r="L1777" s="74"/>
      <c r="N1777" s="7"/>
      <c r="O1777" s="74"/>
      <c r="P1777" s="74"/>
      <c r="R1777" s="7"/>
      <c r="S1777" s="7"/>
      <c r="T1777" s="66"/>
    </row>
    <row r="1778" spans="1:20" ht="13.2">
      <c r="A1778" s="7"/>
      <c r="B1778" s="7"/>
      <c r="C1778" s="74"/>
      <c r="D1778" s="74"/>
      <c r="F1778" s="7"/>
      <c r="G1778" s="74"/>
      <c r="H1778" s="74"/>
      <c r="J1778" s="7"/>
      <c r="K1778" s="74"/>
      <c r="L1778" s="74"/>
      <c r="N1778" s="7"/>
      <c r="O1778" s="74"/>
      <c r="P1778" s="74"/>
      <c r="R1778" s="7"/>
      <c r="S1778" s="7"/>
      <c r="T1778" s="66"/>
    </row>
    <row r="1779" spans="1:20" ht="13.2">
      <c r="A1779" s="7"/>
      <c r="B1779" s="7"/>
      <c r="C1779" s="74"/>
      <c r="D1779" s="74"/>
      <c r="F1779" s="7"/>
      <c r="G1779" s="74"/>
      <c r="H1779" s="74"/>
      <c r="J1779" s="7"/>
      <c r="K1779" s="74"/>
      <c r="L1779" s="74"/>
      <c r="N1779" s="7"/>
      <c r="O1779" s="74"/>
      <c r="P1779" s="74"/>
      <c r="R1779" s="7"/>
      <c r="S1779" s="7"/>
      <c r="T1779" s="66"/>
    </row>
    <row r="1780" spans="1:20" ht="13.2">
      <c r="A1780" s="7"/>
      <c r="B1780" s="7"/>
      <c r="C1780" s="74"/>
      <c r="D1780" s="74"/>
      <c r="F1780" s="7"/>
      <c r="G1780" s="74"/>
      <c r="H1780" s="74"/>
      <c r="J1780" s="7"/>
      <c r="K1780" s="74"/>
      <c r="L1780" s="74"/>
      <c r="N1780" s="7"/>
      <c r="O1780" s="74"/>
      <c r="P1780" s="74"/>
      <c r="R1780" s="7"/>
      <c r="S1780" s="7"/>
      <c r="T1780" s="66"/>
    </row>
    <row r="1781" spans="1:20" ht="13.2">
      <c r="A1781" s="7"/>
      <c r="B1781" s="7"/>
      <c r="C1781" s="74"/>
      <c r="D1781" s="74"/>
      <c r="F1781" s="7"/>
      <c r="G1781" s="74"/>
      <c r="H1781" s="74"/>
      <c r="J1781" s="7"/>
      <c r="K1781" s="74"/>
      <c r="L1781" s="74"/>
      <c r="N1781" s="7"/>
      <c r="O1781" s="74"/>
      <c r="P1781" s="74"/>
      <c r="R1781" s="7"/>
      <c r="S1781" s="7"/>
      <c r="T1781" s="66"/>
    </row>
    <row r="1782" spans="1:20" ht="13.2">
      <c r="A1782" s="7"/>
      <c r="B1782" s="7"/>
      <c r="C1782" s="74"/>
      <c r="D1782" s="74"/>
      <c r="F1782" s="7"/>
      <c r="G1782" s="74"/>
      <c r="H1782" s="74"/>
      <c r="J1782" s="7"/>
      <c r="K1782" s="74"/>
      <c r="L1782" s="74"/>
      <c r="N1782" s="7"/>
      <c r="O1782" s="74"/>
      <c r="P1782" s="74"/>
      <c r="R1782" s="7"/>
      <c r="S1782" s="7"/>
      <c r="T1782" s="66"/>
    </row>
    <row r="1783" spans="1:20" ht="13.2">
      <c r="A1783" s="7"/>
      <c r="B1783" s="7"/>
      <c r="C1783" s="74"/>
      <c r="D1783" s="74"/>
      <c r="F1783" s="7"/>
      <c r="G1783" s="74"/>
      <c r="H1783" s="74"/>
      <c r="J1783" s="7"/>
      <c r="K1783" s="74"/>
      <c r="L1783" s="74"/>
      <c r="N1783" s="7"/>
      <c r="O1783" s="74"/>
      <c r="P1783" s="74"/>
      <c r="R1783" s="7"/>
      <c r="S1783" s="7"/>
      <c r="T1783" s="66"/>
    </row>
    <row r="1784" spans="1:20" ht="13.2">
      <c r="A1784" s="7"/>
      <c r="B1784" s="7"/>
      <c r="C1784" s="74"/>
      <c r="D1784" s="74"/>
      <c r="F1784" s="7"/>
      <c r="G1784" s="74"/>
      <c r="H1784" s="74"/>
      <c r="J1784" s="7"/>
      <c r="K1784" s="74"/>
      <c r="L1784" s="74"/>
      <c r="N1784" s="7"/>
      <c r="O1784" s="74"/>
      <c r="P1784" s="74"/>
      <c r="R1784" s="7"/>
      <c r="S1784" s="7"/>
      <c r="T1784" s="66"/>
    </row>
    <row r="1785" spans="1:20" ht="13.2">
      <c r="A1785" s="7"/>
      <c r="B1785" s="7"/>
      <c r="C1785" s="74"/>
      <c r="D1785" s="74"/>
      <c r="F1785" s="7"/>
      <c r="G1785" s="74"/>
      <c r="H1785" s="74"/>
      <c r="J1785" s="7"/>
      <c r="K1785" s="74"/>
      <c r="L1785" s="74"/>
      <c r="N1785" s="7"/>
      <c r="O1785" s="74"/>
      <c r="P1785" s="74"/>
      <c r="R1785" s="7"/>
      <c r="S1785" s="7"/>
      <c r="T1785" s="66"/>
    </row>
    <row r="1786" spans="1:20" ht="13.2">
      <c r="A1786" s="7"/>
      <c r="B1786" s="7"/>
      <c r="C1786" s="74"/>
      <c r="D1786" s="74"/>
      <c r="F1786" s="7"/>
      <c r="G1786" s="74"/>
      <c r="H1786" s="74"/>
      <c r="J1786" s="7"/>
      <c r="K1786" s="74"/>
      <c r="L1786" s="74"/>
      <c r="N1786" s="7"/>
      <c r="O1786" s="74"/>
      <c r="P1786" s="74"/>
      <c r="R1786" s="7"/>
      <c r="S1786" s="7"/>
      <c r="T1786" s="66"/>
    </row>
    <row r="1787" spans="1:20" ht="13.2">
      <c r="A1787" s="7"/>
      <c r="B1787" s="7"/>
      <c r="C1787" s="74"/>
      <c r="D1787" s="74"/>
      <c r="F1787" s="7"/>
      <c r="G1787" s="74"/>
      <c r="H1787" s="74"/>
      <c r="J1787" s="7"/>
      <c r="K1787" s="74"/>
      <c r="L1787" s="74"/>
      <c r="N1787" s="7"/>
      <c r="O1787" s="74"/>
      <c r="P1787" s="74"/>
      <c r="R1787" s="7"/>
      <c r="S1787" s="7"/>
      <c r="T1787" s="66"/>
    </row>
    <row r="1788" spans="1:20" ht="13.2">
      <c r="A1788" s="7"/>
      <c r="B1788" s="7"/>
      <c r="C1788" s="74"/>
      <c r="D1788" s="74"/>
      <c r="F1788" s="7"/>
      <c r="G1788" s="74"/>
      <c r="H1788" s="74"/>
      <c r="J1788" s="7"/>
      <c r="K1788" s="74"/>
      <c r="L1788" s="74"/>
      <c r="N1788" s="7"/>
      <c r="O1788" s="74"/>
      <c r="P1788" s="74"/>
      <c r="R1788" s="7"/>
      <c r="S1788" s="7"/>
      <c r="T1788" s="66"/>
    </row>
    <row r="1789" spans="1:20" ht="13.2">
      <c r="A1789" s="7"/>
      <c r="B1789" s="7"/>
      <c r="C1789" s="74"/>
      <c r="D1789" s="74"/>
      <c r="F1789" s="7"/>
      <c r="G1789" s="74"/>
      <c r="H1789" s="74"/>
      <c r="J1789" s="7"/>
      <c r="K1789" s="74"/>
      <c r="L1789" s="74"/>
      <c r="N1789" s="7"/>
      <c r="O1789" s="74"/>
      <c r="P1789" s="74"/>
      <c r="R1789" s="7"/>
      <c r="S1789" s="7"/>
      <c r="T1789" s="66"/>
    </row>
    <row r="1790" spans="1:20" ht="13.2">
      <c r="A1790" s="7"/>
      <c r="B1790" s="7"/>
      <c r="C1790" s="74"/>
      <c r="D1790" s="74"/>
      <c r="F1790" s="7"/>
      <c r="G1790" s="74"/>
      <c r="H1790" s="74"/>
      <c r="J1790" s="7"/>
      <c r="K1790" s="74"/>
      <c r="L1790" s="74"/>
      <c r="N1790" s="7"/>
      <c r="O1790" s="74"/>
      <c r="P1790" s="74"/>
      <c r="R1790" s="7"/>
      <c r="S1790" s="7"/>
      <c r="T1790" s="66"/>
    </row>
    <row r="1791" spans="1:20" ht="13.2">
      <c r="A1791" s="7"/>
      <c r="B1791" s="7"/>
      <c r="C1791" s="74"/>
      <c r="D1791" s="74"/>
      <c r="F1791" s="7"/>
      <c r="G1791" s="74"/>
      <c r="H1791" s="74"/>
      <c r="J1791" s="7"/>
      <c r="K1791" s="74"/>
      <c r="L1791" s="74"/>
      <c r="N1791" s="7"/>
      <c r="O1791" s="74"/>
      <c r="P1791" s="74"/>
      <c r="R1791" s="7"/>
      <c r="S1791" s="7"/>
      <c r="T1791" s="66"/>
    </row>
    <row r="1792" spans="1:20" ht="13.2">
      <c r="A1792" s="7"/>
      <c r="B1792" s="7"/>
      <c r="C1792" s="74"/>
      <c r="D1792" s="74"/>
      <c r="F1792" s="7"/>
      <c r="G1792" s="74"/>
      <c r="H1792" s="74"/>
      <c r="J1792" s="7"/>
      <c r="K1792" s="74"/>
      <c r="L1792" s="74"/>
      <c r="N1792" s="7"/>
      <c r="O1792" s="74"/>
      <c r="P1792" s="74"/>
      <c r="R1792" s="7"/>
      <c r="S1792" s="7"/>
      <c r="T1792" s="66"/>
    </row>
    <row r="1793" spans="1:20" ht="13.2">
      <c r="A1793" s="7"/>
      <c r="B1793" s="7"/>
      <c r="C1793" s="74"/>
      <c r="D1793" s="74"/>
      <c r="F1793" s="7"/>
      <c r="G1793" s="74"/>
      <c r="H1793" s="74"/>
      <c r="J1793" s="7"/>
      <c r="K1793" s="74"/>
      <c r="L1793" s="74"/>
      <c r="N1793" s="7"/>
      <c r="O1793" s="74"/>
      <c r="P1793" s="74"/>
      <c r="R1793" s="7"/>
      <c r="S1793" s="7"/>
      <c r="T1793" s="66"/>
    </row>
    <row r="1794" spans="1:20" ht="13.2">
      <c r="A1794" s="7"/>
      <c r="B1794" s="7"/>
      <c r="C1794" s="74"/>
      <c r="D1794" s="74"/>
      <c r="F1794" s="7"/>
      <c r="G1794" s="74"/>
      <c r="H1794" s="74"/>
      <c r="J1794" s="7"/>
      <c r="K1794" s="74"/>
      <c r="L1794" s="74"/>
      <c r="N1794" s="7"/>
      <c r="O1794" s="74"/>
      <c r="P1794" s="74"/>
      <c r="R1794" s="7"/>
      <c r="S1794" s="7"/>
      <c r="T1794" s="66"/>
    </row>
    <row r="1795" spans="1:20" ht="13.2">
      <c r="A1795" s="7"/>
      <c r="B1795" s="7"/>
      <c r="C1795" s="74"/>
      <c r="D1795" s="74"/>
      <c r="F1795" s="7"/>
      <c r="G1795" s="74"/>
      <c r="H1795" s="74"/>
      <c r="J1795" s="7"/>
      <c r="K1795" s="74"/>
      <c r="L1795" s="74"/>
      <c r="N1795" s="7"/>
      <c r="O1795" s="74"/>
      <c r="P1795" s="74"/>
      <c r="R1795" s="7"/>
      <c r="S1795" s="7"/>
      <c r="T1795" s="66"/>
    </row>
    <row r="1796" spans="1:20" ht="13.2">
      <c r="A1796" s="7"/>
      <c r="B1796" s="7"/>
      <c r="C1796" s="74"/>
      <c r="D1796" s="74"/>
      <c r="F1796" s="7"/>
      <c r="G1796" s="74"/>
      <c r="H1796" s="74"/>
      <c r="J1796" s="7"/>
      <c r="K1796" s="74"/>
      <c r="L1796" s="74"/>
      <c r="N1796" s="7"/>
      <c r="O1796" s="74"/>
      <c r="P1796" s="74"/>
      <c r="R1796" s="7"/>
      <c r="S1796" s="7"/>
      <c r="T1796" s="66"/>
    </row>
    <row r="1797" spans="1:20" ht="13.2">
      <c r="A1797" s="7"/>
      <c r="B1797" s="7"/>
      <c r="C1797" s="74"/>
      <c r="D1797" s="74"/>
      <c r="F1797" s="7"/>
      <c r="G1797" s="74"/>
      <c r="H1797" s="74"/>
      <c r="J1797" s="7"/>
      <c r="K1797" s="74"/>
      <c r="L1797" s="74"/>
      <c r="N1797" s="7"/>
      <c r="O1797" s="74"/>
      <c r="P1797" s="74"/>
      <c r="R1797" s="7"/>
      <c r="S1797" s="7"/>
      <c r="T1797" s="66"/>
    </row>
    <row r="1798" spans="1:20" ht="13.2">
      <c r="A1798" s="7"/>
      <c r="B1798" s="7"/>
      <c r="C1798" s="74"/>
      <c r="D1798" s="74"/>
      <c r="F1798" s="7"/>
      <c r="G1798" s="74"/>
      <c r="H1798" s="74"/>
      <c r="J1798" s="7"/>
      <c r="K1798" s="74"/>
      <c r="L1798" s="74"/>
      <c r="N1798" s="7"/>
      <c r="O1798" s="74"/>
      <c r="P1798" s="74"/>
      <c r="R1798" s="7"/>
      <c r="S1798" s="7"/>
      <c r="T1798" s="66"/>
    </row>
    <row r="1799" spans="1:20" ht="13.2">
      <c r="A1799" s="7"/>
      <c r="B1799" s="7"/>
      <c r="C1799" s="74"/>
      <c r="D1799" s="74"/>
      <c r="F1799" s="7"/>
      <c r="G1799" s="74"/>
      <c r="H1799" s="74"/>
      <c r="J1799" s="7"/>
      <c r="K1799" s="74"/>
      <c r="L1799" s="74"/>
      <c r="N1799" s="7"/>
      <c r="O1799" s="74"/>
      <c r="P1799" s="74"/>
      <c r="R1799" s="7"/>
      <c r="S1799" s="7"/>
      <c r="T1799" s="66"/>
    </row>
    <row r="1800" spans="1:20" ht="13.2">
      <c r="A1800" s="7"/>
      <c r="B1800" s="7"/>
      <c r="C1800" s="74"/>
      <c r="D1800" s="74"/>
      <c r="F1800" s="7"/>
      <c r="G1800" s="74"/>
      <c r="H1800" s="74"/>
      <c r="J1800" s="7"/>
      <c r="K1800" s="74"/>
      <c r="L1800" s="74"/>
      <c r="N1800" s="7"/>
      <c r="O1800" s="74"/>
      <c r="P1800" s="74"/>
      <c r="R1800" s="7"/>
      <c r="S1800" s="7"/>
      <c r="T1800" s="66"/>
    </row>
    <row r="1801" spans="1:20" ht="13.2">
      <c r="A1801" s="7"/>
      <c r="B1801" s="7"/>
      <c r="C1801" s="74"/>
      <c r="D1801" s="74"/>
      <c r="F1801" s="7"/>
      <c r="G1801" s="74"/>
      <c r="H1801" s="74"/>
      <c r="J1801" s="7"/>
      <c r="K1801" s="74"/>
      <c r="L1801" s="74"/>
      <c r="N1801" s="7"/>
      <c r="O1801" s="74"/>
      <c r="P1801" s="74"/>
      <c r="R1801" s="7"/>
      <c r="S1801" s="7"/>
      <c r="T1801" s="66"/>
    </row>
    <row r="1802" spans="1:20" ht="13.2">
      <c r="A1802" s="7"/>
      <c r="B1802" s="7"/>
      <c r="C1802" s="74"/>
      <c r="D1802" s="74"/>
      <c r="F1802" s="7"/>
      <c r="G1802" s="74"/>
      <c r="H1802" s="74"/>
      <c r="J1802" s="7"/>
      <c r="K1802" s="74"/>
      <c r="L1802" s="74"/>
      <c r="N1802" s="7"/>
      <c r="O1802" s="74"/>
      <c r="P1802" s="74"/>
      <c r="R1802" s="7"/>
      <c r="S1802" s="7"/>
      <c r="T1802" s="66"/>
    </row>
    <row r="1803" spans="1:20" ht="13.2">
      <c r="A1803" s="7"/>
      <c r="B1803" s="7"/>
      <c r="C1803" s="74"/>
      <c r="D1803" s="74"/>
      <c r="F1803" s="7"/>
      <c r="G1803" s="74"/>
      <c r="H1803" s="74"/>
      <c r="J1803" s="7"/>
      <c r="K1803" s="74"/>
      <c r="L1803" s="74"/>
      <c r="N1803" s="7"/>
      <c r="O1803" s="74"/>
      <c r="P1803" s="74"/>
      <c r="R1803" s="7"/>
      <c r="S1803" s="7"/>
      <c r="T1803" s="66"/>
    </row>
    <row r="1804" spans="1:20" ht="13.2">
      <c r="A1804" s="7"/>
      <c r="B1804" s="7"/>
      <c r="C1804" s="74"/>
      <c r="D1804" s="74"/>
      <c r="F1804" s="7"/>
      <c r="G1804" s="74"/>
      <c r="H1804" s="74"/>
      <c r="J1804" s="7"/>
      <c r="K1804" s="74"/>
      <c r="L1804" s="74"/>
      <c r="N1804" s="7"/>
      <c r="O1804" s="74"/>
      <c r="P1804" s="74"/>
      <c r="R1804" s="7"/>
      <c r="S1804" s="7"/>
      <c r="T1804" s="66"/>
    </row>
    <row r="1805" spans="1:20" ht="13.2">
      <c r="A1805" s="7"/>
      <c r="B1805" s="7"/>
      <c r="C1805" s="74"/>
      <c r="D1805" s="74"/>
      <c r="F1805" s="7"/>
      <c r="G1805" s="74"/>
      <c r="H1805" s="74"/>
      <c r="J1805" s="7"/>
      <c r="K1805" s="74"/>
      <c r="L1805" s="74"/>
      <c r="N1805" s="7"/>
      <c r="O1805" s="74"/>
      <c r="P1805" s="74"/>
      <c r="R1805" s="7"/>
      <c r="S1805" s="7"/>
      <c r="T1805" s="66"/>
    </row>
    <row r="1806" spans="1:20" ht="13.2">
      <c r="A1806" s="7"/>
      <c r="B1806" s="7"/>
      <c r="C1806" s="74"/>
      <c r="D1806" s="74"/>
      <c r="F1806" s="7"/>
      <c r="G1806" s="74"/>
      <c r="H1806" s="74"/>
      <c r="J1806" s="7"/>
      <c r="K1806" s="74"/>
      <c r="L1806" s="74"/>
      <c r="N1806" s="7"/>
      <c r="O1806" s="74"/>
      <c r="P1806" s="74"/>
      <c r="R1806" s="7"/>
      <c r="S1806" s="7"/>
      <c r="T1806" s="66"/>
    </row>
    <row r="1807" spans="1:20" ht="13.2">
      <c r="A1807" s="7"/>
      <c r="B1807" s="7"/>
      <c r="C1807" s="74"/>
      <c r="D1807" s="74"/>
      <c r="F1807" s="7"/>
      <c r="G1807" s="74"/>
      <c r="H1807" s="74"/>
      <c r="J1807" s="7"/>
      <c r="K1807" s="74"/>
      <c r="L1807" s="74"/>
      <c r="N1807" s="7"/>
      <c r="O1807" s="74"/>
      <c r="P1807" s="74"/>
      <c r="R1807" s="7"/>
      <c r="S1807" s="7"/>
      <c r="T1807" s="66"/>
    </row>
    <row r="1808" spans="1:20" ht="13.2">
      <c r="A1808" s="7"/>
      <c r="B1808" s="7"/>
      <c r="C1808" s="74"/>
      <c r="D1808" s="74"/>
      <c r="F1808" s="7"/>
      <c r="G1808" s="74"/>
      <c r="H1808" s="74"/>
      <c r="J1808" s="7"/>
      <c r="K1808" s="74"/>
      <c r="L1808" s="74"/>
      <c r="N1808" s="7"/>
      <c r="O1808" s="74"/>
      <c r="P1808" s="74"/>
      <c r="R1808" s="7"/>
      <c r="S1808" s="7"/>
      <c r="T1808" s="66"/>
    </row>
    <row r="1809" spans="1:20" ht="13.2">
      <c r="A1809" s="7"/>
      <c r="B1809" s="7"/>
      <c r="C1809" s="74"/>
      <c r="D1809" s="74"/>
      <c r="F1809" s="7"/>
      <c r="G1809" s="74"/>
      <c r="H1809" s="74"/>
      <c r="J1809" s="7"/>
      <c r="K1809" s="74"/>
      <c r="L1809" s="74"/>
      <c r="N1809" s="7"/>
      <c r="O1809" s="74"/>
      <c r="P1809" s="74"/>
      <c r="R1809" s="7"/>
      <c r="S1809" s="7"/>
      <c r="T1809" s="66"/>
    </row>
    <row r="1810" spans="1:20" ht="13.2">
      <c r="A1810" s="7"/>
      <c r="B1810" s="7"/>
      <c r="C1810" s="74"/>
      <c r="D1810" s="74"/>
      <c r="F1810" s="7"/>
      <c r="G1810" s="74"/>
      <c r="H1810" s="74"/>
      <c r="J1810" s="7"/>
      <c r="K1810" s="74"/>
      <c r="L1810" s="74"/>
      <c r="N1810" s="7"/>
      <c r="O1810" s="74"/>
      <c r="P1810" s="74"/>
      <c r="R1810" s="7"/>
      <c r="S1810" s="7"/>
      <c r="T1810" s="66"/>
    </row>
    <row r="1811" spans="1:20" ht="13.2">
      <c r="A1811" s="7"/>
      <c r="B1811" s="7"/>
      <c r="C1811" s="74"/>
      <c r="D1811" s="74"/>
      <c r="F1811" s="7"/>
      <c r="G1811" s="74"/>
      <c r="H1811" s="74"/>
      <c r="J1811" s="7"/>
      <c r="K1811" s="74"/>
      <c r="L1811" s="74"/>
      <c r="N1811" s="7"/>
      <c r="O1811" s="74"/>
      <c r="P1811" s="74"/>
      <c r="R1811" s="7"/>
      <c r="S1811" s="7"/>
      <c r="T1811" s="66"/>
    </row>
    <row r="1812" spans="1:20" ht="13.2">
      <c r="A1812" s="7"/>
      <c r="B1812" s="7"/>
      <c r="C1812" s="74"/>
      <c r="D1812" s="74"/>
      <c r="F1812" s="7"/>
      <c r="G1812" s="74"/>
      <c r="H1812" s="74"/>
      <c r="J1812" s="7"/>
      <c r="K1812" s="74"/>
      <c r="L1812" s="74"/>
      <c r="N1812" s="7"/>
      <c r="O1812" s="74"/>
      <c r="P1812" s="74"/>
      <c r="R1812" s="7"/>
      <c r="S1812" s="7"/>
      <c r="T1812" s="66"/>
    </row>
    <row r="1813" spans="1:20" ht="13.2">
      <c r="A1813" s="7"/>
      <c r="B1813" s="7"/>
      <c r="C1813" s="74"/>
      <c r="D1813" s="74"/>
      <c r="F1813" s="7"/>
      <c r="G1813" s="74"/>
      <c r="H1813" s="74"/>
      <c r="J1813" s="7"/>
      <c r="K1813" s="74"/>
      <c r="L1813" s="74"/>
      <c r="N1813" s="7"/>
      <c r="O1813" s="74"/>
      <c r="P1813" s="74"/>
      <c r="R1813" s="7"/>
      <c r="S1813" s="7"/>
      <c r="T1813" s="66"/>
    </row>
    <row r="1814" spans="1:20" ht="13.2">
      <c r="A1814" s="7"/>
      <c r="B1814" s="7"/>
      <c r="C1814" s="74"/>
      <c r="D1814" s="74"/>
      <c r="F1814" s="7"/>
      <c r="G1814" s="74"/>
      <c r="H1814" s="74"/>
      <c r="J1814" s="7"/>
      <c r="K1814" s="74"/>
      <c r="L1814" s="74"/>
      <c r="N1814" s="7"/>
      <c r="O1814" s="74"/>
      <c r="P1814" s="74"/>
      <c r="R1814" s="7"/>
      <c r="S1814" s="7"/>
      <c r="T1814" s="66"/>
    </row>
    <row r="1815" spans="1:20" ht="13.2">
      <c r="A1815" s="7"/>
      <c r="B1815" s="7"/>
      <c r="C1815" s="74"/>
      <c r="D1815" s="74"/>
      <c r="F1815" s="7"/>
      <c r="G1815" s="74"/>
      <c r="H1815" s="74"/>
      <c r="J1815" s="7"/>
      <c r="K1815" s="74"/>
      <c r="L1815" s="74"/>
      <c r="N1815" s="7"/>
      <c r="O1815" s="74"/>
      <c r="P1815" s="74"/>
      <c r="R1815" s="7"/>
      <c r="S1815" s="7"/>
      <c r="T1815" s="66"/>
    </row>
    <row r="1816" spans="1:20" ht="13.2">
      <c r="A1816" s="7"/>
      <c r="B1816" s="7"/>
      <c r="C1816" s="74"/>
      <c r="D1816" s="74"/>
      <c r="F1816" s="7"/>
      <c r="G1816" s="74"/>
      <c r="H1816" s="74"/>
      <c r="J1816" s="7"/>
      <c r="K1816" s="74"/>
      <c r="L1816" s="74"/>
      <c r="N1816" s="7"/>
      <c r="O1816" s="74"/>
      <c r="P1816" s="74"/>
      <c r="R1816" s="7"/>
      <c r="S1816" s="7"/>
      <c r="T1816" s="66"/>
    </row>
    <row r="1817" spans="1:20" ht="13.2">
      <c r="A1817" s="7"/>
      <c r="B1817" s="7"/>
      <c r="C1817" s="74"/>
      <c r="D1817" s="74"/>
      <c r="F1817" s="7"/>
      <c r="G1817" s="74"/>
      <c r="H1817" s="74"/>
      <c r="J1817" s="7"/>
      <c r="K1817" s="74"/>
      <c r="L1817" s="74"/>
      <c r="N1817" s="7"/>
      <c r="O1817" s="74"/>
      <c r="P1817" s="74"/>
      <c r="R1817" s="7"/>
      <c r="S1817" s="7"/>
      <c r="T1817" s="66"/>
    </row>
    <row r="1818" spans="1:20" ht="13.2">
      <c r="A1818" s="7"/>
      <c r="B1818" s="7"/>
      <c r="C1818" s="74"/>
      <c r="D1818" s="74"/>
      <c r="F1818" s="7"/>
      <c r="G1818" s="74"/>
      <c r="H1818" s="74"/>
      <c r="J1818" s="7"/>
      <c r="K1818" s="74"/>
      <c r="L1818" s="74"/>
      <c r="N1818" s="7"/>
      <c r="O1818" s="74"/>
      <c r="P1818" s="74"/>
      <c r="R1818" s="7"/>
      <c r="S1818" s="7"/>
      <c r="T1818" s="66"/>
    </row>
    <row r="1819" spans="1:20" ht="13.2">
      <c r="A1819" s="7"/>
      <c r="B1819" s="7"/>
      <c r="C1819" s="74"/>
      <c r="D1819" s="74"/>
      <c r="F1819" s="7"/>
      <c r="G1819" s="74"/>
      <c r="H1819" s="74"/>
      <c r="J1819" s="7"/>
      <c r="K1819" s="74"/>
      <c r="L1819" s="74"/>
      <c r="N1819" s="7"/>
      <c r="O1819" s="74"/>
      <c r="P1819" s="74"/>
      <c r="R1819" s="7"/>
      <c r="S1819" s="7"/>
      <c r="T1819" s="66"/>
    </row>
    <row r="1820" spans="1:20" ht="13.2">
      <c r="A1820" s="7"/>
      <c r="B1820" s="7"/>
      <c r="C1820" s="74"/>
      <c r="D1820" s="74"/>
      <c r="F1820" s="7"/>
      <c r="G1820" s="74"/>
      <c r="H1820" s="74"/>
      <c r="J1820" s="7"/>
      <c r="K1820" s="74"/>
      <c r="L1820" s="74"/>
      <c r="N1820" s="7"/>
      <c r="O1820" s="74"/>
      <c r="P1820" s="74"/>
      <c r="R1820" s="7"/>
      <c r="S1820" s="7"/>
      <c r="T1820" s="66"/>
    </row>
    <row r="1821" spans="1:20" ht="13.2">
      <c r="A1821" s="7"/>
      <c r="B1821" s="7"/>
      <c r="C1821" s="74"/>
      <c r="D1821" s="74"/>
      <c r="F1821" s="7"/>
      <c r="G1821" s="74"/>
      <c r="H1821" s="74"/>
      <c r="J1821" s="7"/>
      <c r="K1821" s="74"/>
      <c r="L1821" s="74"/>
      <c r="N1821" s="7"/>
      <c r="O1821" s="74"/>
      <c r="P1821" s="74"/>
      <c r="R1821" s="7"/>
      <c r="S1821" s="7"/>
      <c r="T1821" s="66"/>
    </row>
    <row r="1822" spans="1:20" ht="13.2">
      <c r="A1822" s="7"/>
      <c r="B1822" s="7"/>
      <c r="C1822" s="74"/>
      <c r="D1822" s="74"/>
      <c r="F1822" s="7"/>
      <c r="G1822" s="74"/>
      <c r="H1822" s="74"/>
      <c r="J1822" s="7"/>
      <c r="K1822" s="74"/>
      <c r="L1822" s="74"/>
      <c r="N1822" s="7"/>
      <c r="O1822" s="74"/>
      <c r="P1822" s="74"/>
      <c r="R1822" s="7"/>
      <c r="S1822" s="7"/>
      <c r="T1822" s="66"/>
    </row>
    <row r="1823" spans="1:20" ht="13.2">
      <c r="A1823" s="7"/>
      <c r="B1823" s="7"/>
      <c r="C1823" s="74"/>
      <c r="D1823" s="74"/>
      <c r="F1823" s="7"/>
      <c r="G1823" s="74"/>
      <c r="H1823" s="74"/>
      <c r="J1823" s="7"/>
      <c r="K1823" s="74"/>
      <c r="L1823" s="74"/>
      <c r="N1823" s="7"/>
      <c r="O1823" s="74"/>
      <c r="P1823" s="74"/>
      <c r="R1823" s="7"/>
      <c r="S1823" s="7"/>
      <c r="T1823" s="66"/>
    </row>
    <row r="1824" spans="1:20" ht="13.2">
      <c r="A1824" s="7"/>
      <c r="B1824" s="7"/>
      <c r="C1824" s="74"/>
      <c r="D1824" s="74"/>
      <c r="F1824" s="7"/>
      <c r="G1824" s="74"/>
      <c r="H1824" s="74"/>
      <c r="J1824" s="7"/>
      <c r="K1824" s="74"/>
      <c r="L1824" s="74"/>
      <c r="N1824" s="7"/>
      <c r="O1824" s="74"/>
      <c r="P1824" s="74"/>
      <c r="R1824" s="7"/>
      <c r="S1824" s="7"/>
      <c r="T1824" s="66"/>
    </row>
    <row r="1825" spans="1:20" ht="13.2">
      <c r="A1825" s="7"/>
      <c r="B1825" s="7"/>
      <c r="C1825" s="74"/>
      <c r="D1825" s="74"/>
      <c r="F1825" s="7"/>
      <c r="G1825" s="74"/>
      <c r="H1825" s="74"/>
      <c r="J1825" s="7"/>
      <c r="K1825" s="74"/>
      <c r="L1825" s="74"/>
      <c r="N1825" s="7"/>
      <c r="O1825" s="74"/>
      <c r="P1825" s="74"/>
      <c r="R1825" s="7"/>
      <c r="S1825" s="7"/>
      <c r="T1825" s="66"/>
    </row>
    <row r="1826" spans="1:20" ht="13.2">
      <c r="A1826" s="7"/>
      <c r="B1826" s="7"/>
      <c r="C1826" s="74"/>
      <c r="D1826" s="74"/>
      <c r="F1826" s="7"/>
      <c r="G1826" s="74"/>
      <c r="H1826" s="74"/>
      <c r="J1826" s="7"/>
      <c r="K1826" s="74"/>
      <c r="L1826" s="74"/>
      <c r="N1826" s="7"/>
      <c r="O1826" s="74"/>
      <c r="P1826" s="74"/>
      <c r="R1826" s="7"/>
      <c r="S1826" s="7"/>
      <c r="T1826" s="66"/>
    </row>
    <row r="1827" spans="1:20" ht="13.2">
      <c r="A1827" s="7"/>
      <c r="B1827" s="7"/>
      <c r="C1827" s="74"/>
      <c r="D1827" s="74"/>
      <c r="F1827" s="7"/>
      <c r="G1827" s="74"/>
      <c r="H1827" s="74"/>
      <c r="J1827" s="7"/>
      <c r="K1827" s="74"/>
      <c r="L1827" s="74"/>
      <c r="N1827" s="7"/>
      <c r="O1827" s="74"/>
      <c r="P1827" s="74"/>
      <c r="R1827" s="7"/>
      <c r="S1827" s="7"/>
      <c r="T1827" s="66"/>
    </row>
    <row r="1828" spans="1:20" ht="13.2">
      <c r="A1828" s="7"/>
      <c r="B1828" s="7"/>
      <c r="C1828" s="74"/>
      <c r="D1828" s="74"/>
      <c r="F1828" s="7"/>
      <c r="G1828" s="74"/>
      <c r="H1828" s="74"/>
      <c r="J1828" s="7"/>
      <c r="K1828" s="74"/>
      <c r="L1828" s="74"/>
      <c r="N1828" s="7"/>
      <c r="O1828" s="74"/>
      <c r="P1828" s="74"/>
      <c r="R1828" s="7"/>
      <c r="S1828" s="7"/>
      <c r="T1828" s="66"/>
    </row>
    <row r="1829" spans="1:20" ht="13.2">
      <c r="A1829" s="7"/>
      <c r="B1829" s="7"/>
      <c r="C1829" s="74"/>
      <c r="D1829" s="74"/>
      <c r="F1829" s="7"/>
      <c r="G1829" s="74"/>
      <c r="H1829" s="74"/>
      <c r="J1829" s="7"/>
      <c r="K1829" s="74"/>
      <c r="L1829" s="74"/>
      <c r="N1829" s="7"/>
      <c r="O1829" s="74"/>
      <c r="P1829" s="74"/>
      <c r="R1829" s="7"/>
      <c r="S1829" s="7"/>
      <c r="T1829" s="66"/>
    </row>
    <row r="1830" spans="1:20" ht="13.2">
      <c r="A1830" s="7"/>
      <c r="B1830" s="7"/>
      <c r="C1830" s="74"/>
      <c r="D1830" s="74"/>
      <c r="F1830" s="7"/>
      <c r="G1830" s="74"/>
      <c r="H1830" s="74"/>
      <c r="J1830" s="7"/>
      <c r="K1830" s="74"/>
      <c r="L1830" s="74"/>
      <c r="N1830" s="7"/>
      <c r="O1830" s="74"/>
      <c r="P1830" s="74"/>
      <c r="R1830" s="7"/>
      <c r="S1830" s="7"/>
      <c r="T1830" s="66"/>
    </row>
    <row r="1831" spans="1:20" ht="13.2">
      <c r="A1831" s="7"/>
      <c r="B1831" s="7"/>
      <c r="C1831" s="74"/>
      <c r="D1831" s="74"/>
      <c r="F1831" s="7"/>
      <c r="G1831" s="74"/>
      <c r="H1831" s="74"/>
      <c r="J1831" s="7"/>
      <c r="K1831" s="74"/>
      <c r="L1831" s="74"/>
      <c r="N1831" s="7"/>
      <c r="O1831" s="74"/>
      <c r="P1831" s="74"/>
      <c r="R1831" s="7"/>
      <c r="S1831" s="7"/>
      <c r="T1831" s="66"/>
    </row>
    <row r="1832" spans="1:20" ht="13.2">
      <c r="A1832" s="7"/>
      <c r="B1832" s="7"/>
      <c r="C1832" s="74"/>
      <c r="D1832" s="74"/>
      <c r="F1832" s="7"/>
      <c r="G1832" s="74"/>
      <c r="H1832" s="74"/>
      <c r="J1832" s="7"/>
      <c r="K1832" s="74"/>
      <c r="L1832" s="74"/>
      <c r="N1832" s="7"/>
      <c r="O1832" s="74"/>
      <c r="P1832" s="74"/>
      <c r="R1832" s="7"/>
      <c r="S1832" s="7"/>
      <c r="T1832" s="66"/>
    </row>
    <row r="1833" spans="1:20" ht="13.2">
      <c r="A1833" s="7"/>
      <c r="B1833" s="7"/>
      <c r="C1833" s="74"/>
      <c r="D1833" s="74"/>
      <c r="F1833" s="7"/>
      <c r="G1833" s="74"/>
      <c r="H1833" s="74"/>
      <c r="J1833" s="7"/>
      <c r="K1833" s="74"/>
      <c r="L1833" s="74"/>
      <c r="N1833" s="7"/>
      <c r="O1833" s="74"/>
      <c r="P1833" s="74"/>
      <c r="R1833" s="7"/>
      <c r="S1833" s="7"/>
      <c r="T1833" s="66"/>
    </row>
    <row r="1834" spans="1:20" ht="13.2">
      <c r="A1834" s="7"/>
      <c r="B1834" s="7"/>
      <c r="C1834" s="74"/>
      <c r="D1834" s="74"/>
      <c r="F1834" s="7"/>
      <c r="G1834" s="74"/>
      <c r="H1834" s="74"/>
      <c r="J1834" s="7"/>
      <c r="K1834" s="74"/>
      <c r="L1834" s="74"/>
      <c r="N1834" s="7"/>
      <c r="O1834" s="74"/>
      <c r="P1834" s="74"/>
      <c r="R1834" s="7"/>
      <c r="S1834" s="7"/>
      <c r="T1834" s="66"/>
    </row>
    <row r="1835" spans="1:20" ht="13.2">
      <c r="A1835" s="7"/>
      <c r="B1835" s="7"/>
      <c r="C1835" s="74"/>
      <c r="D1835" s="74"/>
      <c r="F1835" s="7"/>
      <c r="G1835" s="74"/>
      <c r="H1835" s="74"/>
      <c r="J1835" s="7"/>
      <c r="K1835" s="74"/>
      <c r="L1835" s="74"/>
      <c r="N1835" s="7"/>
      <c r="O1835" s="74"/>
      <c r="P1835" s="74"/>
      <c r="R1835" s="7"/>
      <c r="S1835" s="7"/>
      <c r="T1835" s="66"/>
    </row>
    <row r="1836" spans="1:20" ht="13.2">
      <c r="A1836" s="7"/>
      <c r="B1836" s="7"/>
      <c r="C1836" s="74"/>
      <c r="D1836" s="74"/>
      <c r="F1836" s="7"/>
      <c r="G1836" s="74"/>
      <c r="H1836" s="74"/>
      <c r="J1836" s="7"/>
      <c r="K1836" s="74"/>
      <c r="L1836" s="74"/>
      <c r="N1836" s="7"/>
      <c r="O1836" s="74"/>
      <c r="P1836" s="74"/>
      <c r="R1836" s="7"/>
      <c r="S1836" s="7"/>
      <c r="T1836" s="66"/>
    </row>
    <row r="1837" spans="1:20" ht="13.2">
      <c r="A1837" s="7"/>
      <c r="B1837" s="7"/>
      <c r="C1837" s="74"/>
      <c r="D1837" s="74"/>
      <c r="F1837" s="7"/>
      <c r="G1837" s="74"/>
      <c r="H1837" s="74"/>
      <c r="J1837" s="7"/>
      <c r="K1837" s="74"/>
      <c r="L1837" s="74"/>
      <c r="N1837" s="7"/>
      <c r="O1837" s="74"/>
      <c r="P1837" s="74"/>
      <c r="R1837" s="7"/>
      <c r="S1837" s="7"/>
      <c r="T1837" s="66"/>
    </row>
    <row r="1838" spans="1:20" ht="13.2">
      <c r="A1838" s="7"/>
      <c r="B1838" s="7"/>
      <c r="C1838" s="74"/>
      <c r="D1838" s="74"/>
      <c r="F1838" s="7"/>
      <c r="G1838" s="74"/>
      <c r="H1838" s="74"/>
      <c r="J1838" s="7"/>
      <c r="K1838" s="74"/>
      <c r="L1838" s="74"/>
      <c r="N1838" s="7"/>
      <c r="O1838" s="74"/>
      <c r="P1838" s="74"/>
      <c r="R1838" s="7"/>
      <c r="S1838" s="7"/>
      <c r="T1838" s="66"/>
    </row>
    <row r="1839" spans="1:20" ht="13.2">
      <c r="A1839" s="7"/>
      <c r="B1839" s="7"/>
      <c r="C1839" s="74"/>
      <c r="D1839" s="74"/>
      <c r="F1839" s="7"/>
      <c r="G1839" s="74"/>
      <c r="H1839" s="74"/>
      <c r="J1839" s="7"/>
      <c r="K1839" s="74"/>
      <c r="L1839" s="74"/>
      <c r="N1839" s="7"/>
      <c r="O1839" s="74"/>
      <c r="P1839" s="74"/>
      <c r="R1839" s="7"/>
      <c r="S1839" s="7"/>
      <c r="T1839" s="66"/>
    </row>
    <row r="1840" spans="1:20" ht="13.2">
      <c r="A1840" s="7"/>
      <c r="B1840" s="7"/>
      <c r="C1840" s="74"/>
      <c r="D1840" s="74"/>
      <c r="F1840" s="7"/>
      <c r="G1840" s="74"/>
      <c r="H1840" s="74"/>
      <c r="J1840" s="7"/>
      <c r="K1840" s="74"/>
      <c r="L1840" s="74"/>
      <c r="N1840" s="7"/>
      <c r="O1840" s="74"/>
      <c r="P1840" s="74"/>
      <c r="R1840" s="7"/>
      <c r="S1840" s="7"/>
      <c r="T1840" s="66"/>
    </row>
    <row r="1841" spans="1:20" ht="13.2">
      <c r="A1841" s="7"/>
      <c r="B1841" s="7"/>
      <c r="C1841" s="74"/>
      <c r="D1841" s="74"/>
      <c r="F1841" s="7"/>
      <c r="G1841" s="74"/>
      <c r="H1841" s="74"/>
      <c r="J1841" s="7"/>
      <c r="K1841" s="74"/>
      <c r="L1841" s="74"/>
      <c r="N1841" s="7"/>
      <c r="O1841" s="74"/>
      <c r="P1841" s="74"/>
      <c r="R1841" s="7"/>
      <c r="S1841" s="7"/>
      <c r="T1841" s="66"/>
    </row>
    <row r="1842" spans="1:20" ht="13.2">
      <c r="A1842" s="7"/>
      <c r="B1842" s="7"/>
      <c r="C1842" s="74"/>
      <c r="D1842" s="74"/>
      <c r="F1842" s="7"/>
      <c r="G1842" s="74"/>
      <c r="H1842" s="74"/>
      <c r="J1842" s="7"/>
      <c r="K1842" s="74"/>
      <c r="L1842" s="74"/>
      <c r="N1842" s="7"/>
      <c r="O1842" s="74"/>
      <c r="P1842" s="74"/>
      <c r="R1842" s="7"/>
      <c r="S1842" s="7"/>
      <c r="T1842" s="66"/>
    </row>
    <row r="1843" spans="1:20" ht="13.2">
      <c r="A1843" s="7"/>
      <c r="B1843" s="7"/>
      <c r="C1843" s="74"/>
      <c r="D1843" s="74"/>
      <c r="F1843" s="7"/>
      <c r="G1843" s="74"/>
      <c r="H1843" s="74"/>
      <c r="J1843" s="7"/>
      <c r="K1843" s="74"/>
      <c r="L1843" s="74"/>
      <c r="N1843" s="7"/>
      <c r="O1843" s="74"/>
      <c r="P1843" s="74"/>
      <c r="R1843" s="7"/>
      <c r="S1843" s="7"/>
      <c r="T1843" s="66"/>
    </row>
    <row r="1844" spans="1:20" ht="13.2">
      <c r="A1844" s="7"/>
      <c r="B1844" s="7"/>
      <c r="C1844" s="74"/>
      <c r="D1844" s="74"/>
      <c r="F1844" s="7"/>
      <c r="G1844" s="74"/>
      <c r="H1844" s="74"/>
      <c r="J1844" s="7"/>
      <c r="K1844" s="74"/>
      <c r="L1844" s="74"/>
      <c r="N1844" s="7"/>
      <c r="O1844" s="74"/>
      <c r="P1844" s="74"/>
      <c r="R1844" s="7"/>
      <c r="S1844" s="7"/>
      <c r="T1844" s="66"/>
    </row>
    <row r="1845" spans="1:20" ht="13.2">
      <c r="A1845" s="7"/>
      <c r="B1845" s="7"/>
      <c r="C1845" s="74"/>
      <c r="D1845" s="74"/>
      <c r="F1845" s="7"/>
      <c r="G1845" s="74"/>
      <c r="H1845" s="74"/>
      <c r="J1845" s="7"/>
      <c r="K1845" s="74"/>
      <c r="L1845" s="74"/>
      <c r="N1845" s="7"/>
      <c r="O1845" s="74"/>
      <c r="P1845" s="74"/>
      <c r="R1845" s="7"/>
      <c r="S1845" s="7"/>
      <c r="T1845" s="66"/>
    </row>
    <row r="1846" spans="1:20" ht="13.2">
      <c r="A1846" s="7"/>
      <c r="B1846" s="7"/>
      <c r="C1846" s="74"/>
      <c r="D1846" s="74"/>
      <c r="F1846" s="7"/>
      <c r="G1846" s="74"/>
      <c r="H1846" s="74"/>
      <c r="J1846" s="7"/>
      <c r="K1846" s="74"/>
      <c r="L1846" s="74"/>
      <c r="N1846" s="7"/>
      <c r="O1846" s="74"/>
      <c r="P1846" s="74"/>
      <c r="R1846" s="7"/>
      <c r="S1846" s="7"/>
      <c r="T1846" s="66"/>
    </row>
    <row r="1847" spans="1:20" ht="13.2">
      <c r="A1847" s="7"/>
      <c r="B1847" s="7"/>
      <c r="C1847" s="74"/>
      <c r="D1847" s="74"/>
      <c r="F1847" s="7"/>
      <c r="G1847" s="74"/>
      <c r="H1847" s="74"/>
      <c r="J1847" s="7"/>
      <c r="K1847" s="74"/>
      <c r="L1847" s="74"/>
      <c r="N1847" s="7"/>
      <c r="O1847" s="74"/>
      <c r="P1847" s="74"/>
      <c r="R1847" s="7"/>
      <c r="S1847" s="7"/>
      <c r="T1847" s="66"/>
    </row>
    <row r="1848" spans="1:20" ht="13.2">
      <c r="A1848" s="7"/>
      <c r="B1848" s="7"/>
      <c r="C1848" s="74"/>
      <c r="D1848" s="74"/>
      <c r="F1848" s="7"/>
      <c r="G1848" s="74"/>
      <c r="H1848" s="74"/>
      <c r="J1848" s="7"/>
      <c r="K1848" s="74"/>
      <c r="L1848" s="74"/>
      <c r="N1848" s="7"/>
      <c r="O1848" s="74"/>
      <c r="P1848" s="74"/>
      <c r="R1848" s="7"/>
      <c r="S1848" s="7"/>
      <c r="T1848" s="66"/>
    </row>
    <row r="1849" spans="1:20" ht="13.2">
      <c r="A1849" s="7"/>
      <c r="B1849" s="7"/>
      <c r="C1849" s="74"/>
      <c r="D1849" s="74"/>
      <c r="F1849" s="7"/>
      <c r="G1849" s="74"/>
      <c r="H1849" s="74"/>
      <c r="J1849" s="7"/>
      <c r="K1849" s="74"/>
      <c r="L1849" s="74"/>
      <c r="N1849" s="7"/>
      <c r="O1849" s="74"/>
      <c r="P1849" s="74"/>
      <c r="R1849" s="7"/>
      <c r="S1849" s="7"/>
      <c r="T1849" s="66"/>
    </row>
    <row r="1850" spans="1:20" ht="13.2">
      <c r="A1850" s="7"/>
      <c r="B1850" s="7"/>
      <c r="C1850" s="74"/>
      <c r="D1850" s="74"/>
      <c r="F1850" s="7"/>
      <c r="G1850" s="74"/>
      <c r="H1850" s="74"/>
      <c r="J1850" s="7"/>
      <c r="K1850" s="74"/>
      <c r="L1850" s="74"/>
      <c r="N1850" s="7"/>
      <c r="O1850" s="74"/>
      <c r="P1850" s="74"/>
      <c r="R1850" s="7"/>
      <c r="S1850" s="7"/>
      <c r="T1850" s="66"/>
    </row>
    <row r="1851" spans="1:20" ht="13.2">
      <c r="A1851" s="7"/>
      <c r="B1851" s="7"/>
      <c r="C1851" s="74"/>
      <c r="D1851" s="74"/>
      <c r="F1851" s="7"/>
      <c r="G1851" s="74"/>
      <c r="H1851" s="74"/>
      <c r="J1851" s="7"/>
      <c r="K1851" s="74"/>
      <c r="L1851" s="74"/>
      <c r="N1851" s="7"/>
      <c r="O1851" s="74"/>
      <c r="P1851" s="74"/>
      <c r="R1851" s="7"/>
      <c r="S1851" s="7"/>
      <c r="T1851" s="66"/>
    </row>
    <row r="1852" spans="1:20" ht="13.2">
      <c r="A1852" s="7"/>
      <c r="B1852" s="7"/>
      <c r="C1852" s="74"/>
      <c r="D1852" s="74"/>
      <c r="F1852" s="7"/>
      <c r="G1852" s="74"/>
      <c r="H1852" s="74"/>
      <c r="J1852" s="7"/>
      <c r="K1852" s="74"/>
      <c r="L1852" s="74"/>
      <c r="N1852" s="7"/>
      <c r="O1852" s="74"/>
      <c r="P1852" s="74"/>
      <c r="R1852" s="7"/>
      <c r="S1852" s="7"/>
      <c r="T1852" s="66"/>
    </row>
    <row r="1853" spans="1:20" ht="13.2">
      <c r="A1853" s="7"/>
      <c r="B1853" s="7"/>
      <c r="C1853" s="74"/>
      <c r="D1853" s="74"/>
      <c r="F1853" s="7"/>
      <c r="G1853" s="74"/>
      <c r="H1853" s="74"/>
      <c r="J1853" s="7"/>
      <c r="K1853" s="74"/>
      <c r="L1853" s="74"/>
      <c r="N1853" s="7"/>
      <c r="O1853" s="74"/>
      <c r="P1853" s="74"/>
      <c r="R1853" s="7"/>
      <c r="S1853" s="7"/>
      <c r="T1853" s="66"/>
    </row>
    <row r="1854" spans="1:20" ht="13.2">
      <c r="A1854" s="7"/>
      <c r="B1854" s="7"/>
      <c r="C1854" s="74"/>
      <c r="D1854" s="74"/>
      <c r="F1854" s="7"/>
      <c r="G1854" s="74"/>
      <c r="H1854" s="74"/>
      <c r="J1854" s="7"/>
      <c r="K1854" s="74"/>
      <c r="L1854" s="74"/>
      <c r="N1854" s="7"/>
      <c r="O1854" s="74"/>
      <c r="P1854" s="74"/>
      <c r="R1854" s="7"/>
      <c r="S1854" s="7"/>
      <c r="T1854" s="66"/>
    </row>
    <row r="1855" spans="1:20" ht="13.2">
      <c r="A1855" s="7"/>
      <c r="B1855" s="7"/>
      <c r="C1855" s="74"/>
      <c r="D1855" s="74"/>
      <c r="F1855" s="7"/>
      <c r="G1855" s="74"/>
      <c r="H1855" s="74"/>
      <c r="J1855" s="7"/>
      <c r="K1855" s="74"/>
      <c r="L1855" s="74"/>
      <c r="N1855" s="7"/>
      <c r="O1855" s="74"/>
      <c r="P1855" s="74"/>
      <c r="R1855" s="7"/>
      <c r="S1855" s="7"/>
      <c r="T1855" s="66"/>
    </row>
    <row r="1856" spans="1:20" ht="13.2">
      <c r="A1856" s="7"/>
      <c r="B1856" s="7"/>
      <c r="C1856" s="74"/>
      <c r="D1856" s="74"/>
      <c r="F1856" s="7"/>
      <c r="G1856" s="74"/>
      <c r="H1856" s="74"/>
      <c r="J1856" s="7"/>
      <c r="K1856" s="74"/>
      <c r="L1856" s="74"/>
      <c r="N1856" s="7"/>
      <c r="O1856" s="74"/>
      <c r="P1856" s="74"/>
      <c r="R1856" s="7"/>
      <c r="S1856" s="7"/>
      <c r="T1856" s="66"/>
    </row>
    <row r="1857" spans="1:20" ht="13.2">
      <c r="A1857" s="7"/>
      <c r="B1857" s="7"/>
      <c r="C1857" s="74"/>
      <c r="D1857" s="74"/>
      <c r="F1857" s="7"/>
      <c r="G1857" s="74"/>
      <c r="H1857" s="74"/>
      <c r="J1857" s="7"/>
      <c r="K1857" s="74"/>
      <c r="L1857" s="74"/>
      <c r="N1857" s="7"/>
      <c r="O1857" s="74"/>
      <c r="P1857" s="74"/>
      <c r="R1857" s="7"/>
      <c r="S1857" s="7"/>
      <c r="T1857" s="66"/>
    </row>
    <row r="1858" spans="1:20" ht="13.2">
      <c r="A1858" s="7"/>
      <c r="B1858" s="7"/>
      <c r="C1858" s="74"/>
      <c r="D1858" s="74"/>
      <c r="F1858" s="7"/>
      <c r="G1858" s="74"/>
      <c r="H1858" s="74"/>
      <c r="J1858" s="7"/>
      <c r="K1858" s="74"/>
      <c r="L1858" s="74"/>
      <c r="N1858" s="7"/>
      <c r="O1858" s="74"/>
      <c r="P1858" s="74"/>
      <c r="R1858" s="7"/>
      <c r="S1858" s="7"/>
      <c r="T1858" s="66"/>
    </row>
    <row r="1859" spans="1:20" ht="13.2">
      <c r="A1859" s="7"/>
      <c r="B1859" s="7"/>
      <c r="C1859" s="74"/>
      <c r="D1859" s="74"/>
      <c r="F1859" s="7"/>
      <c r="G1859" s="74"/>
      <c r="H1859" s="74"/>
      <c r="J1859" s="7"/>
      <c r="K1859" s="74"/>
      <c r="L1859" s="74"/>
      <c r="N1859" s="7"/>
      <c r="O1859" s="74"/>
      <c r="P1859" s="74"/>
      <c r="R1859" s="7"/>
      <c r="S1859" s="7"/>
      <c r="T1859" s="66"/>
    </row>
    <row r="1860" spans="1:20" ht="13.2">
      <c r="A1860" s="7"/>
      <c r="B1860" s="7"/>
      <c r="C1860" s="74"/>
      <c r="D1860" s="74"/>
      <c r="F1860" s="7"/>
      <c r="G1860" s="74"/>
      <c r="H1860" s="74"/>
      <c r="J1860" s="7"/>
      <c r="K1860" s="74"/>
      <c r="L1860" s="74"/>
      <c r="N1860" s="7"/>
      <c r="O1860" s="74"/>
      <c r="P1860" s="74"/>
      <c r="R1860" s="7"/>
      <c r="S1860" s="7"/>
      <c r="T1860" s="66"/>
    </row>
    <row r="1861" spans="1:20" ht="13.2">
      <c r="A1861" s="7"/>
      <c r="B1861" s="7"/>
      <c r="C1861" s="74"/>
      <c r="D1861" s="74"/>
      <c r="F1861" s="7"/>
      <c r="G1861" s="74"/>
      <c r="H1861" s="74"/>
      <c r="J1861" s="7"/>
      <c r="K1861" s="74"/>
      <c r="L1861" s="74"/>
      <c r="N1861" s="7"/>
      <c r="O1861" s="74"/>
      <c r="P1861" s="74"/>
      <c r="R1861" s="7"/>
      <c r="S1861" s="7"/>
      <c r="T1861" s="66"/>
    </row>
    <row r="1862" spans="1:20" ht="13.2">
      <c r="A1862" s="7"/>
      <c r="B1862" s="7"/>
      <c r="C1862" s="74"/>
      <c r="D1862" s="74"/>
      <c r="F1862" s="7"/>
      <c r="G1862" s="74"/>
      <c r="H1862" s="74"/>
      <c r="J1862" s="7"/>
      <c r="K1862" s="74"/>
      <c r="L1862" s="74"/>
      <c r="N1862" s="7"/>
      <c r="O1862" s="74"/>
      <c r="P1862" s="74"/>
      <c r="R1862" s="7"/>
      <c r="S1862" s="7"/>
      <c r="T1862" s="66"/>
    </row>
    <row r="1863" spans="1:20" ht="13.2">
      <c r="A1863" s="7"/>
      <c r="B1863" s="7"/>
      <c r="C1863" s="74"/>
      <c r="D1863" s="74"/>
      <c r="F1863" s="7"/>
      <c r="G1863" s="74"/>
      <c r="H1863" s="74"/>
      <c r="J1863" s="7"/>
      <c r="K1863" s="74"/>
      <c r="L1863" s="74"/>
      <c r="N1863" s="7"/>
      <c r="O1863" s="74"/>
      <c r="P1863" s="74"/>
      <c r="R1863" s="7"/>
      <c r="S1863" s="7"/>
      <c r="T1863" s="66"/>
    </row>
    <row r="1864" spans="1:20" ht="13.2">
      <c r="A1864" s="7"/>
      <c r="B1864" s="7"/>
      <c r="C1864" s="74"/>
      <c r="D1864" s="74"/>
      <c r="F1864" s="7"/>
      <c r="G1864" s="74"/>
      <c r="H1864" s="74"/>
      <c r="J1864" s="7"/>
      <c r="K1864" s="74"/>
      <c r="L1864" s="74"/>
      <c r="N1864" s="7"/>
      <c r="O1864" s="74"/>
      <c r="P1864" s="74"/>
      <c r="R1864" s="7"/>
      <c r="S1864" s="7"/>
      <c r="T1864" s="66"/>
    </row>
    <row r="1865" spans="1:20" ht="13.2">
      <c r="A1865" s="7"/>
      <c r="B1865" s="7"/>
      <c r="C1865" s="74"/>
      <c r="D1865" s="74"/>
      <c r="F1865" s="7"/>
      <c r="G1865" s="74"/>
      <c r="H1865" s="74"/>
      <c r="J1865" s="7"/>
      <c r="K1865" s="74"/>
      <c r="L1865" s="74"/>
      <c r="N1865" s="7"/>
      <c r="O1865" s="74"/>
      <c r="P1865" s="74"/>
      <c r="R1865" s="7"/>
      <c r="S1865" s="7"/>
      <c r="T1865" s="66"/>
    </row>
    <row r="1866" spans="1:20" ht="13.2">
      <c r="A1866" s="7"/>
      <c r="B1866" s="7"/>
      <c r="C1866" s="74"/>
      <c r="D1866" s="74"/>
      <c r="F1866" s="7"/>
      <c r="G1866" s="74"/>
      <c r="H1866" s="74"/>
      <c r="J1866" s="7"/>
      <c r="K1866" s="74"/>
      <c r="L1866" s="74"/>
      <c r="N1866" s="7"/>
      <c r="O1866" s="74"/>
      <c r="P1866" s="74"/>
      <c r="R1866" s="7"/>
      <c r="S1866" s="7"/>
      <c r="T1866" s="66"/>
    </row>
    <row r="1867" spans="1:20" ht="13.2">
      <c r="A1867" s="7"/>
      <c r="B1867" s="7"/>
      <c r="C1867" s="74"/>
      <c r="D1867" s="74"/>
      <c r="F1867" s="7"/>
      <c r="G1867" s="74"/>
      <c r="H1867" s="74"/>
      <c r="J1867" s="7"/>
      <c r="K1867" s="74"/>
      <c r="L1867" s="74"/>
      <c r="N1867" s="7"/>
      <c r="O1867" s="74"/>
      <c r="P1867" s="74"/>
      <c r="R1867" s="7"/>
      <c r="S1867" s="7"/>
      <c r="T1867" s="66"/>
    </row>
    <row r="1868" spans="1:20" ht="13.2">
      <c r="A1868" s="7"/>
      <c r="B1868" s="7"/>
      <c r="C1868" s="74"/>
      <c r="D1868" s="74"/>
      <c r="F1868" s="7"/>
      <c r="G1868" s="74"/>
      <c r="H1868" s="74"/>
      <c r="J1868" s="7"/>
      <c r="K1868" s="74"/>
      <c r="L1868" s="74"/>
      <c r="N1868" s="7"/>
      <c r="O1868" s="74"/>
      <c r="P1868" s="74"/>
      <c r="R1868" s="7"/>
      <c r="S1868" s="7"/>
      <c r="T1868" s="66"/>
    </row>
    <row r="1869" spans="1:20" ht="13.2">
      <c r="A1869" s="7"/>
      <c r="B1869" s="7"/>
      <c r="C1869" s="74"/>
      <c r="D1869" s="74"/>
      <c r="F1869" s="7"/>
      <c r="G1869" s="74"/>
      <c r="H1869" s="74"/>
      <c r="J1869" s="7"/>
      <c r="K1869" s="74"/>
      <c r="L1869" s="74"/>
      <c r="N1869" s="7"/>
      <c r="O1869" s="74"/>
      <c r="P1869" s="74"/>
      <c r="R1869" s="7"/>
      <c r="S1869" s="7"/>
      <c r="T1869" s="66"/>
    </row>
    <row r="1870" spans="1:20" ht="13.2">
      <c r="A1870" s="7"/>
      <c r="B1870" s="7"/>
      <c r="C1870" s="74"/>
      <c r="D1870" s="74"/>
      <c r="F1870" s="7"/>
      <c r="G1870" s="74"/>
      <c r="H1870" s="74"/>
      <c r="J1870" s="7"/>
      <c r="K1870" s="74"/>
      <c r="L1870" s="74"/>
      <c r="N1870" s="7"/>
      <c r="O1870" s="74"/>
      <c r="P1870" s="74"/>
      <c r="R1870" s="7"/>
      <c r="S1870" s="7"/>
      <c r="T1870" s="66"/>
    </row>
    <row r="1871" spans="1:20" ht="13.2">
      <c r="A1871" s="7"/>
      <c r="B1871" s="7"/>
      <c r="C1871" s="74"/>
      <c r="D1871" s="74"/>
      <c r="F1871" s="7"/>
      <c r="G1871" s="74"/>
      <c r="H1871" s="74"/>
      <c r="J1871" s="7"/>
      <c r="K1871" s="74"/>
      <c r="L1871" s="74"/>
      <c r="N1871" s="7"/>
      <c r="O1871" s="74"/>
      <c r="P1871" s="74"/>
      <c r="R1871" s="7"/>
      <c r="S1871" s="7"/>
      <c r="T1871" s="66"/>
    </row>
    <row r="1872" spans="1:20" ht="13.2">
      <c r="A1872" s="7"/>
      <c r="B1872" s="7"/>
      <c r="C1872" s="74"/>
      <c r="D1872" s="74"/>
      <c r="F1872" s="7"/>
      <c r="G1872" s="74"/>
      <c r="H1872" s="74"/>
      <c r="J1872" s="7"/>
      <c r="K1872" s="74"/>
      <c r="L1872" s="74"/>
      <c r="N1872" s="7"/>
      <c r="O1872" s="74"/>
      <c r="P1872" s="74"/>
      <c r="R1872" s="7"/>
      <c r="S1872" s="7"/>
      <c r="T1872" s="66"/>
    </row>
    <row r="1873" spans="1:20" ht="13.2">
      <c r="A1873" s="7"/>
      <c r="B1873" s="7"/>
      <c r="C1873" s="74"/>
      <c r="D1873" s="74"/>
      <c r="F1873" s="7"/>
      <c r="G1873" s="74"/>
      <c r="H1873" s="74"/>
      <c r="J1873" s="7"/>
      <c r="K1873" s="74"/>
      <c r="L1873" s="74"/>
      <c r="N1873" s="7"/>
      <c r="O1873" s="74"/>
      <c r="P1873" s="74"/>
      <c r="R1873" s="7"/>
      <c r="S1873" s="7"/>
      <c r="T1873" s="66"/>
    </row>
    <row r="1874" spans="1:20" ht="13.2">
      <c r="A1874" s="7"/>
      <c r="B1874" s="7"/>
      <c r="C1874" s="74"/>
      <c r="D1874" s="74"/>
      <c r="F1874" s="7"/>
      <c r="G1874" s="74"/>
      <c r="H1874" s="74"/>
      <c r="J1874" s="7"/>
      <c r="K1874" s="74"/>
      <c r="L1874" s="74"/>
      <c r="N1874" s="7"/>
      <c r="O1874" s="74"/>
      <c r="P1874" s="74"/>
      <c r="R1874" s="7"/>
      <c r="S1874" s="7"/>
      <c r="T1874" s="66"/>
    </row>
    <row r="1875" spans="1:20" ht="13.2">
      <c r="A1875" s="7"/>
      <c r="B1875" s="7"/>
      <c r="C1875" s="74"/>
      <c r="D1875" s="74"/>
      <c r="F1875" s="7"/>
      <c r="G1875" s="74"/>
      <c r="H1875" s="74"/>
      <c r="J1875" s="7"/>
      <c r="K1875" s="74"/>
      <c r="L1875" s="74"/>
      <c r="N1875" s="7"/>
      <c r="O1875" s="74"/>
      <c r="P1875" s="74"/>
      <c r="R1875" s="7"/>
      <c r="S1875" s="7"/>
      <c r="T1875" s="66"/>
    </row>
    <row r="1876" spans="1:20" ht="13.2">
      <c r="A1876" s="7"/>
      <c r="B1876" s="7"/>
      <c r="C1876" s="74"/>
      <c r="D1876" s="74"/>
      <c r="F1876" s="7"/>
      <c r="G1876" s="74"/>
      <c r="H1876" s="74"/>
      <c r="J1876" s="7"/>
      <c r="K1876" s="74"/>
      <c r="L1876" s="74"/>
      <c r="N1876" s="7"/>
      <c r="O1876" s="74"/>
      <c r="P1876" s="74"/>
      <c r="R1876" s="7"/>
      <c r="S1876" s="7"/>
      <c r="T1876" s="66"/>
    </row>
    <row r="1877" spans="1:20" ht="13.2">
      <c r="A1877" s="7"/>
      <c r="B1877" s="7"/>
      <c r="C1877" s="74"/>
      <c r="D1877" s="74"/>
      <c r="F1877" s="7"/>
      <c r="G1877" s="74"/>
      <c r="H1877" s="74"/>
      <c r="J1877" s="7"/>
      <c r="K1877" s="74"/>
      <c r="L1877" s="74"/>
      <c r="N1877" s="7"/>
      <c r="O1877" s="74"/>
      <c r="P1877" s="74"/>
      <c r="R1877" s="7"/>
      <c r="S1877" s="7"/>
      <c r="T1877" s="66"/>
    </row>
    <row r="1878" spans="1:20" ht="13.2">
      <c r="A1878" s="7"/>
      <c r="B1878" s="7"/>
      <c r="C1878" s="74"/>
      <c r="D1878" s="74"/>
      <c r="F1878" s="7"/>
      <c r="G1878" s="74"/>
      <c r="H1878" s="74"/>
      <c r="J1878" s="7"/>
      <c r="K1878" s="74"/>
      <c r="L1878" s="74"/>
      <c r="N1878" s="7"/>
      <c r="O1878" s="74"/>
      <c r="P1878" s="74"/>
      <c r="R1878" s="7"/>
      <c r="S1878" s="7"/>
      <c r="T1878" s="66"/>
    </row>
    <row r="1879" spans="1:20" ht="13.2">
      <c r="A1879" s="7"/>
      <c r="B1879" s="7"/>
      <c r="C1879" s="74"/>
      <c r="D1879" s="74"/>
      <c r="F1879" s="7"/>
      <c r="G1879" s="74"/>
      <c r="H1879" s="74"/>
      <c r="J1879" s="7"/>
      <c r="K1879" s="74"/>
      <c r="L1879" s="74"/>
      <c r="N1879" s="7"/>
      <c r="O1879" s="74"/>
      <c r="P1879" s="74"/>
      <c r="R1879" s="7"/>
      <c r="S1879" s="7"/>
      <c r="T1879" s="66"/>
    </row>
    <row r="1880" spans="1:20" ht="13.2">
      <c r="A1880" s="7"/>
      <c r="B1880" s="7"/>
      <c r="C1880" s="74"/>
      <c r="D1880" s="74"/>
      <c r="F1880" s="7"/>
      <c r="G1880" s="74"/>
      <c r="H1880" s="74"/>
      <c r="J1880" s="7"/>
      <c r="K1880" s="74"/>
      <c r="L1880" s="74"/>
      <c r="N1880" s="7"/>
      <c r="O1880" s="74"/>
      <c r="P1880" s="74"/>
      <c r="R1880" s="7"/>
      <c r="S1880" s="7"/>
      <c r="T1880" s="66"/>
    </row>
    <row r="1881" spans="1:20" ht="13.2">
      <c r="A1881" s="7"/>
      <c r="B1881" s="7"/>
      <c r="C1881" s="74"/>
      <c r="D1881" s="74"/>
      <c r="F1881" s="7"/>
      <c r="G1881" s="74"/>
      <c r="H1881" s="74"/>
      <c r="J1881" s="7"/>
      <c r="K1881" s="74"/>
      <c r="L1881" s="74"/>
      <c r="N1881" s="7"/>
      <c r="O1881" s="74"/>
      <c r="P1881" s="74"/>
      <c r="R1881" s="7"/>
      <c r="S1881" s="7"/>
      <c r="T1881" s="66"/>
    </row>
    <row r="1882" spans="1:20" ht="13.2">
      <c r="A1882" s="7"/>
      <c r="B1882" s="7"/>
      <c r="C1882" s="74"/>
      <c r="D1882" s="74"/>
      <c r="F1882" s="7"/>
      <c r="G1882" s="74"/>
      <c r="H1882" s="74"/>
      <c r="J1882" s="7"/>
      <c r="K1882" s="74"/>
      <c r="L1882" s="74"/>
      <c r="N1882" s="7"/>
      <c r="O1882" s="74"/>
      <c r="P1882" s="74"/>
      <c r="R1882" s="7"/>
      <c r="S1882" s="7"/>
      <c r="T1882" s="66"/>
    </row>
    <row r="1883" spans="1:20" ht="13.2">
      <c r="A1883" s="7"/>
      <c r="B1883" s="7"/>
      <c r="C1883" s="74"/>
      <c r="D1883" s="74"/>
      <c r="F1883" s="7"/>
      <c r="G1883" s="74"/>
      <c r="H1883" s="74"/>
      <c r="J1883" s="7"/>
      <c r="K1883" s="74"/>
      <c r="L1883" s="74"/>
      <c r="N1883" s="7"/>
      <c r="O1883" s="74"/>
      <c r="P1883" s="74"/>
      <c r="R1883" s="7"/>
      <c r="S1883" s="7"/>
      <c r="T1883" s="66"/>
    </row>
    <row r="1884" spans="1:20" ht="13.2">
      <c r="A1884" s="7"/>
      <c r="B1884" s="7"/>
      <c r="C1884" s="74"/>
      <c r="D1884" s="74"/>
      <c r="F1884" s="7"/>
      <c r="G1884" s="74"/>
      <c r="H1884" s="74"/>
      <c r="J1884" s="7"/>
      <c r="K1884" s="74"/>
      <c r="L1884" s="74"/>
      <c r="N1884" s="7"/>
      <c r="O1884" s="74"/>
      <c r="P1884" s="74"/>
      <c r="R1884" s="7"/>
      <c r="S1884" s="7"/>
      <c r="T1884" s="66"/>
    </row>
    <row r="1885" spans="1:20" ht="13.2">
      <c r="A1885" s="7"/>
      <c r="B1885" s="7"/>
      <c r="C1885" s="74"/>
      <c r="D1885" s="74"/>
      <c r="F1885" s="7"/>
      <c r="G1885" s="74"/>
      <c r="H1885" s="74"/>
      <c r="J1885" s="7"/>
      <c r="K1885" s="74"/>
      <c r="L1885" s="74"/>
      <c r="N1885" s="7"/>
      <c r="O1885" s="74"/>
      <c r="P1885" s="74"/>
      <c r="R1885" s="7"/>
      <c r="S1885" s="7"/>
      <c r="T1885" s="66"/>
    </row>
    <row r="1886" spans="1:20" ht="13.2">
      <c r="A1886" s="7"/>
      <c r="B1886" s="7"/>
      <c r="C1886" s="74"/>
      <c r="D1886" s="74"/>
      <c r="F1886" s="7"/>
      <c r="G1886" s="74"/>
      <c r="H1886" s="74"/>
      <c r="J1886" s="7"/>
      <c r="K1886" s="74"/>
      <c r="L1886" s="74"/>
      <c r="N1886" s="7"/>
      <c r="O1886" s="74"/>
      <c r="P1886" s="74"/>
      <c r="R1886" s="7"/>
      <c r="S1886" s="7"/>
      <c r="T1886" s="66"/>
    </row>
    <row r="1887" spans="1:20" ht="13.2">
      <c r="A1887" s="7"/>
      <c r="B1887" s="7"/>
      <c r="C1887" s="74"/>
      <c r="D1887" s="74"/>
      <c r="F1887" s="7"/>
      <c r="G1887" s="74"/>
      <c r="H1887" s="74"/>
      <c r="J1887" s="7"/>
      <c r="K1887" s="74"/>
      <c r="L1887" s="74"/>
      <c r="N1887" s="7"/>
      <c r="O1887" s="74"/>
      <c r="P1887" s="74"/>
      <c r="R1887" s="7"/>
      <c r="S1887" s="7"/>
      <c r="T1887" s="66"/>
    </row>
    <row r="1888" spans="1:20" ht="13.2">
      <c r="A1888" s="7"/>
      <c r="B1888" s="7"/>
      <c r="C1888" s="74"/>
      <c r="D1888" s="74"/>
      <c r="F1888" s="7"/>
      <c r="G1888" s="74"/>
      <c r="H1888" s="74"/>
      <c r="J1888" s="7"/>
      <c r="K1888" s="74"/>
      <c r="L1888" s="74"/>
      <c r="N1888" s="7"/>
      <c r="O1888" s="74"/>
      <c r="P1888" s="74"/>
      <c r="R1888" s="7"/>
      <c r="S1888" s="7"/>
      <c r="T1888" s="66"/>
    </row>
    <row r="1889" spans="1:20" ht="13.2">
      <c r="A1889" s="7"/>
      <c r="B1889" s="7"/>
      <c r="C1889" s="74"/>
      <c r="D1889" s="74"/>
      <c r="F1889" s="7"/>
      <c r="G1889" s="74"/>
      <c r="H1889" s="74"/>
      <c r="J1889" s="7"/>
      <c r="K1889" s="74"/>
      <c r="L1889" s="74"/>
      <c r="N1889" s="7"/>
      <c r="O1889" s="74"/>
      <c r="P1889" s="74"/>
      <c r="R1889" s="7"/>
      <c r="S1889" s="7"/>
      <c r="T1889" s="66"/>
    </row>
    <row r="1890" spans="1:20" ht="13.2">
      <c r="A1890" s="7"/>
      <c r="B1890" s="7"/>
      <c r="C1890" s="74"/>
      <c r="D1890" s="74"/>
      <c r="F1890" s="7"/>
      <c r="G1890" s="74"/>
      <c r="H1890" s="74"/>
      <c r="J1890" s="7"/>
      <c r="K1890" s="74"/>
      <c r="L1890" s="74"/>
      <c r="N1890" s="7"/>
      <c r="O1890" s="74"/>
      <c r="P1890" s="74"/>
      <c r="R1890" s="7"/>
      <c r="S1890" s="7"/>
      <c r="T1890" s="66"/>
    </row>
    <row r="1891" spans="1:20" ht="13.2">
      <c r="A1891" s="7"/>
      <c r="B1891" s="7"/>
      <c r="C1891" s="74"/>
      <c r="D1891" s="74"/>
      <c r="F1891" s="7"/>
      <c r="G1891" s="74"/>
      <c r="H1891" s="74"/>
      <c r="J1891" s="7"/>
      <c r="K1891" s="74"/>
      <c r="L1891" s="74"/>
      <c r="N1891" s="7"/>
      <c r="O1891" s="74"/>
      <c r="P1891" s="74"/>
      <c r="R1891" s="7"/>
      <c r="S1891" s="7"/>
      <c r="T1891" s="66"/>
    </row>
    <row r="1892" spans="1:20" ht="13.2">
      <c r="A1892" s="7"/>
      <c r="B1892" s="7"/>
      <c r="C1892" s="74"/>
      <c r="D1892" s="74"/>
      <c r="F1892" s="7"/>
      <c r="G1892" s="74"/>
      <c r="H1892" s="74"/>
      <c r="J1892" s="7"/>
      <c r="K1892" s="74"/>
      <c r="L1892" s="74"/>
      <c r="N1892" s="7"/>
      <c r="O1892" s="74"/>
      <c r="P1892" s="74"/>
      <c r="R1892" s="7"/>
      <c r="S1892" s="7"/>
      <c r="T1892" s="66"/>
    </row>
    <row r="1893" spans="1:20" ht="13.2">
      <c r="A1893" s="7"/>
      <c r="B1893" s="7"/>
      <c r="C1893" s="74"/>
      <c r="D1893" s="74"/>
      <c r="F1893" s="7"/>
      <c r="G1893" s="74"/>
      <c r="H1893" s="74"/>
      <c r="J1893" s="7"/>
      <c r="K1893" s="74"/>
      <c r="L1893" s="74"/>
      <c r="N1893" s="7"/>
      <c r="O1893" s="74"/>
      <c r="P1893" s="74"/>
      <c r="R1893" s="7"/>
      <c r="S1893" s="7"/>
      <c r="T1893" s="66"/>
    </row>
    <row r="1894" spans="1:20" ht="13.2">
      <c r="A1894" s="7"/>
      <c r="B1894" s="7"/>
      <c r="C1894" s="74"/>
      <c r="D1894" s="74"/>
      <c r="F1894" s="7"/>
      <c r="G1894" s="74"/>
      <c r="H1894" s="74"/>
      <c r="J1894" s="7"/>
      <c r="K1894" s="74"/>
      <c r="L1894" s="74"/>
      <c r="N1894" s="7"/>
      <c r="O1894" s="74"/>
      <c r="P1894" s="74"/>
      <c r="R1894" s="7"/>
      <c r="S1894" s="7"/>
      <c r="T1894" s="66"/>
    </row>
    <row r="1895" spans="1:20" ht="13.2">
      <c r="A1895" s="7"/>
      <c r="B1895" s="7"/>
      <c r="C1895" s="74"/>
      <c r="D1895" s="74"/>
      <c r="F1895" s="7"/>
      <c r="G1895" s="74"/>
      <c r="H1895" s="74"/>
      <c r="J1895" s="7"/>
      <c r="K1895" s="74"/>
      <c r="L1895" s="74"/>
      <c r="N1895" s="7"/>
      <c r="O1895" s="74"/>
      <c r="P1895" s="74"/>
      <c r="R1895" s="7"/>
      <c r="S1895" s="7"/>
      <c r="T1895" s="66"/>
    </row>
    <row r="1896" spans="1:20" ht="13.2">
      <c r="A1896" s="7"/>
      <c r="B1896" s="7"/>
      <c r="C1896" s="74"/>
      <c r="D1896" s="74"/>
      <c r="F1896" s="7"/>
      <c r="G1896" s="74"/>
      <c r="H1896" s="74"/>
      <c r="J1896" s="7"/>
      <c r="K1896" s="74"/>
      <c r="L1896" s="74"/>
      <c r="N1896" s="7"/>
      <c r="O1896" s="74"/>
      <c r="P1896" s="74"/>
      <c r="R1896" s="7"/>
      <c r="S1896" s="7"/>
      <c r="T1896" s="66"/>
    </row>
    <row r="1897" spans="1:20" ht="13.2">
      <c r="A1897" s="7"/>
      <c r="B1897" s="7"/>
      <c r="C1897" s="74"/>
      <c r="D1897" s="74"/>
      <c r="F1897" s="7"/>
      <c r="G1897" s="74"/>
      <c r="H1897" s="74"/>
      <c r="J1897" s="7"/>
      <c r="K1897" s="74"/>
      <c r="L1897" s="74"/>
      <c r="N1897" s="7"/>
      <c r="O1897" s="74"/>
      <c r="P1897" s="74"/>
      <c r="R1897" s="7"/>
      <c r="S1897" s="7"/>
      <c r="T1897" s="66"/>
    </row>
    <row r="1898" spans="1:20" ht="13.2">
      <c r="A1898" s="7"/>
      <c r="B1898" s="7"/>
      <c r="C1898" s="74"/>
      <c r="D1898" s="74"/>
      <c r="F1898" s="7"/>
      <c r="G1898" s="74"/>
      <c r="H1898" s="74"/>
      <c r="J1898" s="7"/>
      <c r="K1898" s="74"/>
      <c r="L1898" s="74"/>
      <c r="N1898" s="7"/>
      <c r="O1898" s="74"/>
      <c r="P1898" s="74"/>
      <c r="R1898" s="7"/>
      <c r="S1898" s="7"/>
      <c r="T1898" s="66"/>
    </row>
    <row r="1899" spans="1:20" ht="13.2">
      <c r="A1899" s="7"/>
      <c r="B1899" s="7"/>
      <c r="C1899" s="74"/>
      <c r="D1899" s="74"/>
      <c r="F1899" s="7"/>
      <c r="G1899" s="74"/>
      <c r="H1899" s="74"/>
      <c r="J1899" s="7"/>
      <c r="K1899" s="74"/>
      <c r="L1899" s="74"/>
      <c r="N1899" s="7"/>
      <c r="O1899" s="74"/>
      <c r="P1899" s="74"/>
      <c r="R1899" s="7"/>
      <c r="S1899" s="7"/>
      <c r="T1899" s="66"/>
    </row>
    <row r="1900" spans="1:20" ht="13.2">
      <c r="A1900" s="7"/>
      <c r="B1900" s="7"/>
      <c r="C1900" s="74"/>
      <c r="D1900" s="74"/>
      <c r="F1900" s="7"/>
      <c r="G1900" s="74"/>
      <c r="H1900" s="74"/>
      <c r="J1900" s="7"/>
      <c r="K1900" s="74"/>
      <c r="L1900" s="74"/>
      <c r="N1900" s="7"/>
      <c r="O1900" s="74"/>
      <c r="P1900" s="74"/>
      <c r="R1900" s="7"/>
      <c r="S1900" s="7"/>
      <c r="T1900" s="66"/>
    </row>
    <row r="1901" spans="1:20" ht="13.2">
      <c r="A1901" s="7"/>
      <c r="B1901" s="7"/>
      <c r="C1901" s="74"/>
      <c r="D1901" s="74"/>
      <c r="F1901" s="7"/>
      <c r="G1901" s="74"/>
      <c r="H1901" s="74"/>
      <c r="J1901" s="7"/>
      <c r="K1901" s="74"/>
      <c r="L1901" s="74"/>
      <c r="N1901" s="7"/>
      <c r="O1901" s="74"/>
      <c r="P1901" s="74"/>
      <c r="R1901" s="7"/>
      <c r="S1901" s="7"/>
      <c r="T1901" s="66"/>
    </row>
    <row r="1902" spans="1:20" ht="13.2">
      <c r="A1902" s="7"/>
      <c r="B1902" s="7"/>
      <c r="C1902" s="74"/>
      <c r="D1902" s="74"/>
      <c r="F1902" s="7"/>
      <c r="G1902" s="74"/>
      <c r="H1902" s="74"/>
      <c r="J1902" s="7"/>
      <c r="K1902" s="74"/>
      <c r="L1902" s="74"/>
      <c r="N1902" s="7"/>
      <c r="O1902" s="74"/>
      <c r="P1902" s="74"/>
      <c r="R1902" s="7"/>
      <c r="S1902" s="7"/>
      <c r="T1902" s="66"/>
    </row>
    <row r="1903" spans="1:20" ht="13.2">
      <c r="A1903" s="7"/>
      <c r="B1903" s="7"/>
      <c r="C1903" s="74"/>
      <c r="D1903" s="74"/>
      <c r="F1903" s="7"/>
      <c r="G1903" s="74"/>
      <c r="H1903" s="74"/>
      <c r="J1903" s="7"/>
      <c r="K1903" s="74"/>
      <c r="L1903" s="74"/>
      <c r="N1903" s="7"/>
      <c r="O1903" s="74"/>
      <c r="P1903" s="74"/>
      <c r="R1903" s="7"/>
      <c r="S1903" s="7"/>
      <c r="T1903" s="66"/>
    </row>
    <row r="1904" spans="1:20" ht="13.2">
      <c r="A1904" s="7"/>
      <c r="B1904" s="7"/>
      <c r="C1904" s="74"/>
      <c r="D1904" s="74"/>
      <c r="F1904" s="7"/>
      <c r="G1904" s="74"/>
      <c r="H1904" s="74"/>
      <c r="J1904" s="7"/>
      <c r="K1904" s="74"/>
      <c r="L1904" s="74"/>
      <c r="N1904" s="7"/>
      <c r="O1904" s="74"/>
      <c r="P1904" s="74"/>
      <c r="R1904" s="7"/>
      <c r="S1904" s="7"/>
      <c r="T1904" s="66"/>
    </row>
    <row r="1905" spans="1:20" ht="13.2">
      <c r="A1905" s="7"/>
      <c r="B1905" s="7"/>
      <c r="C1905" s="74"/>
      <c r="D1905" s="74"/>
      <c r="F1905" s="7"/>
      <c r="G1905" s="74"/>
      <c r="H1905" s="74"/>
      <c r="J1905" s="7"/>
      <c r="K1905" s="74"/>
      <c r="L1905" s="74"/>
      <c r="N1905" s="7"/>
      <c r="O1905" s="74"/>
      <c r="P1905" s="74"/>
      <c r="R1905" s="7"/>
      <c r="S1905" s="7"/>
      <c r="T1905" s="66"/>
    </row>
    <row r="1906" spans="1:20" ht="13.2">
      <c r="A1906" s="7"/>
      <c r="B1906" s="7"/>
      <c r="C1906" s="74"/>
      <c r="D1906" s="74"/>
      <c r="F1906" s="7"/>
      <c r="G1906" s="74"/>
      <c r="H1906" s="74"/>
      <c r="J1906" s="7"/>
      <c r="K1906" s="74"/>
      <c r="L1906" s="74"/>
      <c r="N1906" s="7"/>
      <c r="O1906" s="74"/>
      <c r="P1906" s="74"/>
      <c r="R1906" s="7"/>
      <c r="S1906" s="7"/>
      <c r="T1906" s="66"/>
    </row>
    <row r="1907" spans="1:20" ht="13.2">
      <c r="A1907" s="7"/>
      <c r="B1907" s="7"/>
      <c r="C1907" s="74"/>
      <c r="D1907" s="74"/>
      <c r="F1907" s="7"/>
      <c r="G1907" s="74"/>
      <c r="H1907" s="74"/>
      <c r="J1907" s="7"/>
      <c r="K1907" s="74"/>
      <c r="L1907" s="74"/>
      <c r="N1907" s="7"/>
      <c r="O1907" s="74"/>
      <c r="P1907" s="74"/>
      <c r="R1907" s="7"/>
      <c r="S1907" s="7"/>
      <c r="T1907" s="66"/>
    </row>
    <row r="1908" spans="1:20" ht="13.2">
      <c r="A1908" s="7"/>
      <c r="B1908" s="7"/>
      <c r="C1908" s="74"/>
      <c r="D1908" s="74"/>
      <c r="F1908" s="7"/>
      <c r="G1908" s="74"/>
      <c r="H1908" s="74"/>
      <c r="J1908" s="7"/>
      <c r="K1908" s="74"/>
      <c r="L1908" s="74"/>
      <c r="N1908" s="7"/>
      <c r="O1908" s="74"/>
      <c r="P1908" s="74"/>
      <c r="R1908" s="7"/>
      <c r="S1908" s="7"/>
      <c r="T1908" s="66"/>
    </row>
    <row r="1909" spans="1:20" ht="13.2">
      <c r="A1909" s="7"/>
      <c r="B1909" s="7"/>
      <c r="C1909" s="74"/>
      <c r="D1909" s="74"/>
      <c r="F1909" s="7"/>
      <c r="G1909" s="74"/>
      <c r="H1909" s="74"/>
      <c r="J1909" s="7"/>
      <c r="K1909" s="74"/>
      <c r="L1909" s="74"/>
      <c r="N1909" s="7"/>
      <c r="O1909" s="74"/>
      <c r="P1909" s="74"/>
      <c r="R1909" s="7"/>
      <c r="S1909" s="7"/>
      <c r="T1909" s="66"/>
    </row>
    <row r="1910" spans="1:20" ht="13.2">
      <c r="A1910" s="7"/>
      <c r="B1910" s="7"/>
      <c r="C1910" s="74"/>
      <c r="D1910" s="74"/>
      <c r="F1910" s="7"/>
      <c r="G1910" s="74"/>
      <c r="H1910" s="74"/>
      <c r="J1910" s="7"/>
      <c r="K1910" s="74"/>
      <c r="L1910" s="74"/>
      <c r="N1910" s="7"/>
      <c r="O1910" s="74"/>
      <c r="P1910" s="74"/>
      <c r="R1910" s="7"/>
      <c r="S1910" s="7"/>
      <c r="T1910" s="66"/>
    </row>
    <row r="1911" spans="1:20" ht="13.2">
      <c r="A1911" s="7"/>
      <c r="B1911" s="7"/>
      <c r="C1911" s="74"/>
      <c r="D1911" s="74"/>
      <c r="F1911" s="7"/>
      <c r="G1911" s="74"/>
      <c r="H1911" s="74"/>
      <c r="J1911" s="7"/>
      <c r="K1911" s="74"/>
      <c r="L1911" s="74"/>
      <c r="N1911" s="7"/>
      <c r="O1911" s="74"/>
      <c r="P1911" s="74"/>
      <c r="R1911" s="7"/>
      <c r="S1911" s="7"/>
      <c r="T1911" s="66"/>
    </row>
    <row r="1912" spans="1:20" ht="13.2">
      <c r="A1912" s="7"/>
      <c r="B1912" s="7"/>
      <c r="C1912" s="74"/>
      <c r="D1912" s="74"/>
      <c r="F1912" s="7"/>
      <c r="G1912" s="74"/>
      <c r="H1912" s="74"/>
      <c r="J1912" s="7"/>
      <c r="K1912" s="74"/>
      <c r="L1912" s="74"/>
      <c r="N1912" s="7"/>
      <c r="O1912" s="74"/>
      <c r="P1912" s="74"/>
      <c r="R1912" s="7"/>
      <c r="S1912" s="7"/>
      <c r="T1912" s="66"/>
    </row>
    <row r="1913" spans="1:20" ht="13.2">
      <c r="A1913" s="7"/>
      <c r="B1913" s="7"/>
      <c r="C1913" s="74"/>
      <c r="D1913" s="74"/>
      <c r="F1913" s="7"/>
      <c r="G1913" s="74"/>
      <c r="H1913" s="74"/>
      <c r="J1913" s="7"/>
      <c r="K1913" s="74"/>
      <c r="L1913" s="74"/>
      <c r="N1913" s="7"/>
      <c r="O1913" s="74"/>
      <c r="P1913" s="74"/>
      <c r="R1913" s="7"/>
      <c r="S1913" s="7"/>
      <c r="T1913" s="66"/>
    </row>
    <row r="1914" spans="1:20" ht="13.2">
      <c r="A1914" s="7"/>
      <c r="B1914" s="7"/>
      <c r="C1914" s="74"/>
      <c r="D1914" s="74"/>
      <c r="F1914" s="7"/>
      <c r="G1914" s="74"/>
      <c r="H1914" s="74"/>
      <c r="J1914" s="7"/>
      <c r="K1914" s="74"/>
      <c r="L1914" s="74"/>
      <c r="N1914" s="7"/>
      <c r="O1914" s="74"/>
      <c r="P1914" s="74"/>
      <c r="R1914" s="7"/>
      <c r="S1914" s="7"/>
      <c r="T1914" s="66"/>
    </row>
    <row r="1915" spans="1:20" ht="13.2">
      <c r="A1915" s="7"/>
      <c r="B1915" s="7"/>
      <c r="C1915" s="74"/>
      <c r="D1915" s="74"/>
      <c r="F1915" s="7"/>
      <c r="G1915" s="74"/>
      <c r="H1915" s="74"/>
      <c r="J1915" s="7"/>
      <c r="K1915" s="74"/>
      <c r="L1915" s="74"/>
      <c r="N1915" s="7"/>
      <c r="O1915" s="74"/>
      <c r="P1915" s="74"/>
      <c r="R1915" s="7"/>
      <c r="S1915" s="7"/>
      <c r="T1915" s="66"/>
    </row>
    <row r="1916" spans="1:20" ht="13.2">
      <c r="A1916" s="7"/>
      <c r="B1916" s="7"/>
      <c r="C1916" s="74"/>
      <c r="D1916" s="74"/>
      <c r="F1916" s="7"/>
      <c r="G1916" s="74"/>
      <c r="H1916" s="74"/>
      <c r="J1916" s="7"/>
      <c r="K1916" s="74"/>
      <c r="L1916" s="74"/>
      <c r="N1916" s="7"/>
      <c r="O1916" s="74"/>
      <c r="P1916" s="74"/>
      <c r="R1916" s="7"/>
      <c r="S1916" s="7"/>
      <c r="T1916" s="66"/>
    </row>
    <row r="1917" spans="1:20" ht="13.2">
      <c r="A1917" s="7"/>
      <c r="B1917" s="7"/>
      <c r="C1917" s="74"/>
      <c r="D1917" s="74"/>
      <c r="F1917" s="7"/>
      <c r="G1917" s="74"/>
      <c r="H1917" s="74"/>
      <c r="J1917" s="7"/>
      <c r="K1917" s="74"/>
      <c r="L1917" s="74"/>
      <c r="N1917" s="7"/>
      <c r="O1917" s="74"/>
      <c r="P1917" s="74"/>
      <c r="R1917" s="7"/>
      <c r="S1917" s="7"/>
      <c r="T1917" s="66"/>
    </row>
    <row r="1918" spans="1:20" ht="13.2">
      <c r="A1918" s="7"/>
      <c r="B1918" s="7"/>
      <c r="C1918" s="74"/>
      <c r="D1918" s="74"/>
      <c r="F1918" s="7"/>
      <c r="G1918" s="74"/>
      <c r="H1918" s="74"/>
      <c r="J1918" s="7"/>
      <c r="K1918" s="74"/>
      <c r="L1918" s="74"/>
      <c r="N1918" s="7"/>
      <c r="O1918" s="74"/>
      <c r="P1918" s="74"/>
      <c r="R1918" s="7"/>
      <c r="S1918" s="7"/>
      <c r="T1918" s="66"/>
    </row>
    <row r="1919" spans="1:20" ht="13.2">
      <c r="A1919" s="7"/>
      <c r="B1919" s="7"/>
      <c r="C1919" s="74"/>
      <c r="D1919" s="74"/>
      <c r="F1919" s="7"/>
      <c r="G1919" s="74"/>
      <c r="H1919" s="74"/>
      <c r="J1919" s="7"/>
      <c r="K1919" s="74"/>
      <c r="L1919" s="74"/>
      <c r="N1919" s="7"/>
      <c r="O1919" s="74"/>
      <c r="P1919" s="74"/>
      <c r="R1919" s="7"/>
      <c r="S1919" s="7"/>
      <c r="T1919" s="66"/>
    </row>
    <row r="1920" spans="1:20" ht="13.2">
      <c r="A1920" s="7"/>
      <c r="B1920" s="7"/>
      <c r="C1920" s="74"/>
      <c r="D1920" s="74"/>
      <c r="F1920" s="7"/>
      <c r="G1920" s="74"/>
      <c r="H1920" s="74"/>
      <c r="J1920" s="7"/>
      <c r="K1920" s="74"/>
      <c r="L1920" s="74"/>
      <c r="N1920" s="7"/>
      <c r="O1920" s="74"/>
      <c r="P1920" s="74"/>
      <c r="R1920" s="7"/>
      <c r="S1920" s="7"/>
      <c r="T1920" s="66"/>
    </row>
    <row r="1921" spans="1:20" ht="13.2">
      <c r="A1921" s="7"/>
      <c r="B1921" s="7"/>
      <c r="C1921" s="74"/>
      <c r="D1921" s="74"/>
      <c r="F1921" s="7"/>
      <c r="G1921" s="74"/>
      <c r="H1921" s="74"/>
      <c r="J1921" s="7"/>
      <c r="K1921" s="74"/>
      <c r="L1921" s="74"/>
      <c r="N1921" s="7"/>
      <c r="O1921" s="74"/>
      <c r="P1921" s="74"/>
      <c r="R1921" s="7"/>
      <c r="S1921" s="7"/>
      <c r="T1921" s="66"/>
    </row>
    <row r="1922" spans="1:20" ht="13.2">
      <c r="A1922" s="7"/>
      <c r="B1922" s="7"/>
      <c r="C1922" s="74"/>
      <c r="D1922" s="74"/>
      <c r="F1922" s="7"/>
      <c r="G1922" s="74"/>
      <c r="H1922" s="74"/>
      <c r="J1922" s="7"/>
      <c r="K1922" s="74"/>
      <c r="L1922" s="74"/>
      <c r="N1922" s="7"/>
      <c r="O1922" s="74"/>
      <c r="P1922" s="74"/>
      <c r="R1922" s="7"/>
      <c r="S1922" s="7"/>
      <c r="T1922" s="66"/>
    </row>
    <row r="1923" spans="1:20" ht="13.2">
      <c r="A1923" s="7"/>
      <c r="B1923" s="7"/>
      <c r="C1923" s="74"/>
      <c r="D1923" s="74"/>
      <c r="F1923" s="7"/>
      <c r="G1923" s="74"/>
      <c r="H1923" s="74"/>
      <c r="J1923" s="7"/>
      <c r="K1923" s="74"/>
      <c r="L1923" s="74"/>
      <c r="N1923" s="7"/>
      <c r="O1923" s="74"/>
      <c r="P1923" s="74"/>
      <c r="R1923" s="7"/>
      <c r="S1923" s="7"/>
      <c r="T1923" s="66"/>
    </row>
    <row r="1924" spans="1:20" ht="13.2">
      <c r="A1924" s="7"/>
      <c r="B1924" s="7"/>
      <c r="C1924" s="74"/>
      <c r="D1924" s="74"/>
      <c r="F1924" s="7"/>
      <c r="G1924" s="74"/>
      <c r="H1924" s="74"/>
      <c r="J1924" s="7"/>
      <c r="K1924" s="74"/>
      <c r="L1924" s="74"/>
      <c r="N1924" s="7"/>
      <c r="O1924" s="74"/>
      <c r="P1924" s="74"/>
      <c r="R1924" s="7"/>
      <c r="S1924" s="7"/>
      <c r="T1924" s="66"/>
    </row>
    <row r="1925" spans="1:20" ht="13.2">
      <c r="A1925" s="7"/>
      <c r="B1925" s="7"/>
      <c r="C1925" s="74"/>
      <c r="D1925" s="74"/>
      <c r="F1925" s="7"/>
      <c r="G1925" s="74"/>
      <c r="H1925" s="74"/>
      <c r="J1925" s="7"/>
      <c r="K1925" s="74"/>
      <c r="L1925" s="74"/>
      <c r="N1925" s="7"/>
      <c r="O1925" s="74"/>
      <c r="P1925" s="74"/>
      <c r="R1925" s="7"/>
      <c r="S1925" s="7"/>
      <c r="T1925" s="66"/>
    </row>
    <row r="1926" spans="1:20" ht="13.2">
      <c r="A1926" s="7"/>
      <c r="B1926" s="7"/>
      <c r="C1926" s="74"/>
      <c r="D1926" s="74"/>
      <c r="F1926" s="7"/>
      <c r="G1926" s="74"/>
      <c r="H1926" s="74"/>
      <c r="J1926" s="7"/>
      <c r="K1926" s="74"/>
      <c r="L1926" s="74"/>
      <c r="N1926" s="7"/>
      <c r="O1926" s="74"/>
      <c r="P1926" s="74"/>
      <c r="R1926" s="7"/>
      <c r="S1926" s="7"/>
      <c r="T1926" s="66"/>
    </row>
    <row r="1927" spans="1:20" ht="13.2">
      <c r="A1927" s="7"/>
      <c r="B1927" s="7"/>
      <c r="C1927" s="74"/>
      <c r="D1927" s="74"/>
      <c r="F1927" s="7"/>
      <c r="G1927" s="74"/>
      <c r="H1927" s="74"/>
      <c r="J1927" s="7"/>
      <c r="K1927" s="74"/>
      <c r="L1927" s="74"/>
      <c r="N1927" s="7"/>
      <c r="O1927" s="74"/>
      <c r="P1927" s="74"/>
      <c r="R1927" s="7"/>
      <c r="S1927" s="7"/>
      <c r="T1927" s="66"/>
    </row>
    <row r="1928" spans="1:20" ht="13.2">
      <c r="A1928" s="7"/>
      <c r="B1928" s="7"/>
      <c r="C1928" s="74"/>
      <c r="D1928" s="74"/>
      <c r="F1928" s="7"/>
      <c r="G1928" s="74"/>
      <c r="H1928" s="74"/>
      <c r="J1928" s="7"/>
      <c r="K1928" s="74"/>
      <c r="L1928" s="74"/>
      <c r="N1928" s="7"/>
      <c r="O1928" s="74"/>
      <c r="P1928" s="74"/>
      <c r="R1928" s="7"/>
      <c r="S1928" s="7"/>
      <c r="T1928" s="66"/>
    </row>
    <row r="1929" spans="1:20" ht="13.2">
      <c r="A1929" s="7"/>
      <c r="B1929" s="7"/>
      <c r="C1929" s="74"/>
      <c r="D1929" s="74"/>
      <c r="F1929" s="7"/>
      <c r="G1929" s="74"/>
      <c r="H1929" s="74"/>
      <c r="J1929" s="7"/>
      <c r="K1929" s="74"/>
      <c r="L1929" s="74"/>
      <c r="N1929" s="7"/>
      <c r="O1929" s="74"/>
      <c r="P1929" s="74"/>
      <c r="R1929" s="7"/>
      <c r="S1929" s="7"/>
      <c r="T1929" s="66"/>
    </row>
    <row r="1930" spans="1:20" ht="13.2">
      <c r="A1930" s="7"/>
      <c r="B1930" s="7"/>
      <c r="C1930" s="74"/>
      <c r="D1930" s="74"/>
      <c r="F1930" s="7"/>
      <c r="G1930" s="74"/>
      <c r="H1930" s="74"/>
      <c r="J1930" s="7"/>
      <c r="K1930" s="74"/>
      <c r="L1930" s="74"/>
      <c r="N1930" s="7"/>
      <c r="O1930" s="74"/>
      <c r="P1930" s="74"/>
      <c r="R1930" s="7"/>
      <c r="S1930" s="7"/>
      <c r="T1930" s="66"/>
    </row>
    <row r="1931" spans="1:20" ht="13.2">
      <c r="A1931" s="7"/>
      <c r="B1931" s="7"/>
      <c r="C1931" s="74"/>
      <c r="D1931" s="74"/>
      <c r="F1931" s="7"/>
      <c r="G1931" s="74"/>
      <c r="H1931" s="74"/>
      <c r="J1931" s="7"/>
      <c r="K1931" s="74"/>
      <c r="L1931" s="74"/>
      <c r="N1931" s="7"/>
      <c r="O1931" s="74"/>
      <c r="P1931" s="74"/>
      <c r="R1931" s="7"/>
      <c r="S1931" s="7"/>
      <c r="T1931" s="66"/>
    </row>
    <row r="1932" spans="1:20" ht="13.2">
      <c r="A1932" s="7"/>
      <c r="B1932" s="7"/>
      <c r="C1932" s="74"/>
      <c r="D1932" s="74"/>
      <c r="F1932" s="7"/>
      <c r="G1932" s="74"/>
      <c r="H1932" s="74"/>
      <c r="J1932" s="7"/>
      <c r="K1932" s="74"/>
      <c r="L1932" s="74"/>
      <c r="N1932" s="7"/>
      <c r="O1932" s="74"/>
      <c r="P1932" s="74"/>
      <c r="R1932" s="7"/>
      <c r="S1932" s="7"/>
      <c r="T1932" s="66"/>
    </row>
    <row r="1933" spans="1:20" ht="13.2">
      <c r="A1933" s="7"/>
      <c r="B1933" s="7"/>
      <c r="C1933" s="74"/>
      <c r="D1933" s="74"/>
      <c r="F1933" s="7"/>
      <c r="G1933" s="74"/>
      <c r="H1933" s="74"/>
      <c r="J1933" s="7"/>
      <c r="K1933" s="74"/>
      <c r="L1933" s="74"/>
      <c r="N1933" s="7"/>
      <c r="O1933" s="74"/>
      <c r="P1933" s="74"/>
      <c r="R1933" s="7"/>
      <c r="S1933" s="7"/>
      <c r="T1933" s="66"/>
    </row>
    <row r="1934" spans="1:20" ht="13.2">
      <c r="A1934" s="7"/>
      <c r="B1934" s="7"/>
      <c r="C1934" s="74"/>
      <c r="D1934" s="74"/>
      <c r="F1934" s="7"/>
      <c r="G1934" s="74"/>
      <c r="H1934" s="74"/>
      <c r="J1934" s="7"/>
      <c r="K1934" s="74"/>
      <c r="L1934" s="74"/>
      <c r="N1934" s="7"/>
      <c r="O1934" s="74"/>
      <c r="P1934" s="74"/>
      <c r="R1934" s="7"/>
      <c r="S1934" s="7"/>
      <c r="T1934" s="66"/>
    </row>
    <row r="1935" spans="1:20" ht="13.2">
      <c r="A1935" s="7"/>
      <c r="B1935" s="7"/>
      <c r="C1935" s="74"/>
      <c r="D1935" s="74"/>
      <c r="F1935" s="7"/>
      <c r="G1935" s="74"/>
      <c r="H1935" s="74"/>
      <c r="J1935" s="7"/>
      <c r="K1935" s="74"/>
      <c r="L1935" s="74"/>
      <c r="N1935" s="7"/>
      <c r="O1935" s="74"/>
      <c r="P1935" s="74"/>
      <c r="R1935" s="7"/>
      <c r="S1935" s="7"/>
      <c r="T1935" s="66"/>
    </row>
    <row r="1936" spans="1:20" ht="13.2">
      <c r="A1936" s="7"/>
      <c r="B1936" s="7"/>
      <c r="C1936" s="74"/>
      <c r="D1936" s="74"/>
      <c r="F1936" s="7"/>
      <c r="G1936" s="74"/>
      <c r="H1936" s="74"/>
      <c r="J1936" s="7"/>
      <c r="K1936" s="74"/>
      <c r="L1936" s="74"/>
      <c r="N1936" s="7"/>
      <c r="O1936" s="74"/>
      <c r="P1936" s="74"/>
      <c r="R1936" s="7"/>
      <c r="S1936" s="7"/>
      <c r="T1936" s="66"/>
    </row>
    <row r="1937" spans="1:20" ht="13.2">
      <c r="A1937" s="7"/>
      <c r="B1937" s="7"/>
      <c r="C1937" s="74"/>
      <c r="D1937" s="74"/>
      <c r="F1937" s="7"/>
      <c r="G1937" s="74"/>
      <c r="H1937" s="74"/>
      <c r="J1937" s="7"/>
      <c r="K1937" s="74"/>
      <c r="L1937" s="74"/>
      <c r="N1937" s="7"/>
      <c r="O1937" s="74"/>
      <c r="P1937" s="74"/>
      <c r="R1937" s="7"/>
      <c r="S1937" s="7"/>
      <c r="T1937" s="66"/>
    </row>
    <row r="1938" spans="1:20" ht="13.2">
      <c r="A1938" s="7"/>
      <c r="B1938" s="7"/>
      <c r="C1938" s="74"/>
      <c r="D1938" s="74"/>
      <c r="F1938" s="7"/>
      <c r="G1938" s="74"/>
      <c r="H1938" s="74"/>
      <c r="J1938" s="7"/>
      <c r="K1938" s="74"/>
      <c r="L1938" s="74"/>
      <c r="N1938" s="7"/>
      <c r="O1938" s="74"/>
      <c r="P1938" s="74"/>
      <c r="R1938" s="7"/>
      <c r="S1938" s="7"/>
      <c r="T1938" s="66"/>
    </row>
    <row r="1939" spans="1:20" ht="13.2">
      <c r="A1939" s="7"/>
      <c r="B1939" s="7"/>
      <c r="C1939" s="74"/>
      <c r="D1939" s="74"/>
      <c r="F1939" s="7"/>
      <c r="G1939" s="74"/>
      <c r="H1939" s="74"/>
      <c r="J1939" s="7"/>
      <c r="K1939" s="74"/>
      <c r="L1939" s="74"/>
      <c r="N1939" s="7"/>
      <c r="O1939" s="74"/>
      <c r="P1939" s="74"/>
      <c r="R1939" s="7"/>
      <c r="S1939" s="7"/>
      <c r="T1939" s="66"/>
    </row>
    <row r="1940" spans="1:20" ht="13.2">
      <c r="A1940" s="7"/>
      <c r="B1940" s="7"/>
      <c r="C1940" s="74"/>
      <c r="D1940" s="74"/>
      <c r="F1940" s="7"/>
      <c r="G1940" s="74"/>
      <c r="H1940" s="74"/>
      <c r="J1940" s="7"/>
      <c r="K1940" s="74"/>
      <c r="L1940" s="74"/>
      <c r="N1940" s="7"/>
      <c r="O1940" s="74"/>
      <c r="P1940" s="74"/>
      <c r="R1940" s="7"/>
      <c r="S1940" s="7"/>
      <c r="T1940" s="66"/>
    </row>
    <row r="1941" spans="1:20" ht="13.2">
      <c r="A1941" s="7"/>
      <c r="B1941" s="7"/>
      <c r="C1941" s="74"/>
      <c r="D1941" s="74"/>
      <c r="F1941" s="7"/>
      <c r="G1941" s="74"/>
      <c r="H1941" s="74"/>
      <c r="J1941" s="7"/>
      <c r="K1941" s="74"/>
      <c r="L1941" s="74"/>
      <c r="N1941" s="7"/>
      <c r="O1941" s="74"/>
      <c r="P1941" s="74"/>
      <c r="R1941" s="7"/>
      <c r="S1941" s="7"/>
      <c r="T1941" s="66"/>
    </row>
    <row r="1942" spans="1:20" ht="13.2">
      <c r="A1942" s="7"/>
      <c r="B1942" s="7"/>
      <c r="C1942" s="74"/>
      <c r="D1942" s="74"/>
      <c r="F1942" s="7"/>
      <c r="G1942" s="74"/>
      <c r="H1942" s="74"/>
      <c r="J1942" s="7"/>
      <c r="K1942" s="74"/>
      <c r="L1942" s="74"/>
      <c r="N1942" s="7"/>
      <c r="O1942" s="74"/>
      <c r="P1942" s="74"/>
      <c r="R1942" s="7"/>
      <c r="S1942" s="7"/>
      <c r="T1942" s="66"/>
    </row>
    <row r="1943" spans="1:20" ht="13.2">
      <c r="A1943" s="7"/>
      <c r="B1943" s="7"/>
      <c r="C1943" s="74"/>
      <c r="D1943" s="74"/>
      <c r="F1943" s="7"/>
      <c r="G1943" s="74"/>
      <c r="H1943" s="74"/>
      <c r="J1943" s="7"/>
      <c r="K1943" s="74"/>
      <c r="L1943" s="74"/>
      <c r="N1943" s="7"/>
      <c r="O1943" s="74"/>
      <c r="P1943" s="74"/>
      <c r="R1943" s="7"/>
      <c r="S1943" s="7"/>
      <c r="T1943" s="66"/>
    </row>
    <row r="1944" spans="1:20" ht="13.2">
      <c r="A1944" s="7"/>
      <c r="B1944" s="7"/>
      <c r="C1944" s="74"/>
      <c r="D1944" s="74"/>
      <c r="F1944" s="7"/>
      <c r="G1944" s="74"/>
      <c r="H1944" s="74"/>
      <c r="J1944" s="7"/>
      <c r="K1944" s="74"/>
      <c r="L1944" s="74"/>
      <c r="N1944" s="7"/>
      <c r="O1944" s="74"/>
      <c r="P1944" s="74"/>
      <c r="R1944" s="7"/>
      <c r="S1944" s="7"/>
      <c r="T1944" s="66"/>
    </row>
    <row r="1945" spans="1:20" ht="13.2">
      <c r="A1945" s="7"/>
      <c r="B1945" s="7"/>
      <c r="C1945" s="74"/>
      <c r="D1945" s="74"/>
      <c r="F1945" s="7"/>
      <c r="G1945" s="74"/>
      <c r="H1945" s="74"/>
      <c r="J1945" s="7"/>
      <c r="K1945" s="74"/>
      <c r="L1945" s="74"/>
      <c r="N1945" s="7"/>
      <c r="O1945" s="74"/>
      <c r="P1945" s="74"/>
      <c r="R1945" s="7"/>
      <c r="S1945" s="7"/>
      <c r="T1945" s="66"/>
    </row>
    <row r="1946" spans="1:20" ht="13.2">
      <c r="A1946" s="7"/>
      <c r="B1946" s="7"/>
      <c r="C1946" s="74"/>
      <c r="D1946" s="74"/>
      <c r="F1946" s="7"/>
      <c r="G1946" s="74"/>
      <c r="H1946" s="74"/>
      <c r="J1946" s="7"/>
      <c r="K1946" s="74"/>
      <c r="L1946" s="74"/>
      <c r="N1946" s="7"/>
      <c r="O1946" s="74"/>
      <c r="P1946" s="74"/>
      <c r="R1946" s="7"/>
      <c r="S1946" s="7"/>
      <c r="T1946" s="66"/>
    </row>
    <row r="1947" spans="1:20" ht="13.2">
      <c r="A1947" s="7"/>
      <c r="B1947" s="7"/>
      <c r="C1947" s="74"/>
      <c r="D1947" s="74"/>
      <c r="F1947" s="7"/>
      <c r="G1947" s="74"/>
      <c r="H1947" s="74"/>
      <c r="J1947" s="7"/>
      <c r="K1947" s="74"/>
      <c r="L1947" s="74"/>
      <c r="N1947" s="7"/>
      <c r="O1947" s="74"/>
      <c r="P1947" s="74"/>
      <c r="R1947" s="7"/>
      <c r="S1947" s="7"/>
      <c r="T1947" s="66"/>
    </row>
    <row r="1948" spans="1:20" ht="13.2">
      <c r="A1948" s="7"/>
      <c r="B1948" s="7"/>
      <c r="C1948" s="74"/>
      <c r="D1948" s="74"/>
      <c r="F1948" s="7"/>
      <c r="G1948" s="74"/>
      <c r="H1948" s="74"/>
      <c r="J1948" s="7"/>
      <c r="K1948" s="74"/>
      <c r="L1948" s="74"/>
      <c r="N1948" s="7"/>
      <c r="O1948" s="74"/>
      <c r="P1948" s="74"/>
      <c r="R1948" s="7"/>
      <c r="S1948" s="7"/>
      <c r="T1948" s="66"/>
    </row>
    <row r="1949" spans="1:20" ht="13.2">
      <c r="A1949" s="7"/>
      <c r="B1949" s="7"/>
      <c r="C1949" s="74"/>
      <c r="D1949" s="74"/>
      <c r="F1949" s="7"/>
      <c r="G1949" s="74"/>
      <c r="H1949" s="74"/>
      <c r="J1949" s="7"/>
      <c r="K1949" s="74"/>
      <c r="L1949" s="74"/>
      <c r="N1949" s="7"/>
      <c r="O1949" s="74"/>
      <c r="P1949" s="74"/>
      <c r="R1949" s="7"/>
      <c r="S1949" s="7"/>
      <c r="T1949" s="66"/>
    </row>
    <row r="1950" spans="1:20" ht="13.2">
      <c r="A1950" s="7"/>
      <c r="B1950" s="7"/>
      <c r="C1950" s="74"/>
      <c r="D1950" s="74"/>
      <c r="F1950" s="7"/>
      <c r="G1950" s="74"/>
      <c r="H1950" s="74"/>
      <c r="J1950" s="7"/>
      <c r="K1950" s="74"/>
      <c r="L1950" s="74"/>
      <c r="N1950" s="7"/>
      <c r="O1950" s="74"/>
      <c r="P1950" s="74"/>
      <c r="R1950" s="7"/>
      <c r="S1950" s="7"/>
      <c r="T1950" s="66"/>
    </row>
    <row r="1951" spans="1:20" ht="13.2">
      <c r="A1951" s="7"/>
      <c r="B1951" s="7"/>
      <c r="C1951" s="74"/>
      <c r="D1951" s="74"/>
      <c r="F1951" s="7"/>
      <c r="G1951" s="74"/>
      <c r="H1951" s="74"/>
      <c r="J1951" s="7"/>
      <c r="K1951" s="74"/>
      <c r="L1951" s="74"/>
      <c r="N1951" s="7"/>
      <c r="O1951" s="74"/>
      <c r="P1951" s="74"/>
      <c r="R1951" s="7"/>
      <c r="S1951" s="7"/>
      <c r="T1951" s="66"/>
    </row>
    <row r="1952" spans="1:20" ht="13.2">
      <c r="A1952" s="7"/>
      <c r="B1952" s="7"/>
      <c r="C1952" s="74"/>
      <c r="D1952" s="74"/>
      <c r="F1952" s="7"/>
      <c r="G1952" s="74"/>
      <c r="H1952" s="74"/>
      <c r="J1952" s="7"/>
      <c r="K1952" s="74"/>
      <c r="L1952" s="74"/>
      <c r="N1952" s="7"/>
      <c r="O1952" s="74"/>
      <c r="P1952" s="74"/>
      <c r="R1952" s="7"/>
      <c r="S1952" s="7"/>
      <c r="T1952" s="66"/>
    </row>
    <row r="1953" spans="1:20" ht="13.2">
      <c r="A1953" s="7"/>
      <c r="B1953" s="7"/>
      <c r="C1953" s="74"/>
      <c r="D1953" s="74"/>
      <c r="F1953" s="7"/>
      <c r="G1953" s="74"/>
      <c r="H1953" s="74"/>
      <c r="J1953" s="7"/>
      <c r="K1953" s="74"/>
      <c r="L1953" s="74"/>
      <c r="N1953" s="7"/>
      <c r="O1953" s="74"/>
      <c r="P1953" s="74"/>
      <c r="R1953" s="7"/>
      <c r="S1953" s="7"/>
      <c r="T1953" s="66"/>
    </row>
    <row r="1954" spans="1:20" ht="13.2">
      <c r="A1954" s="7"/>
      <c r="B1954" s="7"/>
      <c r="C1954" s="74"/>
      <c r="D1954" s="74"/>
      <c r="F1954" s="7"/>
      <c r="G1954" s="74"/>
      <c r="H1954" s="74"/>
      <c r="J1954" s="7"/>
      <c r="K1954" s="74"/>
      <c r="L1954" s="74"/>
      <c r="N1954" s="7"/>
      <c r="O1954" s="74"/>
      <c r="P1954" s="74"/>
      <c r="R1954" s="7"/>
      <c r="S1954" s="7"/>
      <c r="T1954" s="66"/>
    </row>
    <row r="1955" spans="1:20" ht="13.2">
      <c r="A1955" s="7"/>
      <c r="B1955" s="7"/>
      <c r="C1955" s="74"/>
      <c r="D1955" s="74"/>
      <c r="F1955" s="7"/>
      <c r="G1955" s="74"/>
      <c r="H1955" s="74"/>
      <c r="J1955" s="7"/>
      <c r="K1955" s="74"/>
      <c r="L1955" s="74"/>
      <c r="N1955" s="7"/>
      <c r="O1955" s="74"/>
      <c r="P1955" s="74"/>
      <c r="R1955" s="7"/>
      <c r="S1955" s="7"/>
      <c r="T1955" s="66"/>
    </row>
    <row r="1956" spans="1:20" ht="13.2">
      <c r="A1956" s="7"/>
      <c r="B1956" s="7"/>
      <c r="C1956" s="74"/>
      <c r="D1956" s="74"/>
      <c r="F1956" s="7"/>
      <c r="G1956" s="74"/>
      <c r="H1956" s="74"/>
      <c r="J1956" s="7"/>
      <c r="K1956" s="74"/>
      <c r="L1956" s="74"/>
      <c r="N1956" s="7"/>
      <c r="O1956" s="74"/>
      <c r="P1956" s="74"/>
      <c r="R1956" s="7"/>
      <c r="S1956" s="7"/>
      <c r="T1956" s="66"/>
    </row>
    <row r="1957" spans="1:20" ht="13.2">
      <c r="A1957" s="7"/>
      <c r="B1957" s="7"/>
      <c r="C1957" s="74"/>
      <c r="D1957" s="74"/>
      <c r="F1957" s="7"/>
      <c r="G1957" s="74"/>
      <c r="H1957" s="74"/>
      <c r="J1957" s="7"/>
      <c r="K1957" s="74"/>
      <c r="L1957" s="74"/>
      <c r="N1957" s="7"/>
      <c r="O1957" s="74"/>
      <c r="P1957" s="74"/>
      <c r="R1957" s="7"/>
      <c r="S1957" s="7"/>
      <c r="T1957" s="66"/>
    </row>
    <row r="1958" spans="1:20" ht="13.2">
      <c r="A1958" s="7"/>
      <c r="B1958" s="7"/>
      <c r="C1958" s="74"/>
      <c r="D1958" s="74"/>
      <c r="F1958" s="7"/>
      <c r="G1958" s="74"/>
      <c r="H1958" s="74"/>
      <c r="J1958" s="7"/>
      <c r="K1958" s="74"/>
      <c r="L1958" s="74"/>
      <c r="N1958" s="7"/>
      <c r="O1958" s="74"/>
      <c r="P1958" s="74"/>
      <c r="R1958" s="7"/>
      <c r="S1958" s="7"/>
      <c r="T1958" s="66"/>
    </row>
    <row r="1959" spans="1:20" ht="13.2">
      <c r="A1959" s="7"/>
      <c r="B1959" s="7"/>
      <c r="C1959" s="74"/>
      <c r="D1959" s="74"/>
      <c r="F1959" s="7"/>
      <c r="G1959" s="74"/>
      <c r="H1959" s="74"/>
      <c r="J1959" s="7"/>
      <c r="K1959" s="74"/>
      <c r="L1959" s="74"/>
      <c r="N1959" s="7"/>
      <c r="O1959" s="74"/>
      <c r="P1959" s="74"/>
      <c r="R1959" s="7"/>
      <c r="S1959" s="7"/>
      <c r="T1959" s="66"/>
    </row>
    <row r="1960" spans="1:20" ht="13.2">
      <c r="A1960" s="7"/>
      <c r="B1960" s="7"/>
      <c r="C1960" s="74"/>
      <c r="D1960" s="74"/>
      <c r="F1960" s="7"/>
      <c r="G1960" s="74"/>
      <c r="H1960" s="74"/>
      <c r="J1960" s="7"/>
      <c r="K1960" s="74"/>
      <c r="L1960" s="74"/>
      <c r="N1960" s="7"/>
      <c r="O1960" s="74"/>
      <c r="P1960" s="74"/>
      <c r="R1960" s="7"/>
      <c r="S1960" s="7"/>
      <c r="T1960" s="66"/>
    </row>
    <row r="1961" spans="1:20" ht="13.2">
      <c r="A1961" s="7"/>
      <c r="B1961" s="7"/>
      <c r="C1961" s="74"/>
      <c r="D1961" s="74"/>
      <c r="F1961" s="7"/>
      <c r="G1961" s="74"/>
      <c r="H1961" s="74"/>
      <c r="J1961" s="7"/>
      <c r="K1961" s="74"/>
      <c r="L1961" s="74"/>
      <c r="N1961" s="7"/>
      <c r="O1961" s="74"/>
      <c r="P1961" s="74"/>
      <c r="R1961" s="7"/>
      <c r="S1961" s="7"/>
      <c r="T1961" s="66"/>
    </row>
    <row r="1962" spans="1:20" ht="13.2">
      <c r="A1962" s="7"/>
      <c r="B1962" s="7"/>
      <c r="C1962" s="74"/>
      <c r="D1962" s="74"/>
      <c r="F1962" s="7"/>
      <c r="G1962" s="74"/>
      <c r="H1962" s="74"/>
      <c r="J1962" s="7"/>
      <c r="K1962" s="74"/>
      <c r="L1962" s="74"/>
      <c r="N1962" s="7"/>
      <c r="O1962" s="74"/>
      <c r="P1962" s="74"/>
      <c r="R1962" s="7"/>
      <c r="S1962" s="7"/>
      <c r="T1962" s="66"/>
    </row>
    <row r="1963" spans="1:20" ht="13.2">
      <c r="A1963" s="7"/>
      <c r="B1963" s="7"/>
      <c r="C1963" s="74"/>
      <c r="D1963" s="74"/>
      <c r="F1963" s="7"/>
      <c r="G1963" s="74"/>
      <c r="H1963" s="74"/>
      <c r="J1963" s="7"/>
      <c r="K1963" s="74"/>
      <c r="L1963" s="74"/>
      <c r="N1963" s="7"/>
      <c r="O1963" s="74"/>
      <c r="P1963" s="74"/>
      <c r="R1963" s="7"/>
      <c r="S1963" s="7"/>
      <c r="T1963" s="66"/>
    </row>
    <row r="1964" spans="1:20" ht="13.2">
      <c r="A1964" s="7"/>
      <c r="B1964" s="7"/>
      <c r="C1964" s="74"/>
      <c r="D1964" s="74"/>
      <c r="F1964" s="7"/>
      <c r="G1964" s="74"/>
      <c r="H1964" s="74"/>
      <c r="J1964" s="7"/>
      <c r="K1964" s="74"/>
      <c r="L1964" s="74"/>
      <c r="N1964" s="7"/>
      <c r="O1964" s="74"/>
      <c r="P1964" s="74"/>
      <c r="R1964" s="7"/>
      <c r="S1964" s="7"/>
      <c r="T1964" s="66"/>
    </row>
    <row r="1965" spans="1:20" ht="13.2">
      <c r="A1965" s="7"/>
      <c r="B1965" s="7"/>
      <c r="C1965" s="74"/>
      <c r="D1965" s="74"/>
      <c r="F1965" s="7"/>
      <c r="G1965" s="74"/>
      <c r="H1965" s="74"/>
      <c r="J1965" s="7"/>
      <c r="K1965" s="74"/>
      <c r="L1965" s="74"/>
      <c r="N1965" s="7"/>
      <c r="O1965" s="74"/>
      <c r="P1965" s="74"/>
      <c r="R1965" s="7"/>
      <c r="S1965" s="7"/>
      <c r="T1965" s="66"/>
    </row>
    <row r="1966" spans="1:20" ht="13.2">
      <c r="A1966" s="7"/>
      <c r="B1966" s="7"/>
      <c r="C1966" s="74"/>
      <c r="D1966" s="74"/>
      <c r="F1966" s="7"/>
      <c r="G1966" s="74"/>
      <c r="H1966" s="74"/>
      <c r="J1966" s="7"/>
      <c r="K1966" s="74"/>
      <c r="L1966" s="74"/>
      <c r="N1966" s="7"/>
      <c r="O1966" s="74"/>
      <c r="P1966" s="74"/>
      <c r="R1966" s="7"/>
      <c r="S1966" s="7"/>
      <c r="T1966" s="66"/>
    </row>
    <row r="1967" spans="1:20" ht="13.2">
      <c r="A1967" s="7"/>
      <c r="B1967" s="7"/>
      <c r="C1967" s="74"/>
      <c r="D1967" s="74"/>
      <c r="F1967" s="7"/>
      <c r="G1967" s="74"/>
      <c r="H1967" s="74"/>
      <c r="J1967" s="7"/>
      <c r="K1967" s="74"/>
      <c r="L1967" s="74"/>
      <c r="N1967" s="7"/>
      <c r="O1967" s="74"/>
      <c r="P1967" s="74"/>
      <c r="R1967" s="7"/>
      <c r="S1967" s="7"/>
      <c r="T1967" s="66"/>
    </row>
    <row r="1968" spans="1:20" ht="13.2">
      <c r="A1968" s="7"/>
      <c r="B1968" s="7"/>
      <c r="C1968" s="74"/>
      <c r="D1968" s="74"/>
      <c r="F1968" s="7"/>
      <c r="G1968" s="74"/>
      <c r="H1968" s="74"/>
      <c r="J1968" s="7"/>
      <c r="K1968" s="74"/>
      <c r="L1968" s="74"/>
      <c r="N1968" s="7"/>
      <c r="O1968" s="74"/>
      <c r="P1968" s="74"/>
      <c r="R1968" s="7"/>
      <c r="S1968" s="7"/>
      <c r="T1968" s="66"/>
    </row>
    <row r="1969" spans="1:20" ht="13.2">
      <c r="A1969" s="7"/>
      <c r="B1969" s="7"/>
      <c r="C1969" s="74"/>
      <c r="D1969" s="74"/>
      <c r="F1969" s="7"/>
      <c r="G1969" s="74"/>
      <c r="H1969" s="74"/>
      <c r="J1969" s="7"/>
      <c r="K1969" s="74"/>
      <c r="L1969" s="74"/>
      <c r="N1969" s="7"/>
      <c r="O1969" s="74"/>
      <c r="P1969" s="74"/>
      <c r="R1969" s="7"/>
      <c r="S1969" s="7"/>
      <c r="T1969" s="66"/>
    </row>
    <row r="1970" spans="1:20" ht="13.2">
      <c r="A1970" s="7"/>
      <c r="B1970" s="7"/>
      <c r="C1970" s="74"/>
      <c r="D1970" s="74"/>
      <c r="F1970" s="7"/>
      <c r="G1970" s="74"/>
      <c r="H1970" s="74"/>
      <c r="J1970" s="7"/>
      <c r="K1970" s="74"/>
      <c r="L1970" s="74"/>
      <c r="N1970" s="7"/>
      <c r="O1970" s="74"/>
      <c r="P1970" s="74"/>
      <c r="R1970" s="7"/>
      <c r="S1970" s="7"/>
      <c r="T1970" s="66"/>
    </row>
    <row r="1971" spans="1:20" ht="13.2">
      <c r="A1971" s="7"/>
      <c r="B1971" s="7"/>
      <c r="C1971" s="74"/>
      <c r="D1971" s="74"/>
      <c r="F1971" s="7"/>
      <c r="G1971" s="74"/>
      <c r="H1971" s="74"/>
      <c r="J1971" s="7"/>
      <c r="K1971" s="74"/>
      <c r="L1971" s="74"/>
      <c r="N1971" s="7"/>
      <c r="O1971" s="74"/>
      <c r="P1971" s="74"/>
      <c r="R1971" s="7"/>
      <c r="S1971" s="7"/>
      <c r="T1971" s="66"/>
    </row>
    <row r="1972" spans="1:20" ht="13.2">
      <c r="A1972" s="7"/>
      <c r="B1972" s="7"/>
      <c r="C1972" s="74"/>
      <c r="D1972" s="74"/>
      <c r="F1972" s="7"/>
      <c r="G1972" s="74"/>
      <c r="H1972" s="74"/>
      <c r="J1972" s="7"/>
      <c r="K1972" s="74"/>
      <c r="L1972" s="74"/>
      <c r="N1972" s="7"/>
      <c r="O1972" s="74"/>
      <c r="P1972" s="74"/>
      <c r="R1972" s="7"/>
      <c r="S1972" s="7"/>
      <c r="T1972" s="66"/>
    </row>
    <row r="1973" spans="1:20" ht="13.2">
      <c r="A1973" s="7"/>
      <c r="B1973" s="7"/>
      <c r="C1973" s="74"/>
      <c r="D1973" s="74"/>
      <c r="F1973" s="7"/>
      <c r="G1973" s="74"/>
      <c r="H1973" s="74"/>
      <c r="J1973" s="7"/>
      <c r="K1973" s="74"/>
      <c r="L1973" s="74"/>
      <c r="N1973" s="7"/>
      <c r="O1973" s="74"/>
      <c r="P1973" s="74"/>
      <c r="R1973" s="7"/>
      <c r="S1973" s="7"/>
      <c r="T1973" s="66"/>
    </row>
    <row r="1974" spans="1:20" ht="13.2">
      <c r="A1974" s="7"/>
      <c r="B1974" s="7"/>
      <c r="C1974" s="74"/>
      <c r="D1974" s="74"/>
      <c r="F1974" s="7"/>
      <c r="G1974" s="74"/>
      <c r="H1974" s="74"/>
      <c r="J1974" s="7"/>
      <c r="K1974" s="74"/>
      <c r="L1974" s="74"/>
      <c r="N1974" s="7"/>
      <c r="O1974" s="74"/>
      <c r="P1974" s="74"/>
      <c r="R1974" s="7"/>
      <c r="S1974" s="7"/>
      <c r="T1974" s="66"/>
    </row>
    <row r="1975" spans="1:20" ht="13.2">
      <c r="A1975" s="7"/>
      <c r="B1975" s="7"/>
      <c r="C1975" s="74"/>
      <c r="D1975" s="74"/>
      <c r="F1975" s="7"/>
      <c r="G1975" s="74"/>
      <c r="H1975" s="74"/>
      <c r="J1975" s="7"/>
      <c r="K1975" s="74"/>
      <c r="L1975" s="74"/>
      <c r="N1975" s="7"/>
      <c r="O1975" s="74"/>
      <c r="P1975" s="74"/>
      <c r="R1975" s="7"/>
      <c r="S1975" s="7"/>
      <c r="T1975" s="66"/>
    </row>
    <row r="1976" spans="1:20" ht="13.2">
      <c r="A1976" s="7"/>
      <c r="B1976" s="7"/>
      <c r="C1976" s="74"/>
      <c r="D1976" s="74"/>
      <c r="F1976" s="7"/>
      <c r="G1976" s="74"/>
      <c r="H1976" s="74"/>
      <c r="J1976" s="7"/>
      <c r="K1976" s="74"/>
      <c r="L1976" s="74"/>
      <c r="N1976" s="7"/>
      <c r="O1976" s="74"/>
      <c r="P1976" s="74"/>
      <c r="R1976" s="7"/>
      <c r="S1976" s="7"/>
      <c r="T1976" s="66"/>
    </row>
    <row r="1977" spans="1:20" ht="13.2">
      <c r="A1977" s="7"/>
      <c r="B1977" s="7"/>
      <c r="C1977" s="74"/>
      <c r="D1977" s="74"/>
      <c r="F1977" s="7"/>
      <c r="G1977" s="74"/>
      <c r="H1977" s="74"/>
      <c r="J1977" s="7"/>
      <c r="K1977" s="74"/>
      <c r="L1977" s="74"/>
      <c r="N1977" s="7"/>
      <c r="O1977" s="74"/>
      <c r="P1977" s="74"/>
      <c r="R1977" s="7"/>
      <c r="S1977" s="7"/>
      <c r="T1977" s="66"/>
    </row>
    <row r="1978" spans="1:20" ht="13.2">
      <c r="A1978" s="7"/>
      <c r="B1978" s="7"/>
      <c r="C1978" s="74"/>
      <c r="D1978" s="74"/>
      <c r="F1978" s="7"/>
      <c r="G1978" s="74"/>
      <c r="H1978" s="74"/>
      <c r="J1978" s="7"/>
      <c r="K1978" s="74"/>
      <c r="L1978" s="74"/>
      <c r="N1978" s="7"/>
      <c r="O1978" s="74"/>
      <c r="P1978" s="74"/>
      <c r="R1978" s="7"/>
      <c r="S1978" s="7"/>
      <c r="T1978" s="66"/>
    </row>
    <row r="1979" spans="1:20" ht="13.2">
      <c r="A1979" s="7"/>
      <c r="B1979" s="7"/>
      <c r="C1979" s="74"/>
      <c r="D1979" s="74"/>
      <c r="F1979" s="7"/>
      <c r="G1979" s="74"/>
      <c r="H1979" s="74"/>
      <c r="J1979" s="7"/>
      <c r="K1979" s="74"/>
      <c r="L1979" s="74"/>
      <c r="N1979" s="7"/>
      <c r="O1979" s="74"/>
      <c r="P1979" s="74"/>
      <c r="R1979" s="7"/>
      <c r="S1979" s="7"/>
      <c r="T1979" s="66"/>
    </row>
    <row r="1980" spans="1:20" ht="13.2">
      <c r="A1980" s="7"/>
      <c r="B1980" s="7"/>
      <c r="C1980" s="74"/>
      <c r="D1980" s="74"/>
      <c r="F1980" s="7"/>
      <c r="G1980" s="74"/>
      <c r="H1980" s="74"/>
      <c r="J1980" s="7"/>
      <c r="K1980" s="74"/>
      <c r="L1980" s="74"/>
      <c r="N1980" s="7"/>
      <c r="O1980" s="74"/>
      <c r="P1980" s="74"/>
      <c r="R1980" s="7"/>
      <c r="S1980" s="7"/>
      <c r="T1980" s="66"/>
    </row>
    <row r="1981" spans="1:20" ht="13.2">
      <c r="A1981" s="7"/>
      <c r="B1981" s="7"/>
      <c r="C1981" s="74"/>
      <c r="D1981" s="74"/>
      <c r="F1981" s="7"/>
      <c r="G1981" s="74"/>
      <c r="H1981" s="74"/>
      <c r="J1981" s="7"/>
      <c r="K1981" s="74"/>
      <c r="L1981" s="74"/>
      <c r="N1981" s="7"/>
      <c r="O1981" s="74"/>
      <c r="P1981" s="74"/>
      <c r="R1981" s="7"/>
      <c r="S1981" s="7"/>
      <c r="T1981" s="66"/>
    </row>
    <row r="1982" spans="1:20" ht="13.2">
      <c r="A1982" s="7"/>
      <c r="B1982" s="7"/>
      <c r="C1982" s="74"/>
      <c r="D1982" s="74"/>
      <c r="F1982" s="7"/>
      <c r="G1982" s="74"/>
      <c r="H1982" s="74"/>
      <c r="J1982" s="7"/>
      <c r="K1982" s="74"/>
      <c r="L1982" s="74"/>
      <c r="N1982" s="7"/>
      <c r="O1982" s="74"/>
      <c r="P1982" s="74"/>
      <c r="R1982" s="7"/>
      <c r="S1982" s="7"/>
      <c r="T1982" s="66"/>
    </row>
    <row r="1983" spans="1:20" ht="13.2">
      <c r="A1983" s="7"/>
      <c r="B1983" s="7"/>
      <c r="C1983" s="74"/>
      <c r="D1983" s="74"/>
      <c r="F1983" s="7"/>
      <c r="G1983" s="74"/>
      <c r="H1983" s="74"/>
      <c r="J1983" s="7"/>
      <c r="K1983" s="74"/>
      <c r="L1983" s="74"/>
      <c r="N1983" s="7"/>
      <c r="O1983" s="74"/>
      <c r="P1983" s="74"/>
      <c r="R1983" s="7"/>
      <c r="S1983" s="7"/>
      <c r="T1983" s="66"/>
    </row>
    <row r="1984" spans="1:20" ht="13.2">
      <c r="A1984" s="7"/>
      <c r="B1984" s="7"/>
      <c r="C1984" s="74"/>
      <c r="D1984" s="74"/>
      <c r="F1984" s="7"/>
      <c r="G1984" s="74"/>
      <c r="H1984" s="74"/>
      <c r="J1984" s="7"/>
      <c r="K1984" s="74"/>
      <c r="L1984" s="74"/>
      <c r="N1984" s="7"/>
      <c r="O1984" s="74"/>
      <c r="P1984" s="74"/>
      <c r="R1984" s="7"/>
      <c r="S1984" s="7"/>
      <c r="T1984" s="66"/>
    </row>
    <row r="1985" spans="1:20" ht="13.2">
      <c r="A1985" s="7"/>
      <c r="B1985" s="7"/>
      <c r="C1985" s="74"/>
      <c r="D1985" s="74"/>
      <c r="F1985" s="7"/>
      <c r="G1985" s="74"/>
      <c r="H1985" s="74"/>
      <c r="J1985" s="7"/>
      <c r="K1985" s="74"/>
      <c r="L1985" s="74"/>
      <c r="N1985" s="7"/>
      <c r="O1985" s="74"/>
      <c r="P1985" s="74"/>
      <c r="R1985" s="7"/>
      <c r="S1985" s="7"/>
      <c r="T1985" s="66"/>
    </row>
    <row r="1986" spans="1:20" ht="13.2">
      <c r="A1986" s="7"/>
      <c r="B1986" s="7"/>
      <c r="C1986" s="74"/>
      <c r="D1986" s="74"/>
      <c r="F1986" s="7"/>
      <c r="G1986" s="74"/>
      <c r="H1986" s="74"/>
      <c r="J1986" s="7"/>
      <c r="K1986" s="74"/>
      <c r="L1986" s="74"/>
      <c r="N1986" s="7"/>
      <c r="O1986" s="74"/>
      <c r="P1986" s="74"/>
      <c r="R1986" s="7"/>
      <c r="S1986" s="7"/>
      <c r="T1986" s="66"/>
    </row>
    <row r="1987" spans="1:20" ht="13.2">
      <c r="A1987" s="7"/>
      <c r="B1987" s="7"/>
      <c r="C1987" s="74"/>
      <c r="D1987" s="74"/>
      <c r="F1987" s="7"/>
      <c r="G1987" s="74"/>
      <c r="H1987" s="74"/>
      <c r="J1987" s="7"/>
      <c r="K1987" s="74"/>
      <c r="L1987" s="74"/>
      <c r="N1987" s="7"/>
      <c r="O1987" s="74"/>
      <c r="P1987" s="74"/>
      <c r="R1987" s="7"/>
      <c r="S1987" s="7"/>
      <c r="T1987" s="66"/>
    </row>
    <row r="1988" spans="1:20" ht="13.2">
      <c r="A1988" s="7"/>
      <c r="B1988" s="7"/>
      <c r="C1988" s="74"/>
      <c r="D1988" s="74"/>
      <c r="F1988" s="7"/>
      <c r="G1988" s="74"/>
      <c r="H1988" s="74"/>
      <c r="J1988" s="7"/>
      <c r="K1988" s="74"/>
      <c r="L1988" s="74"/>
      <c r="N1988" s="7"/>
      <c r="O1988" s="74"/>
      <c r="P1988" s="74"/>
      <c r="R1988" s="7"/>
      <c r="S1988" s="7"/>
      <c r="T1988" s="66"/>
    </row>
    <row r="1989" spans="1:20" ht="13.2">
      <c r="A1989" s="7"/>
      <c r="B1989" s="7"/>
      <c r="C1989" s="74"/>
      <c r="D1989" s="74"/>
      <c r="F1989" s="7"/>
      <c r="G1989" s="74"/>
      <c r="H1989" s="74"/>
      <c r="J1989" s="7"/>
      <c r="K1989" s="74"/>
      <c r="L1989" s="74"/>
      <c r="N1989" s="7"/>
      <c r="O1989" s="74"/>
      <c r="P1989" s="74"/>
      <c r="R1989" s="7"/>
      <c r="S1989" s="7"/>
      <c r="T1989" s="66"/>
    </row>
    <row r="1990" spans="1:20" ht="13.2">
      <c r="A1990" s="7"/>
      <c r="B1990" s="7"/>
      <c r="C1990" s="74"/>
      <c r="D1990" s="74"/>
      <c r="F1990" s="7"/>
      <c r="G1990" s="74"/>
      <c r="H1990" s="74"/>
      <c r="J1990" s="7"/>
      <c r="K1990" s="74"/>
      <c r="L1990" s="74"/>
      <c r="N1990" s="7"/>
      <c r="O1990" s="74"/>
      <c r="P1990" s="74"/>
      <c r="R1990" s="7"/>
      <c r="S1990" s="7"/>
      <c r="T1990" s="66"/>
    </row>
    <row r="1991" spans="1:20" ht="13.2">
      <c r="A1991" s="7"/>
      <c r="B1991" s="7"/>
      <c r="C1991" s="74"/>
      <c r="D1991" s="74"/>
      <c r="F1991" s="7"/>
      <c r="G1991" s="74"/>
      <c r="H1991" s="74"/>
      <c r="J1991" s="7"/>
      <c r="K1991" s="74"/>
      <c r="L1991" s="74"/>
      <c r="N1991" s="7"/>
      <c r="O1991" s="74"/>
      <c r="P1991" s="74"/>
      <c r="R1991" s="7"/>
      <c r="S1991" s="7"/>
      <c r="T1991" s="66"/>
    </row>
    <row r="1992" spans="1:20" ht="13.2">
      <c r="A1992" s="7"/>
      <c r="B1992" s="7"/>
      <c r="C1992" s="74"/>
      <c r="D1992" s="74"/>
      <c r="F1992" s="7"/>
      <c r="G1992" s="74"/>
      <c r="H1992" s="74"/>
      <c r="J1992" s="7"/>
      <c r="K1992" s="74"/>
      <c r="L1992" s="74"/>
      <c r="N1992" s="7"/>
      <c r="O1992" s="74"/>
      <c r="P1992" s="74"/>
      <c r="R1992" s="7"/>
      <c r="S1992" s="7"/>
      <c r="T1992" s="66"/>
    </row>
    <row r="1993" spans="1:20" ht="13.2">
      <c r="A1993" s="7"/>
      <c r="B1993" s="7"/>
      <c r="C1993" s="74"/>
      <c r="D1993" s="74"/>
      <c r="F1993" s="7"/>
      <c r="G1993" s="74"/>
      <c r="H1993" s="74"/>
      <c r="J1993" s="7"/>
      <c r="K1993" s="74"/>
      <c r="L1993" s="74"/>
      <c r="N1993" s="7"/>
      <c r="O1993" s="74"/>
      <c r="P1993" s="74"/>
      <c r="R1993" s="7"/>
      <c r="S1993" s="7"/>
      <c r="T1993" s="66"/>
    </row>
    <row r="1994" spans="1:20" ht="13.2">
      <c r="A1994" s="7"/>
      <c r="B1994" s="7"/>
      <c r="C1994" s="74"/>
      <c r="D1994" s="74"/>
      <c r="F1994" s="7"/>
      <c r="G1994" s="74"/>
      <c r="H1994" s="74"/>
      <c r="J1994" s="7"/>
      <c r="K1994" s="74"/>
      <c r="L1994" s="74"/>
      <c r="N1994" s="7"/>
      <c r="O1994" s="74"/>
      <c r="P1994" s="74"/>
      <c r="R1994" s="7"/>
      <c r="S1994" s="7"/>
      <c r="T1994" s="66"/>
    </row>
    <row r="1995" spans="1:20" ht="13.2">
      <c r="A1995" s="7"/>
      <c r="B1995" s="7"/>
      <c r="C1995" s="74"/>
      <c r="D1995" s="74"/>
      <c r="F1995" s="7"/>
      <c r="G1995" s="74"/>
      <c r="H1995" s="74"/>
      <c r="J1995" s="7"/>
      <c r="K1995" s="74"/>
      <c r="L1995" s="74"/>
      <c r="N1995" s="7"/>
      <c r="O1995" s="74"/>
      <c r="P1995" s="74"/>
      <c r="R1995" s="7"/>
      <c r="S1995" s="7"/>
      <c r="T1995" s="66"/>
    </row>
    <row r="1996" spans="1:20" ht="13.2">
      <c r="A1996" s="7"/>
      <c r="B1996" s="7"/>
      <c r="C1996" s="74"/>
      <c r="D1996" s="74"/>
      <c r="F1996" s="7"/>
      <c r="G1996" s="74"/>
      <c r="H1996" s="74"/>
      <c r="J1996" s="7"/>
      <c r="K1996" s="74"/>
      <c r="L1996" s="74"/>
      <c r="N1996" s="7"/>
      <c r="O1996" s="74"/>
      <c r="P1996" s="74"/>
      <c r="R1996" s="7"/>
      <c r="S1996" s="7"/>
      <c r="T1996" s="66"/>
    </row>
    <row r="1997" spans="1:20" ht="13.2">
      <c r="A1997" s="7"/>
      <c r="B1997" s="7"/>
      <c r="C1997" s="74"/>
      <c r="D1997" s="74"/>
      <c r="F1997" s="7"/>
      <c r="G1997" s="74"/>
      <c r="H1997" s="74"/>
      <c r="J1997" s="7"/>
      <c r="K1997" s="74"/>
      <c r="L1997" s="74"/>
      <c r="N1997" s="7"/>
      <c r="O1997" s="74"/>
      <c r="P1997" s="74"/>
      <c r="R1997" s="7"/>
      <c r="S1997" s="7"/>
      <c r="T1997" s="66"/>
    </row>
    <row r="1998" spans="1:20" ht="13.2">
      <c r="A1998" s="7"/>
      <c r="B1998" s="7"/>
      <c r="C1998" s="74"/>
      <c r="D1998" s="74"/>
      <c r="F1998" s="7"/>
      <c r="G1998" s="74"/>
      <c r="H1998" s="74"/>
      <c r="J1998" s="7"/>
      <c r="K1998" s="74"/>
      <c r="L1998" s="74"/>
      <c r="N1998" s="7"/>
      <c r="O1998" s="74"/>
      <c r="P1998" s="74"/>
      <c r="R1998" s="7"/>
      <c r="S1998" s="7"/>
      <c r="T1998" s="66"/>
    </row>
    <row r="1999" spans="1:20" ht="13.2">
      <c r="A1999" s="7" t="s">
        <v>699</v>
      </c>
      <c r="B1999" s="7">
        <v>2</v>
      </c>
      <c r="C1999" s="74"/>
      <c r="D1999" s="74"/>
      <c r="F1999" s="7"/>
      <c r="G1999" s="74"/>
      <c r="H1999" s="74"/>
      <c r="J1999" s="7"/>
      <c r="K1999" s="74"/>
      <c r="L1999" s="74"/>
      <c r="N1999" s="7"/>
      <c r="O1999" s="74"/>
      <c r="P1999" s="74"/>
      <c r="R1999" s="7"/>
      <c r="S1999" s="7"/>
      <c r="T1999" s="66"/>
    </row>
    <row r="2000" spans="1:20" ht="13.2">
      <c r="A2000" s="7" t="s">
        <v>699</v>
      </c>
      <c r="B2000" s="7"/>
      <c r="C2000" s="74"/>
      <c r="D2000" s="74"/>
      <c r="F2000" s="7"/>
      <c r="G2000" s="74"/>
      <c r="H2000" s="74"/>
      <c r="J2000" s="7"/>
      <c r="K2000" s="74"/>
      <c r="L2000" s="74"/>
      <c r="N2000" s="7"/>
      <c r="O2000" s="74"/>
      <c r="P2000" s="74"/>
      <c r="R2000" s="7"/>
      <c r="S2000" s="7"/>
      <c r="T2000" s="66"/>
    </row>
    <row r="2001" spans="1:20" ht="13.2">
      <c r="A2001" s="7" t="s">
        <v>699</v>
      </c>
      <c r="B2001" s="7">
        <v>2</v>
      </c>
      <c r="C2001" s="74"/>
      <c r="D2001" s="74"/>
      <c r="F2001" s="7"/>
      <c r="G2001" s="74"/>
      <c r="H2001" s="74"/>
      <c r="J2001" s="7"/>
      <c r="K2001" s="74"/>
      <c r="L2001" s="74"/>
      <c r="N2001" s="7"/>
      <c r="O2001" s="74"/>
      <c r="P2001" s="74"/>
      <c r="R2001" s="7"/>
      <c r="S2001" s="7"/>
      <c r="T2001" s="66"/>
    </row>
    <row r="2002" spans="1:20" ht="13.2">
      <c r="A2002" s="7" t="s">
        <v>699</v>
      </c>
      <c r="B2002" s="7">
        <v>2</v>
      </c>
      <c r="C2002" s="74"/>
      <c r="D2002" s="74"/>
      <c r="F2002" s="7"/>
      <c r="G2002" s="74"/>
      <c r="H2002" s="74"/>
      <c r="J2002" s="7"/>
      <c r="K2002" s="74"/>
      <c r="L2002" s="74"/>
      <c r="N2002" s="7"/>
      <c r="O2002" s="74"/>
      <c r="P2002" s="74"/>
      <c r="R2002" s="7"/>
      <c r="S2002" s="7"/>
      <c r="T2002" s="66"/>
    </row>
    <row r="2003" spans="1:20" ht="13.2">
      <c r="A2003" s="7"/>
      <c r="B2003" s="7"/>
      <c r="C2003" s="74"/>
      <c r="D2003" s="74"/>
      <c r="F2003" s="7"/>
      <c r="G2003" s="74"/>
      <c r="H2003" s="74"/>
      <c r="J2003" s="7"/>
      <c r="K2003" s="74"/>
      <c r="L2003" s="74"/>
      <c r="N2003" s="7"/>
      <c r="O2003" s="74"/>
      <c r="P2003" s="74"/>
      <c r="R2003" s="7"/>
      <c r="S2003" s="7"/>
      <c r="T2003" s="66"/>
    </row>
    <row r="2004" spans="1:20" ht="13.2">
      <c r="A2004" s="7" t="s">
        <v>707</v>
      </c>
      <c r="B2004" s="7"/>
      <c r="C2004" s="74"/>
      <c r="D2004" s="74"/>
      <c r="F2004" s="7"/>
      <c r="G2004" s="74"/>
      <c r="H2004" s="74"/>
      <c r="J2004" s="7"/>
      <c r="K2004" s="74"/>
      <c r="L2004" s="74"/>
      <c r="N2004" s="7"/>
      <c r="O2004" s="74"/>
      <c r="P2004" s="74"/>
      <c r="R2004" s="7"/>
      <c r="S2004" s="7"/>
      <c r="T2004" s="66"/>
    </row>
    <row r="2005" spans="1:20" ht="13.2">
      <c r="A2005" s="7"/>
      <c r="B2005" s="7"/>
      <c r="C2005" s="74"/>
      <c r="D2005" s="74"/>
      <c r="F2005" s="7"/>
      <c r="G2005" s="74"/>
      <c r="H2005" s="74"/>
      <c r="J2005" s="7"/>
      <c r="K2005" s="74"/>
      <c r="L2005" s="74"/>
      <c r="N2005" s="7"/>
      <c r="O2005" s="74"/>
      <c r="P2005" s="74"/>
      <c r="R2005" s="7"/>
      <c r="S2005" s="7"/>
      <c r="T2005" s="66"/>
    </row>
    <row r="2006" spans="1:20" ht="13.2">
      <c r="A2006" s="7" t="e">
        <v>#N/A</v>
      </c>
      <c r="B2006" s="7">
        <v>1</v>
      </c>
      <c r="C2006" s="74"/>
      <c r="D2006" s="74"/>
      <c r="F2006" s="7"/>
      <c r="G2006" s="74"/>
      <c r="H2006" s="74"/>
      <c r="J2006" s="7"/>
      <c r="K2006" s="74"/>
      <c r="L2006" s="74"/>
      <c r="N2006" s="7"/>
      <c r="O2006" s="74"/>
      <c r="P2006" s="74"/>
      <c r="R2006" s="7"/>
      <c r="S2006" s="7"/>
      <c r="T2006" s="66"/>
    </row>
    <row r="2007" spans="1:20" ht="13.2">
      <c r="A2007" s="7"/>
      <c r="B2007" s="7"/>
      <c r="C2007" s="74"/>
      <c r="D2007" s="74"/>
      <c r="F2007" s="7"/>
      <c r="G2007" s="74"/>
      <c r="H2007" s="74"/>
      <c r="J2007" s="7"/>
      <c r="K2007" s="74"/>
      <c r="L2007" s="74"/>
      <c r="N2007" s="7"/>
      <c r="O2007" s="74"/>
      <c r="P2007" s="74"/>
      <c r="R2007" s="7"/>
      <c r="S2007" s="7"/>
      <c r="T2007" s="66"/>
    </row>
    <row r="2008" spans="1:20" ht="13.2">
      <c r="A2008" s="7" t="s">
        <v>705</v>
      </c>
      <c r="B2008" s="7"/>
      <c r="C2008" s="74"/>
      <c r="D2008" s="74"/>
      <c r="F2008" s="7"/>
      <c r="G2008" s="74"/>
      <c r="H2008" s="74"/>
      <c r="J2008" s="7"/>
      <c r="K2008" s="74"/>
      <c r="L2008" s="74"/>
      <c r="N2008" s="7"/>
      <c r="O2008" s="74"/>
      <c r="P2008" s="74"/>
      <c r="R2008" s="7"/>
      <c r="S2008" s="7"/>
      <c r="T2008" s="66"/>
    </row>
    <row r="2009" spans="1:20" ht="13.2">
      <c r="A2009" s="7"/>
      <c r="B2009" s="7"/>
      <c r="C2009" s="74"/>
      <c r="D2009" s="74"/>
      <c r="F2009" s="7"/>
      <c r="G2009" s="74"/>
      <c r="H2009" s="74"/>
      <c r="J2009" s="7"/>
      <c r="K2009" s="74"/>
      <c r="L2009" s="74"/>
      <c r="N2009" s="7"/>
      <c r="O2009" s="74"/>
      <c r="P2009" s="74"/>
      <c r="R2009" s="7"/>
      <c r="S2009" s="7"/>
      <c r="T2009" s="66"/>
    </row>
    <row r="2010" spans="1:20" ht="13.2">
      <c r="A2010" s="7" t="s">
        <v>708</v>
      </c>
      <c r="B2010" s="7"/>
      <c r="C2010" s="74"/>
      <c r="D2010" s="74"/>
      <c r="F2010" s="7"/>
      <c r="G2010" s="74"/>
      <c r="H2010" s="74"/>
      <c r="J2010" s="7"/>
      <c r="K2010" s="74"/>
      <c r="L2010" s="74"/>
      <c r="N2010" s="7"/>
      <c r="O2010" s="74"/>
      <c r="P2010" s="74"/>
      <c r="R2010" s="7"/>
      <c r="S2010" s="7"/>
      <c r="T2010" s="66"/>
    </row>
    <row r="2011" spans="1:20" ht="13.2">
      <c r="A2011" s="7"/>
      <c r="B2011" s="7"/>
      <c r="C2011" s="74"/>
      <c r="D2011" s="74"/>
      <c r="F2011" s="7"/>
      <c r="G2011" s="74"/>
      <c r="H2011" s="74"/>
      <c r="J2011" s="7"/>
      <c r="K2011" s="74"/>
      <c r="L2011" s="74"/>
      <c r="N2011" s="7"/>
      <c r="O2011" s="74"/>
      <c r="P2011" s="74"/>
      <c r="R2011" s="7"/>
      <c r="S2011" s="7"/>
      <c r="T2011" s="66"/>
    </row>
    <row r="2012" spans="1:20" ht="13.2">
      <c r="A2012" s="7" t="s">
        <v>704</v>
      </c>
      <c r="B2012" s="7"/>
      <c r="C2012" s="74"/>
      <c r="D2012" s="74"/>
      <c r="F2012" s="7"/>
      <c r="G2012" s="74"/>
      <c r="H2012" s="74"/>
      <c r="J2012" s="7"/>
      <c r="K2012" s="74"/>
      <c r="L2012" s="74"/>
      <c r="N2012" s="7"/>
      <c r="O2012" s="74"/>
      <c r="P2012" s="74"/>
      <c r="R2012" s="7"/>
      <c r="S2012" s="7"/>
      <c r="T2012" s="66"/>
    </row>
    <row r="2013" spans="1:20" ht="13.2">
      <c r="A2013" s="7"/>
      <c r="B2013" s="7"/>
      <c r="C2013" s="74"/>
      <c r="D2013" s="74"/>
      <c r="F2013" s="7"/>
      <c r="G2013" s="74"/>
      <c r="H2013" s="74"/>
      <c r="J2013" s="7"/>
      <c r="K2013" s="74"/>
      <c r="L2013" s="74"/>
      <c r="N2013" s="7"/>
      <c r="O2013" s="74"/>
      <c r="P2013" s="74"/>
      <c r="R2013" s="7"/>
      <c r="S2013" s="7"/>
      <c r="T2013" s="66"/>
    </row>
    <row r="2014" spans="1:20" ht="13.2">
      <c r="A2014" s="7" t="s">
        <v>704</v>
      </c>
      <c r="B2014" s="7"/>
      <c r="C2014" s="74"/>
      <c r="D2014" s="74"/>
      <c r="F2014" s="7"/>
      <c r="G2014" s="74"/>
      <c r="H2014" s="74"/>
      <c r="J2014" s="7"/>
      <c r="K2014" s="74"/>
      <c r="L2014" s="74"/>
      <c r="N2014" s="7"/>
      <c r="O2014" s="74"/>
      <c r="P2014" s="74"/>
      <c r="R2014" s="7"/>
      <c r="S2014" s="7"/>
      <c r="T2014" s="66"/>
    </row>
    <row r="2015" spans="1:20" ht="13.2">
      <c r="A2015" s="7"/>
      <c r="B2015" s="7"/>
      <c r="C2015" s="74"/>
      <c r="D2015" s="74"/>
      <c r="F2015" s="7"/>
      <c r="G2015" s="74"/>
      <c r="H2015" s="74"/>
      <c r="J2015" s="7"/>
      <c r="K2015" s="74"/>
      <c r="L2015" s="74"/>
      <c r="N2015" s="7"/>
      <c r="O2015" s="74"/>
      <c r="P2015" s="74"/>
      <c r="R2015" s="7"/>
      <c r="S2015" s="7"/>
      <c r="T2015" s="66"/>
    </row>
    <row r="2016" spans="1:20" ht="13.2">
      <c r="A2016" s="7" t="e">
        <v>#N/A</v>
      </c>
      <c r="B2016" s="7"/>
      <c r="C2016" s="74"/>
      <c r="D2016" s="74"/>
      <c r="F2016" s="7"/>
      <c r="G2016" s="74"/>
      <c r="H2016" s="74"/>
      <c r="J2016" s="7"/>
      <c r="K2016" s="74"/>
      <c r="L2016" s="74"/>
      <c r="N2016" s="7"/>
      <c r="O2016" s="74"/>
      <c r="P2016" s="74"/>
      <c r="R2016" s="7"/>
      <c r="S2016" s="7"/>
      <c r="T2016" s="66"/>
    </row>
    <row r="2017" spans="1:20" ht="13.2">
      <c r="A2017" s="7"/>
      <c r="B2017" s="7"/>
      <c r="C2017" s="74"/>
      <c r="D2017" s="74"/>
      <c r="F2017" s="7"/>
      <c r="G2017" s="74"/>
      <c r="H2017" s="74"/>
      <c r="J2017" s="7"/>
      <c r="K2017" s="74"/>
      <c r="L2017" s="74"/>
      <c r="N2017" s="7"/>
      <c r="O2017" s="74"/>
      <c r="P2017" s="74"/>
      <c r="R2017" s="7"/>
      <c r="S2017" s="7"/>
      <c r="T2017" s="66"/>
    </row>
    <row r="2018" spans="1:20" ht="13.2">
      <c r="A2018" s="7" t="s">
        <v>704</v>
      </c>
      <c r="B2018" s="7"/>
      <c r="C2018" s="74"/>
      <c r="D2018" s="74"/>
      <c r="F2018" s="7"/>
      <c r="G2018" s="74"/>
      <c r="H2018" s="74"/>
      <c r="J2018" s="7"/>
      <c r="K2018" s="74"/>
      <c r="L2018" s="74"/>
      <c r="N2018" s="7"/>
      <c r="O2018" s="74"/>
      <c r="P2018" s="74"/>
      <c r="R2018" s="7"/>
      <c r="S2018" s="7"/>
      <c r="T2018" s="66"/>
    </row>
    <row r="2019" spans="1:20" ht="13.2">
      <c r="A2019" s="7"/>
      <c r="B2019" s="7"/>
      <c r="C2019" s="74"/>
      <c r="D2019" s="74"/>
      <c r="F2019" s="7"/>
      <c r="G2019" s="74"/>
      <c r="H2019" s="74"/>
      <c r="J2019" s="7"/>
      <c r="K2019" s="74"/>
      <c r="L2019" s="74"/>
      <c r="N2019" s="7"/>
      <c r="O2019" s="74"/>
      <c r="P2019" s="74"/>
      <c r="R2019" s="7"/>
      <c r="S2019" s="7"/>
      <c r="T2019" s="66"/>
    </row>
    <row r="2020" spans="1:20" ht="13.2">
      <c r="A2020" s="7" t="s">
        <v>711</v>
      </c>
      <c r="B2020" s="7"/>
      <c r="C2020" s="74"/>
      <c r="D2020" s="74"/>
      <c r="F2020" s="7"/>
      <c r="G2020" s="74"/>
      <c r="H2020" s="74"/>
      <c r="J2020" s="7"/>
      <c r="K2020" s="74"/>
      <c r="L2020" s="74"/>
      <c r="N2020" s="7"/>
      <c r="O2020" s="74"/>
      <c r="P2020" s="74"/>
      <c r="R2020" s="7"/>
      <c r="S2020" s="7"/>
      <c r="T2020" s="66"/>
    </row>
    <row r="2021" spans="1:20" ht="13.2">
      <c r="A2021" s="7"/>
      <c r="B2021" s="7"/>
      <c r="C2021" s="74"/>
      <c r="D2021" s="74"/>
      <c r="F2021" s="7"/>
      <c r="G2021" s="74"/>
      <c r="H2021" s="74"/>
      <c r="J2021" s="7"/>
      <c r="K2021" s="74"/>
      <c r="L2021" s="74"/>
      <c r="N2021" s="7"/>
      <c r="O2021" s="74"/>
      <c r="P2021" s="74"/>
      <c r="R2021" s="7"/>
      <c r="S2021" s="7"/>
      <c r="T2021" s="66"/>
    </row>
    <row r="2022" spans="1:20" ht="13.2">
      <c r="A2022" s="7" t="s">
        <v>713</v>
      </c>
      <c r="B2022" s="7"/>
      <c r="C2022" s="74"/>
      <c r="D2022" s="74"/>
      <c r="F2022" s="7"/>
      <c r="G2022" s="74"/>
      <c r="H2022" s="74"/>
      <c r="J2022" s="7"/>
      <c r="K2022" s="74"/>
      <c r="L2022" s="74"/>
      <c r="N2022" s="7"/>
      <c r="O2022" s="74"/>
      <c r="P2022" s="74"/>
      <c r="R2022" s="7"/>
      <c r="S2022" s="7"/>
      <c r="T2022" s="66"/>
    </row>
    <row r="2023" spans="1:20" ht="13.2">
      <c r="A2023" s="7"/>
      <c r="B2023" s="7"/>
      <c r="C2023" s="74"/>
      <c r="D2023" s="74"/>
      <c r="F2023" s="7"/>
      <c r="G2023" s="74"/>
      <c r="H2023" s="74"/>
      <c r="J2023" s="7"/>
      <c r="K2023" s="74"/>
      <c r="L2023" s="74"/>
      <c r="N2023" s="7"/>
      <c r="O2023" s="74"/>
      <c r="P2023" s="74"/>
      <c r="R2023" s="7"/>
      <c r="S2023" s="7"/>
      <c r="T2023" s="66"/>
    </row>
    <row r="2024" spans="1:20" ht="13.2">
      <c r="A2024" s="7" t="s">
        <v>713</v>
      </c>
      <c r="B2024" s="7"/>
      <c r="C2024" s="74"/>
      <c r="D2024" s="74"/>
      <c r="F2024" s="7"/>
      <c r="G2024" s="74"/>
      <c r="H2024" s="74"/>
      <c r="J2024" s="7"/>
      <c r="K2024" s="74"/>
      <c r="L2024" s="74"/>
      <c r="N2024" s="7"/>
      <c r="O2024" s="74"/>
      <c r="P2024" s="74"/>
      <c r="R2024" s="7"/>
      <c r="S2024" s="7"/>
      <c r="T2024" s="66"/>
    </row>
    <row r="2025" spans="1:20" ht="13.2">
      <c r="A2025" s="7"/>
      <c r="B2025" s="7"/>
      <c r="C2025" s="74"/>
      <c r="D2025" s="74"/>
      <c r="F2025" s="7"/>
      <c r="G2025" s="74"/>
      <c r="H2025" s="74"/>
      <c r="J2025" s="7"/>
      <c r="K2025" s="74"/>
      <c r="L2025" s="74"/>
      <c r="N2025" s="7"/>
      <c r="O2025" s="74"/>
      <c r="P2025" s="74"/>
      <c r="R2025" s="7"/>
      <c r="S2025" s="7"/>
      <c r="T2025" s="66"/>
    </row>
    <row r="2026" spans="1:20" ht="13.2">
      <c r="A2026" s="7" t="s">
        <v>705</v>
      </c>
      <c r="B2026" s="7"/>
      <c r="C2026" s="74"/>
      <c r="D2026" s="74"/>
      <c r="F2026" s="7"/>
      <c r="G2026" s="74"/>
      <c r="H2026" s="74"/>
      <c r="J2026" s="7"/>
      <c r="K2026" s="74"/>
      <c r="L2026" s="74"/>
      <c r="N2026" s="7"/>
      <c r="O2026" s="74"/>
      <c r="P2026" s="74"/>
      <c r="R2026" s="7"/>
      <c r="S2026" s="7"/>
      <c r="T2026" s="66"/>
    </row>
    <row r="2027" spans="1:20" ht="13.2">
      <c r="A2027" s="7"/>
      <c r="B2027" s="7"/>
      <c r="C2027" s="74"/>
      <c r="D2027" s="74"/>
      <c r="F2027" s="7"/>
      <c r="G2027" s="74"/>
      <c r="H2027" s="74"/>
      <c r="J2027" s="7"/>
      <c r="K2027" s="74"/>
      <c r="L2027" s="74"/>
      <c r="N2027" s="7"/>
      <c r="O2027" s="74"/>
      <c r="P2027" s="74"/>
      <c r="R2027" s="7"/>
      <c r="S2027" s="7"/>
      <c r="T2027" s="66"/>
    </row>
    <row r="2028" spans="1:20" ht="13.2">
      <c r="A2028" s="7" t="s">
        <v>707</v>
      </c>
      <c r="B2028" s="7"/>
      <c r="C2028" s="74"/>
      <c r="D2028" s="74"/>
      <c r="F2028" s="7"/>
      <c r="G2028" s="74"/>
      <c r="H2028" s="74"/>
      <c r="J2028" s="7"/>
      <c r="K2028" s="74"/>
      <c r="L2028" s="74"/>
      <c r="N2028" s="7"/>
      <c r="O2028" s="74"/>
      <c r="P2028" s="74"/>
      <c r="R2028" s="7"/>
      <c r="S2028" s="7"/>
      <c r="T2028" s="66"/>
    </row>
    <row r="2029" spans="1:20" ht="13.2">
      <c r="A2029" s="7"/>
      <c r="B2029" s="7"/>
      <c r="C2029" s="74"/>
      <c r="D2029" s="74"/>
      <c r="F2029" s="7"/>
      <c r="G2029" s="74"/>
      <c r="H2029" s="74"/>
      <c r="J2029" s="7"/>
      <c r="K2029" s="74"/>
      <c r="L2029" s="74"/>
      <c r="N2029" s="7"/>
      <c r="O2029" s="74"/>
      <c r="P2029" s="74"/>
      <c r="R2029" s="7"/>
      <c r="S2029" s="7"/>
      <c r="T2029" s="66"/>
    </row>
    <row r="2030" spans="1:20" ht="13.2">
      <c r="A2030" s="7" t="s">
        <v>706</v>
      </c>
      <c r="B2030" s="7"/>
      <c r="C2030" s="74"/>
      <c r="D2030" s="74"/>
      <c r="F2030" s="7"/>
      <c r="G2030" s="74"/>
      <c r="H2030" s="74"/>
      <c r="J2030" s="7"/>
      <c r="K2030" s="74"/>
      <c r="L2030" s="74"/>
      <c r="N2030" s="7"/>
      <c r="O2030" s="74"/>
      <c r="P2030" s="74"/>
      <c r="R2030" s="7"/>
      <c r="S2030" s="7"/>
      <c r="T2030" s="66"/>
    </row>
    <row r="2031" spans="1:20" ht="13.2">
      <c r="A2031" s="7"/>
      <c r="B2031" s="7"/>
      <c r="C2031" s="74"/>
      <c r="D2031" s="74"/>
      <c r="F2031" s="7"/>
      <c r="G2031" s="74"/>
      <c r="H2031" s="74"/>
      <c r="J2031" s="7"/>
      <c r="K2031" s="74"/>
      <c r="L2031" s="74"/>
      <c r="N2031" s="7"/>
      <c r="O2031" s="74"/>
      <c r="P2031" s="74"/>
      <c r="R2031" s="7"/>
      <c r="S2031" s="7"/>
      <c r="T2031" s="66"/>
    </row>
    <row r="2032" spans="1:20" ht="13.2">
      <c r="A2032" s="7" t="s">
        <v>706</v>
      </c>
      <c r="B2032" s="7"/>
      <c r="C2032" s="74"/>
      <c r="D2032" s="74"/>
      <c r="F2032" s="7"/>
      <c r="G2032" s="74"/>
      <c r="H2032" s="74"/>
      <c r="J2032" s="7"/>
      <c r="K2032" s="74"/>
      <c r="L2032" s="74"/>
      <c r="N2032" s="7"/>
      <c r="O2032" s="74"/>
      <c r="P2032" s="74"/>
      <c r="R2032" s="7"/>
      <c r="S2032" s="7"/>
      <c r="T2032" s="66"/>
    </row>
    <row r="2033" spans="1:20" ht="13.2">
      <c r="A2033" s="7"/>
      <c r="B2033" s="7"/>
      <c r="C2033" s="74"/>
      <c r="D2033" s="74"/>
      <c r="F2033" s="7"/>
      <c r="G2033" s="74"/>
      <c r="H2033" s="74"/>
      <c r="J2033" s="7"/>
      <c r="K2033" s="74"/>
      <c r="L2033" s="74"/>
      <c r="N2033" s="7"/>
      <c r="O2033" s="74"/>
      <c r="P2033" s="74"/>
      <c r="R2033" s="7"/>
      <c r="S2033" s="7"/>
      <c r="T2033" s="66"/>
    </row>
    <row r="2034" spans="1:20" ht="13.2">
      <c r="A2034" s="7"/>
      <c r="B2034" s="7"/>
      <c r="C2034" s="74"/>
      <c r="D2034" s="74"/>
      <c r="F2034" s="7"/>
      <c r="G2034" s="74"/>
      <c r="H2034" s="74"/>
      <c r="J2034" s="7"/>
      <c r="K2034" s="74"/>
      <c r="L2034" s="74"/>
      <c r="N2034" s="7"/>
      <c r="O2034" s="74"/>
      <c r="P2034" s="74"/>
      <c r="R2034" s="7"/>
      <c r="S2034" s="7"/>
      <c r="T2034" s="66"/>
    </row>
    <row r="2035" spans="1:20" ht="13.2">
      <c r="A2035" s="7" t="s">
        <v>711</v>
      </c>
      <c r="B2035" s="7"/>
      <c r="C2035" s="74"/>
      <c r="D2035" s="74"/>
      <c r="F2035" s="7"/>
      <c r="G2035" s="74"/>
      <c r="H2035" s="74"/>
      <c r="J2035" s="7"/>
      <c r="K2035" s="74"/>
      <c r="L2035" s="74"/>
      <c r="N2035" s="7"/>
      <c r="O2035" s="74"/>
      <c r="P2035" s="74"/>
      <c r="R2035" s="7"/>
      <c r="S2035" s="7"/>
      <c r="T2035" s="66"/>
    </row>
    <row r="2036" spans="1:20" ht="13.2">
      <c r="A2036" s="7"/>
      <c r="B2036" s="7"/>
      <c r="C2036" s="74"/>
      <c r="D2036" s="74"/>
      <c r="F2036" s="7"/>
      <c r="G2036" s="74"/>
      <c r="H2036" s="74"/>
      <c r="J2036" s="7"/>
      <c r="K2036" s="74"/>
      <c r="L2036" s="74"/>
      <c r="N2036" s="7"/>
      <c r="O2036" s="74"/>
      <c r="P2036" s="74"/>
      <c r="R2036" s="7"/>
      <c r="S2036" s="7"/>
      <c r="T2036" s="66"/>
    </row>
    <row r="2037" spans="1:20" ht="13.2">
      <c r="A2037" s="7" t="s">
        <v>712</v>
      </c>
      <c r="B2037" s="7"/>
      <c r="C2037" s="74"/>
      <c r="D2037" s="74"/>
      <c r="F2037" s="7"/>
      <c r="G2037" s="74"/>
      <c r="H2037" s="74"/>
      <c r="J2037" s="7"/>
      <c r="K2037" s="74"/>
      <c r="L2037" s="74"/>
      <c r="N2037" s="7"/>
      <c r="O2037" s="74"/>
      <c r="P2037" s="74"/>
      <c r="R2037" s="7"/>
      <c r="S2037" s="7"/>
      <c r="T2037" s="66"/>
    </row>
    <row r="2038" spans="1:20" ht="13.2">
      <c r="A2038" s="7"/>
      <c r="B2038" s="7"/>
      <c r="C2038" s="74"/>
      <c r="D2038" s="74"/>
      <c r="F2038" s="7"/>
      <c r="G2038" s="74"/>
      <c r="H2038" s="74"/>
      <c r="J2038" s="7"/>
      <c r="K2038" s="74"/>
      <c r="L2038" s="74"/>
      <c r="N2038" s="7"/>
      <c r="O2038" s="74"/>
      <c r="P2038" s="74"/>
      <c r="R2038" s="7"/>
      <c r="S2038" s="7"/>
      <c r="T2038" s="66"/>
    </row>
    <row r="2039" spans="1:20" ht="13.2">
      <c r="A2039" s="7" t="s">
        <v>706</v>
      </c>
      <c r="B2039" s="7"/>
      <c r="C2039" s="74"/>
      <c r="D2039" s="74"/>
      <c r="F2039" s="7"/>
      <c r="G2039" s="74"/>
      <c r="H2039" s="74"/>
      <c r="J2039" s="7"/>
      <c r="K2039" s="74"/>
      <c r="L2039" s="74"/>
      <c r="N2039" s="7"/>
      <c r="O2039" s="74"/>
      <c r="P2039" s="74"/>
      <c r="R2039" s="7"/>
      <c r="S2039" s="7"/>
      <c r="T2039" s="66"/>
    </row>
    <row r="2040" spans="1:20" ht="13.2">
      <c r="A2040" s="7"/>
      <c r="B2040" s="7"/>
      <c r="C2040" s="74"/>
      <c r="D2040" s="74"/>
      <c r="F2040" s="7"/>
      <c r="G2040" s="74"/>
      <c r="H2040" s="74"/>
      <c r="J2040" s="7"/>
      <c r="K2040" s="74"/>
      <c r="L2040" s="74"/>
      <c r="N2040" s="7"/>
      <c r="O2040" s="74"/>
      <c r="P2040" s="74"/>
      <c r="R2040" s="7"/>
      <c r="S2040" s="7"/>
      <c r="T2040" s="66"/>
    </row>
    <row r="2041" spans="1:20" ht="13.2">
      <c r="A2041" s="7" t="s">
        <v>705</v>
      </c>
      <c r="B2041" s="7"/>
      <c r="C2041" s="74"/>
      <c r="D2041" s="74"/>
      <c r="F2041" s="7"/>
      <c r="G2041" s="74"/>
      <c r="H2041" s="74"/>
      <c r="J2041" s="7"/>
      <c r="K2041" s="74"/>
      <c r="L2041" s="74"/>
      <c r="N2041" s="7"/>
      <c r="O2041" s="74"/>
      <c r="P2041" s="74"/>
      <c r="R2041" s="7"/>
      <c r="S2041" s="7"/>
      <c r="T2041" s="66"/>
    </row>
    <row r="2042" spans="1:20" ht="13.2">
      <c r="A2042" s="7"/>
      <c r="B2042" s="7"/>
      <c r="C2042" s="74"/>
      <c r="D2042" s="74"/>
      <c r="F2042" s="7"/>
      <c r="G2042" s="74"/>
      <c r="H2042" s="74"/>
      <c r="J2042" s="7"/>
      <c r="K2042" s="74"/>
      <c r="L2042" s="74"/>
      <c r="N2042" s="7"/>
      <c r="O2042" s="74"/>
      <c r="P2042" s="74"/>
      <c r="R2042" s="7"/>
      <c r="S2042" s="7"/>
      <c r="T2042" s="66"/>
    </row>
    <row r="2043" spans="1:20" ht="13.2">
      <c r="A2043" s="7" t="s">
        <v>706</v>
      </c>
      <c r="B2043" s="7"/>
      <c r="C2043" s="74"/>
      <c r="D2043" s="74"/>
      <c r="F2043" s="7"/>
      <c r="G2043" s="74"/>
      <c r="H2043" s="74"/>
      <c r="J2043" s="7"/>
      <c r="K2043" s="74"/>
      <c r="L2043" s="74"/>
      <c r="N2043" s="7"/>
      <c r="O2043" s="74"/>
      <c r="P2043" s="74"/>
      <c r="R2043" s="7"/>
      <c r="S2043" s="7"/>
      <c r="T2043" s="66"/>
    </row>
    <row r="2044" spans="1:20" ht="13.2">
      <c r="A2044" s="7"/>
      <c r="B2044" s="7"/>
      <c r="C2044" s="74"/>
      <c r="D2044" s="74"/>
      <c r="F2044" s="7"/>
      <c r="G2044" s="74"/>
      <c r="H2044" s="74"/>
      <c r="J2044" s="7"/>
      <c r="K2044" s="74"/>
      <c r="L2044" s="74"/>
      <c r="N2044" s="7"/>
      <c r="O2044" s="74"/>
      <c r="P2044" s="74"/>
      <c r="R2044" s="7"/>
      <c r="S2044" s="7"/>
      <c r="T2044" s="66"/>
    </row>
    <row r="2045" spans="1:20" ht="13.2">
      <c r="A2045" s="7" t="s">
        <v>713</v>
      </c>
      <c r="B2045" s="7"/>
      <c r="C2045" s="74"/>
      <c r="D2045" s="74"/>
      <c r="F2045" s="7"/>
      <c r="G2045" s="74"/>
      <c r="H2045" s="74"/>
      <c r="J2045" s="7"/>
      <c r="K2045" s="74"/>
      <c r="L2045" s="74"/>
      <c r="N2045" s="7"/>
      <c r="O2045" s="74"/>
      <c r="P2045" s="74"/>
      <c r="R2045" s="7"/>
      <c r="S2045" s="7"/>
      <c r="T2045" s="66"/>
    </row>
    <row r="2046" spans="1:20" ht="13.2">
      <c r="A2046" s="7"/>
      <c r="B2046" s="7"/>
      <c r="C2046" s="74"/>
      <c r="D2046" s="74"/>
      <c r="F2046" s="7"/>
      <c r="G2046" s="74"/>
      <c r="H2046" s="74"/>
      <c r="J2046" s="7"/>
      <c r="K2046" s="74"/>
      <c r="L2046" s="74"/>
      <c r="N2046" s="7"/>
      <c r="O2046" s="74"/>
      <c r="P2046" s="74"/>
      <c r="R2046" s="7"/>
      <c r="S2046" s="7"/>
      <c r="T2046" s="66"/>
    </row>
    <row r="2047" spans="1:20" ht="13.2">
      <c r="A2047" s="7" t="s">
        <v>706</v>
      </c>
      <c r="B2047" s="7"/>
      <c r="C2047" s="74"/>
      <c r="D2047" s="74"/>
      <c r="F2047" s="7"/>
      <c r="G2047" s="74"/>
      <c r="H2047" s="74"/>
      <c r="J2047" s="7"/>
      <c r="K2047" s="74"/>
      <c r="L2047" s="74"/>
      <c r="N2047" s="7"/>
      <c r="O2047" s="74"/>
      <c r="P2047" s="74"/>
      <c r="R2047" s="7"/>
      <c r="S2047" s="7"/>
      <c r="T2047" s="66"/>
    </row>
    <row r="2048" spans="1:20" ht="13.2">
      <c r="A2048" s="7"/>
      <c r="B2048" s="7"/>
      <c r="C2048" s="74"/>
      <c r="D2048" s="74"/>
      <c r="F2048" s="7"/>
      <c r="G2048" s="74"/>
      <c r="H2048" s="74"/>
      <c r="J2048" s="7"/>
      <c r="K2048" s="74"/>
      <c r="L2048" s="74"/>
      <c r="N2048" s="7"/>
      <c r="O2048" s="74"/>
      <c r="P2048" s="74"/>
      <c r="R2048" s="7"/>
      <c r="S2048" s="7"/>
      <c r="T2048" s="66"/>
    </row>
    <row r="2049" spans="1:20" ht="13.2">
      <c r="A2049" s="7" t="s">
        <v>707</v>
      </c>
      <c r="B2049" s="7"/>
      <c r="C2049" s="74"/>
      <c r="D2049" s="74"/>
      <c r="F2049" s="7"/>
      <c r="G2049" s="74"/>
      <c r="H2049" s="74"/>
      <c r="J2049" s="7"/>
      <c r="K2049" s="74"/>
      <c r="L2049" s="74"/>
      <c r="N2049" s="7"/>
      <c r="O2049" s="74"/>
      <c r="P2049" s="74"/>
      <c r="R2049" s="7"/>
      <c r="S2049" s="7"/>
      <c r="T2049" s="66"/>
    </row>
    <row r="2050" spans="1:20" ht="13.2">
      <c r="A2050" s="7"/>
      <c r="B2050" s="7"/>
      <c r="C2050" s="74"/>
      <c r="D2050" s="74"/>
      <c r="F2050" s="7"/>
      <c r="G2050" s="74"/>
      <c r="H2050" s="74"/>
      <c r="J2050" s="7"/>
      <c r="K2050" s="74"/>
      <c r="L2050" s="74"/>
      <c r="N2050" s="7"/>
      <c r="O2050" s="74"/>
      <c r="P2050" s="74"/>
      <c r="R2050" s="7"/>
      <c r="S2050" s="7"/>
      <c r="T2050" s="66"/>
    </row>
    <row r="2051" spans="1:20" ht="13.2">
      <c r="A2051" s="7" t="s">
        <v>711</v>
      </c>
      <c r="B2051" s="7"/>
      <c r="C2051" s="74"/>
      <c r="D2051" s="74"/>
      <c r="F2051" s="7"/>
      <c r="G2051" s="74"/>
      <c r="H2051" s="74"/>
      <c r="J2051" s="7"/>
      <c r="K2051" s="74"/>
      <c r="L2051" s="74"/>
      <c r="N2051" s="7"/>
      <c r="O2051" s="74"/>
      <c r="P2051" s="74"/>
      <c r="R2051" s="7"/>
      <c r="S2051" s="7"/>
      <c r="T2051" s="66"/>
    </row>
    <row r="2052" spans="1:20" ht="13.2">
      <c r="A2052" s="7"/>
      <c r="B2052" s="7"/>
      <c r="C2052" s="74"/>
      <c r="D2052" s="74"/>
      <c r="F2052" s="7"/>
      <c r="G2052" s="74"/>
      <c r="H2052" s="74"/>
      <c r="J2052" s="7"/>
      <c r="K2052" s="74"/>
      <c r="L2052" s="74"/>
      <c r="N2052" s="7"/>
      <c r="O2052" s="74"/>
      <c r="P2052" s="74"/>
      <c r="R2052" s="7"/>
      <c r="S2052" s="7"/>
      <c r="T2052" s="66"/>
    </row>
    <row r="2053" spans="1:20" ht="13.2">
      <c r="A2053" s="7"/>
      <c r="B2053" s="7"/>
      <c r="C2053" s="74"/>
      <c r="D2053" s="74"/>
      <c r="F2053" s="7"/>
      <c r="G2053" s="74"/>
      <c r="H2053" s="74"/>
      <c r="J2053" s="7"/>
      <c r="K2053" s="74"/>
      <c r="L2053" s="74"/>
      <c r="N2053" s="7"/>
      <c r="O2053" s="74"/>
      <c r="P2053" s="74"/>
      <c r="R2053" s="7"/>
      <c r="S2053" s="7"/>
      <c r="T2053" s="66"/>
    </row>
    <row r="2054" spans="1:20" ht="13.2">
      <c r="A2054" s="7"/>
      <c r="B2054" s="7"/>
      <c r="C2054" s="74"/>
      <c r="D2054" s="74"/>
      <c r="F2054" s="7"/>
      <c r="G2054" s="74"/>
      <c r="H2054" s="74"/>
      <c r="J2054" s="7"/>
      <c r="K2054" s="74"/>
      <c r="L2054" s="74"/>
      <c r="N2054" s="7"/>
      <c r="O2054" s="74"/>
      <c r="P2054" s="74"/>
      <c r="R2054" s="7"/>
      <c r="S2054" s="7"/>
      <c r="T2054" s="66"/>
    </row>
    <row r="2055" spans="1:20" ht="13.2">
      <c r="A2055" s="7"/>
      <c r="B2055" s="7"/>
      <c r="C2055" s="74"/>
      <c r="D2055" s="74"/>
      <c r="F2055" s="7"/>
      <c r="G2055" s="74"/>
      <c r="H2055" s="74"/>
      <c r="J2055" s="7"/>
      <c r="K2055" s="74"/>
      <c r="L2055" s="74"/>
      <c r="N2055" s="7"/>
      <c r="O2055" s="74"/>
      <c r="P2055" s="74"/>
      <c r="R2055" s="7"/>
      <c r="S2055" s="7"/>
      <c r="T2055" s="66"/>
    </row>
    <row r="2056" spans="1:20" ht="13.2">
      <c r="A2056" s="7"/>
      <c r="B2056" s="7"/>
      <c r="C2056" s="74"/>
      <c r="D2056" s="74"/>
      <c r="F2056" s="7"/>
      <c r="G2056" s="74"/>
      <c r="H2056" s="74"/>
      <c r="J2056" s="7"/>
      <c r="K2056" s="74"/>
      <c r="L2056" s="74"/>
      <c r="N2056" s="7"/>
      <c r="O2056" s="74"/>
      <c r="P2056" s="74"/>
      <c r="R2056" s="7"/>
      <c r="S2056" s="7"/>
      <c r="T2056" s="66"/>
    </row>
    <row r="2057" spans="1:20" ht="13.2">
      <c r="A2057" s="7"/>
      <c r="B2057" s="7"/>
      <c r="C2057" s="74"/>
      <c r="D2057" s="74"/>
      <c r="F2057" s="7"/>
      <c r="G2057" s="74"/>
      <c r="H2057" s="74"/>
      <c r="J2057" s="7"/>
      <c r="K2057" s="74"/>
      <c r="L2057" s="74"/>
      <c r="N2057" s="7"/>
      <c r="O2057" s="74"/>
      <c r="P2057" s="74"/>
      <c r="R2057" s="7"/>
      <c r="S2057" s="7"/>
      <c r="T2057" s="66"/>
    </row>
    <row r="2058" spans="1:20" ht="13.2">
      <c r="A2058" s="7"/>
      <c r="B2058" s="7"/>
      <c r="C2058" s="74"/>
      <c r="D2058" s="74"/>
      <c r="F2058" s="7"/>
      <c r="G2058" s="74"/>
      <c r="H2058" s="74"/>
      <c r="J2058" s="7"/>
      <c r="K2058" s="74"/>
      <c r="L2058" s="74"/>
      <c r="N2058" s="7"/>
      <c r="O2058" s="74"/>
      <c r="P2058" s="74"/>
      <c r="R2058" s="7"/>
      <c r="S2058" s="7"/>
      <c r="T2058" s="66"/>
    </row>
    <row r="2059" spans="1:20" ht="13.2">
      <c r="A2059" s="7"/>
      <c r="B2059" s="7"/>
      <c r="C2059" s="74"/>
      <c r="D2059" s="74"/>
      <c r="F2059" s="7"/>
      <c r="G2059" s="74"/>
      <c r="H2059" s="74"/>
      <c r="J2059" s="7"/>
      <c r="K2059" s="74"/>
      <c r="L2059" s="74"/>
      <c r="N2059" s="7"/>
      <c r="O2059" s="74"/>
      <c r="P2059" s="74"/>
      <c r="R2059" s="7"/>
      <c r="S2059" s="7"/>
      <c r="T2059" s="66"/>
    </row>
    <row r="2060" spans="1:20" ht="13.2">
      <c r="A2060" s="7"/>
      <c r="B2060" s="7"/>
      <c r="C2060" s="74"/>
      <c r="D2060" s="74"/>
      <c r="F2060" s="7"/>
      <c r="G2060" s="74"/>
      <c r="H2060" s="74"/>
      <c r="J2060" s="7"/>
      <c r="K2060" s="74"/>
      <c r="L2060" s="74"/>
      <c r="N2060" s="7"/>
      <c r="O2060" s="74"/>
      <c r="P2060" s="74"/>
      <c r="R2060" s="7"/>
      <c r="S2060" s="7"/>
      <c r="T2060" s="66"/>
    </row>
    <row r="2061" spans="1:20" ht="13.2">
      <c r="A2061" s="7"/>
      <c r="B2061" s="7"/>
      <c r="C2061" s="74"/>
      <c r="D2061" s="74"/>
      <c r="F2061" s="7"/>
      <c r="G2061" s="74"/>
      <c r="H2061" s="74"/>
      <c r="J2061" s="7"/>
      <c r="K2061" s="74"/>
      <c r="L2061" s="74"/>
      <c r="N2061" s="7"/>
      <c r="O2061" s="74"/>
      <c r="P2061" s="74"/>
      <c r="R2061" s="7"/>
      <c r="S2061" s="7"/>
      <c r="T2061" s="66"/>
    </row>
    <row r="2062" spans="1:20" ht="13.2">
      <c r="A2062" s="7"/>
      <c r="B2062" s="7"/>
      <c r="C2062" s="74"/>
      <c r="D2062" s="74"/>
      <c r="F2062" s="7"/>
      <c r="G2062" s="74"/>
      <c r="H2062" s="74"/>
      <c r="J2062" s="7"/>
      <c r="K2062" s="74"/>
      <c r="L2062" s="74"/>
      <c r="N2062" s="7"/>
      <c r="O2062" s="74"/>
      <c r="P2062" s="74"/>
      <c r="R2062" s="7"/>
      <c r="S2062" s="7"/>
      <c r="T2062" s="66"/>
    </row>
    <row r="2063" spans="1:20" ht="13.2">
      <c r="A2063" s="7"/>
      <c r="B2063" s="7"/>
      <c r="C2063" s="74"/>
      <c r="D2063" s="74"/>
      <c r="F2063" s="7"/>
      <c r="G2063" s="74"/>
      <c r="H2063" s="74"/>
      <c r="J2063" s="7"/>
      <c r="K2063" s="74"/>
      <c r="L2063" s="74"/>
      <c r="N2063" s="7"/>
      <c r="O2063" s="74"/>
      <c r="P2063" s="74"/>
      <c r="R2063" s="7"/>
      <c r="S2063" s="7"/>
      <c r="T2063" s="66"/>
    </row>
    <row r="2064" spans="1:20" ht="13.2">
      <c r="A2064" s="7"/>
      <c r="B2064" s="7"/>
      <c r="C2064" s="74"/>
      <c r="D2064" s="74"/>
      <c r="F2064" s="7"/>
      <c r="G2064" s="74"/>
      <c r="H2064" s="74"/>
      <c r="J2064" s="7"/>
      <c r="K2064" s="74"/>
      <c r="L2064" s="74"/>
      <c r="N2064" s="7"/>
      <c r="O2064" s="74"/>
      <c r="P2064" s="74"/>
      <c r="R2064" s="7"/>
      <c r="S2064" s="7"/>
      <c r="T2064" s="66"/>
    </row>
    <row r="2065" spans="1:20" ht="13.2">
      <c r="A2065" s="7"/>
      <c r="B2065" s="7"/>
      <c r="C2065" s="74"/>
      <c r="D2065" s="74"/>
      <c r="F2065" s="7"/>
      <c r="G2065" s="74"/>
      <c r="H2065" s="74"/>
      <c r="J2065" s="7"/>
      <c r="K2065" s="74"/>
      <c r="L2065" s="74"/>
      <c r="N2065" s="7"/>
      <c r="O2065" s="74"/>
      <c r="P2065" s="74"/>
      <c r="R2065" s="7"/>
      <c r="S2065" s="7"/>
      <c r="T2065" s="66"/>
    </row>
    <row r="2066" spans="1:20" ht="13.2">
      <c r="A2066" s="7"/>
      <c r="B2066" s="7"/>
      <c r="C2066" s="74"/>
      <c r="D2066" s="74"/>
      <c r="F2066" s="7"/>
      <c r="G2066" s="74"/>
      <c r="H2066" s="74"/>
      <c r="J2066" s="7"/>
      <c r="K2066" s="74"/>
      <c r="L2066" s="74"/>
      <c r="N2066" s="7"/>
      <c r="O2066" s="74"/>
      <c r="P2066" s="74"/>
      <c r="R2066" s="7"/>
      <c r="S2066" s="7"/>
      <c r="T2066" s="66"/>
    </row>
    <row r="2067" spans="1:20" ht="13.2">
      <c r="A2067" s="7"/>
      <c r="B2067" s="7"/>
      <c r="C2067" s="74"/>
      <c r="D2067" s="74"/>
      <c r="F2067" s="7"/>
      <c r="G2067" s="74"/>
      <c r="H2067" s="74"/>
      <c r="J2067" s="7"/>
      <c r="K2067" s="74"/>
      <c r="L2067" s="74"/>
      <c r="N2067" s="7"/>
      <c r="O2067" s="74"/>
      <c r="P2067" s="74"/>
      <c r="R2067" s="7"/>
      <c r="S2067" s="7"/>
      <c r="T2067" s="66"/>
    </row>
    <row r="2068" spans="1:20" ht="13.2">
      <c r="A2068" s="7"/>
      <c r="B2068" s="7"/>
      <c r="C2068" s="74"/>
      <c r="D2068" s="74"/>
      <c r="F2068" s="7"/>
      <c r="G2068" s="74"/>
      <c r="H2068" s="74"/>
      <c r="J2068" s="7"/>
      <c r="K2068" s="74"/>
      <c r="L2068" s="74"/>
      <c r="N2068" s="7"/>
      <c r="O2068" s="74"/>
      <c r="P2068" s="74"/>
      <c r="R2068" s="7"/>
      <c r="S2068" s="7"/>
      <c r="T2068" s="66"/>
    </row>
    <row r="2069" spans="1:20" ht="13.2">
      <c r="A2069" s="7"/>
      <c r="B2069" s="7"/>
      <c r="C2069" s="74"/>
      <c r="D2069" s="74"/>
      <c r="F2069" s="7"/>
      <c r="G2069" s="74"/>
      <c r="H2069" s="74"/>
      <c r="J2069" s="7"/>
      <c r="K2069" s="74"/>
      <c r="L2069" s="74"/>
      <c r="N2069" s="7"/>
      <c r="O2069" s="74"/>
      <c r="P2069" s="74"/>
      <c r="R2069" s="7"/>
      <c r="S2069" s="7"/>
      <c r="T2069" s="66"/>
    </row>
    <row r="2070" spans="1:20" ht="13.2">
      <c r="A2070" s="7"/>
      <c r="B2070" s="7"/>
      <c r="C2070" s="74"/>
      <c r="D2070" s="74"/>
      <c r="F2070" s="7"/>
      <c r="G2070" s="74"/>
      <c r="H2070" s="74"/>
      <c r="J2070" s="7"/>
      <c r="K2070" s="74"/>
      <c r="L2070" s="74"/>
      <c r="N2070" s="7"/>
      <c r="O2070" s="74"/>
      <c r="P2070" s="74"/>
      <c r="R2070" s="7"/>
      <c r="S2070" s="7"/>
      <c r="T2070" s="66"/>
    </row>
    <row r="2071" spans="1:20" ht="13.2">
      <c r="A2071" s="7"/>
      <c r="B2071" s="7"/>
      <c r="C2071" s="74"/>
      <c r="D2071" s="74"/>
      <c r="F2071" s="7"/>
      <c r="G2071" s="74"/>
      <c r="H2071" s="74"/>
      <c r="J2071" s="7"/>
      <c r="K2071" s="74"/>
      <c r="L2071" s="74"/>
      <c r="N2071" s="7"/>
      <c r="O2071" s="74"/>
      <c r="P2071" s="74"/>
      <c r="R2071" s="7"/>
      <c r="S2071" s="7"/>
      <c r="T2071" s="66"/>
    </row>
    <row r="2072" spans="1:20" ht="13.2">
      <c r="A2072" s="7"/>
      <c r="B2072" s="7"/>
      <c r="C2072" s="74"/>
      <c r="D2072" s="74"/>
      <c r="F2072" s="7"/>
      <c r="G2072" s="74"/>
      <c r="H2072" s="74"/>
      <c r="J2072" s="7"/>
      <c r="K2072" s="74"/>
      <c r="L2072" s="74"/>
      <c r="N2072" s="7"/>
      <c r="O2072" s="74"/>
      <c r="P2072" s="74"/>
      <c r="R2072" s="7"/>
      <c r="S2072" s="7"/>
      <c r="T2072" s="66"/>
    </row>
    <row r="2073" spans="1:20" ht="13.2">
      <c r="A2073" s="7"/>
      <c r="B2073" s="7"/>
      <c r="C2073" s="74"/>
      <c r="D2073" s="74"/>
      <c r="F2073" s="7"/>
      <c r="G2073" s="74"/>
      <c r="H2073" s="74"/>
      <c r="J2073" s="7"/>
      <c r="K2073" s="74"/>
      <c r="L2073" s="74"/>
      <c r="N2073" s="7"/>
      <c r="O2073" s="74"/>
      <c r="P2073" s="74"/>
      <c r="R2073" s="7"/>
      <c r="S2073" s="7"/>
      <c r="T2073" s="66"/>
    </row>
    <row r="2074" spans="1:20" ht="13.2">
      <c r="A2074" s="7"/>
      <c r="B2074" s="7"/>
      <c r="C2074" s="74"/>
      <c r="D2074" s="74"/>
      <c r="F2074" s="7"/>
      <c r="G2074" s="74"/>
      <c r="H2074" s="74"/>
      <c r="J2074" s="7"/>
      <c r="K2074" s="74"/>
      <c r="L2074" s="74"/>
      <c r="N2074" s="7"/>
      <c r="O2074" s="74"/>
      <c r="P2074" s="74"/>
      <c r="R2074" s="7"/>
      <c r="S2074" s="7"/>
      <c r="T2074" s="66"/>
    </row>
    <row r="2075" spans="1:20" ht="13.2">
      <c r="A2075" s="7"/>
      <c r="B2075" s="7"/>
      <c r="C2075" s="74"/>
      <c r="D2075" s="74"/>
      <c r="F2075" s="7"/>
      <c r="G2075" s="74"/>
      <c r="H2075" s="74"/>
      <c r="J2075" s="7"/>
      <c r="K2075" s="74"/>
      <c r="L2075" s="74"/>
      <c r="N2075" s="7"/>
      <c r="O2075" s="74"/>
      <c r="P2075" s="74"/>
      <c r="R2075" s="7"/>
      <c r="S2075" s="7"/>
      <c r="T2075" s="66"/>
    </row>
    <row r="2076" spans="1:20" ht="13.2">
      <c r="A2076" s="7"/>
      <c r="B2076" s="7"/>
      <c r="C2076" s="74"/>
      <c r="D2076" s="74"/>
      <c r="F2076" s="7"/>
      <c r="G2076" s="74"/>
      <c r="H2076" s="74"/>
      <c r="J2076" s="7"/>
      <c r="K2076" s="74"/>
      <c r="L2076" s="74"/>
      <c r="N2076" s="7"/>
      <c r="O2076" s="74"/>
      <c r="P2076" s="74"/>
      <c r="R2076" s="7"/>
      <c r="S2076" s="7"/>
      <c r="T2076" s="66"/>
    </row>
    <row r="2077" spans="1:20" ht="13.2">
      <c r="A2077" s="7"/>
      <c r="B2077" s="7"/>
      <c r="C2077" s="74"/>
      <c r="D2077" s="74"/>
      <c r="F2077" s="7"/>
      <c r="G2077" s="74"/>
      <c r="H2077" s="74"/>
      <c r="J2077" s="7"/>
      <c r="K2077" s="74"/>
      <c r="L2077" s="74"/>
      <c r="N2077" s="7"/>
      <c r="O2077" s="74"/>
      <c r="P2077" s="74"/>
      <c r="R2077" s="7"/>
      <c r="S2077" s="7"/>
      <c r="T2077" s="66"/>
    </row>
    <row r="2078" spans="1:20" ht="13.2">
      <c r="A2078" s="7"/>
      <c r="B2078" s="7"/>
      <c r="C2078" s="74"/>
      <c r="D2078" s="74"/>
      <c r="F2078" s="7"/>
      <c r="G2078" s="74"/>
      <c r="H2078" s="74"/>
      <c r="J2078" s="7"/>
      <c r="K2078" s="74"/>
      <c r="L2078" s="74"/>
      <c r="N2078" s="7"/>
      <c r="O2078" s="74"/>
      <c r="P2078" s="74"/>
      <c r="R2078" s="7"/>
      <c r="S2078" s="7"/>
      <c r="T2078" s="66"/>
    </row>
    <row r="2079" spans="1:20" ht="13.2">
      <c r="A2079" s="7"/>
      <c r="B2079" s="7"/>
      <c r="C2079" s="74"/>
      <c r="D2079" s="74"/>
      <c r="F2079" s="7"/>
      <c r="G2079" s="74"/>
      <c r="H2079" s="74"/>
      <c r="J2079" s="7"/>
      <c r="K2079" s="74"/>
      <c r="L2079" s="74"/>
      <c r="N2079" s="7"/>
      <c r="O2079" s="74"/>
      <c r="P2079" s="74"/>
      <c r="R2079" s="7"/>
      <c r="S2079" s="7"/>
      <c r="T2079" s="66"/>
    </row>
    <row r="2080" spans="1:20" ht="13.2">
      <c r="A2080" s="7"/>
      <c r="B2080" s="7"/>
      <c r="C2080" s="74"/>
      <c r="D2080" s="74"/>
      <c r="F2080" s="7"/>
      <c r="G2080" s="74"/>
      <c r="H2080" s="74"/>
      <c r="J2080" s="7"/>
      <c r="K2080" s="74"/>
      <c r="L2080" s="74"/>
      <c r="N2080" s="7"/>
      <c r="O2080" s="74"/>
      <c r="P2080" s="74"/>
      <c r="R2080" s="7"/>
      <c r="S2080" s="7"/>
      <c r="T2080" s="66"/>
    </row>
    <row r="2081" spans="1:20" ht="13.2">
      <c r="A2081" s="7"/>
      <c r="B2081" s="7"/>
      <c r="C2081" s="74"/>
      <c r="D2081" s="74"/>
      <c r="F2081" s="7"/>
      <c r="G2081" s="74"/>
      <c r="H2081" s="74"/>
      <c r="J2081" s="7"/>
      <c r="K2081" s="74"/>
      <c r="L2081" s="74"/>
      <c r="N2081" s="7"/>
      <c r="O2081" s="74"/>
      <c r="P2081" s="74"/>
      <c r="R2081" s="7"/>
      <c r="S2081" s="7"/>
      <c r="T2081" s="66"/>
    </row>
    <row r="2082" spans="1:20" ht="13.2">
      <c r="A2082" s="7"/>
      <c r="B2082" s="7"/>
      <c r="C2082" s="74"/>
      <c r="D2082" s="74"/>
      <c r="F2082" s="7"/>
      <c r="G2082" s="74"/>
      <c r="H2082" s="74"/>
      <c r="J2082" s="7"/>
      <c r="K2082" s="74"/>
      <c r="L2082" s="74"/>
      <c r="N2082" s="7"/>
      <c r="O2082" s="74"/>
      <c r="P2082" s="74"/>
      <c r="R2082" s="7"/>
      <c r="S2082" s="7"/>
      <c r="T2082" s="66"/>
    </row>
    <row r="2083" spans="1:20" ht="13.2">
      <c r="A2083" s="7"/>
      <c r="B2083" s="7"/>
      <c r="C2083" s="74"/>
      <c r="D2083" s="74"/>
      <c r="F2083" s="7"/>
      <c r="G2083" s="74"/>
      <c r="H2083" s="74"/>
      <c r="J2083" s="7"/>
      <c r="K2083" s="74"/>
      <c r="L2083" s="74"/>
      <c r="N2083" s="7"/>
      <c r="O2083" s="74"/>
      <c r="P2083" s="74"/>
      <c r="R2083" s="7"/>
      <c r="S2083" s="7"/>
      <c r="T2083" s="66"/>
    </row>
    <row r="2084" spans="1:20" ht="13.2">
      <c r="A2084" s="7"/>
      <c r="B2084" s="7"/>
      <c r="C2084" s="74"/>
      <c r="D2084" s="74"/>
      <c r="F2084" s="7"/>
      <c r="G2084" s="74"/>
      <c r="H2084" s="74"/>
      <c r="J2084" s="7"/>
      <c r="K2084" s="74"/>
      <c r="L2084" s="74"/>
      <c r="N2084" s="7"/>
      <c r="O2084" s="74"/>
      <c r="P2084" s="74"/>
      <c r="R2084" s="7"/>
      <c r="S2084" s="7"/>
      <c r="T2084" s="66"/>
    </row>
    <row r="2085" spans="1:20" ht="13.2">
      <c r="A2085" s="7"/>
      <c r="B2085" s="7"/>
      <c r="C2085" s="74"/>
      <c r="D2085" s="74"/>
      <c r="F2085" s="7"/>
      <c r="G2085" s="74"/>
      <c r="H2085" s="74"/>
      <c r="J2085" s="7"/>
      <c r="K2085" s="74"/>
      <c r="L2085" s="74"/>
      <c r="N2085" s="7"/>
      <c r="O2085" s="74"/>
      <c r="P2085" s="74"/>
      <c r="R2085" s="7"/>
      <c r="S2085" s="7"/>
      <c r="T2085" s="66"/>
    </row>
    <row r="2086" spans="1:20" ht="13.2">
      <c r="A2086" s="7"/>
      <c r="B2086" s="7"/>
      <c r="C2086" s="74"/>
      <c r="D2086" s="74"/>
      <c r="F2086" s="7"/>
      <c r="G2086" s="74"/>
      <c r="H2086" s="74"/>
      <c r="J2086" s="7"/>
      <c r="K2086" s="74"/>
      <c r="L2086" s="74"/>
      <c r="N2086" s="7"/>
      <c r="O2086" s="74"/>
      <c r="P2086" s="74"/>
      <c r="R2086" s="7"/>
      <c r="S2086" s="7"/>
      <c r="T2086" s="66"/>
    </row>
    <row r="2087" spans="1:20" ht="13.2">
      <c r="A2087" s="7"/>
      <c r="B2087" s="7"/>
      <c r="C2087" s="74"/>
      <c r="D2087" s="74"/>
      <c r="F2087" s="7"/>
      <c r="G2087" s="74"/>
      <c r="H2087" s="74"/>
      <c r="J2087" s="7"/>
      <c r="K2087" s="74"/>
      <c r="L2087" s="74"/>
      <c r="N2087" s="7"/>
      <c r="O2087" s="74"/>
      <c r="P2087" s="74"/>
      <c r="R2087" s="7"/>
      <c r="S2087" s="7"/>
      <c r="T2087" s="66"/>
    </row>
    <row r="2088" spans="1:20" ht="13.2">
      <c r="A2088" s="7"/>
      <c r="B2088" s="7"/>
      <c r="C2088" s="74"/>
      <c r="D2088" s="74"/>
      <c r="F2088" s="7"/>
      <c r="G2088" s="74"/>
      <c r="H2088" s="74"/>
      <c r="J2088" s="7"/>
      <c r="K2088" s="74"/>
      <c r="L2088" s="74"/>
      <c r="N2088" s="7"/>
      <c r="O2088" s="74"/>
      <c r="P2088" s="74"/>
      <c r="R2088" s="7"/>
      <c r="S2088" s="7"/>
      <c r="T2088" s="66"/>
    </row>
    <row r="2089" spans="1:20" ht="13.2">
      <c r="A2089" s="7"/>
      <c r="B2089" s="7"/>
      <c r="C2089" s="74"/>
      <c r="D2089" s="74"/>
      <c r="F2089" s="7"/>
      <c r="G2089" s="74"/>
      <c r="H2089" s="74"/>
      <c r="J2089" s="7"/>
      <c r="K2089" s="74"/>
      <c r="L2089" s="74"/>
      <c r="N2089" s="7"/>
      <c r="O2089" s="74"/>
      <c r="P2089" s="74"/>
      <c r="R2089" s="7"/>
      <c r="S2089" s="7"/>
      <c r="T2089" s="66"/>
    </row>
    <row r="2090" spans="1:20" ht="13.2">
      <c r="A2090" s="7"/>
      <c r="B2090" s="7"/>
      <c r="C2090" s="74"/>
      <c r="D2090" s="74"/>
      <c r="F2090" s="7"/>
      <c r="G2090" s="74"/>
      <c r="H2090" s="74"/>
      <c r="J2090" s="7"/>
      <c r="K2090" s="74"/>
      <c r="L2090" s="74"/>
      <c r="N2090" s="7"/>
      <c r="O2090" s="74"/>
      <c r="P2090" s="74"/>
      <c r="R2090" s="7"/>
      <c r="S2090" s="7"/>
      <c r="T2090" s="66"/>
    </row>
    <row r="2091" spans="1:20" ht="13.2">
      <c r="A2091" s="7"/>
      <c r="B2091" s="7"/>
      <c r="C2091" s="74"/>
      <c r="D2091" s="74"/>
      <c r="F2091" s="7"/>
      <c r="G2091" s="74"/>
      <c r="H2091" s="74"/>
      <c r="J2091" s="7"/>
      <c r="K2091" s="74"/>
      <c r="L2091" s="74"/>
      <c r="N2091" s="7"/>
      <c r="O2091" s="74"/>
      <c r="P2091" s="74"/>
      <c r="R2091" s="7"/>
      <c r="S2091" s="7"/>
      <c r="T2091" s="66"/>
    </row>
    <row r="2092" spans="1:20" ht="13.2">
      <c r="A2092" s="7"/>
      <c r="B2092" s="7"/>
      <c r="C2092" s="74"/>
      <c r="D2092" s="74"/>
      <c r="F2092" s="7"/>
      <c r="G2092" s="74"/>
      <c r="H2092" s="74"/>
      <c r="J2092" s="7"/>
      <c r="K2092" s="74"/>
      <c r="L2092" s="74"/>
      <c r="N2092" s="7"/>
      <c r="O2092" s="74"/>
      <c r="P2092" s="74"/>
      <c r="R2092" s="7"/>
      <c r="S2092" s="7"/>
      <c r="T2092" s="66"/>
    </row>
    <row r="2093" spans="1:20" ht="13.2">
      <c r="A2093" s="7"/>
      <c r="B2093" s="7"/>
      <c r="C2093" s="74"/>
      <c r="D2093" s="74"/>
      <c r="F2093" s="7"/>
      <c r="G2093" s="74"/>
      <c r="H2093" s="74"/>
      <c r="J2093" s="7"/>
      <c r="K2093" s="74"/>
      <c r="L2093" s="74"/>
      <c r="N2093" s="7"/>
      <c r="O2093" s="74"/>
      <c r="P2093" s="74"/>
      <c r="R2093" s="7"/>
      <c r="S2093" s="7"/>
      <c r="T2093" s="66"/>
    </row>
    <row r="2094" spans="1:20" ht="13.2">
      <c r="A2094" s="7"/>
      <c r="B2094" s="7"/>
      <c r="C2094" s="74"/>
      <c r="D2094" s="74"/>
      <c r="F2094" s="7"/>
      <c r="G2094" s="74"/>
      <c r="H2094" s="74"/>
      <c r="J2094" s="7"/>
      <c r="K2094" s="74"/>
      <c r="L2094" s="74"/>
      <c r="N2094" s="7"/>
      <c r="O2094" s="74"/>
      <c r="P2094" s="74"/>
      <c r="R2094" s="7"/>
      <c r="S2094" s="7"/>
      <c r="T2094" s="66"/>
    </row>
    <row r="2095" spans="1:20" ht="13.2">
      <c r="A2095" s="7"/>
      <c r="B2095" s="7"/>
      <c r="C2095" s="74"/>
      <c r="D2095" s="74"/>
      <c r="F2095" s="7"/>
      <c r="G2095" s="74"/>
      <c r="H2095" s="74"/>
      <c r="J2095" s="7"/>
      <c r="K2095" s="74"/>
      <c r="L2095" s="74"/>
      <c r="N2095" s="7"/>
      <c r="O2095" s="74"/>
      <c r="P2095" s="74"/>
      <c r="R2095" s="7"/>
      <c r="S2095" s="7"/>
      <c r="T2095" s="66"/>
    </row>
    <row r="2096" spans="1:20" ht="13.2">
      <c r="A2096" s="7"/>
      <c r="B2096" s="7"/>
      <c r="C2096" s="74"/>
      <c r="D2096" s="74"/>
      <c r="F2096" s="7"/>
      <c r="G2096" s="74"/>
      <c r="H2096" s="74"/>
      <c r="J2096" s="7"/>
      <c r="K2096" s="74"/>
      <c r="L2096" s="74"/>
      <c r="N2096" s="7"/>
      <c r="O2096" s="74"/>
      <c r="P2096" s="74"/>
      <c r="R2096" s="7"/>
      <c r="S2096" s="7"/>
      <c r="T2096" s="66"/>
    </row>
    <row r="2097" spans="1:20" ht="13.2">
      <c r="A2097" s="7"/>
      <c r="B2097" s="7"/>
      <c r="C2097" s="74"/>
      <c r="D2097" s="74"/>
      <c r="F2097" s="7"/>
      <c r="G2097" s="74"/>
      <c r="H2097" s="74"/>
      <c r="J2097" s="7"/>
      <c r="K2097" s="74"/>
      <c r="L2097" s="74"/>
      <c r="N2097" s="7"/>
      <c r="O2097" s="74"/>
      <c r="P2097" s="74"/>
      <c r="R2097" s="7"/>
      <c r="S2097" s="7"/>
      <c r="T2097" s="66"/>
    </row>
    <row r="2098" spans="1:20" ht="13.2">
      <c r="A2098" s="7"/>
      <c r="B2098" s="7"/>
      <c r="C2098" s="74"/>
      <c r="D2098" s="74"/>
      <c r="F2098" s="7"/>
      <c r="G2098" s="74"/>
      <c r="H2098" s="74"/>
      <c r="J2098" s="7"/>
      <c r="K2098" s="74"/>
      <c r="L2098" s="74"/>
      <c r="N2098" s="7"/>
      <c r="O2098" s="74"/>
      <c r="P2098" s="74"/>
      <c r="R2098" s="7"/>
      <c r="S2098" s="7"/>
      <c r="T2098" s="66"/>
    </row>
    <row r="2099" spans="1:20" ht="13.2">
      <c r="A2099" s="7"/>
      <c r="B2099" s="7"/>
      <c r="C2099" s="74"/>
      <c r="D2099" s="74"/>
      <c r="F2099" s="7"/>
      <c r="G2099" s="74"/>
      <c r="H2099" s="74"/>
      <c r="J2099" s="7"/>
      <c r="K2099" s="74"/>
      <c r="L2099" s="74"/>
      <c r="N2099" s="7"/>
      <c r="O2099" s="74"/>
      <c r="P2099" s="74"/>
      <c r="R2099" s="7"/>
      <c r="S2099" s="7"/>
      <c r="T2099" s="66"/>
    </row>
    <row r="2100" spans="1:20" ht="13.2">
      <c r="A2100" s="7"/>
      <c r="B2100" s="7"/>
      <c r="C2100" s="74"/>
      <c r="D2100" s="74"/>
      <c r="F2100" s="7"/>
      <c r="G2100" s="74"/>
      <c r="H2100" s="74"/>
      <c r="J2100" s="7"/>
      <c r="K2100" s="74"/>
      <c r="L2100" s="74"/>
      <c r="N2100" s="7"/>
      <c r="O2100" s="74"/>
      <c r="P2100" s="74"/>
      <c r="R2100" s="7"/>
      <c r="S2100" s="7"/>
      <c r="T2100" s="66"/>
    </row>
    <row r="2101" spans="1:20" ht="13.2">
      <c r="A2101" s="7"/>
      <c r="B2101" s="7"/>
      <c r="C2101" s="74"/>
      <c r="D2101" s="74"/>
      <c r="F2101" s="7"/>
      <c r="G2101" s="74"/>
      <c r="H2101" s="74"/>
      <c r="J2101" s="7"/>
      <c r="K2101" s="74"/>
      <c r="L2101" s="74"/>
      <c r="N2101" s="7"/>
      <c r="O2101" s="74"/>
      <c r="P2101" s="74"/>
      <c r="R2101" s="7"/>
      <c r="S2101" s="7"/>
      <c r="T2101" s="66"/>
    </row>
    <row r="2102" spans="1:20" ht="13.2">
      <c r="A2102" s="7"/>
      <c r="B2102" s="7"/>
      <c r="C2102" s="74"/>
      <c r="D2102" s="74"/>
      <c r="F2102" s="7"/>
      <c r="G2102" s="74"/>
      <c r="H2102" s="74"/>
      <c r="J2102" s="7"/>
      <c r="K2102" s="74"/>
      <c r="L2102" s="74"/>
      <c r="N2102" s="7"/>
      <c r="O2102" s="74"/>
      <c r="P2102" s="74"/>
      <c r="R2102" s="7"/>
      <c r="S2102" s="7"/>
      <c r="T2102" s="66"/>
    </row>
    <row r="2103" spans="1:20" ht="13.2">
      <c r="A2103" s="7"/>
      <c r="B2103" s="7"/>
      <c r="C2103" s="74"/>
      <c r="D2103" s="74"/>
      <c r="F2103" s="7"/>
      <c r="G2103" s="74"/>
      <c r="H2103" s="74"/>
      <c r="J2103" s="7"/>
      <c r="K2103" s="74"/>
      <c r="L2103" s="74"/>
      <c r="N2103" s="7"/>
      <c r="O2103" s="74"/>
      <c r="P2103" s="74"/>
      <c r="R2103" s="7"/>
      <c r="S2103" s="7"/>
      <c r="T2103" s="66"/>
    </row>
    <row r="2104" spans="1:20" ht="13.2">
      <c r="A2104" s="7"/>
      <c r="B2104" s="7"/>
      <c r="C2104" s="74"/>
      <c r="D2104" s="74"/>
      <c r="F2104" s="7"/>
      <c r="G2104" s="74"/>
      <c r="H2104" s="74"/>
      <c r="J2104" s="7"/>
      <c r="K2104" s="74"/>
      <c r="L2104" s="74"/>
      <c r="N2104" s="7"/>
      <c r="O2104" s="74"/>
      <c r="P2104" s="74"/>
      <c r="R2104" s="7"/>
      <c r="S2104" s="7"/>
      <c r="T2104" s="66"/>
    </row>
    <row r="2105" spans="1:20" ht="13.2">
      <c r="A2105" s="7"/>
      <c r="B2105" s="7"/>
      <c r="C2105" s="74"/>
      <c r="D2105" s="74"/>
      <c r="F2105" s="7"/>
      <c r="G2105" s="74"/>
      <c r="H2105" s="74"/>
      <c r="J2105" s="7"/>
      <c r="K2105" s="74"/>
      <c r="L2105" s="74"/>
      <c r="N2105" s="7"/>
      <c r="O2105" s="74"/>
      <c r="P2105" s="74"/>
      <c r="R2105" s="7"/>
      <c r="S2105" s="7"/>
      <c r="T2105" s="66"/>
    </row>
    <row r="2106" spans="1:20" ht="13.2">
      <c r="A2106" s="7"/>
      <c r="B2106" s="7"/>
      <c r="C2106" s="74"/>
      <c r="D2106" s="74"/>
      <c r="F2106" s="7"/>
      <c r="G2106" s="74"/>
      <c r="H2106" s="74"/>
      <c r="J2106" s="7"/>
      <c r="K2106" s="74"/>
      <c r="L2106" s="74"/>
      <c r="N2106" s="7"/>
      <c r="O2106" s="74"/>
      <c r="P2106" s="74"/>
      <c r="R2106" s="7"/>
      <c r="S2106" s="7"/>
      <c r="T2106" s="66"/>
    </row>
    <row r="2107" spans="1:20" ht="13.2">
      <c r="A2107" s="7"/>
      <c r="B2107" s="7"/>
      <c r="C2107" s="74"/>
      <c r="D2107" s="74"/>
      <c r="F2107" s="7"/>
      <c r="G2107" s="74"/>
      <c r="H2107" s="74"/>
      <c r="J2107" s="7"/>
      <c r="K2107" s="74"/>
      <c r="L2107" s="74"/>
      <c r="N2107" s="7"/>
      <c r="O2107" s="74"/>
      <c r="P2107" s="74"/>
      <c r="R2107" s="7"/>
      <c r="S2107" s="7"/>
      <c r="T2107" s="66"/>
    </row>
    <row r="2108" spans="1:20" ht="13.2">
      <c r="A2108" s="7"/>
      <c r="B2108" s="7"/>
      <c r="C2108" s="74"/>
      <c r="D2108" s="74"/>
      <c r="F2108" s="7"/>
      <c r="G2108" s="74"/>
      <c r="H2108" s="74"/>
      <c r="J2108" s="7"/>
      <c r="K2108" s="74"/>
      <c r="L2108" s="74"/>
      <c r="N2108" s="7"/>
      <c r="O2108" s="74"/>
      <c r="P2108" s="74"/>
      <c r="R2108" s="7"/>
      <c r="S2108" s="7"/>
      <c r="T2108" s="66"/>
    </row>
    <row r="2109" spans="1:20" ht="13.2">
      <c r="A2109" s="7"/>
      <c r="B2109" s="7"/>
      <c r="C2109" s="74"/>
      <c r="D2109" s="74"/>
      <c r="F2109" s="7"/>
      <c r="G2109" s="74"/>
      <c r="H2109" s="74"/>
      <c r="J2109" s="7"/>
      <c r="K2109" s="74"/>
      <c r="L2109" s="74"/>
      <c r="N2109" s="7"/>
      <c r="O2109" s="74"/>
      <c r="P2109" s="74"/>
      <c r="R2109" s="7"/>
      <c r="S2109" s="7"/>
      <c r="T2109" s="66"/>
    </row>
    <row r="2110" spans="1:20" ht="13.2">
      <c r="A2110" s="7"/>
      <c r="B2110" s="7"/>
      <c r="C2110" s="74"/>
      <c r="D2110" s="74"/>
      <c r="F2110" s="7"/>
      <c r="G2110" s="74"/>
      <c r="H2110" s="74"/>
      <c r="J2110" s="7"/>
      <c r="K2110" s="74"/>
      <c r="L2110" s="74"/>
      <c r="N2110" s="7"/>
      <c r="O2110" s="74"/>
      <c r="P2110" s="74"/>
      <c r="R2110" s="7"/>
      <c r="S2110" s="7"/>
      <c r="T2110" s="66"/>
    </row>
    <row r="2111" spans="1:20" ht="13.2">
      <c r="A2111" s="7"/>
      <c r="B2111" s="7"/>
      <c r="C2111" s="74"/>
      <c r="D2111" s="74"/>
      <c r="F2111" s="7"/>
      <c r="G2111" s="74"/>
      <c r="H2111" s="74"/>
      <c r="J2111" s="7"/>
      <c r="K2111" s="74"/>
      <c r="L2111" s="74"/>
      <c r="N2111" s="7"/>
      <c r="O2111" s="74"/>
      <c r="P2111" s="74"/>
      <c r="R2111" s="7"/>
      <c r="S2111" s="7"/>
      <c r="T2111" s="66"/>
    </row>
    <row r="2112" spans="1:20" ht="13.2">
      <c r="A2112" s="7"/>
      <c r="B2112" s="7"/>
      <c r="C2112" s="74"/>
      <c r="D2112" s="74"/>
      <c r="F2112" s="7"/>
      <c r="G2112" s="74"/>
      <c r="H2112" s="74"/>
      <c r="J2112" s="7"/>
      <c r="K2112" s="74"/>
      <c r="L2112" s="74"/>
      <c r="N2112" s="7"/>
      <c r="O2112" s="74"/>
      <c r="P2112" s="74"/>
      <c r="R2112" s="7"/>
      <c r="S2112" s="7"/>
      <c r="T2112" s="66"/>
    </row>
    <row r="2113" spans="1:20" ht="13.2">
      <c r="A2113" s="7"/>
      <c r="B2113" s="7"/>
      <c r="C2113" s="74"/>
      <c r="D2113" s="74"/>
      <c r="F2113" s="7"/>
      <c r="G2113" s="74"/>
      <c r="H2113" s="74"/>
      <c r="J2113" s="7"/>
      <c r="K2113" s="74"/>
      <c r="L2113" s="74"/>
      <c r="N2113" s="7"/>
      <c r="O2113" s="74"/>
      <c r="P2113" s="74"/>
      <c r="R2113" s="7"/>
      <c r="S2113" s="7"/>
      <c r="T2113" s="66"/>
    </row>
    <row r="2114" spans="1:20" ht="13.2">
      <c r="A2114" s="7"/>
      <c r="B2114" s="7"/>
      <c r="C2114" s="74"/>
      <c r="D2114" s="74"/>
      <c r="F2114" s="7"/>
      <c r="G2114" s="74"/>
      <c r="H2114" s="74"/>
      <c r="J2114" s="7"/>
      <c r="K2114" s="74"/>
      <c r="L2114" s="74"/>
      <c r="N2114" s="7"/>
      <c r="O2114" s="74"/>
      <c r="P2114" s="74"/>
      <c r="R2114" s="7"/>
      <c r="S2114" s="7"/>
      <c r="T2114" s="66"/>
    </row>
    <row r="2115" spans="1:20" ht="13.2">
      <c r="A2115" s="7"/>
      <c r="B2115" s="7"/>
      <c r="C2115" s="74"/>
      <c r="D2115" s="74"/>
      <c r="F2115" s="7"/>
      <c r="G2115" s="74"/>
      <c r="H2115" s="74"/>
      <c r="J2115" s="7"/>
      <c r="K2115" s="74"/>
      <c r="L2115" s="74"/>
      <c r="N2115" s="7"/>
      <c r="O2115" s="74"/>
      <c r="P2115" s="74"/>
      <c r="R2115" s="7"/>
      <c r="S2115" s="7"/>
      <c r="T2115" s="66"/>
    </row>
    <row r="2116" spans="1:20" ht="13.2">
      <c r="A2116" s="7"/>
      <c r="B2116" s="7"/>
      <c r="C2116" s="74"/>
      <c r="D2116" s="74"/>
      <c r="F2116" s="7"/>
      <c r="G2116" s="74"/>
      <c r="H2116" s="74"/>
      <c r="J2116" s="7"/>
      <c r="K2116" s="74"/>
      <c r="L2116" s="74"/>
      <c r="N2116" s="7"/>
      <c r="O2116" s="74"/>
      <c r="P2116" s="74"/>
      <c r="R2116" s="7"/>
      <c r="S2116" s="7"/>
      <c r="T2116" s="66"/>
    </row>
    <row r="2117" spans="1:20" ht="13.2">
      <c r="A2117" s="7"/>
      <c r="B2117" s="7"/>
      <c r="C2117" s="74"/>
      <c r="D2117" s="74"/>
      <c r="F2117" s="7"/>
      <c r="G2117" s="74"/>
      <c r="H2117" s="74"/>
      <c r="J2117" s="7"/>
      <c r="K2117" s="74"/>
      <c r="L2117" s="74"/>
      <c r="N2117" s="7"/>
      <c r="O2117" s="74"/>
      <c r="P2117" s="74"/>
      <c r="R2117" s="7"/>
      <c r="S2117" s="7"/>
      <c r="T2117" s="66"/>
    </row>
    <row r="2118" spans="1:20" ht="13.2">
      <c r="A2118" s="7"/>
      <c r="B2118" s="7"/>
      <c r="C2118" s="74"/>
      <c r="D2118" s="74"/>
      <c r="F2118" s="7"/>
      <c r="G2118" s="74"/>
      <c r="H2118" s="74"/>
      <c r="J2118" s="7"/>
      <c r="K2118" s="74"/>
      <c r="L2118" s="74"/>
      <c r="N2118" s="7"/>
      <c r="O2118" s="74"/>
      <c r="P2118" s="74"/>
      <c r="R2118" s="7"/>
      <c r="S2118" s="7"/>
      <c r="T2118" s="66"/>
    </row>
    <row r="2119" spans="1:20" ht="13.2">
      <c r="A2119" s="7"/>
      <c r="B2119" s="7"/>
      <c r="C2119" s="74"/>
      <c r="D2119" s="74"/>
      <c r="F2119" s="7"/>
      <c r="G2119" s="74"/>
      <c r="H2119" s="74"/>
      <c r="J2119" s="7"/>
      <c r="K2119" s="74"/>
      <c r="L2119" s="74"/>
      <c r="N2119" s="7"/>
      <c r="O2119" s="74"/>
      <c r="P2119" s="74"/>
      <c r="R2119" s="7"/>
      <c r="S2119" s="7"/>
      <c r="T2119" s="66"/>
    </row>
    <row r="2120" spans="1:20" ht="13.2">
      <c r="A2120" s="7"/>
      <c r="B2120" s="7"/>
      <c r="C2120" s="74"/>
      <c r="D2120" s="74"/>
      <c r="F2120" s="7"/>
      <c r="G2120" s="74"/>
      <c r="H2120" s="74"/>
      <c r="J2120" s="7"/>
      <c r="K2120" s="74"/>
      <c r="L2120" s="74"/>
      <c r="N2120" s="7"/>
      <c r="O2120" s="74"/>
      <c r="P2120" s="74"/>
      <c r="R2120" s="7"/>
      <c r="S2120" s="7"/>
      <c r="T2120" s="66"/>
    </row>
    <row r="2121" spans="1:20" ht="13.2">
      <c r="A2121" s="7"/>
      <c r="B2121" s="7"/>
      <c r="C2121" s="74"/>
      <c r="D2121" s="74"/>
      <c r="F2121" s="7"/>
      <c r="G2121" s="74"/>
      <c r="H2121" s="74"/>
      <c r="J2121" s="7"/>
      <c r="K2121" s="74"/>
      <c r="L2121" s="74"/>
      <c r="N2121" s="7"/>
      <c r="O2121" s="74"/>
      <c r="P2121" s="74"/>
      <c r="R2121" s="7"/>
      <c r="S2121" s="7"/>
      <c r="T2121" s="66"/>
    </row>
    <row r="2122" spans="1:20" ht="13.2">
      <c r="A2122" s="7"/>
      <c r="B2122" s="7"/>
      <c r="C2122" s="74"/>
      <c r="D2122" s="74"/>
      <c r="F2122" s="7"/>
      <c r="G2122" s="74"/>
      <c r="H2122" s="74"/>
      <c r="J2122" s="7"/>
      <c r="K2122" s="74"/>
      <c r="L2122" s="74"/>
      <c r="N2122" s="7"/>
      <c r="O2122" s="74"/>
      <c r="P2122" s="74"/>
      <c r="R2122" s="7"/>
      <c r="S2122" s="7"/>
      <c r="T2122" s="66"/>
    </row>
    <row r="2123" spans="1:20" ht="13.2">
      <c r="A2123" s="7"/>
      <c r="B2123" s="7"/>
      <c r="C2123" s="74"/>
      <c r="D2123" s="74"/>
      <c r="F2123" s="7"/>
      <c r="G2123" s="74"/>
      <c r="H2123" s="74"/>
      <c r="J2123" s="7"/>
      <c r="K2123" s="74"/>
      <c r="L2123" s="74"/>
      <c r="N2123" s="7"/>
      <c r="O2123" s="74"/>
      <c r="P2123" s="74"/>
      <c r="R2123" s="7"/>
      <c r="S2123" s="7"/>
      <c r="T2123" s="66"/>
    </row>
    <row r="2124" spans="1:20" ht="13.2">
      <c r="A2124" s="7"/>
      <c r="B2124" s="7"/>
      <c r="C2124" s="74"/>
      <c r="D2124" s="74"/>
      <c r="F2124" s="7"/>
      <c r="G2124" s="74"/>
      <c r="H2124" s="74"/>
      <c r="J2124" s="7"/>
      <c r="K2124" s="74"/>
      <c r="L2124" s="74"/>
      <c r="N2124" s="7"/>
      <c r="O2124" s="74"/>
      <c r="P2124" s="74"/>
      <c r="R2124" s="7"/>
      <c r="S2124" s="7"/>
      <c r="T2124" s="66"/>
    </row>
    <row r="2125" spans="1:20" ht="13.2">
      <c r="A2125" s="7"/>
      <c r="B2125" s="7"/>
      <c r="C2125" s="74"/>
      <c r="D2125" s="74"/>
      <c r="F2125" s="7"/>
      <c r="G2125" s="74"/>
      <c r="H2125" s="74"/>
      <c r="J2125" s="7"/>
      <c r="K2125" s="74"/>
      <c r="L2125" s="74"/>
      <c r="N2125" s="7"/>
      <c r="O2125" s="74"/>
      <c r="P2125" s="74"/>
      <c r="R2125" s="7"/>
      <c r="S2125" s="7"/>
      <c r="T2125" s="66"/>
    </row>
    <row r="2126" spans="1:20" ht="13.2">
      <c r="A2126" s="7"/>
      <c r="B2126" s="7"/>
      <c r="C2126" s="74"/>
      <c r="D2126" s="74"/>
      <c r="F2126" s="7"/>
      <c r="G2126" s="74"/>
      <c r="H2126" s="74"/>
      <c r="J2126" s="7"/>
      <c r="K2126" s="74"/>
      <c r="L2126" s="74"/>
      <c r="N2126" s="7"/>
      <c r="O2126" s="74"/>
      <c r="P2126" s="74"/>
      <c r="R2126" s="7"/>
      <c r="S2126" s="7"/>
      <c r="T2126" s="66"/>
    </row>
    <row r="2127" spans="1:20" ht="13.2">
      <c r="A2127" s="7"/>
      <c r="B2127" s="7"/>
      <c r="C2127" s="74"/>
      <c r="D2127" s="74"/>
      <c r="F2127" s="7"/>
      <c r="G2127" s="74"/>
      <c r="H2127" s="74"/>
      <c r="J2127" s="7"/>
      <c r="K2127" s="74"/>
      <c r="L2127" s="74"/>
      <c r="N2127" s="7"/>
      <c r="O2127" s="74"/>
      <c r="P2127" s="74"/>
      <c r="R2127" s="7"/>
      <c r="S2127" s="7"/>
      <c r="T2127" s="66"/>
    </row>
    <row r="2128" spans="1:20" ht="13.2">
      <c r="A2128" s="7"/>
      <c r="B2128" s="7"/>
      <c r="C2128" s="74"/>
      <c r="D2128" s="74"/>
      <c r="F2128" s="7"/>
      <c r="G2128" s="74"/>
      <c r="H2128" s="74"/>
      <c r="J2128" s="7"/>
      <c r="K2128" s="74"/>
      <c r="L2128" s="74"/>
      <c r="N2128" s="7"/>
      <c r="O2128" s="74"/>
      <c r="P2128" s="74"/>
      <c r="R2128" s="7"/>
      <c r="S2128" s="7"/>
      <c r="T2128" s="66"/>
    </row>
    <row r="2129" spans="1:20" ht="13.2">
      <c r="A2129" s="7"/>
      <c r="B2129" s="7"/>
      <c r="C2129" s="74"/>
      <c r="D2129" s="74"/>
      <c r="F2129" s="7"/>
      <c r="G2129" s="74"/>
      <c r="H2129" s="74"/>
      <c r="J2129" s="7"/>
      <c r="K2129" s="74"/>
      <c r="L2129" s="74"/>
      <c r="N2129" s="7"/>
      <c r="O2129" s="74"/>
      <c r="P2129" s="74"/>
      <c r="R2129" s="7"/>
      <c r="S2129" s="7"/>
      <c r="T2129" s="66"/>
    </row>
    <row r="2130" spans="1:20" ht="13.2">
      <c r="A2130" s="7"/>
      <c r="B2130" s="7"/>
      <c r="C2130" s="74"/>
      <c r="D2130" s="74"/>
      <c r="F2130" s="7"/>
      <c r="G2130" s="74"/>
      <c r="H2130" s="74"/>
      <c r="J2130" s="7"/>
      <c r="K2130" s="74"/>
      <c r="L2130" s="74"/>
      <c r="N2130" s="7"/>
      <c r="O2130" s="74"/>
      <c r="P2130" s="74"/>
      <c r="R2130" s="7"/>
      <c r="S2130" s="7"/>
      <c r="T2130" s="66"/>
    </row>
    <row r="2131" spans="1:20" ht="13.2">
      <c r="A2131" s="7"/>
      <c r="B2131" s="7"/>
      <c r="C2131" s="74"/>
      <c r="D2131" s="74"/>
      <c r="F2131" s="7"/>
      <c r="G2131" s="74"/>
      <c r="H2131" s="74"/>
      <c r="J2131" s="7"/>
      <c r="K2131" s="74"/>
      <c r="L2131" s="74"/>
      <c r="N2131" s="7"/>
      <c r="O2131" s="74"/>
      <c r="P2131" s="74"/>
      <c r="R2131" s="7"/>
      <c r="S2131" s="7"/>
      <c r="T2131" s="66"/>
    </row>
    <row r="2132" spans="1:20" ht="13.2">
      <c r="A2132" s="7"/>
      <c r="B2132" s="7"/>
      <c r="C2132" s="74"/>
      <c r="D2132" s="74"/>
      <c r="F2132" s="7"/>
      <c r="G2132" s="74"/>
      <c r="H2132" s="74"/>
      <c r="J2132" s="7"/>
      <c r="K2132" s="74"/>
      <c r="L2132" s="74"/>
      <c r="N2132" s="7"/>
      <c r="O2132" s="74"/>
      <c r="P2132" s="74"/>
      <c r="R2132" s="7"/>
      <c r="S2132" s="7"/>
      <c r="T2132" s="66"/>
    </row>
    <row r="2133" spans="1:20" ht="13.2">
      <c r="A2133" s="7"/>
      <c r="B2133" s="7"/>
      <c r="C2133" s="74"/>
      <c r="D2133" s="74"/>
      <c r="F2133" s="7"/>
      <c r="G2133" s="74"/>
      <c r="H2133" s="74"/>
      <c r="J2133" s="7"/>
      <c r="K2133" s="74"/>
      <c r="L2133" s="74"/>
      <c r="N2133" s="7"/>
      <c r="O2133" s="74"/>
      <c r="P2133" s="74"/>
      <c r="R2133" s="7"/>
      <c r="S2133" s="7"/>
      <c r="T2133" s="66"/>
    </row>
    <row r="2134" spans="1:20" ht="13.2">
      <c r="A2134" s="7"/>
      <c r="B2134" s="7"/>
      <c r="C2134" s="74"/>
      <c r="D2134" s="74"/>
      <c r="F2134" s="7"/>
      <c r="G2134" s="74"/>
      <c r="H2134" s="74"/>
      <c r="J2134" s="7"/>
      <c r="K2134" s="74"/>
      <c r="L2134" s="74"/>
      <c r="N2134" s="7"/>
      <c r="O2134" s="74"/>
      <c r="P2134" s="74"/>
      <c r="R2134" s="7"/>
      <c r="S2134" s="7"/>
      <c r="T2134" s="66"/>
    </row>
    <row r="2135" spans="1:20" ht="13.2">
      <c r="A2135" s="7"/>
      <c r="B2135" s="7"/>
      <c r="C2135" s="74"/>
      <c r="D2135" s="74"/>
      <c r="F2135" s="7"/>
      <c r="G2135" s="74"/>
      <c r="H2135" s="74"/>
      <c r="J2135" s="7"/>
      <c r="K2135" s="74"/>
      <c r="L2135" s="74"/>
      <c r="N2135" s="7"/>
      <c r="O2135" s="74"/>
      <c r="P2135" s="74"/>
      <c r="R2135" s="7"/>
      <c r="S2135" s="7"/>
      <c r="T2135" s="66"/>
    </row>
    <row r="2136" spans="1:20" ht="13.2">
      <c r="A2136" s="7"/>
      <c r="B2136" s="7"/>
      <c r="C2136" s="74"/>
      <c r="D2136" s="74"/>
      <c r="F2136" s="7"/>
      <c r="G2136" s="74"/>
      <c r="H2136" s="74"/>
      <c r="J2136" s="7"/>
      <c r="K2136" s="74"/>
      <c r="L2136" s="74"/>
      <c r="N2136" s="7"/>
      <c r="O2136" s="74"/>
      <c r="P2136" s="74"/>
      <c r="R2136" s="7"/>
      <c r="S2136" s="7"/>
      <c r="T2136" s="66"/>
    </row>
    <row r="2137" spans="1:20" ht="13.2">
      <c r="A2137" s="7"/>
      <c r="B2137" s="7"/>
      <c r="C2137" s="74"/>
      <c r="D2137" s="74"/>
      <c r="F2137" s="7"/>
      <c r="G2137" s="74"/>
      <c r="H2137" s="74"/>
      <c r="J2137" s="7"/>
      <c r="K2137" s="74"/>
      <c r="L2137" s="74"/>
      <c r="N2137" s="7"/>
      <c r="O2137" s="74"/>
      <c r="P2137" s="74"/>
      <c r="R2137" s="7"/>
      <c r="S2137" s="7"/>
      <c r="T2137" s="66"/>
    </row>
    <row r="2138" spans="1:20" ht="13.2">
      <c r="A2138" s="7"/>
      <c r="B2138" s="7"/>
      <c r="C2138" s="74"/>
      <c r="D2138" s="74"/>
      <c r="F2138" s="7"/>
      <c r="G2138" s="74"/>
      <c r="H2138" s="74"/>
      <c r="J2138" s="7"/>
      <c r="K2138" s="74"/>
      <c r="L2138" s="74"/>
      <c r="N2138" s="7"/>
      <c r="O2138" s="74"/>
      <c r="P2138" s="74"/>
      <c r="R2138" s="7"/>
      <c r="S2138" s="7"/>
      <c r="T2138" s="66"/>
    </row>
    <row r="2139" spans="1:20" ht="13.2">
      <c r="A2139" s="7"/>
      <c r="B2139" s="7"/>
      <c r="C2139" s="74"/>
      <c r="D2139" s="74"/>
      <c r="F2139" s="7"/>
      <c r="G2139" s="74"/>
      <c r="H2139" s="74"/>
      <c r="J2139" s="7"/>
      <c r="K2139" s="74"/>
      <c r="L2139" s="74"/>
      <c r="N2139" s="7"/>
      <c r="O2139" s="74"/>
      <c r="P2139" s="74"/>
      <c r="R2139" s="7"/>
      <c r="S2139" s="7"/>
      <c r="T2139" s="66"/>
    </row>
    <row r="2140" spans="1:20" ht="13.2">
      <c r="A2140" s="7"/>
      <c r="B2140" s="7"/>
      <c r="C2140" s="74"/>
      <c r="D2140" s="74"/>
      <c r="F2140" s="7"/>
      <c r="G2140" s="74"/>
      <c r="H2140" s="74"/>
      <c r="J2140" s="7"/>
      <c r="K2140" s="74"/>
      <c r="L2140" s="74"/>
      <c r="N2140" s="7"/>
      <c r="O2140" s="74"/>
      <c r="P2140" s="74"/>
      <c r="R2140" s="7"/>
      <c r="S2140" s="7"/>
      <c r="T2140" s="66"/>
    </row>
    <row r="2141" spans="1:20" ht="13.2">
      <c r="A2141" s="7"/>
      <c r="B2141" s="7"/>
      <c r="C2141" s="74"/>
      <c r="D2141" s="74"/>
      <c r="F2141" s="7"/>
      <c r="G2141" s="74"/>
      <c r="H2141" s="74"/>
      <c r="J2141" s="7"/>
      <c r="K2141" s="74"/>
      <c r="L2141" s="74"/>
      <c r="N2141" s="7"/>
      <c r="O2141" s="74"/>
      <c r="P2141" s="74"/>
      <c r="R2141" s="7"/>
      <c r="S2141" s="7"/>
      <c r="T2141" s="66"/>
    </row>
    <row r="2142" spans="1:20" ht="13.2">
      <c r="A2142" s="7"/>
      <c r="B2142" s="7"/>
      <c r="C2142" s="74"/>
      <c r="D2142" s="74"/>
      <c r="F2142" s="7"/>
      <c r="G2142" s="74"/>
      <c r="H2142" s="74"/>
      <c r="J2142" s="7"/>
      <c r="K2142" s="74"/>
      <c r="L2142" s="74"/>
      <c r="N2142" s="7"/>
      <c r="O2142" s="74"/>
      <c r="P2142" s="74"/>
      <c r="R2142" s="7"/>
      <c r="S2142" s="7"/>
      <c r="T2142" s="66"/>
    </row>
    <row r="2143" spans="1:20" ht="13.2">
      <c r="A2143" s="7"/>
      <c r="B2143" s="7"/>
      <c r="C2143" s="74"/>
      <c r="D2143" s="74"/>
      <c r="F2143" s="7"/>
      <c r="G2143" s="74"/>
      <c r="H2143" s="74"/>
      <c r="J2143" s="7"/>
      <c r="K2143" s="74"/>
      <c r="L2143" s="74"/>
      <c r="N2143" s="7"/>
      <c r="O2143" s="74"/>
      <c r="P2143" s="74"/>
      <c r="R2143" s="7"/>
      <c r="S2143" s="7"/>
      <c r="T2143" s="66"/>
    </row>
    <row r="2144" spans="1:20" ht="13.2">
      <c r="A2144" s="7"/>
      <c r="B2144" s="7"/>
      <c r="C2144" s="74"/>
      <c r="D2144" s="74"/>
      <c r="F2144" s="7"/>
      <c r="G2144" s="74"/>
      <c r="H2144" s="74"/>
      <c r="J2144" s="7"/>
      <c r="K2144" s="74"/>
      <c r="L2144" s="74"/>
      <c r="N2144" s="7"/>
      <c r="O2144" s="74"/>
      <c r="P2144" s="74"/>
      <c r="R2144" s="7"/>
      <c r="S2144" s="7"/>
      <c r="T2144" s="66"/>
    </row>
    <row r="2145" spans="1:20" ht="13.2">
      <c r="A2145" s="7"/>
      <c r="B2145" s="7"/>
      <c r="C2145" s="74"/>
      <c r="D2145" s="74"/>
      <c r="F2145" s="7"/>
      <c r="G2145" s="74"/>
      <c r="H2145" s="74"/>
      <c r="J2145" s="7"/>
      <c r="K2145" s="74"/>
      <c r="L2145" s="74"/>
      <c r="N2145" s="7"/>
      <c r="O2145" s="74"/>
      <c r="P2145" s="74"/>
      <c r="R2145" s="7"/>
      <c r="S2145" s="7"/>
      <c r="T2145" s="66"/>
    </row>
    <row r="2146" spans="1:20" ht="13.2">
      <c r="A2146" s="7"/>
      <c r="B2146" s="7"/>
      <c r="C2146" s="74"/>
      <c r="D2146" s="74"/>
      <c r="F2146" s="7"/>
      <c r="G2146" s="74"/>
      <c r="H2146" s="74"/>
      <c r="J2146" s="7"/>
      <c r="K2146" s="74"/>
      <c r="L2146" s="74"/>
      <c r="N2146" s="7"/>
      <c r="O2146" s="74"/>
      <c r="P2146" s="74"/>
      <c r="R2146" s="7"/>
      <c r="S2146" s="7"/>
      <c r="T2146" s="66"/>
    </row>
    <row r="2147" spans="1:20" ht="13.2">
      <c r="A2147" s="7"/>
      <c r="B2147" s="7"/>
      <c r="C2147" s="74"/>
      <c r="D2147" s="74"/>
      <c r="F2147" s="7"/>
      <c r="G2147" s="74"/>
      <c r="H2147" s="74"/>
      <c r="J2147" s="7"/>
      <c r="K2147" s="74"/>
      <c r="L2147" s="74"/>
      <c r="N2147" s="7"/>
      <c r="O2147" s="74"/>
      <c r="P2147" s="74"/>
      <c r="R2147" s="7"/>
      <c r="S2147" s="7"/>
      <c r="T2147" s="66"/>
    </row>
    <row r="2148" spans="1:20" ht="13.2">
      <c r="A2148" s="7"/>
      <c r="B2148" s="7"/>
      <c r="C2148" s="74"/>
      <c r="D2148" s="74"/>
      <c r="F2148" s="7"/>
      <c r="G2148" s="74"/>
      <c r="H2148" s="74"/>
      <c r="J2148" s="7"/>
      <c r="K2148" s="74"/>
      <c r="L2148" s="74"/>
      <c r="N2148" s="7"/>
      <c r="O2148" s="74"/>
      <c r="P2148" s="74"/>
      <c r="R2148" s="7"/>
      <c r="S2148" s="7"/>
      <c r="T2148" s="66"/>
    </row>
    <row r="2149" spans="1:20" ht="13.2">
      <c r="A2149" s="7"/>
      <c r="B2149" s="7"/>
      <c r="C2149" s="74"/>
      <c r="D2149" s="74"/>
      <c r="F2149" s="7"/>
      <c r="G2149" s="74"/>
      <c r="H2149" s="74"/>
      <c r="J2149" s="7"/>
      <c r="K2149" s="74"/>
      <c r="L2149" s="74"/>
      <c r="N2149" s="7"/>
      <c r="O2149" s="74"/>
      <c r="P2149" s="74"/>
      <c r="R2149" s="7"/>
      <c r="S2149" s="7"/>
      <c r="T2149" s="66"/>
    </row>
    <row r="2150" spans="1:20" ht="13.2">
      <c r="A2150" s="7"/>
      <c r="B2150" s="7"/>
      <c r="C2150" s="74"/>
      <c r="D2150" s="74"/>
      <c r="F2150" s="7"/>
      <c r="G2150" s="74"/>
      <c r="H2150" s="74"/>
      <c r="J2150" s="7"/>
      <c r="K2150" s="74"/>
      <c r="L2150" s="74"/>
      <c r="N2150" s="7"/>
      <c r="O2150" s="74"/>
      <c r="P2150" s="74"/>
      <c r="R2150" s="7"/>
      <c r="S2150" s="7"/>
      <c r="T2150" s="66"/>
    </row>
    <row r="2151" spans="1:20" ht="13.2">
      <c r="A2151" s="7"/>
      <c r="B2151" s="7"/>
      <c r="C2151" s="74"/>
      <c r="D2151" s="74"/>
      <c r="F2151" s="7"/>
      <c r="G2151" s="74"/>
      <c r="H2151" s="74"/>
      <c r="J2151" s="7"/>
      <c r="K2151" s="74"/>
      <c r="L2151" s="74"/>
      <c r="N2151" s="7"/>
      <c r="O2151" s="74"/>
      <c r="P2151" s="74"/>
      <c r="R2151" s="7"/>
      <c r="S2151" s="7"/>
      <c r="T2151" s="66"/>
    </row>
    <row r="2152" spans="1:20" ht="13.2">
      <c r="A2152" s="7"/>
      <c r="B2152" s="7"/>
      <c r="C2152" s="74"/>
      <c r="D2152" s="74"/>
      <c r="F2152" s="7"/>
      <c r="G2152" s="74"/>
      <c r="H2152" s="74"/>
      <c r="J2152" s="7"/>
      <c r="K2152" s="74"/>
      <c r="L2152" s="74"/>
      <c r="N2152" s="7"/>
      <c r="O2152" s="74"/>
      <c r="P2152" s="74"/>
      <c r="R2152" s="7"/>
      <c r="S2152" s="7"/>
      <c r="T2152" s="66"/>
    </row>
    <row r="2153" spans="1:20" ht="13.2">
      <c r="A2153" s="7"/>
      <c r="B2153" s="7"/>
      <c r="C2153" s="74"/>
      <c r="D2153" s="74"/>
      <c r="F2153" s="7"/>
      <c r="G2153" s="74"/>
      <c r="H2153" s="74"/>
      <c r="J2153" s="7"/>
      <c r="K2153" s="74"/>
      <c r="L2153" s="74"/>
      <c r="N2153" s="7"/>
      <c r="O2153" s="74"/>
      <c r="P2153" s="74"/>
      <c r="R2153" s="7"/>
      <c r="S2153" s="7"/>
      <c r="T2153" s="66"/>
    </row>
    <row r="2154" spans="1:20" ht="13.2">
      <c r="A2154" s="7"/>
      <c r="B2154" s="7"/>
      <c r="C2154" s="74"/>
      <c r="D2154" s="74"/>
      <c r="F2154" s="7"/>
      <c r="G2154" s="74"/>
      <c r="H2154" s="74"/>
      <c r="J2154" s="7"/>
      <c r="K2154" s="74"/>
      <c r="L2154" s="74"/>
      <c r="N2154" s="7"/>
      <c r="O2154" s="74"/>
      <c r="P2154" s="74"/>
      <c r="R2154" s="7"/>
      <c r="S2154" s="7"/>
      <c r="T2154" s="66"/>
    </row>
    <row r="2155" spans="1:20" ht="13.2">
      <c r="A2155" s="7"/>
      <c r="B2155" s="7"/>
      <c r="C2155" s="74"/>
      <c r="D2155" s="74"/>
      <c r="F2155" s="7"/>
      <c r="G2155" s="74"/>
      <c r="H2155" s="74"/>
      <c r="J2155" s="7"/>
      <c r="K2155" s="74"/>
      <c r="L2155" s="74"/>
      <c r="N2155" s="7"/>
      <c r="O2155" s="74"/>
      <c r="P2155" s="74"/>
      <c r="R2155" s="7"/>
      <c r="S2155" s="7"/>
      <c r="T2155" s="66"/>
    </row>
    <row r="2156" spans="1:20" ht="13.2">
      <c r="A2156" s="7"/>
      <c r="B2156" s="7"/>
      <c r="C2156" s="74"/>
      <c r="D2156" s="74"/>
      <c r="F2156" s="7"/>
      <c r="G2156" s="74"/>
      <c r="H2156" s="74"/>
      <c r="J2156" s="7"/>
      <c r="K2156" s="74"/>
      <c r="L2156" s="74"/>
      <c r="N2156" s="7"/>
      <c r="O2156" s="74"/>
      <c r="P2156" s="74"/>
      <c r="R2156" s="7"/>
      <c r="S2156" s="7"/>
      <c r="T2156" s="66"/>
    </row>
    <row r="2157" spans="1:20" ht="13.2">
      <c r="A2157" s="7"/>
      <c r="B2157" s="7"/>
      <c r="C2157" s="74"/>
      <c r="D2157" s="74"/>
      <c r="F2157" s="7"/>
      <c r="G2157" s="74"/>
      <c r="H2157" s="74"/>
      <c r="J2157" s="7"/>
      <c r="K2157" s="74"/>
      <c r="L2157" s="74"/>
      <c r="N2157" s="7"/>
      <c r="O2157" s="74"/>
      <c r="P2157" s="74"/>
      <c r="R2157" s="7"/>
      <c r="S2157" s="7"/>
      <c r="T2157" s="66"/>
    </row>
    <row r="2158" spans="1:20" ht="13.2">
      <c r="A2158" s="7"/>
      <c r="B2158" s="7"/>
      <c r="C2158" s="74"/>
      <c r="D2158" s="74"/>
      <c r="F2158" s="7"/>
      <c r="G2158" s="74"/>
      <c r="H2158" s="74"/>
      <c r="J2158" s="7"/>
      <c r="K2158" s="74"/>
      <c r="L2158" s="74"/>
      <c r="N2158" s="7"/>
      <c r="O2158" s="74"/>
      <c r="P2158" s="74"/>
      <c r="R2158" s="7"/>
      <c r="S2158" s="7"/>
      <c r="T2158" s="66"/>
    </row>
    <row r="2159" spans="1:20" ht="13.2">
      <c r="A2159" s="7"/>
      <c r="B2159" s="7"/>
      <c r="C2159" s="74"/>
      <c r="D2159" s="74"/>
      <c r="F2159" s="7"/>
      <c r="G2159" s="74"/>
      <c r="H2159" s="74"/>
      <c r="J2159" s="7"/>
      <c r="K2159" s="74"/>
      <c r="L2159" s="74"/>
      <c r="N2159" s="7"/>
      <c r="O2159" s="74"/>
      <c r="P2159" s="74"/>
      <c r="R2159" s="7"/>
      <c r="S2159" s="7"/>
      <c r="T2159" s="66"/>
    </row>
    <row r="2160" spans="1:20" ht="13.2">
      <c r="A2160" s="7"/>
      <c r="B2160" s="7"/>
      <c r="C2160" s="74"/>
      <c r="D2160" s="74"/>
      <c r="F2160" s="7"/>
      <c r="G2160" s="74"/>
      <c r="H2160" s="74"/>
      <c r="J2160" s="7"/>
      <c r="K2160" s="74"/>
      <c r="L2160" s="74"/>
      <c r="N2160" s="7"/>
      <c r="O2160" s="74"/>
      <c r="P2160" s="74"/>
      <c r="R2160" s="7"/>
      <c r="S2160" s="7"/>
      <c r="T2160" s="66"/>
    </row>
    <row r="2161" spans="1:20" ht="13.2">
      <c r="A2161" s="7"/>
      <c r="B2161" s="7"/>
      <c r="C2161" s="74"/>
      <c r="D2161" s="74"/>
      <c r="F2161" s="7"/>
      <c r="G2161" s="74"/>
      <c r="H2161" s="74"/>
      <c r="J2161" s="7"/>
      <c r="K2161" s="74"/>
      <c r="L2161" s="74"/>
      <c r="N2161" s="7"/>
      <c r="O2161" s="74"/>
      <c r="P2161" s="74"/>
      <c r="R2161" s="7"/>
      <c r="S2161" s="7"/>
      <c r="T2161" s="66"/>
    </row>
    <row r="2162" spans="1:20" ht="13.2">
      <c r="A2162" s="7"/>
      <c r="B2162" s="7"/>
      <c r="C2162" s="74"/>
      <c r="D2162" s="74"/>
      <c r="F2162" s="7"/>
      <c r="G2162" s="74"/>
      <c r="H2162" s="74"/>
      <c r="J2162" s="7"/>
      <c r="K2162" s="74"/>
      <c r="L2162" s="74"/>
      <c r="N2162" s="7"/>
      <c r="O2162" s="74"/>
      <c r="P2162" s="74"/>
      <c r="R2162" s="7"/>
      <c r="S2162" s="7"/>
      <c r="T2162" s="66"/>
    </row>
    <row r="2163" spans="1:20" ht="13.2">
      <c r="A2163" s="7"/>
      <c r="B2163" s="7"/>
      <c r="C2163" s="74"/>
      <c r="D2163" s="74"/>
      <c r="F2163" s="7"/>
      <c r="G2163" s="74"/>
      <c r="H2163" s="74"/>
      <c r="J2163" s="7"/>
      <c r="K2163" s="74"/>
      <c r="L2163" s="74"/>
      <c r="N2163" s="7"/>
      <c r="O2163" s="74"/>
      <c r="P2163" s="74"/>
      <c r="R2163" s="7"/>
      <c r="S2163" s="7"/>
      <c r="T2163" s="66"/>
    </row>
    <row r="2164" spans="1:20" ht="13.2">
      <c r="A2164" s="7"/>
      <c r="B2164" s="7"/>
      <c r="C2164" s="74"/>
      <c r="D2164" s="74"/>
      <c r="F2164" s="7"/>
      <c r="G2164" s="74"/>
      <c r="H2164" s="74"/>
      <c r="J2164" s="7"/>
      <c r="K2164" s="74"/>
      <c r="L2164" s="74"/>
      <c r="N2164" s="7"/>
      <c r="O2164" s="74"/>
      <c r="P2164" s="74"/>
      <c r="R2164" s="7"/>
      <c r="S2164" s="7"/>
      <c r="T2164" s="66"/>
    </row>
    <row r="2165" spans="1:20" ht="13.2">
      <c r="A2165" s="7"/>
      <c r="B2165" s="7"/>
      <c r="C2165" s="74"/>
      <c r="D2165" s="74"/>
      <c r="F2165" s="7"/>
      <c r="G2165" s="74"/>
      <c r="H2165" s="74"/>
      <c r="J2165" s="7"/>
      <c r="K2165" s="74"/>
      <c r="L2165" s="74"/>
      <c r="N2165" s="7"/>
      <c r="O2165" s="74"/>
      <c r="P2165" s="74"/>
      <c r="R2165" s="7"/>
      <c r="S2165" s="7"/>
      <c r="T2165" s="66"/>
    </row>
    <row r="2166" spans="1:20" ht="13.2">
      <c r="A2166" s="7"/>
      <c r="B2166" s="7"/>
      <c r="C2166" s="74"/>
      <c r="D2166" s="74"/>
      <c r="F2166" s="7"/>
      <c r="G2166" s="74"/>
      <c r="H2166" s="74"/>
      <c r="J2166" s="7"/>
      <c r="K2166" s="74"/>
      <c r="L2166" s="74"/>
      <c r="N2166" s="7"/>
      <c r="O2166" s="74"/>
      <c r="P2166" s="74"/>
      <c r="R2166" s="7"/>
      <c r="S2166" s="7"/>
      <c r="T2166" s="66"/>
    </row>
    <row r="2167" spans="1:20" ht="13.2">
      <c r="A2167" s="7"/>
      <c r="B2167" s="7"/>
      <c r="C2167" s="74"/>
      <c r="D2167" s="74"/>
      <c r="F2167" s="7"/>
      <c r="G2167" s="74"/>
      <c r="H2167" s="74"/>
      <c r="J2167" s="7"/>
      <c r="K2167" s="74"/>
      <c r="L2167" s="74"/>
      <c r="N2167" s="7"/>
      <c r="O2167" s="74"/>
      <c r="P2167" s="74"/>
      <c r="R2167" s="7"/>
      <c r="S2167" s="7"/>
      <c r="T2167" s="66"/>
    </row>
    <row r="2168" spans="1:20" ht="13.2">
      <c r="A2168" s="7"/>
      <c r="B2168" s="7"/>
      <c r="C2168" s="74"/>
      <c r="D2168" s="74"/>
      <c r="F2168" s="7"/>
      <c r="G2168" s="74"/>
      <c r="H2168" s="74"/>
      <c r="J2168" s="7"/>
      <c r="K2168" s="74"/>
      <c r="L2168" s="74"/>
      <c r="N2168" s="7"/>
      <c r="O2168" s="74"/>
      <c r="P2168" s="74"/>
      <c r="R2168" s="7"/>
      <c r="S2168" s="7"/>
      <c r="T2168" s="66"/>
    </row>
    <row r="2169" spans="1:20" ht="13.2">
      <c r="A2169" s="7"/>
      <c r="B2169" s="7"/>
      <c r="C2169" s="74"/>
      <c r="D2169" s="74"/>
      <c r="F2169" s="7"/>
      <c r="G2169" s="74"/>
      <c r="H2169" s="74"/>
      <c r="J2169" s="7"/>
      <c r="K2169" s="74"/>
      <c r="L2169" s="74"/>
      <c r="N2169" s="7"/>
      <c r="O2169" s="74"/>
      <c r="P2169" s="74"/>
      <c r="R2169" s="7"/>
      <c r="S2169" s="7"/>
      <c r="T2169" s="66"/>
    </row>
    <row r="2170" spans="1:20" ht="13.2">
      <c r="A2170" s="7"/>
      <c r="B2170" s="7"/>
      <c r="C2170" s="74"/>
      <c r="D2170" s="74"/>
      <c r="F2170" s="7"/>
      <c r="G2170" s="74"/>
      <c r="H2170" s="74"/>
      <c r="J2170" s="7"/>
      <c r="K2170" s="74"/>
      <c r="L2170" s="74"/>
      <c r="N2170" s="7"/>
      <c r="O2170" s="74"/>
      <c r="P2170" s="74"/>
      <c r="R2170" s="7"/>
      <c r="S2170" s="7"/>
      <c r="T2170" s="66"/>
    </row>
    <row r="2171" spans="1:20" ht="13.2">
      <c r="A2171" s="7"/>
      <c r="B2171" s="7"/>
      <c r="C2171" s="74"/>
      <c r="D2171" s="74"/>
      <c r="F2171" s="7"/>
      <c r="G2171" s="74"/>
      <c r="H2171" s="74"/>
      <c r="J2171" s="7"/>
      <c r="K2171" s="74"/>
      <c r="L2171" s="74"/>
      <c r="N2171" s="7"/>
      <c r="O2171" s="74"/>
      <c r="P2171" s="74"/>
      <c r="R2171" s="7"/>
      <c r="S2171" s="7"/>
      <c r="T2171" s="66"/>
    </row>
    <row r="2172" spans="1:20" ht="13.2">
      <c r="A2172" s="7"/>
      <c r="B2172" s="7"/>
      <c r="C2172" s="74"/>
      <c r="D2172" s="74"/>
      <c r="F2172" s="7"/>
      <c r="G2172" s="74"/>
      <c r="H2172" s="74"/>
      <c r="J2172" s="7"/>
      <c r="K2172" s="74"/>
      <c r="L2172" s="74"/>
      <c r="N2172" s="7"/>
      <c r="O2172" s="74"/>
      <c r="P2172" s="74"/>
      <c r="R2172" s="7"/>
      <c r="S2172" s="7"/>
      <c r="T2172" s="66"/>
    </row>
    <row r="2173" spans="1:20" ht="13.2">
      <c r="A2173" s="7"/>
      <c r="B2173" s="7"/>
      <c r="C2173" s="74"/>
      <c r="D2173" s="74"/>
      <c r="F2173" s="7"/>
      <c r="G2173" s="74"/>
      <c r="H2173" s="74"/>
      <c r="J2173" s="7"/>
      <c r="K2173" s="74"/>
      <c r="L2173" s="74"/>
      <c r="N2173" s="7"/>
      <c r="O2173" s="74"/>
      <c r="P2173" s="74"/>
      <c r="R2173" s="7"/>
      <c r="S2173" s="7"/>
      <c r="T2173" s="66"/>
    </row>
    <row r="2174" spans="1:20" ht="13.2">
      <c r="A2174" s="7"/>
      <c r="B2174" s="7"/>
      <c r="C2174" s="74"/>
      <c r="D2174" s="74"/>
      <c r="F2174" s="7"/>
      <c r="G2174" s="74"/>
      <c r="H2174" s="74"/>
      <c r="J2174" s="7"/>
      <c r="K2174" s="74"/>
      <c r="L2174" s="74"/>
      <c r="N2174" s="7"/>
      <c r="O2174" s="74"/>
      <c r="P2174" s="74"/>
      <c r="R2174" s="7"/>
      <c r="S2174" s="7"/>
      <c r="T2174" s="66"/>
    </row>
    <row r="2175" spans="1:20" ht="13.2">
      <c r="A2175" s="7"/>
      <c r="B2175" s="7"/>
      <c r="C2175" s="74"/>
      <c r="D2175" s="74"/>
      <c r="F2175" s="7"/>
      <c r="G2175" s="74"/>
      <c r="H2175" s="74"/>
      <c r="J2175" s="7"/>
      <c r="K2175" s="74"/>
      <c r="L2175" s="74"/>
      <c r="N2175" s="7"/>
      <c r="O2175" s="74"/>
      <c r="P2175" s="74"/>
      <c r="R2175" s="7"/>
      <c r="S2175" s="7"/>
      <c r="T2175" s="66"/>
    </row>
    <row r="2176" spans="1:20" ht="13.2">
      <c r="A2176" s="7"/>
      <c r="B2176" s="7"/>
      <c r="C2176" s="74"/>
      <c r="D2176" s="74"/>
      <c r="F2176" s="7"/>
      <c r="G2176" s="74"/>
      <c r="H2176" s="74"/>
      <c r="J2176" s="7"/>
      <c r="K2176" s="74"/>
      <c r="L2176" s="74"/>
      <c r="N2176" s="7"/>
      <c r="O2176" s="74"/>
      <c r="P2176" s="74"/>
      <c r="R2176" s="7"/>
      <c r="S2176" s="7"/>
      <c r="T2176" s="66"/>
    </row>
    <row r="2177" spans="1:20" ht="13.2">
      <c r="A2177" s="7"/>
      <c r="B2177" s="7"/>
      <c r="C2177" s="74"/>
      <c r="D2177" s="74"/>
      <c r="F2177" s="7"/>
      <c r="G2177" s="74"/>
      <c r="H2177" s="74"/>
      <c r="J2177" s="7"/>
      <c r="K2177" s="74"/>
      <c r="L2177" s="74"/>
      <c r="N2177" s="7"/>
      <c r="O2177" s="74"/>
      <c r="P2177" s="74"/>
      <c r="R2177" s="7"/>
      <c r="S2177" s="7"/>
      <c r="T2177" s="66"/>
    </row>
    <row r="2178" spans="1:20" ht="13.2">
      <c r="A2178" s="7"/>
      <c r="B2178" s="7"/>
      <c r="C2178" s="74"/>
      <c r="D2178" s="74"/>
      <c r="F2178" s="7"/>
      <c r="G2178" s="74"/>
      <c r="H2178" s="74"/>
      <c r="J2178" s="7"/>
      <c r="K2178" s="74"/>
      <c r="L2178" s="74"/>
      <c r="N2178" s="7"/>
      <c r="O2178" s="74"/>
      <c r="P2178" s="74"/>
      <c r="R2178" s="7"/>
      <c r="S2178" s="7"/>
      <c r="T2178" s="66"/>
    </row>
    <row r="2179" spans="1:20" ht="13.2">
      <c r="A2179" s="7"/>
      <c r="B2179" s="7"/>
      <c r="C2179" s="74"/>
      <c r="D2179" s="74"/>
      <c r="F2179" s="7"/>
      <c r="G2179" s="74"/>
      <c r="H2179" s="74"/>
      <c r="J2179" s="7"/>
      <c r="K2179" s="74"/>
      <c r="L2179" s="74"/>
      <c r="N2179" s="7"/>
      <c r="O2179" s="74"/>
      <c r="P2179" s="74"/>
      <c r="R2179" s="7"/>
      <c r="S2179" s="7"/>
      <c r="T2179" s="66"/>
    </row>
    <row r="2180" spans="1:20" ht="13.2">
      <c r="A2180" s="7"/>
      <c r="B2180" s="7"/>
      <c r="C2180" s="74"/>
      <c r="D2180" s="74"/>
      <c r="F2180" s="7"/>
      <c r="G2180" s="74"/>
      <c r="H2180" s="74"/>
      <c r="J2180" s="7"/>
      <c r="K2180" s="74"/>
      <c r="L2180" s="74"/>
      <c r="N2180" s="7"/>
      <c r="O2180" s="74"/>
      <c r="P2180" s="74"/>
      <c r="R2180" s="7"/>
      <c r="S2180" s="7"/>
      <c r="T2180" s="66"/>
    </row>
    <row r="2181" spans="1:20" ht="13.2">
      <c r="A2181" s="7"/>
      <c r="B2181" s="7"/>
      <c r="C2181" s="74"/>
      <c r="D2181" s="74"/>
      <c r="F2181" s="7"/>
      <c r="G2181" s="74"/>
      <c r="H2181" s="74"/>
      <c r="J2181" s="7"/>
      <c r="K2181" s="74"/>
      <c r="L2181" s="74"/>
      <c r="N2181" s="7"/>
      <c r="O2181" s="74"/>
      <c r="P2181" s="74"/>
      <c r="R2181" s="7"/>
      <c r="S2181" s="7"/>
      <c r="T2181" s="66"/>
    </row>
    <row r="2182" spans="1:20" ht="13.2">
      <c r="A2182" s="7"/>
      <c r="B2182" s="7"/>
      <c r="C2182" s="74"/>
      <c r="D2182" s="74"/>
      <c r="F2182" s="7"/>
      <c r="G2182" s="74"/>
      <c r="H2182" s="74"/>
      <c r="J2182" s="7"/>
      <c r="K2182" s="74"/>
      <c r="L2182" s="74"/>
      <c r="N2182" s="7"/>
      <c r="O2182" s="74"/>
      <c r="P2182" s="74"/>
      <c r="R2182" s="7"/>
      <c r="S2182" s="7"/>
      <c r="T2182" s="66"/>
    </row>
    <row r="2183" spans="1:20" ht="13.2">
      <c r="A2183" s="7"/>
      <c r="B2183" s="7"/>
      <c r="C2183" s="74"/>
      <c r="D2183" s="74"/>
      <c r="F2183" s="7"/>
      <c r="G2183" s="74"/>
      <c r="H2183" s="74"/>
      <c r="J2183" s="7"/>
      <c r="K2183" s="74"/>
      <c r="L2183" s="74"/>
      <c r="N2183" s="7"/>
      <c r="O2183" s="74"/>
      <c r="P2183" s="74"/>
      <c r="R2183" s="7"/>
      <c r="S2183" s="7"/>
      <c r="T2183" s="66"/>
    </row>
    <row r="2184" spans="1:20" ht="13.2">
      <c r="A2184" s="7"/>
      <c r="B2184" s="7"/>
      <c r="C2184" s="74"/>
      <c r="D2184" s="74"/>
      <c r="F2184" s="7"/>
      <c r="G2184" s="74"/>
      <c r="H2184" s="74"/>
      <c r="J2184" s="7"/>
      <c r="K2184" s="74"/>
      <c r="L2184" s="74"/>
      <c r="N2184" s="7"/>
      <c r="O2184" s="74"/>
      <c r="P2184" s="74"/>
      <c r="R2184" s="7"/>
      <c r="S2184" s="7"/>
      <c r="T2184" s="66"/>
    </row>
    <row r="2185" spans="1:20" ht="13.2">
      <c r="A2185" s="7"/>
      <c r="B2185" s="7"/>
      <c r="C2185" s="74"/>
      <c r="D2185" s="74"/>
      <c r="F2185" s="7"/>
      <c r="G2185" s="74"/>
      <c r="H2185" s="74"/>
      <c r="J2185" s="7"/>
      <c r="K2185" s="74"/>
      <c r="L2185" s="74"/>
      <c r="N2185" s="7"/>
      <c r="O2185" s="74"/>
      <c r="P2185" s="74"/>
      <c r="R2185" s="7"/>
      <c r="S2185" s="7"/>
      <c r="T2185" s="66"/>
    </row>
    <row r="2186" spans="1:20" ht="13.2">
      <c r="A2186" s="7"/>
      <c r="B2186" s="7"/>
      <c r="C2186" s="74"/>
      <c r="D2186" s="74"/>
      <c r="F2186" s="7"/>
      <c r="G2186" s="74"/>
      <c r="H2186" s="74"/>
      <c r="J2186" s="7"/>
      <c r="K2186" s="74"/>
      <c r="L2186" s="74"/>
      <c r="N2186" s="7"/>
      <c r="O2186" s="74"/>
      <c r="P2186" s="74"/>
      <c r="R2186" s="7"/>
      <c r="S2186" s="7"/>
      <c r="T2186" s="66"/>
    </row>
    <row r="2187" spans="1:20" ht="13.2">
      <c r="A2187" s="7"/>
      <c r="B2187" s="7"/>
      <c r="C2187" s="74"/>
      <c r="D2187" s="74"/>
      <c r="F2187" s="7"/>
      <c r="G2187" s="74"/>
      <c r="H2187" s="74"/>
      <c r="J2187" s="7"/>
      <c r="K2187" s="74"/>
      <c r="L2187" s="74"/>
      <c r="N2187" s="7"/>
      <c r="O2187" s="74"/>
      <c r="P2187" s="74"/>
      <c r="R2187" s="7"/>
      <c r="S2187" s="7"/>
      <c r="T2187" s="66"/>
    </row>
    <row r="2188" spans="1:20" ht="13.2">
      <c r="A2188" s="7"/>
      <c r="B2188" s="7"/>
      <c r="C2188" s="74"/>
      <c r="D2188" s="74"/>
      <c r="F2188" s="7"/>
      <c r="G2188" s="74"/>
      <c r="H2188" s="74"/>
      <c r="J2188" s="7"/>
      <c r="K2188" s="74"/>
      <c r="L2188" s="74"/>
      <c r="N2188" s="7"/>
      <c r="O2188" s="74"/>
      <c r="P2188" s="74"/>
      <c r="R2188" s="7"/>
      <c r="S2188" s="7"/>
      <c r="T2188" s="66"/>
    </row>
    <row r="2189" spans="1:20" ht="13.2">
      <c r="A2189" s="7"/>
      <c r="B2189" s="7"/>
      <c r="C2189" s="74"/>
      <c r="D2189" s="74"/>
      <c r="F2189" s="7"/>
      <c r="G2189" s="74"/>
      <c r="H2189" s="74"/>
      <c r="J2189" s="7"/>
      <c r="K2189" s="74"/>
      <c r="L2189" s="74"/>
      <c r="N2189" s="7"/>
      <c r="O2189" s="74"/>
      <c r="P2189" s="74"/>
      <c r="R2189" s="7"/>
      <c r="S2189" s="7"/>
      <c r="T2189" s="66"/>
    </row>
    <row r="2190" spans="1:20" ht="13.2">
      <c r="A2190" s="7"/>
      <c r="B2190" s="7"/>
      <c r="C2190" s="74"/>
      <c r="D2190" s="74"/>
      <c r="F2190" s="7"/>
      <c r="G2190" s="74"/>
      <c r="H2190" s="74"/>
      <c r="J2190" s="7"/>
      <c r="K2190" s="74"/>
      <c r="L2190" s="74"/>
      <c r="N2190" s="7"/>
      <c r="O2190" s="74"/>
      <c r="P2190" s="74"/>
      <c r="R2190" s="7"/>
      <c r="S2190" s="7"/>
      <c r="T2190" s="66"/>
    </row>
    <row r="2191" spans="1:20" ht="13.2">
      <c r="A2191" s="7"/>
      <c r="B2191" s="7"/>
      <c r="C2191" s="74"/>
      <c r="D2191" s="74"/>
      <c r="F2191" s="7"/>
      <c r="G2191" s="74"/>
      <c r="H2191" s="74"/>
      <c r="J2191" s="7"/>
      <c r="K2191" s="74"/>
      <c r="L2191" s="74"/>
      <c r="N2191" s="7"/>
      <c r="O2191" s="74"/>
      <c r="P2191" s="74"/>
      <c r="R2191" s="7"/>
      <c r="S2191" s="7"/>
      <c r="T2191" s="66"/>
    </row>
    <row r="2192" spans="1:20" ht="13.2">
      <c r="A2192" s="7"/>
      <c r="B2192" s="7"/>
      <c r="C2192" s="74"/>
      <c r="D2192" s="74"/>
      <c r="F2192" s="7"/>
      <c r="G2192" s="74"/>
      <c r="H2192" s="74"/>
      <c r="J2192" s="7"/>
      <c r="K2192" s="74"/>
      <c r="L2192" s="74"/>
      <c r="N2192" s="7"/>
      <c r="O2192" s="74"/>
      <c r="P2192" s="74"/>
      <c r="R2192" s="7"/>
      <c r="S2192" s="7"/>
      <c r="T2192" s="66"/>
    </row>
    <row r="2193" spans="1:20" ht="13.2">
      <c r="A2193" s="7"/>
      <c r="B2193" s="7"/>
      <c r="C2193" s="74"/>
      <c r="D2193" s="74"/>
      <c r="F2193" s="7"/>
      <c r="G2193" s="74"/>
      <c r="H2193" s="74"/>
      <c r="J2193" s="7"/>
      <c r="K2193" s="74"/>
      <c r="L2193" s="74"/>
      <c r="N2193" s="7"/>
      <c r="O2193" s="74"/>
      <c r="P2193" s="74"/>
      <c r="R2193" s="7"/>
      <c r="S2193" s="7"/>
      <c r="T2193" s="66"/>
    </row>
    <row r="2194" spans="1:20" ht="13.2">
      <c r="A2194" s="7"/>
      <c r="B2194" s="7"/>
      <c r="C2194" s="74"/>
      <c r="D2194" s="74"/>
      <c r="F2194" s="7"/>
      <c r="G2194" s="74"/>
      <c r="H2194" s="74"/>
      <c r="J2194" s="7"/>
      <c r="K2194" s="74"/>
      <c r="L2194" s="74"/>
      <c r="N2194" s="7"/>
      <c r="O2194" s="74"/>
      <c r="P2194" s="74"/>
      <c r="R2194" s="7"/>
      <c r="S2194" s="7"/>
      <c r="T2194" s="66"/>
    </row>
    <row r="2195" spans="1:20" ht="13.2">
      <c r="A2195" s="7"/>
      <c r="B2195" s="7"/>
      <c r="C2195" s="74"/>
      <c r="D2195" s="74"/>
      <c r="F2195" s="7"/>
      <c r="G2195" s="74"/>
      <c r="H2195" s="74"/>
      <c r="J2195" s="7"/>
      <c r="K2195" s="74"/>
      <c r="L2195" s="74"/>
      <c r="N2195" s="7"/>
      <c r="O2195" s="74"/>
      <c r="P2195" s="74"/>
      <c r="R2195" s="7"/>
      <c r="S2195" s="7"/>
      <c r="T2195" s="66"/>
    </row>
    <row r="2196" spans="1:20" ht="13.2">
      <c r="A2196" s="7"/>
      <c r="B2196" s="7"/>
      <c r="C2196" s="74"/>
      <c r="D2196" s="74"/>
      <c r="F2196" s="7"/>
      <c r="G2196" s="74"/>
      <c r="H2196" s="74"/>
      <c r="J2196" s="7"/>
      <c r="K2196" s="74"/>
      <c r="L2196" s="74"/>
      <c r="N2196" s="7"/>
      <c r="O2196" s="74"/>
      <c r="P2196" s="74"/>
      <c r="R2196" s="7"/>
      <c r="S2196" s="7"/>
      <c r="T2196" s="66"/>
    </row>
    <row r="2197" spans="1:20" ht="13.2">
      <c r="A2197" s="7"/>
      <c r="B2197" s="7"/>
      <c r="C2197" s="74"/>
      <c r="D2197" s="74"/>
      <c r="F2197" s="7"/>
      <c r="G2197" s="74"/>
      <c r="H2197" s="74"/>
      <c r="J2197" s="7"/>
      <c r="K2197" s="74"/>
      <c r="L2197" s="74"/>
      <c r="N2197" s="7"/>
      <c r="O2197" s="74"/>
      <c r="P2197" s="74"/>
      <c r="R2197" s="7"/>
      <c r="S2197" s="7"/>
      <c r="T2197" s="66"/>
    </row>
    <row r="2198" spans="1:20" ht="13.2">
      <c r="A2198" s="7"/>
      <c r="B2198" s="7"/>
      <c r="C2198" s="74"/>
      <c r="D2198" s="74"/>
      <c r="F2198" s="7"/>
      <c r="G2198" s="74"/>
      <c r="H2198" s="74"/>
      <c r="J2198" s="7"/>
      <c r="K2198" s="74"/>
      <c r="L2198" s="74"/>
      <c r="N2198" s="7"/>
      <c r="O2198" s="74"/>
      <c r="P2198" s="74"/>
      <c r="R2198" s="7"/>
      <c r="S2198" s="7"/>
      <c r="T2198" s="66"/>
    </row>
    <row r="2199" spans="1:20" ht="13.2">
      <c r="A2199" s="7"/>
      <c r="B2199" s="7"/>
      <c r="C2199" s="74"/>
      <c r="D2199" s="74"/>
      <c r="F2199" s="7"/>
      <c r="G2199" s="74"/>
      <c r="H2199" s="74"/>
      <c r="J2199" s="7"/>
      <c r="K2199" s="74"/>
      <c r="L2199" s="74"/>
      <c r="N2199" s="7"/>
      <c r="O2199" s="74"/>
      <c r="P2199" s="74"/>
      <c r="R2199" s="7"/>
      <c r="S2199" s="7"/>
      <c r="T2199" s="66"/>
    </row>
    <row r="2200" spans="1:20" ht="13.2">
      <c r="A2200" s="7"/>
      <c r="B2200" s="7"/>
      <c r="C2200" s="74"/>
      <c r="D2200" s="74"/>
      <c r="F2200" s="7"/>
      <c r="G2200" s="74"/>
      <c r="H2200" s="74"/>
      <c r="J2200" s="7"/>
      <c r="K2200" s="74"/>
      <c r="L2200" s="74"/>
      <c r="N2200" s="7"/>
      <c r="O2200" s="74"/>
      <c r="P2200" s="74"/>
      <c r="R2200" s="7"/>
      <c r="S2200" s="7"/>
      <c r="T2200" s="66"/>
    </row>
    <row r="2201" spans="1:20" ht="13.2">
      <c r="A2201" s="7"/>
      <c r="B2201" s="7"/>
      <c r="C2201" s="74"/>
      <c r="D2201" s="74"/>
      <c r="F2201" s="7"/>
      <c r="G2201" s="74"/>
      <c r="H2201" s="74"/>
      <c r="J2201" s="7"/>
      <c r="K2201" s="74"/>
      <c r="L2201" s="74"/>
      <c r="N2201" s="7"/>
      <c r="O2201" s="74"/>
      <c r="P2201" s="74"/>
      <c r="R2201" s="7"/>
      <c r="S2201" s="7"/>
      <c r="T2201" s="66"/>
    </row>
    <row r="2202" spans="1:20" ht="13.2">
      <c r="A2202" s="7"/>
      <c r="B2202" s="7"/>
      <c r="C2202" s="74"/>
      <c r="D2202" s="74"/>
      <c r="F2202" s="7"/>
      <c r="G2202" s="74"/>
      <c r="H2202" s="74"/>
      <c r="J2202" s="7"/>
      <c r="K2202" s="74"/>
      <c r="L2202" s="74"/>
      <c r="N2202" s="7"/>
      <c r="O2202" s="74"/>
      <c r="P2202" s="74"/>
      <c r="R2202" s="7"/>
      <c r="S2202" s="7"/>
      <c r="T2202" s="66"/>
    </row>
    <row r="2203" spans="1:20" ht="13.2">
      <c r="A2203" s="7"/>
      <c r="B2203" s="7"/>
      <c r="C2203" s="74"/>
      <c r="D2203" s="74"/>
      <c r="F2203" s="7"/>
      <c r="G2203" s="74"/>
      <c r="H2203" s="74"/>
      <c r="J2203" s="7"/>
      <c r="K2203" s="74"/>
      <c r="L2203" s="74"/>
      <c r="N2203" s="7"/>
      <c r="O2203" s="74"/>
      <c r="P2203" s="74"/>
      <c r="R2203" s="7"/>
      <c r="S2203" s="7"/>
      <c r="T2203" s="66"/>
    </row>
    <row r="2204" spans="1:20" ht="13.2">
      <c r="A2204" s="7"/>
      <c r="B2204" s="7"/>
      <c r="C2204" s="74"/>
      <c r="D2204" s="74"/>
      <c r="F2204" s="7"/>
      <c r="G2204" s="74"/>
      <c r="H2204" s="74"/>
      <c r="J2204" s="7"/>
      <c r="K2204" s="74"/>
      <c r="L2204" s="74"/>
      <c r="N2204" s="7"/>
      <c r="O2204" s="74"/>
      <c r="P2204" s="74"/>
      <c r="R2204" s="7"/>
      <c r="S2204" s="7"/>
      <c r="T2204" s="66"/>
    </row>
    <row r="2205" spans="1:20" ht="13.2">
      <c r="A2205" s="7"/>
      <c r="B2205" s="7"/>
      <c r="C2205" s="74"/>
      <c r="D2205" s="74"/>
      <c r="F2205" s="7"/>
      <c r="G2205" s="74"/>
      <c r="H2205" s="74"/>
      <c r="J2205" s="7"/>
      <c r="K2205" s="74"/>
      <c r="L2205" s="74"/>
      <c r="N2205" s="7"/>
      <c r="O2205" s="74"/>
      <c r="P2205" s="74"/>
      <c r="R2205" s="7"/>
      <c r="S2205" s="7"/>
      <c r="T2205" s="66"/>
    </row>
    <row r="2206" spans="1:20" ht="13.2">
      <c r="A2206" s="7"/>
      <c r="B2206" s="7"/>
      <c r="C2206" s="74"/>
      <c r="D2206" s="74"/>
      <c r="F2206" s="7"/>
      <c r="G2206" s="74"/>
      <c r="H2206" s="74"/>
      <c r="J2206" s="7"/>
      <c r="K2206" s="74"/>
      <c r="L2206" s="74"/>
      <c r="N2206" s="7"/>
      <c r="O2206" s="74"/>
      <c r="P2206" s="74"/>
      <c r="R2206" s="7"/>
      <c r="S2206" s="7"/>
      <c r="T2206" s="66"/>
    </row>
    <row r="2207" spans="1:20" ht="13.2">
      <c r="A2207" s="7"/>
      <c r="B2207" s="7"/>
      <c r="C2207" s="74"/>
      <c r="D2207" s="74"/>
      <c r="F2207" s="7"/>
      <c r="G2207" s="74"/>
      <c r="H2207" s="74"/>
      <c r="J2207" s="7"/>
      <c r="K2207" s="74"/>
      <c r="L2207" s="74"/>
      <c r="N2207" s="7"/>
      <c r="O2207" s="74"/>
      <c r="P2207" s="74"/>
      <c r="R2207" s="7"/>
      <c r="S2207" s="7"/>
      <c r="T2207" s="66"/>
    </row>
    <row r="2208" spans="1:20" ht="13.2">
      <c r="A2208" s="7"/>
      <c r="B2208" s="7"/>
      <c r="C2208" s="74"/>
      <c r="D2208" s="74"/>
      <c r="F2208" s="7"/>
      <c r="G2208" s="74"/>
      <c r="H2208" s="74"/>
      <c r="J2208" s="7"/>
      <c r="K2208" s="74"/>
      <c r="L2208" s="74"/>
      <c r="N2208" s="7"/>
      <c r="O2208" s="74"/>
      <c r="P2208" s="74"/>
      <c r="R2208" s="7"/>
      <c r="S2208" s="7"/>
      <c r="T2208" s="66"/>
    </row>
    <row r="2209" spans="1:20" ht="13.2">
      <c r="A2209" s="7"/>
      <c r="B2209" s="7"/>
      <c r="C2209" s="74"/>
      <c r="D2209" s="74"/>
      <c r="F2209" s="7"/>
      <c r="G2209" s="74"/>
      <c r="H2209" s="74"/>
      <c r="J2209" s="7"/>
      <c r="K2209" s="74"/>
      <c r="L2209" s="74"/>
      <c r="N2209" s="7"/>
      <c r="O2209" s="74"/>
      <c r="P2209" s="74"/>
      <c r="R2209" s="7"/>
      <c r="S2209" s="7"/>
      <c r="T2209" s="66"/>
    </row>
    <row r="2210" spans="1:20" ht="13.2">
      <c r="A2210" s="7"/>
      <c r="B2210" s="7"/>
      <c r="C2210" s="74"/>
      <c r="D2210" s="74"/>
      <c r="F2210" s="7"/>
      <c r="G2210" s="74"/>
      <c r="H2210" s="74"/>
      <c r="J2210" s="7"/>
      <c r="K2210" s="74"/>
      <c r="L2210" s="74"/>
      <c r="N2210" s="7"/>
      <c r="O2210" s="74"/>
      <c r="P2210" s="74"/>
      <c r="R2210" s="7"/>
      <c r="S2210" s="7"/>
      <c r="T2210" s="66"/>
    </row>
    <row r="2211" spans="1:20" ht="13.2">
      <c r="A2211" s="7"/>
      <c r="B2211" s="7"/>
      <c r="C2211" s="74"/>
      <c r="D2211" s="74"/>
      <c r="F2211" s="7"/>
      <c r="G2211" s="74"/>
      <c r="H2211" s="74"/>
      <c r="J2211" s="7"/>
      <c r="K2211" s="74"/>
      <c r="L2211" s="74"/>
      <c r="N2211" s="7"/>
      <c r="O2211" s="74"/>
      <c r="P2211" s="74"/>
      <c r="R2211" s="7"/>
      <c r="S2211" s="7"/>
      <c r="T2211" s="66"/>
    </row>
    <row r="2212" spans="1:20" ht="13.2">
      <c r="A2212" s="7"/>
      <c r="B2212" s="7"/>
      <c r="C2212" s="74"/>
      <c r="D2212" s="74"/>
      <c r="F2212" s="7"/>
      <c r="G2212" s="74"/>
      <c r="H2212" s="74"/>
      <c r="J2212" s="7"/>
      <c r="K2212" s="74"/>
      <c r="L2212" s="74"/>
      <c r="N2212" s="7"/>
      <c r="O2212" s="74"/>
      <c r="P2212" s="74"/>
      <c r="R2212" s="7"/>
      <c r="S2212" s="7"/>
      <c r="T2212" s="66"/>
    </row>
    <row r="2213" spans="1:20" ht="13.2">
      <c r="A2213" s="7"/>
      <c r="B2213" s="7"/>
      <c r="C2213" s="74"/>
      <c r="D2213" s="74"/>
      <c r="F2213" s="7"/>
      <c r="G2213" s="74"/>
      <c r="H2213" s="74"/>
      <c r="J2213" s="7"/>
      <c r="K2213" s="74"/>
      <c r="L2213" s="74"/>
      <c r="N2213" s="7"/>
      <c r="O2213" s="74"/>
      <c r="P2213" s="74"/>
      <c r="R2213" s="7"/>
      <c r="S2213" s="7"/>
      <c r="T2213" s="66"/>
    </row>
    <row r="2214" spans="1:20" ht="13.2">
      <c r="A2214" s="7"/>
      <c r="B2214" s="7"/>
      <c r="C2214" s="74"/>
      <c r="D2214" s="74"/>
      <c r="F2214" s="7"/>
      <c r="G2214" s="74"/>
      <c r="H2214" s="74"/>
      <c r="J2214" s="7"/>
      <c r="K2214" s="74"/>
      <c r="L2214" s="74"/>
      <c r="N2214" s="7"/>
      <c r="O2214" s="74"/>
      <c r="P2214" s="74"/>
      <c r="R2214" s="7"/>
      <c r="S2214" s="7"/>
      <c r="T2214" s="66"/>
    </row>
    <row r="2215" spans="1:20" ht="13.2">
      <c r="A2215" s="7"/>
      <c r="B2215" s="7"/>
      <c r="C2215" s="74"/>
      <c r="D2215" s="74"/>
      <c r="F2215" s="7"/>
      <c r="G2215" s="74"/>
      <c r="H2215" s="74"/>
      <c r="J2215" s="7"/>
      <c r="K2215" s="74"/>
      <c r="L2215" s="74"/>
      <c r="N2215" s="7"/>
      <c r="O2215" s="74"/>
      <c r="P2215" s="74"/>
      <c r="R2215" s="7"/>
      <c r="S2215" s="7"/>
      <c r="T2215" s="66"/>
    </row>
    <row r="2216" spans="1:20" ht="13.2">
      <c r="A2216" s="7"/>
      <c r="B2216" s="7"/>
      <c r="C2216" s="74"/>
      <c r="D2216" s="74"/>
      <c r="F2216" s="7"/>
      <c r="G2216" s="74"/>
      <c r="H2216" s="74"/>
      <c r="J2216" s="7"/>
      <c r="K2216" s="74"/>
      <c r="L2216" s="74"/>
      <c r="N2216" s="7"/>
      <c r="O2216" s="74"/>
      <c r="P2216" s="74"/>
      <c r="R2216" s="7"/>
      <c r="S2216" s="7"/>
      <c r="T2216" s="66"/>
    </row>
    <row r="2217" spans="1:20" ht="13.2">
      <c r="A2217" s="7"/>
      <c r="B2217" s="7"/>
      <c r="C2217" s="74"/>
      <c r="D2217" s="74"/>
      <c r="F2217" s="7"/>
      <c r="G2217" s="74"/>
      <c r="H2217" s="74"/>
      <c r="J2217" s="7"/>
      <c r="K2217" s="74"/>
      <c r="L2217" s="74"/>
      <c r="N2217" s="7"/>
      <c r="O2217" s="74"/>
      <c r="P2217" s="74"/>
      <c r="R2217" s="7"/>
      <c r="S2217" s="7"/>
      <c r="T2217" s="66"/>
    </row>
    <row r="2218" spans="1:20" ht="13.2">
      <c r="A2218" s="7"/>
      <c r="B2218" s="7"/>
      <c r="C2218" s="74"/>
      <c r="D2218" s="74"/>
      <c r="F2218" s="7"/>
      <c r="G2218" s="74"/>
      <c r="H2218" s="74"/>
      <c r="J2218" s="7"/>
      <c r="K2218" s="74"/>
      <c r="L2218" s="74"/>
      <c r="N2218" s="7"/>
      <c r="O2218" s="74"/>
      <c r="P2218" s="74"/>
      <c r="R2218" s="7"/>
      <c r="S2218" s="7"/>
      <c r="T2218" s="66"/>
    </row>
    <row r="2219" spans="1:20" ht="13.2">
      <c r="A2219" s="7"/>
      <c r="B2219" s="7"/>
      <c r="C2219" s="74"/>
      <c r="D2219" s="74"/>
      <c r="F2219" s="7"/>
      <c r="G2219" s="74"/>
      <c r="H2219" s="74"/>
      <c r="J2219" s="7"/>
      <c r="K2219" s="74"/>
      <c r="L2219" s="74"/>
      <c r="N2219" s="7"/>
      <c r="O2219" s="74"/>
      <c r="P2219" s="74"/>
      <c r="R2219" s="7"/>
      <c r="S2219" s="7"/>
      <c r="T2219" s="66"/>
    </row>
    <row r="2220" spans="1:20" ht="13.2">
      <c r="A2220" s="7"/>
      <c r="B2220" s="7"/>
      <c r="C2220" s="74"/>
      <c r="D2220" s="74"/>
      <c r="F2220" s="7"/>
      <c r="G2220" s="74"/>
      <c r="H2220" s="74"/>
      <c r="J2220" s="7"/>
      <c r="K2220" s="74"/>
      <c r="L2220" s="74"/>
      <c r="N2220" s="7"/>
      <c r="O2220" s="74"/>
      <c r="P2220" s="74"/>
      <c r="R2220" s="7"/>
      <c r="S2220" s="7"/>
      <c r="T2220" s="66"/>
    </row>
    <row r="2221" spans="1:20" ht="13.2">
      <c r="A2221" s="7"/>
      <c r="B2221" s="7"/>
      <c r="C2221" s="74"/>
      <c r="D2221" s="74"/>
      <c r="F2221" s="7"/>
      <c r="G2221" s="74"/>
      <c r="H2221" s="74"/>
      <c r="J2221" s="7"/>
      <c r="K2221" s="74"/>
      <c r="L2221" s="74"/>
      <c r="N2221" s="7"/>
      <c r="O2221" s="74"/>
      <c r="P2221" s="74"/>
      <c r="R2221" s="7"/>
      <c r="S2221" s="7"/>
      <c r="T2221" s="66"/>
    </row>
    <row r="2222" spans="1:20" ht="13.2">
      <c r="A2222" s="7"/>
      <c r="B2222" s="7"/>
      <c r="C2222" s="74"/>
      <c r="D2222" s="74"/>
      <c r="F2222" s="7"/>
      <c r="G2222" s="74"/>
      <c r="H2222" s="74"/>
      <c r="J2222" s="7"/>
      <c r="K2222" s="74"/>
      <c r="L2222" s="74"/>
      <c r="N2222" s="7"/>
      <c r="O2222" s="74"/>
      <c r="P2222" s="74"/>
      <c r="R2222" s="7"/>
      <c r="S2222" s="7"/>
      <c r="T2222" s="66"/>
    </row>
    <row r="2223" spans="1:20" ht="13.2">
      <c r="A2223" s="7"/>
      <c r="B2223" s="7"/>
      <c r="C2223" s="74"/>
      <c r="D2223" s="74"/>
      <c r="F2223" s="7"/>
      <c r="G2223" s="74"/>
      <c r="H2223" s="74"/>
      <c r="J2223" s="7"/>
      <c r="K2223" s="74"/>
      <c r="L2223" s="74"/>
      <c r="N2223" s="7"/>
      <c r="O2223" s="74"/>
      <c r="P2223" s="74"/>
      <c r="R2223" s="7"/>
      <c r="S2223" s="7"/>
      <c r="T2223" s="66"/>
    </row>
    <row r="2224" spans="1:20" ht="13.2">
      <c r="A2224" s="7"/>
      <c r="B2224" s="7"/>
      <c r="C2224" s="74"/>
      <c r="D2224" s="74"/>
      <c r="F2224" s="7"/>
      <c r="G2224" s="74"/>
      <c r="H2224" s="74"/>
      <c r="J2224" s="7"/>
      <c r="K2224" s="74"/>
      <c r="L2224" s="74"/>
      <c r="N2224" s="7"/>
      <c r="O2224" s="74"/>
      <c r="P2224" s="74"/>
      <c r="R2224" s="7"/>
      <c r="S2224" s="7"/>
      <c r="T2224" s="66"/>
    </row>
    <row r="2225" spans="1:20" ht="13.2">
      <c r="A2225" s="7"/>
      <c r="B2225" s="7"/>
      <c r="C2225" s="74"/>
      <c r="D2225" s="74"/>
      <c r="F2225" s="7"/>
      <c r="G2225" s="74"/>
      <c r="H2225" s="74"/>
      <c r="J2225" s="7"/>
      <c r="K2225" s="74"/>
      <c r="L2225" s="74"/>
      <c r="N2225" s="7"/>
      <c r="O2225" s="74"/>
      <c r="P2225" s="74"/>
      <c r="R2225" s="7"/>
      <c r="S2225" s="7"/>
      <c r="T2225" s="66"/>
    </row>
    <row r="2226" spans="1:20" ht="13.2">
      <c r="A2226" s="7"/>
      <c r="B2226" s="7"/>
      <c r="C2226" s="74"/>
      <c r="D2226" s="74"/>
      <c r="F2226" s="7"/>
      <c r="G2226" s="74"/>
      <c r="H2226" s="74"/>
      <c r="J2226" s="7"/>
      <c r="K2226" s="74"/>
      <c r="L2226" s="74"/>
      <c r="N2226" s="7"/>
      <c r="O2226" s="74"/>
      <c r="P2226" s="74"/>
      <c r="R2226" s="7"/>
      <c r="S2226" s="7"/>
      <c r="T2226" s="66"/>
    </row>
    <row r="2227" spans="1:20" ht="13.2">
      <c r="A2227" s="7"/>
      <c r="B2227" s="7"/>
      <c r="C2227" s="74"/>
      <c r="D2227" s="74"/>
      <c r="F2227" s="7"/>
      <c r="G2227" s="74"/>
      <c r="H2227" s="74"/>
      <c r="J2227" s="7"/>
      <c r="K2227" s="74"/>
      <c r="L2227" s="74"/>
      <c r="N2227" s="7"/>
      <c r="O2227" s="74"/>
      <c r="P2227" s="74"/>
      <c r="R2227" s="7"/>
      <c r="S2227" s="7"/>
      <c r="T2227" s="66"/>
    </row>
    <row r="2228" spans="1:20" ht="13.2">
      <c r="A2228" s="7"/>
      <c r="B2228" s="7"/>
      <c r="C2228" s="74"/>
      <c r="D2228" s="74"/>
      <c r="F2228" s="7"/>
      <c r="G2228" s="74"/>
      <c r="H2228" s="74"/>
      <c r="J2228" s="7"/>
      <c r="K2228" s="74"/>
      <c r="L2228" s="74"/>
      <c r="N2228" s="7"/>
      <c r="O2228" s="74"/>
      <c r="P2228" s="74"/>
      <c r="R2228" s="7"/>
      <c r="S2228" s="7"/>
      <c r="T2228" s="66"/>
    </row>
    <row r="2229" spans="1:20" ht="13.2">
      <c r="A2229" s="7"/>
      <c r="B2229" s="7"/>
      <c r="C2229" s="74"/>
      <c r="D2229" s="74"/>
      <c r="F2229" s="7"/>
      <c r="G2229" s="74"/>
      <c r="H2229" s="74"/>
      <c r="J2229" s="7"/>
      <c r="K2229" s="74"/>
      <c r="L2229" s="74"/>
      <c r="N2229" s="7"/>
      <c r="O2229" s="74"/>
      <c r="P2229" s="74"/>
      <c r="R2229" s="7"/>
      <c r="S2229" s="7"/>
      <c r="T2229" s="66"/>
    </row>
    <row r="2230" spans="1:20" ht="13.2">
      <c r="A2230" s="7"/>
      <c r="B2230" s="7"/>
      <c r="C2230" s="74"/>
      <c r="D2230" s="74"/>
      <c r="F2230" s="7"/>
      <c r="G2230" s="74"/>
      <c r="H2230" s="74"/>
      <c r="J2230" s="7"/>
      <c r="K2230" s="74"/>
      <c r="L2230" s="74"/>
      <c r="N2230" s="7"/>
      <c r="O2230" s="74"/>
      <c r="P2230" s="74"/>
      <c r="R2230" s="7"/>
      <c r="S2230" s="7"/>
      <c r="T2230" s="66"/>
    </row>
    <row r="2231" spans="1:20" ht="13.2">
      <c r="A2231" s="7"/>
      <c r="B2231" s="7"/>
      <c r="C2231" s="74"/>
      <c r="D2231" s="74"/>
      <c r="F2231" s="7"/>
      <c r="G2231" s="74"/>
      <c r="H2231" s="74"/>
      <c r="J2231" s="7"/>
      <c r="K2231" s="74"/>
      <c r="L2231" s="74"/>
      <c r="N2231" s="7"/>
      <c r="O2231" s="74"/>
      <c r="P2231" s="74"/>
      <c r="R2231" s="7"/>
      <c r="S2231" s="7"/>
      <c r="T2231" s="66"/>
    </row>
    <row r="2232" spans="1:20" ht="13.2">
      <c r="A2232" s="7"/>
      <c r="B2232" s="7"/>
      <c r="C2232" s="74"/>
      <c r="D2232" s="74"/>
      <c r="F2232" s="7"/>
      <c r="G2232" s="74"/>
      <c r="H2232" s="74"/>
      <c r="J2232" s="7"/>
      <c r="K2232" s="74"/>
      <c r="L2232" s="74"/>
      <c r="N2232" s="7"/>
      <c r="O2232" s="74"/>
      <c r="P2232" s="74"/>
      <c r="R2232" s="7"/>
      <c r="S2232" s="7"/>
      <c r="T2232" s="66"/>
    </row>
    <row r="2233" spans="1:20" ht="13.2">
      <c r="A2233" s="7"/>
      <c r="B2233" s="7"/>
      <c r="C2233" s="74"/>
      <c r="D2233" s="74"/>
      <c r="F2233" s="7"/>
      <c r="G2233" s="74"/>
      <c r="H2233" s="74"/>
      <c r="J2233" s="7"/>
      <c r="K2233" s="74"/>
      <c r="L2233" s="74"/>
      <c r="N2233" s="7"/>
      <c r="O2233" s="74"/>
      <c r="P2233" s="74"/>
      <c r="R2233" s="7"/>
      <c r="S2233" s="7"/>
      <c r="T2233" s="66"/>
    </row>
    <row r="2234" spans="1:20" ht="13.2">
      <c r="A2234" s="7"/>
      <c r="B2234" s="7"/>
      <c r="C2234" s="74"/>
      <c r="D2234" s="74"/>
      <c r="F2234" s="7"/>
      <c r="G2234" s="74"/>
      <c r="H2234" s="74"/>
      <c r="J2234" s="7"/>
      <c r="K2234" s="74"/>
      <c r="L2234" s="74"/>
      <c r="N2234" s="7"/>
      <c r="O2234" s="74"/>
      <c r="P2234" s="74"/>
      <c r="R2234" s="7"/>
      <c r="S2234" s="7"/>
      <c r="T2234" s="66"/>
    </row>
    <row r="2235" spans="1:20" ht="13.2">
      <c r="A2235" s="7"/>
      <c r="B2235" s="7"/>
      <c r="C2235" s="74"/>
      <c r="D2235" s="74"/>
      <c r="F2235" s="7"/>
      <c r="G2235" s="74"/>
      <c r="H2235" s="74"/>
      <c r="J2235" s="7"/>
      <c r="K2235" s="74"/>
      <c r="L2235" s="74"/>
      <c r="N2235" s="7"/>
      <c r="O2235" s="74"/>
      <c r="P2235" s="74"/>
      <c r="R2235" s="7"/>
      <c r="S2235" s="7"/>
      <c r="T2235" s="66"/>
    </row>
    <row r="2236" spans="1:20" ht="13.2">
      <c r="A2236" s="7"/>
      <c r="B2236" s="7"/>
      <c r="C2236" s="74"/>
      <c r="D2236" s="74"/>
      <c r="F2236" s="7"/>
      <c r="G2236" s="74"/>
      <c r="H2236" s="74"/>
      <c r="J2236" s="7"/>
      <c r="K2236" s="74"/>
      <c r="L2236" s="74"/>
      <c r="N2236" s="7"/>
      <c r="O2236" s="74"/>
      <c r="P2236" s="74"/>
      <c r="R2236" s="7"/>
      <c r="S2236" s="7"/>
      <c r="T2236" s="66"/>
    </row>
    <row r="2237" spans="1:20" ht="13.2">
      <c r="A2237" s="7"/>
      <c r="B2237" s="7"/>
      <c r="C2237" s="74"/>
      <c r="D2237" s="74"/>
      <c r="F2237" s="7"/>
      <c r="G2237" s="74"/>
      <c r="H2237" s="74"/>
      <c r="J2237" s="7"/>
      <c r="K2237" s="74"/>
      <c r="L2237" s="74"/>
      <c r="N2237" s="7"/>
      <c r="O2237" s="74"/>
      <c r="P2237" s="74"/>
      <c r="R2237" s="7"/>
      <c r="S2237" s="7"/>
      <c r="T2237" s="66"/>
    </row>
    <row r="2238" spans="1:20" ht="13.2">
      <c r="A2238" s="7"/>
      <c r="B2238" s="7"/>
      <c r="C2238" s="74"/>
      <c r="D2238" s="74"/>
      <c r="F2238" s="7"/>
      <c r="G2238" s="74"/>
      <c r="H2238" s="74"/>
      <c r="J2238" s="7"/>
      <c r="K2238" s="74"/>
      <c r="L2238" s="74"/>
      <c r="N2238" s="7"/>
      <c r="O2238" s="74"/>
      <c r="P2238" s="74"/>
      <c r="R2238" s="7"/>
      <c r="S2238" s="7"/>
      <c r="T2238" s="66"/>
    </row>
    <row r="2239" spans="1:20" ht="13.2">
      <c r="A2239" s="7"/>
      <c r="B2239" s="7"/>
      <c r="C2239" s="74"/>
      <c r="D2239" s="74"/>
      <c r="F2239" s="7"/>
      <c r="G2239" s="74"/>
      <c r="H2239" s="74"/>
      <c r="J2239" s="7"/>
      <c r="K2239" s="74"/>
      <c r="L2239" s="74"/>
      <c r="N2239" s="7"/>
      <c r="O2239" s="74"/>
      <c r="P2239" s="74"/>
      <c r="R2239" s="7"/>
      <c r="S2239" s="7"/>
      <c r="T2239" s="66"/>
    </row>
    <row r="2240" spans="1:20" ht="13.2">
      <c r="A2240" s="7"/>
      <c r="B2240" s="7"/>
      <c r="C2240" s="74"/>
      <c r="D2240" s="74"/>
      <c r="F2240" s="7"/>
      <c r="G2240" s="74"/>
      <c r="H2240" s="74"/>
      <c r="J2240" s="7"/>
      <c r="K2240" s="74"/>
      <c r="L2240" s="74"/>
      <c r="N2240" s="7"/>
      <c r="O2240" s="74"/>
      <c r="P2240" s="74"/>
      <c r="R2240" s="7"/>
      <c r="S2240" s="7"/>
      <c r="T2240" s="66"/>
    </row>
    <row r="2241" spans="1:20" ht="13.2">
      <c r="A2241" s="7"/>
      <c r="B2241" s="7"/>
      <c r="C2241" s="74"/>
      <c r="D2241" s="74"/>
      <c r="F2241" s="7"/>
      <c r="G2241" s="74"/>
      <c r="H2241" s="74"/>
      <c r="J2241" s="7"/>
      <c r="K2241" s="74"/>
      <c r="L2241" s="74"/>
      <c r="N2241" s="7"/>
      <c r="O2241" s="74"/>
      <c r="P2241" s="74"/>
      <c r="R2241" s="7"/>
      <c r="S2241" s="7"/>
      <c r="T2241" s="66"/>
    </row>
    <row r="2242" spans="1:20" ht="13.2">
      <c r="A2242" s="7"/>
      <c r="B2242" s="7"/>
      <c r="C2242" s="74"/>
      <c r="D2242" s="74"/>
      <c r="F2242" s="7"/>
      <c r="G2242" s="74"/>
      <c r="H2242" s="74"/>
      <c r="J2242" s="7"/>
      <c r="K2242" s="74"/>
      <c r="L2242" s="74"/>
      <c r="N2242" s="7"/>
      <c r="O2242" s="74"/>
      <c r="P2242" s="74"/>
      <c r="R2242" s="7"/>
      <c r="S2242" s="7"/>
      <c r="T2242" s="66"/>
    </row>
    <row r="2243" spans="1:20" ht="13.2">
      <c r="A2243" s="7"/>
      <c r="B2243" s="7"/>
      <c r="C2243" s="74"/>
      <c r="D2243" s="74"/>
      <c r="F2243" s="7"/>
      <c r="G2243" s="74"/>
      <c r="H2243" s="74"/>
      <c r="J2243" s="7"/>
      <c r="K2243" s="74"/>
      <c r="L2243" s="74"/>
      <c r="N2243" s="7"/>
      <c r="O2243" s="74"/>
      <c r="P2243" s="74"/>
      <c r="R2243" s="7"/>
      <c r="S2243" s="7"/>
      <c r="T2243" s="66"/>
    </row>
    <row r="2244" spans="1:20" ht="13.2">
      <c r="A2244" s="7"/>
      <c r="B2244" s="7"/>
      <c r="C2244" s="74"/>
      <c r="D2244" s="74"/>
      <c r="F2244" s="7"/>
      <c r="G2244" s="74"/>
      <c r="H2244" s="74"/>
      <c r="J2244" s="7"/>
      <c r="K2244" s="74"/>
      <c r="L2244" s="74"/>
      <c r="N2244" s="7"/>
      <c r="O2244" s="74"/>
      <c r="P2244" s="74"/>
      <c r="R2244" s="7"/>
      <c r="S2244" s="7"/>
      <c r="T2244" s="66"/>
    </row>
    <row r="2245" spans="1:20" ht="13.2">
      <c r="A2245" s="7"/>
      <c r="B2245" s="7"/>
      <c r="C2245" s="74"/>
      <c r="D2245" s="74"/>
      <c r="F2245" s="7"/>
      <c r="G2245" s="74"/>
      <c r="H2245" s="74"/>
      <c r="J2245" s="7"/>
      <c r="K2245" s="74"/>
      <c r="L2245" s="74"/>
      <c r="N2245" s="7"/>
      <c r="O2245" s="74"/>
      <c r="P2245" s="74"/>
      <c r="R2245" s="7"/>
      <c r="S2245" s="7"/>
      <c r="T2245" s="66"/>
    </row>
    <row r="2246" spans="1:20" ht="13.2">
      <c r="A2246" s="7"/>
      <c r="B2246" s="7"/>
      <c r="C2246" s="74"/>
      <c r="D2246" s="74"/>
      <c r="F2246" s="7"/>
      <c r="G2246" s="74"/>
      <c r="H2246" s="74"/>
      <c r="J2246" s="7"/>
      <c r="K2246" s="74"/>
      <c r="L2246" s="74"/>
      <c r="N2246" s="7"/>
      <c r="O2246" s="74"/>
      <c r="P2246" s="74"/>
      <c r="R2246" s="7"/>
      <c r="S2246" s="7"/>
      <c r="T2246" s="66"/>
    </row>
    <row r="2247" spans="1:20" ht="13.2">
      <c r="A2247" s="7"/>
      <c r="B2247" s="7"/>
      <c r="C2247" s="74"/>
      <c r="D2247" s="74"/>
      <c r="F2247" s="7"/>
      <c r="G2247" s="74"/>
      <c r="H2247" s="74"/>
      <c r="J2247" s="7"/>
      <c r="K2247" s="74"/>
      <c r="L2247" s="74"/>
      <c r="N2247" s="7"/>
      <c r="O2247" s="74"/>
      <c r="P2247" s="74"/>
      <c r="R2247" s="7"/>
      <c r="S2247" s="7"/>
      <c r="T2247" s="66"/>
    </row>
    <row r="2248" spans="1:20" ht="13.2">
      <c r="A2248" s="7"/>
      <c r="B2248" s="7"/>
      <c r="C2248" s="74"/>
      <c r="D2248" s="74"/>
      <c r="F2248" s="7"/>
      <c r="G2248" s="74"/>
      <c r="H2248" s="74"/>
      <c r="J2248" s="7"/>
      <c r="K2248" s="74"/>
      <c r="L2248" s="74"/>
      <c r="N2248" s="7"/>
      <c r="O2248" s="74"/>
      <c r="P2248" s="74"/>
      <c r="R2248" s="7"/>
      <c r="S2248" s="7"/>
      <c r="T2248" s="66"/>
    </row>
    <row r="2249" spans="1:20" ht="13.2">
      <c r="A2249" s="7"/>
      <c r="B2249" s="7"/>
      <c r="C2249" s="74"/>
      <c r="D2249" s="74"/>
      <c r="F2249" s="7"/>
      <c r="G2249" s="74"/>
      <c r="H2249" s="74"/>
      <c r="J2249" s="7"/>
      <c r="K2249" s="74"/>
      <c r="L2249" s="74"/>
      <c r="N2249" s="7"/>
      <c r="O2249" s="74"/>
      <c r="P2249" s="74"/>
      <c r="R2249" s="7"/>
      <c r="S2249" s="7"/>
      <c r="T2249" s="66"/>
    </row>
    <row r="2250" spans="1:20" ht="13.2">
      <c r="A2250" s="7"/>
      <c r="B2250" s="7"/>
      <c r="C2250" s="74"/>
      <c r="D2250" s="74"/>
      <c r="F2250" s="7"/>
      <c r="G2250" s="74"/>
      <c r="H2250" s="74"/>
      <c r="J2250" s="7"/>
      <c r="K2250" s="74"/>
      <c r="L2250" s="74"/>
      <c r="N2250" s="7"/>
      <c r="O2250" s="74"/>
      <c r="P2250" s="74"/>
      <c r="R2250" s="7"/>
      <c r="S2250" s="7"/>
      <c r="T2250" s="66"/>
    </row>
    <row r="2251" spans="1:20" ht="13.2">
      <c r="A2251" s="7"/>
      <c r="B2251" s="7"/>
      <c r="C2251" s="74"/>
      <c r="D2251" s="74"/>
      <c r="F2251" s="7"/>
      <c r="G2251" s="74"/>
      <c r="H2251" s="74"/>
      <c r="J2251" s="7"/>
      <c r="K2251" s="74"/>
      <c r="L2251" s="74"/>
      <c r="N2251" s="7"/>
      <c r="O2251" s="74"/>
      <c r="P2251" s="74"/>
      <c r="R2251" s="7"/>
      <c r="S2251" s="7"/>
      <c r="T2251" s="66"/>
    </row>
    <row r="2252" spans="1:20" ht="13.2">
      <c r="A2252" s="7"/>
      <c r="B2252" s="7"/>
      <c r="C2252" s="74"/>
      <c r="D2252" s="74"/>
      <c r="F2252" s="7"/>
      <c r="G2252" s="74"/>
      <c r="H2252" s="74"/>
      <c r="J2252" s="7"/>
      <c r="K2252" s="74"/>
      <c r="L2252" s="74"/>
      <c r="N2252" s="7"/>
      <c r="O2252" s="74"/>
      <c r="P2252" s="74"/>
      <c r="R2252" s="7"/>
      <c r="S2252" s="7"/>
      <c r="T2252" s="66"/>
    </row>
    <row r="2253" spans="1:20" ht="13.2">
      <c r="A2253" s="7"/>
      <c r="B2253" s="7"/>
      <c r="C2253" s="74"/>
      <c r="D2253" s="74"/>
      <c r="F2253" s="7"/>
      <c r="G2253" s="74"/>
      <c r="H2253" s="74"/>
      <c r="J2253" s="7"/>
      <c r="K2253" s="74"/>
      <c r="L2253" s="74"/>
      <c r="N2253" s="7"/>
      <c r="O2253" s="74"/>
      <c r="P2253" s="74"/>
      <c r="R2253" s="7"/>
      <c r="S2253" s="7"/>
      <c r="T2253" s="66"/>
    </row>
    <row r="2254" spans="1:20" ht="13.2">
      <c r="A2254" s="7"/>
      <c r="B2254" s="7"/>
      <c r="C2254" s="74"/>
      <c r="D2254" s="74"/>
      <c r="F2254" s="7"/>
      <c r="G2254" s="74"/>
      <c r="H2254" s="74"/>
      <c r="J2254" s="7"/>
      <c r="K2254" s="74"/>
      <c r="L2254" s="74"/>
      <c r="N2254" s="7"/>
      <c r="O2254" s="74"/>
      <c r="P2254" s="74"/>
      <c r="R2254" s="7"/>
      <c r="S2254" s="7"/>
      <c r="T2254" s="66"/>
    </row>
    <row r="2255" spans="1:20" ht="13.2">
      <c r="A2255" s="7"/>
      <c r="B2255" s="7"/>
      <c r="C2255" s="74"/>
      <c r="D2255" s="74"/>
      <c r="F2255" s="7"/>
      <c r="G2255" s="74"/>
      <c r="H2255" s="74"/>
      <c r="J2255" s="7"/>
      <c r="K2255" s="74"/>
      <c r="L2255" s="74"/>
      <c r="N2255" s="7"/>
      <c r="O2255" s="74"/>
      <c r="P2255" s="74"/>
      <c r="R2255" s="7"/>
      <c r="S2255" s="7"/>
      <c r="T2255" s="66"/>
    </row>
    <row r="2256" spans="1:20" ht="13.2">
      <c r="A2256" s="7"/>
      <c r="B2256" s="7"/>
      <c r="C2256" s="74"/>
      <c r="D2256" s="74"/>
      <c r="F2256" s="7"/>
      <c r="G2256" s="74"/>
      <c r="H2256" s="74"/>
      <c r="J2256" s="7"/>
      <c r="K2256" s="74"/>
      <c r="L2256" s="74"/>
      <c r="N2256" s="7"/>
      <c r="O2256" s="74"/>
      <c r="P2256" s="74"/>
      <c r="R2256" s="7"/>
      <c r="S2256" s="7"/>
      <c r="T2256" s="66"/>
    </row>
    <row r="2257" spans="1:20" ht="13.2">
      <c r="A2257" s="7"/>
      <c r="B2257" s="7"/>
      <c r="C2257" s="74"/>
      <c r="D2257" s="74"/>
      <c r="F2257" s="7"/>
      <c r="G2257" s="74"/>
      <c r="H2257" s="74"/>
      <c r="J2257" s="7"/>
      <c r="K2257" s="74"/>
      <c r="L2257" s="74"/>
      <c r="N2257" s="7"/>
      <c r="O2257" s="74"/>
      <c r="P2257" s="74"/>
      <c r="R2257" s="7"/>
      <c r="S2257" s="7"/>
      <c r="T2257" s="66"/>
    </row>
    <row r="2258" spans="1:20" ht="13.2">
      <c r="A2258" s="7"/>
      <c r="B2258" s="7"/>
      <c r="C2258" s="74"/>
      <c r="D2258" s="74"/>
      <c r="F2258" s="7"/>
      <c r="G2258" s="74"/>
      <c r="H2258" s="74"/>
      <c r="J2258" s="7"/>
      <c r="K2258" s="74"/>
      <c r="L2258" s="74"/>
      <c r="N2258" s="7"/>
      <c r="O2258" s="74"/>
      <c r="P2258" s="74"/>
      <c r="R2258" s="7"/>
      <c r="S2258" s="7"/>
      <c r="T2258" s="66"/>
    </row>
    <row r="2259" spans="1:20" ht="13.2">
      <c r="A2259" s="7"/>
      <c r="B2259" s="7"/>
      <c r="C2259" s="74"/>
      <c r="D2259" s="74"/>
      <c r="F2259" s="7"/>
      <c r="G2259" s="74"/>
      <c r="H2259" s="74"/>
      <c r="J2259" s="7"/>
      <c r="K2259" s="74"/>
      <c r="L2259" s="74"/>
      <c r="N2259" s="7"/>
      <c r="O2259" s="74"/>
      <c r="P2259" s="74"/>
      <c r="R2259" s="7"/>
      <c r="S2259" s="7"/>
      <c r="T2259" s="66"/>
    </row>
    <row r="2260" spans="1:20" ht="13.2">
      <c r="A2260" s="7"/>
      <c r="B2260" s="7"/>
      <c r="C2260" s="74"/>
      <c r="D2260" s="74"/>
      <c r="F2260" s="7"/>
      <c r="G2260" s="74"/>
      <c r="H2260" s="74"/>
      <c r="J2260" s="7"/>
      <c r="K2260" s="74"/>
      <c r="L2260" s="74"/>
      <c r="N2260" s="7"/>
      <c r="O2260" s="74"/>
      <c r="P2260" s="74"/>
      <c r="R2260" s="7"/>
      <c r="S2260" s="7"/>
      <c r="T2260" s="66"/>
    </row>
    <row r="2261" spans="1:20" ht="13.2">
      <c r="A2261" s="7"/>
      <c r="B2261" s="7"/>
      <c r="C2261" s="74"/>
      <c r="D2261" s="74"/>
      <c r="F2261" s="7"/>
      <c r="G2261" s="74"/>
      <c r="H2261" s="74"/>
      <c r="J2261" s="7"/>
      <c r="K2261" s="74"/>
      <c r="L2261" s="74"/>
      <c r="N2261" s="7"/>
      <c r="O2261" s="74"/>
      <c r="P2261" s="74"/>
      <c r="R2261" s="7"/>
      <c r="S2261" s="7"/>
      <c r="T2261" s="66"/>
    </row>
    <row r="2262" spans="1:20" ht="13.2">
      <c r="A2262" s="7"/>
      <c r="B2262" s="7"/>
      <c r="C2262" s="74"/>
      <c r="D2262" s="74"/>
      <c r="F2262" s="7"/>
      <c r="G2262" s="74"/>
      <c r="H2262" s="74"/>
      <c r="J2262" s="7"/>
      <c r="K2262" s="74"/>
      <c r="L2262" s="74"/>
      <c r="N2262" s="7"/>
      <c r="O2262" s="74"/>
      <c r="P2262" s="74"/>
      <c r="R2262" s="7"/>
      <c r="S2262" s="7"/>
      <c r="T2262" s="66"/>
    </row>
    <row r="2263" spans="1:20" ht="13.2">
      <c r="A2263" s="7"/>
      <c r="B2263" s="7"/>
      <c r="C2263" s="74"/>
      <c r="D2263" s="74"/>
      <c r="F2263" s="7"/>
      <c r="G2263" s="74"/>
      <c r="H2263" s="74"/>
      <c r="J2263" s="7"/>
      <c r="K2263" s="74"/>
      <c r="L2263" s="74"/>
      <c r="N2263" s="7"/>
      <c r="O2263" s="74"/>
      <c r="P2263" s="74"/>
      <c r="R2263" s="7"/>
      <c r="S2263" s="7"/>
      <c r="T2263" s="66"/>
    </row>
    <row r="2264" spans="1:20" ht="13.2">
      <c r="A2264" s="7"/>
      <c r="B2264" s="7"/>
      <c r="C2264" s="74"/>
      <c r="D2264" s="74"/>
      <c r="F2264" s="7"/>
      <c r="G2264" s="74"/>
      <c r="H2264" s="74"/>
      <c r="J2264" s="7"/>
      <c r="K2264" s="74"/>
      <c r="L2264" s="74"/>
      <c r="N2264" s="7"/>
      <c r="O2264" s="74"/>
      <c r="P2264" s="74"/>
      <c r="R2264" s="7"/>
      <c r="S2264" s="7"/>
      <c r="T2264" s="66"/>
    </row>
    <row r="2265" spans="1:20" ht="13.2">
      <c r="A2265" s="7"/>
      <c r="B2265" s="7"/>
      <c r="C2265" s="74"/>
      <c r="D2265" s="74"/>
      <c r="F2265" s="7"/>
      <c r="G2265" s="74"/>
      <c r="H2265" s="74"/>
      <c r="J2265" s="7"/>
      <c r="K2265" s="74"/>
      <c r="L2265" s="74"/>
      <c r="N2265" s="7"/>
      <c r="O2265" s="74"/>
      <c r="P2265" s="74"/>
      <c r="R2265" s="7"/>
      <c r="S2265" s="7"/>
      <c r="T2265" s="66"/>
    </row>
    <row r="2266" spans="1:20" ht="13.2">
      <c r="A2266" s="7"/>
      <c r="B2266" s="7"/>
      <c r="C2266" s="74"/>
      <c r="D2266" s="74"/>
      <c r="F2266" s="7"/>
      <c r="G2266" s="74"/>
      <c r="H2266" s="74"/>
      <c r="J2266" s="7"/>
      <c r="K2266" s="74"/>
      <c r="L2266" s="74"/>
      <c r="N2266" s="7"/>
      <c r="O2266" s="74"/>
      <c r="P2266" s="74"/>
      <c r="R2266" s="7"/>
      <c r="S2266" s="7"/>
      <c r="T2266" s="66"/>
    </row>
    <row r="2267" spans="1:20" ht="13.2">
      <c r="A2267" s="7"/>
      <c r="B2267" s="7"/>
      <c r="C2267" s="74"/>
      <c r="D2267" s="74"/>
      <c r="F2267" s="7"/>
      <c r="G2267" s="74"/>
      <c r="H2267" s="74"/>
      <c r="J2267" s="7"/>
      <c r="K2267" s="74"/>
      <c r="L2267" s="74"/>
      <c r="N2267" s="7"/>
      <c r="O2267" s="74"/>
      <c r="P2267" s="74"/>
      <c r="R2267" s="7"/>
      <c r="S2267" s="7"/>
      <c r="T2267" s="66"/>
    </row>
    <row r="2268" spans="1:20" ht="13.2">
      <c r="A2268" s="7"/>
      <c r="B2268" s="7"/>
      <c r="C2268" s="74"/>
      <c r="D2268" s="74"/>
      <c r="F2268" s="7"/>
      <c r="G2268" s="74"/>
      <c r="H2268" s="74"/>
      <c r="J2268" s="7"/>
      <c r="K2268" s="74"/>
      <c r="L2268" s="74"/>
      <c r="N2268" s="7"/>
      <c r="O2268" s="74"/>
      <c r="P2268" s="74"/>
      <c r="R2268" s="7"/>
      <c r="S2268" s="7"/>
      <c r="T2268" s="66"/>
    </row>
    <row r="2269" spans="1:20" ht="13.2">
      <c r="A2269" s="7"/>
      <c r="B2269" s="7"/>
      <c r="C2269" s="74"/>
      <c r="D2269" s="74"/>
      <c r="F2269" s="7"/>
      <c r="G2269" s="74"/>
      <c r="H2269" s="74"/>
      <c r="J2269" s="7"/>
      <c r="K2269" s="74"/>
      <c r="L2269" s="74"/>
      <c r="N2269" s="7"/>
      <c r="O2269" s="74"/>
      <c r="P2269" s="74"/>
      <c r="R2269" s="7"/>
      <c r="S2269" s="7"/>
      <c r="T2269" s="66"/>
    </row>
    <row r="2270" spans="1:20" ht="13.2">
      <c r="A2270" s="7"/>
      <c r="B2270" s="7"/>
      <c r="C2270" s="74"/>
      <c r="D2270" s="74"/>
      <c r="F2270" s="7"/>
      <c r="G2270" s="74"/>
      <c r="H2270" s="74"/>
      <c r="J2270" s="7"/>
      <c r="K2270" s="74"/>
      <c r="L2270" s="74"/>
      <c r="N2270" s="7"/>
      <c r="O2270" s="74"/>
      <c r="P2270" s="74"/>
      <c r="R2270" s="7"/>
      <c r="S2270" s="7"/>
      <c r="T2270" s="66"/>
    </row>
    <row r="2271" spans="1:20" ht="13.2">
      <c r="A2271" s="7"/>
      <c r="B2271" s="7"/>
      <c r="C2271" s="74"/>
      <c r="D2271" s="74"/>
      <c r="F2271" s="7"/>
      <c r="G2271" s="74"/>
      <c r="H2271" s="74"/>
      <c r="J2271" s="7"/>
      <c r="K2271" s="74"/>
      <c r="L2271" s="74"/>
      <c r="N2271" s="7"/>
      <c r="O2271" s="74"/>
      <c r="P2271" s="74"/>
      <c r="R2271" s="7"/>
      <c r="S2271" s="7"/>
      <c r="T2271" s="66"/>
    </row>
    <row r="2272" spans="1:20" ht="13.2">
      <c r="A2272" s="7"/>
      <c r="B2272" s="7"/>
      <c r="C2272" s="74"/>
      <c r="D2272" s="74"/>
      <c r="F2272" s="7"/>
      <c r="G2272" s="74"/>
      <c r="H2272" s="74"/>
      <c r="J2272" s="7"/>
      <c r="K2272" s="74"/>
      <c r="L2272" s="74"/>
      <c r="N2272" s="7"/>
      <c r="O2272" s="74"/>
      <c r="P2272" s="74"/>
      <c r="R2272" s="7"/>
      <c r="S2272" s="7"/>
      <c r="T2272" s="66"/>
    </row>
    <row r="2273" spans="1:20" ht="13.2">
      <c r="A2273" s="7"/>
      <c r="B2273" s="7"/>
      <c r="C2273" s="74"/>
      <c r="D2273" s="74"/>
      <c r="F2273" s="7"/>
      <c r="G2273" s="74"/>
      <c r="H2273" s="74"/>
      <c r="J2273" s="7"/>
      <c r="K2273" s="74"/>
      <c r="L2273" s="74"/>
      <c r="N2273" s="7"/>
      <c r="O2273" s="74"/>
      <c r="P2273" s="74"/>
      <c r="R2273" s="7"/>
      <c r="S2273" s="7"/>
      <c r="T2273" s="66"/>
    </row>
    <row r="2274" spans="1:20" ht="13.2">
      <c r="A2274" s="7"/>
      <c r="B2274" s="7"/>
      <c r="C2274" s="74"/>
      <c r="D2274" s="74"/>
      <c r="F2274" s="7"/>
      <c r="G2274" s="74"/>
      <c r="H2274" s="74"/>
      <c r="J2274" s="7"/>
      <c r="K2274" s="74"/>
      <c r="L2274" s="74"/>
      <c r="N2274" s="7"/>
      <c r="O2274" s="74"/>
      <c r="P2274" s="74"/>
      <c r="R2274" s="7"/>
      <c r="S2274" s="7"/>
      <c r="T2274" s="66"/>
    </row>
    <row r="2275" spans="1:20" ht="13.2">
      <c r="A2275" s="7"/>
      <c r="B2275" s="7"/>
      <c r="C2275" s="74"/>
      <c r="D2275" s="74"/>
      <c r="F2275" s="7"/>
      <c r="G2275" s="74"/>
      <c r="H2275" s="74"/>
      <c r="J2275" s="7"/>
      <c r="K2275" s="74"/>
      <c r="L2275" s="74"/>
      <c r="N2275" s="7"/>
      <c r="O2275" s="74"/>
      <c r="P2275" s="74"/>
      <c r="R2275" s="7"/>
      <c r="S2275" s="7"/>
      <c r="T2275" s="66"/>
    </row>
    <row r="2276" spans="1:20" ht="13.2">
      <c r="A2276" s="7"/>
      <c r="B2276" s="7"/>
      <c r="C2276" s="74"/>
      <c r="D2276" s="74"/>
      <c r="F2276" s="7"/>
      <c r="G2276" s="74"/>
      <c r="H2276" s="74"/>
      <c r="J2276" s="7"/>
      <c r="K2276" s="74"/>
      <c r="L2276" s="74"/>
      <c r="N2276" s="7"/>
      <c r="O2276" s="74"/>
      <c r="P2276" s="74"/>
      <c r="R2276" s="7"/>
      <c r="S2276" s="7"/>
      <c r="T2276" s="66"/>
    </row>
    <row r="2277" spans="1:20" ht="13.2">
      <c r="A2277" s="7"/>
      <c r="B2277" s="7"/>
      <c r="C2277" s="74"/>
      <c r="D2277" s="74"/>
      <c r="F2277" s="7"/>
      <c r="G2277" s="74"/>
      <c r="H2277" s="74"/>
      <c r="J2277" s="7"/>
      <c r="K2277" s="74"/>
      <c r="L2277" s="74"/>
      <c r="N2277" s="7"/>
      <c r="O2277" s="74"/>
      <c r="P2277" s="74"/>
      <c r="R2277" s="7"/>
      <c r="S2277" s="7"/>
      <c r="T2277" s="66"/>
    </row>
    <row r="2278" spans="1:20" ht="13.2">
      <c r="A2278" s="7"/>
      <c r="B2278" s="7"/>
      <c r="C2278" s="74"/>
      <c r="D2278" s="74"/>
      <c r="F2278" s="7"/>
      <c r="G2278" s="74"/>
      <c r="H2278" s="74"/>
      <c r="J2278" s="7"/>
      <c r="K2278" s="74"/>
      <c r="L2278" s="74"/>
      <c r="N2278" s="7"/>
      <c r="O2278" s="74"/>
      <c r="P2278" s="74"/>
      <c r="R2278" s="7"/>
      <c r="S2278" s="7"/>
      <c r="T2278" s="66"/>
    </row>
    <row r="2279" spans="1:20" ht="13.2">
      <c r="A2279" s="7"/>
      <c r="B2279" s="7"/>
      <c r="C2279" s="74"/>
      <c r="D2279" s="74"/>
      <c r="F2279" s="7"/>
      <c r="G2279" s="74"/>
      <c r="H2279" s="74"/>
      <c r="J2279" s="7"/>
      <c r="K2279" s="74"/>
      <c r="L2279" s="74"/>
      <c r="N2279" s="7"/>
      <c r="O2279" s="74"/>
      <c r="P2279" s="74"/>
      <c r="R2279" s="7"/>
      <c r="S2279" s="7"/>
      <c r="T2279" s="66"/>
    </row>
    <row r="2280" spans="1:20" ht="13.2">
      <c r="A2280" s="7"/>
      <c r="B2280" s="7"/>
      <c r="C2280" s="74"/>
      <c r="D2280" s="74"/>
      <c r="F2280" s="7"/>
      <c r="G2280" s="74"/>
      <c r="H2280" s="74"/>
      <c r="J2280" s="7"/>
      <c r="K2280" s="74"/>
      <c r="L2280" s="74"/>
      <c r="N2280" s="7"/>
      <c r="O2280" s="74"/>
      <c r="P2280" s="74"/>
      <c r="R2280" s="7"/>
      <c r="S2280" s="7"/>
      <c r="T2280" s="66"/>
    </row>
    <row r="2281" spans="1:20" ht="13.2">
      <c r="A2281" s="7"/>
      <c r="B2281" s="7"/>
      <c r="C2281" s="74"/>
      <c r="D2281" s="74"/>
      <c r="F2281" s="7"/>
      <c r="G2281" s="74"/>
      <c r="H2281" s="74"/>
      <c r="J2281" s="7"/>
      <c r="K2281" s="74"/>
      <c r="L2281" s="74"/>
      <c r="N2281" s="7"/>
      <c r="O2281" s="74"/>
      <c r="P2281" s="74"/>
      <c r="R2281" s="7"/>
      <c r="S2281" s="7"/>
      <c r="T2281" s="66"/>
    </row>
    <row r="2282" spans="1:20" ht="13.2">
      <c r="A2282" s="7"/>
      <c r="B2282" s="7"/>
      <c r="C2282" s="74"/>
      <c r="D2282" s="74"/>
      <c r="F2282" s="7"/>
      <c r="G2282" s="74"/>
      <c r="H2282" s="74"/>
      <c r="J2282" s="7"/>
      <c r="K2282" s="74"/>
      <c r="L2282" s="74"/>
      <c r="N2282" s="7"/>
      <c r="O2282" s="74"/>
      <c r="P2282" s="74"/>
      <c r="R2282" s="7"/>
      <c r="S2282" s="7"/>
      <c r="T2282" s="66"/>
    </row>
    <row r="2283" spans="1:20" ht="13.2">
      <c r="A2283" s="7"/>
      <c r="B2283" s="7"/>
      <c r="C2283" s="74"/>
      <c r="D2283" s="74"/>
      <c r="F2283" s="7"/>
      <c r="G2283" s="74"/>
      <c r="H2283" s="74"/>
      <c r="J2283" s="7"/>
      <c r="K2283" s="74"/>
      <c r="L2283" s="74"/>
      <c r="N2283" s="7"/>
      <c r="O2283" s="74"/>
      <c r="P2283" s="74"/>
      <c r="R2283" s="7"/>
      <c r="S2283" s="7"/>
      <c r="T2283" s="66"/>
    </row>
    <row r="2284" spans="1:20" ht="13.2">
      <c r="A2284" s="7"/>
      <c r="B2284" s="7"/>
      <c r="C2284" s="74"/>
      <c r="D2284" s="74"/>
      <c r="F2284" s="7"/>
      <c r="G2284" s="74"/>
      <c r="H2284" s="74"/>
      <c r="J2284" s="7"/>
      <c r="K2284" s="74"/>
      <c r="L2284" s="74"/>
      <c r="N2284" s="7"/>
      <c r="O2284" s="74"/>
      <c r="P2284" s="74"/>
      <c r="R2284" s="7"/>
      <c r="S2284" s="7"/>
      <c r="T2284" s="66"/>
    </row>
    <row r="2285" spans="1:20" ht="13.2">
      <c r="A2285" s="7"/>
      <c r="B2285" s="7"/>
      <c r="C2285" s="74"/>
      <c r="D2285" s="74"/>
      <c r="F2285" s="7"/>
      <c r="G2285" s="74"/>
      <c r="H2285" s="74"/>
      <c r="J2285" s="7"/>
      <c r="K2285" s="74"/>
      <c r="L2285" s="74"/>
      <c r="N2285" s="7"/>
      <c r="O2285" s="74"/>
      <c r="P2285" s="74"/>
      <c r="R2285" s="7"/>
      <c r="S2285" s="7"/>
      <c r="T2285" s="66"/>
    </row>
    <row r="2286" spans="1:20" ht="13.2">
      <c r="A2286" s="7"/>
      <c r="B2286" s="7"/>
      <c r="C2286" s="74"/>
      <c r="D2286" s="74"/>
      <c r="F2286" s="7"/>
      <c r="G2286" s="74"/>
      <c r="H2286" s="74"/>
      <c r="J2286" s="7"/>
      <c r="K2286" s="74"/>
      <c r="L2286" s="74"/>
      <c r="N2286" s="7"/>
      <c r="O2286" s="74"/>
      <c r="P2286" s="74"/>
      <c r="R2286" s="7"/>
      <c r="S2286" s="7"/>
      <c r="T2286" s="66"/>
    </row>
    <row r="2287" spans="1:20" ht="13.2">
      <c r="A2287" s="7"/>
      <c r="B2287" s="7"/>
      <c r="C2287" s="74"/>
      <c r="D2287" s="74"/>
      <c r="F2287" s="7"/>
      <c r="G2287" s="74"/>
      <c r="H2287" s="74"/>
      <c r="J2287" s="7"/>
      <c r="K2287" s="74"/>
      <c r="L2287" s="74"/>
      <c r="N2287" s="7"/>
      <c r="O2287" s="74"/>
      <c r="P2287" s="74"/>
      <c r="R2287" s="7"/>
      <c r="S2287" s="7"/>
      <c r="T2287" s="66"/>
    </row>
    <row r="2288" spans="1:20" ht="13.2">
      <c r="A2288" s="7"/>
      <c r="B2288" s="7"/>
      <c r="C2288" s="74"/>
      <c r="D2288" s="74"/>
      <c r="F2288" s="7"/>
      <c r="G2288" s="74"/>
      <c r="H2288" s="74"/>
      <c r="J2288" s="7"/>
      <c r="K2288" s="74"/>
      <c r="L2288" s="74"/>
      <c r="N2288" s="7"/>
      <c r="O2288" s="74"/>
      <c r="P2288" s="74"/>
      <c r="R2288" s="7"/>
      <c r="S2288" s="7"/>
      <c r="T2288" s="66"/>
    </row>
    <row r="2289" spans="1:20" ht="13.2">
      <c r="A2289" s="7"/>
      <c r="B2289" s="7"/>
      <c r="C2289" s="74"/>
      <c r="D2289" s="74"/>
      <c r="F2289" s="7"/>
      <c r="G2289" s="74"/>
      <c r="H2289" s="74"/>
      <c r="J2289" s="7"/>
      <c r="K2289" s="74"/>
      <c r="L2289" s="74"/>
      <c r="N2289" s="7"/>
      <c r="O2289" s="74"/>
      <c r="P2289" s="74"/>
      <c r="R2289" s="7"/>
      <c r="S2289" s="7"/>
      <c r="T2289" s="66"/>
    </row>
    <row r="2290" spans="1:20" ht="13.2">
      <c r="A2290" s="7"/>
      <c r="B2290" s="7"/>
      <c r="C2290" s="74"/>
      <c r="D2290" s="74"/>
      <c r="F2290" s="7"/>
      <c r="G2290" s="74"/>
      <c r="H2290" s="74"/>
      <c r="J2290" s="7"/>
      <c r="K2290" s="74"/>
      <c r="L2290" s="74"/>
      <c r="N2290" s="7"/>
      <c r="O2290" s="74"/>
      <c r="P2290" s="74"/>
      <c r="R2290" s="7"/>
      <c r="S2290" s="7"/>
      <c r="T2290" s="66"/>
    </row>
    <row r="2291" spans="1:20" ht="13.2">
      <c r="A2291" s="7"/>
      <c r="B2291" s="7"/>
      <c r="C2291" s="74"/>
      <c r="D2291" s="74"/>
      <c r="F2291" s="7"/>
      <c r="G2291" s="74"/>
      <c r="H2291" s="74"/>
      <c r="J2291" s="7"/>
      <c r="K2291" s="74"/>
      <c r="L2291" s="74"/>
      <c r="N2291" s="7"/>
      <c r="O2291" s="74"/>
      <c r="P2291" s="74"/>
      <c r="R2291" s="7"/>
      <c r="S2291" s="7"/>
      <c r="T2291" s="66"/>
    </row>
    <row r="2292" spans="1:20" ht="13.2">
      <c r="A2292" s="7"/>
      <c r="B2292" s="7"/>
      <c r="C2292" s="74"/>
      <c r="D2292" s="74"/>
      <c r="F2292" s="7"/>
      <c r="G2292" s="74"/>
      <c r="H2292" s="74"/>
      <c r="J2292" s="7"/>
      <c r="K2292" s="74"/>
      <c r="L2292" s="74"/>
      <c r="N2292" s="7"/>
      <c r="O2292" s="74"/>
      <c r="P2292" s="74"/>
      <c r="R2292" s="7"/>
      <c r="S2292" s="7"/>
      <c r="T2292" s="66"/>
    </row>
    <row r="2293" spans="1:20" ht="13.2">
      <c r="A2293" s="7"/>
      <c r="B2293" s="7"/>
      <c r="C2293" s="74"/>
      <c r="D2293" s="74"/>
      <c r="F2293" s="7"/>
      <c r="G2293" s="74"/>
      <c r="H2293" s="74"/>
      <c r="J2293" s="7"/>
      <c r="K2293" s="74"/>
      <c r="L2293" s="74"/>
      <c r="N2293" s="7"/>
      <c r="O2293" s="74"/>
      <c r="P2293" s="74"/>
      <c r="R2293" s="7"/>
      <c r="S2293" s="7"/>
      <c r="T2293" s="66"/>
    </row>
    <row r="2294" spans="1:20" ht="13.2">
      <c r="A2294" s="7"/>
      <c r="B2294" s="7"/>
      <c r="C2294" s="74"/>
      <c r="D2294" s="74"/>
      <c r="F2294" s="7"/>
      <c r="G2294" s="74"/>
      <c r="H2294" s="74"/>
      <c r="J2294" s="7"/>
      <c r="K2294" s="74"/>
      <c r="L2294" s="74"/>
      <c r="N2294" s="7"/>
      <c r="O2294" s="74"/>
      <c r="P2294" s="74"/>
      <c r="R2294" s="7"/>
      <c r="S2294" s="7"/>
      <c r="T2294" s="66"/>
    </row>
    <row r="2295" spans="1:20" ht="13.2">
      <c r="A2295" s="7"/>
      <c r="B2295" s="7"/>
      <c r="C2295" s="74"/>
      <c r="D2295" s="74"/>
      <c r="F2295" s="7"/>
      <c r="G2295" s="74"/>
      <c r="H2295" s="74"/>
      <c r="J2295" s="7"/>
      <c r="K2295" s="74"/>
      <c r="L2295" s="74"/>
      <c r="N2295" s="7"/>
      <c r="O2295" s="74"/>
      <c r="P2295" s="74"/>
      <c r="R2295" s="7"/>
      <c r="S2295" s="7"/>
      <c r="T2295" s="66"/>
    </row>
    <row r="2296" spans="1:20" ht="13.2">
      <c r="A2296" s="7"/>
      <c r="B2296" s="7"/>
      <c r="C2296" s="74"/>
      <c r="D2296" s="74"/>
      <c r="F2296" s="7"/>
      <c r="G2296" s="74"/>
      <c r="H2296" s="74"/>
      <c r="J2296" s="7"/>
      <c r="K2296" s="74"/>
      <c r="L2296" s="74"/>
      <c r="N2296" s="7"/>
      <c r="O2296" s="74"/>
      <c r="P2296" s="74"/>
      <c r="R2296" s="7"/>
      <c r="S2296" s="7"/>
      <c r="T2296" s="66"/>
    </row>
    <row r="2297" spans="1:20" ht="13.2">
      <c r="A2297" s="7"/>
      <c r="B2297" s="7"/>
      <c r="C2297" s="74"/>
      <c r="D2297" s="74"/>
      <c r="F2297" s="7"/>
      <c r="G2297" s="74"/>
      <c r="H2297" s="74"/>
      <c r="J2297" s="7"/>
      <c r="K2297" s="74"/>
      <c r="L2297" s="74"/>
      <c r="N2297" s="7"/>
      <c r="O2297" s="74"/>
      <c r="P2297" s="74"/>
      <c r="R2297" s="7"/>
      <c r="S2297" s="7"/>
      <c r="T2297" s="66"/>
    </row>
    <row r="2298" spans="1:20" ht="13.2">
      <c r="A2298" s="7"/>
      <c r="B2298" s="7"/>
      <c r="C2298" s="74"/>
      <c r="D2298" s="74"/>
      <c r="F2298" s="7"/>
      <c r="G2298" s="74"/>
      <c r="H2298" s="74"/>
      <c r="J2298" s="7"/>
      <c r="K2298" s="74"/>
      <c r="L2298" s="74"/>
      <c r="N2298" s="7"/>
      <c r="O2298" s="74"/>
      <c r="P2298" s="74"/>
      <c r="R2298" s="7"/>
      <c r="S2298" s="7"/>
      <c r="T2298" s="66"/>
    </row>
    <row r="2299" spans="1:20" ht="13.2">
      <c r="A2299" s="7"/>
      <c r="B2299" s="7"/>
      <c r="C2299" s="74"/>
      <c r="D2299" s="74"/>
      <c r="F2299" s="7"/>
      <c r="G2299" s="74"/>
      <c r="H2299" s="74"/>
      <c r="J2299" s="7"/>
      <c r="K2299" s="74"/>
      <c r="L2299" s="74"/>
      <c r="N2299" s="7"/>
      <c r="O2299" s="74"/>
      <c r="P2299" s="74"/>
      <c r="R2299" s="7"/>
      <c r="S2299" s="7"/>
      <c r="T2299" s="66"/>
    </row>
    <row r="2300" spans="1:20" ht="13.2">
      <c r="A2300" s="7"/>
      <c r="B2300" s="7"/>
      <c r="C2300" s="74"/>
      <c r="D2300" s="74"/>
      <c r="F2300" s="7"/>
      <c r="G2300" s="74"/>
      <c r="H2300" s="74"/>
      <c r="J2300" s="7"/>
      <c r="K2300" s="74"/>
      <c r="L2300" s="74"/>
      <c r="N2300" s="7"/>
      <c r="O2300" s="74"/>
      <c r="P2300" s="74"/>
      <c r="R2300" s="7"/>
      <c r="S2300" s="7"/>
      <c r="T2300" s="66"/>
    </row>
    <row r="2301" spans="1:20" ht="13.2">
      <c r="A2301" s="7"/>
      <c r="B2301" s="7"/>
      <c r="C2301" s="74"/>
      <c r="D2301" s="74"/>
      <c r="F2301" s="7"/>
      <c r="G2301" s="74"/>
      <c r="H2301" s="74"/>
      <c r="J2301" s="7"/>
      <c r="K2301" s="74"/>
      <c r="L2301" s="74"/>
      <c r="N2301" s="7"/>
      <c r="O2301" s="74"/>
      <c r="P2301" s="74"/>
      <c r="R2301" s="7"/>
      <c r="S2301" s="7"/>
      <c r="T2301" s="66"/>
    </row>
    <row r="2302" spans="1:20" ht="13.2">
      <c r="A2302" s="7"/>
      <c r="B2302" s="7"/>
      <c r="C2302" s="74"/>
      <c r="D2302" s="74"/>
      <c r="F2302" s="7"/>
      <c r="G2302" s="74"/>
      <c r="H2302" s="74"/>
      <c r="J2302" s="7"/>
      <c r="K2302" s="74"/>
      <c r="L2302" s="74"/>
      <c r="N2302" s="7"/>
      <c r="O2302" s="74"/>
      <c r="P2302" s="74"/>
      <c r="R2302" s="7"/>
      <c r="S2302" s="7"/>
      <c r="T2302" s="66"/>
    </row>
    <row r="2303" spans="1:20" ht="13.2">
      <c r="A2303" s="7"/>
      <c r="B2303" s="7"/>
      <c r="C2303" s="74"/>
      <c r="D2303" s="74"/>
      <c r="F2303" s="7"/>
      <c r="G2303" s="74"/>
      <c r="H2303" s="74"/>
      <c r="J2303" s="7"/>
      <c r="K2303" s="74"/>
      <c r="L2303" s="74"/>
      <c r="N2303" s="7"/>
      <c r="O2303" s="74"/>
      <c r="P2303" s="74"/>
      <c r="R2303" s="7"/>
      <c r="S2303" s="7"/>
      <c r="T2303" s="66"/>
    </row>
    <row r="2304" spans="1:20" ht="13.2">
      <c r="A2304" s="7"/>
      <c r="B2304" s="7"/>
      <c r="C2304" s="74"/>
      <c r="D2304" s="74"/>
      <c r="F2304" s="7"/>
      <c r="G2304" s="74"/>
      <c r="H2304" s="74"/>
      <c r="J2304" s="7"/>
      <c r="K2304" s="74"/>
      <c r="L2304" s="74"/>
      <c r="N2304" s="7"/>
      <c r="O2304" s="74"/>
      <c r="P2304" s="74"/>
      <c r="R2304" s="7"/>
      <c r="S2304" s="7"/>
      <c r="T2304" s="66"/>
    </row>
    <row r="2305" spans="1:20" ht="13.2">
      <c r="A2305" s="7"/>
      <c r="B2305" s="7"/>
      <c r="C2305" s="74"/>
      <c r="D2305" s="74"/>
      <c r="F2305" s="7"/>
      <c r="G2305" s="74"/>
      <c r="H2305" s="74"/>
      <c r="J2305" s="7"/>
      <c r="K2305" s="74"/>
      <c r="L2305" s="74"/>
      <c r="N2305" s="7"/>
      <c r="O2305" s="74"/>
      <c r="P2305" s="74"/>
      <c r="R2305" s="7"/>
      <c r="S2305" s="7"/>
      <c r="T2305" s="66"/>
    </row>
    <row r="2306" spans="1:20" ht="13.2">
      <c r="A2306" s="7"/>
      <c r="B2306" s="7"/>
      <c r="C2306" s="74"/>
      <c r="D2306" s="74"/>
      <c r="F2306" s="7"/>
      <c r="G2306" s="74"/>
      <c r="H2306" s="74"/>
      <c r="J2306" s="7"/>
      <c r="K2306" s="74"/>
      <c r="L2306" s="74"/>
      <c r="N2306" s="7"/>
      <c r="O2306" s="74"/>
      <c r="P2306" s="74"/>
      <c r="R2306" s="7"/>
      <c r="S2306" s="7"/>
      <c r="T2306" s="66"/>
    </row>
    <row r="2307" spans="1:20" ht="13.2">
      <c r="A2307" s="7"/>
      <c r="B2307" s="7"/>
      <c r="C2307" s="74"/>
      <c r="D2307" s="74"/>
      <c r="F2307" s="7"/>
      <c r="G2307" s="74"/>
      <c r="H2307" s="74"/>
      <c r="J2307" s="7"/>
      <c r="K2307" s="74"/>
      <c r="L2307" s="74"/>
      <c r="N2307" s="7"/>
      <c r="O2307" s="74"/>
      <c r="P2307" s="74"/>
      <c r="R2307" s="7"/>
      <c r="S2307" s="7"/>
      <c r="T2307" s="66"/>
    </row>
    <row r="2308" spans="1:20" ht="13.2">
      <c r="A2308" s="7"/>
      <c r="B2308" s="7"/>
      <c r="C2308" s="74"/>
      <c r="D2308" s="74"/>
      <c r="F2308" s="7"/>
      <c r="G2308" s="74"/>
      <c r="H2308" s="74"/>
      <c r="J2308" s="7"/>
      <c r="K2308" s="74"/>
      <c r="L2308" s="74"/>
      <c r="N2308" s="7"/>
      <c r="O2308" s="74"/>
      <c r="P2308" s="74"/>
      <c r="R2308" s="7"/>
      <c r="S2308" s="7"/>
      <c r="T2308" s="66"/>
    </row>
    <row r="2309" spans="1:20" ht="13.2">
      <c r="A2309" s="7"/>
      <c r="B2309" s="7"/>
      <c r="C2309" s="74"/>
      <c r="D2309" s="74"/>
      <c r="F2309" s="7"/>
      <c r="G2309" s="74"/>
      <c r="H2309" s="74"/>
      <c r="J2309" s="7"/>
      <c r="K2309" s="74"/>
      <c r="L2309" s="74"/>
      <c r="N2309" s="7"/>
      <c r="O2309" s="74"/>
      <c r="P2309" s="74"/>
      <c r="R2309" s="7"/>
      <c r="S2309" s="7"/>
      <c r="T2309" s="66"/>
    </row>
    <row r="2310" spans="1:20" ht="13.2">
      <c r="A2310" s="7"/>
      <c r="B2310" s="7"/>
      <c r="C2310" s="74"/>
      <c r="D2310" s="74"/>
      <c r="F2310" s="7"/>
      <c r="G2310" s="74"/>
      <c r="H2310" s="74"/>
      <c r="J2310" s="7"/>
      <c r="K2310" s="74"/>
      <c r="L2310" s="74"/>
      <c r="N2310" s="7"/>
      <c r="O2310" s="74"/>
      <c r="P2310" s="74"/>
      <c r="R2310" s="7"/>
      <c r="S2310" s="7"/>
      <c r="T2310" s="66"/>
    </row>
    <row r="2311" spans="1:20" ht="13.2">
      <c r="A2311" s="7"/>
      <c r="B2311" s="7"/>
      <c r="C2311" s="74"/>
      <c r="D2311" s="74"/>
      <c r="F2311" s="7"/>
      <c r="G2311" s="74"/>
      <c r="H2311" s="74"/>
      <c r="J2311" s="7"/>
      <c r="K2311" s="74"/>
      <c r="L2311" s="74"/>
      <c r="N2311" s="7"/>
      <c r="O2311" s="74"/>
      <c r="P2311" s="74"/>
      <c r="R2311" s="7"/>
      <c r="S2311" s="7"/>
      <c r="T2311" s="66"/>
    </row>
    <row r="2312" spans="1:20" ht="13.2">
      <c r="A2312" s="7"/>
      <c r="B2312" s="7"/>
      <c r="C2312" s="74"/>
      <c r="D2312" s="74"/>
      <c r="F2312" s="7"/>
      <c r="G2312" s="74"/>
      <c r="H2312" s="74"/>
      <c r="J2312" s="7"/>
      <c r="K2312" s="74"/>
      <c r="L2312" s="74"/>
      <c r="N2312" s="7"/>
      <c r="O2312" s="74"/>
      <c r="P2312" s="74"/>
      <c r="R2312" s="7"/>
      <c r="S2312" s="7"/>
      <c r="T2312" s="66"/>
    </row>
    <row r="2313" spans="1:20" ht="13.2">
      <c r="A2313" s="7"/>
      <c r="B2313" s="7"/>
      <c r="C2313" s="74"/>
      <c r="D2313" s="74"/>
      <c r="F2313" s="7"/>
      <c r="G2313" s="74"/>
      <c r="H2313" s="74"/>
      <c r="J2313" s="7"/>
      <c r="K2313" s="74"/>
      <c r="L2313" s="74"/>
      <c r="N2313" s="7"/>
      <c r="O2313" s="74"/>
      <c r="P2313" s="74"/>
      <c r="R2313" s="7"/>
      <c r="S2313" s="7"/>
      <c r="T2313" s="66"/>
    </row>
    <row r="2314" spans="1:20" ht="13.2">
      <c r="A2314" s="7"/>
      <c r="B2314" s="7"/>
      <c r="C2314" s="74"/>
      <c r="D2314" s="74"/>
      <c r="F2314" s="7"/>
      <c r="G2314" s="74"/>
      <c r="H2314" s="74"/>
      <c r="J2314" s="7"/>
      <c r="K2314" s="74"/>
      <c r="L2314" s="74"/>
      <c r="N2314" s="7"/>
      <c r="O2314" s="74"/>
      <c r="P2314" s="74"/>
      <c r="R2314" s="7"/>
      <c r="S2314" s="7"/>
      <c r="T2314" s="66"/>
    </row>
    <row r="2315" spans="1:20" ht="13.2">
      <c r="A2315" s="7"/>
      <c r="B2315" s="7"/>
      <c r="C2315" s="74"/>
      <c r="D2315" s="74"/>
      <c r="F2315" s="7"/>
      <c r="G2315" s="74"/>
      <c r="H2315" s="74"/>
      <c r="J2315" s="7"/>
      <c r="K2315" s="74"/>
      <c r="L2315" s="74"/>
      <c r="N2315" s="7"/>
      <c r="O2315" s="74"/>
      <c r="P2315" s="74"/>
      <c r="R2315" s="7"/>
      <c r="S2315" s="7"/>
      <c r="T2315" s="66"/>
    </row>
    <row r="2316" spans="1:20" ht="13.2">
      <c r="A2316" s="7"/>
      <c r="B2316" s="7"/>
      <c r="C2316" s="74"/>
      <c r="D2316" s="74"/>
      <c r="F2316" s="7"/>
      <c r="G2316" s="74"/>
      <c r="H2316" s="74"/>
      <c r="J2316" s="7"/>
      <c r="K2316" s="74"/>
      <c r="L2316" s="74"/>
      <c r="N2316" s="7"/>
      <c r="O2316" s="74"/>
      <c r="P2316" s="74"/>
      <c r="R2316" s="7"/>
      <c r="S2316" s="7"/>
      <c r="T2316" s="66"/>
    </row>
    <row r="2317" spans="1:20" ht="13.2">
      <c r="A2317" s="7"/>
      <c r="B2317" s="7"/>
      <c r="C2317" s="74"/>
      <c r="D2317" s="74"/>
      <c r="F2317" s="7"/>
      <c r="G2317" s="74"/>
      <c r="H2317" s="74"/>
      <c r="J2317" s="7"/>
      <c r="K2317" s="74"/>
      <c r="L2317" s="74"/>
      <c r="N2317" s="7"/>
      <c r="O2317" s="74"/>
      <c r="P2317" s="74"/>
      <c r="R2317" s="7"/>
      <c r="S2317" s="7"/>
      <c r="T2317" s="66"/>
    </row>
    <row r="2318" spans="1:20" ht="13.2">
      <c r="A2318" s="7"/>
      <c r="B2318" s="7"/>
      <c r="C2318" s="74"/>
      <c r="D2318" s="74"/>
      <c r="F2318" s="7"/>
      <c r="G2318" s="74"/>
      <c r="H2318" s="74"/>
      <c r="J2318" s="7"/>
      <c r="K2318" s="74"/>
      <c r="L2318" s="74"/>
      <c r="N2318" s="7"/>
      <c r="O2318" s="74"/>
      <c r="P2318" s="74"/>
      <c r="R2318" s="7"/>
      <c r="S2318" s="7"/>
      <c r="T2318" s="66"/>
    </row>
    <row r="2319" spans="1:20" ht="13.2">
      <c r="A2319" s="7"/>
      <c r="B2319" s="7"/>
      <c r="C2319" s="74"/>
      <c r="D2319" s="74"/>
      <c r="F2319" s="7"/>
      <c r="G2319" s="74"/>
      <c r="H2319" s="74"/>
      <c r="J2319" s="7"/>
      <c r="K2319" s="74"/>
      <c r="L2319" s="74"/>
      <c r="N2319" s="7"/>
      <c r="O2319" s="74"/>
      <c r="P2319" s="74"/>
      <c r="R2319" s="7"/>
      <c r="S2319" s="7"/>
      <c r="T2319" s="66"/>
    </row>
    <row r="2320" spans="1:20" ht="13.2">
      <c r="A2320" s="7"/>
      <c r="B2320" s="7"/>
      <c r="C2320" s="74"/>
      <c r="D2320" s="74"/>
      <c r="F2320" s="7"/>
      <c r="G2320" s="74"/>
      <c r="H2320" s="74"/>
      <c r="J2320" s="7"/>
      <c r="K2320" s="74"/>
      <c r="L2320" s="74"/>
      <c r="N2320" s="7"/>
      <c r="O2320" s="74"/>
      <c r="P2320" s="74"/>
      <c r="R2320" s="7"/>
      <c r="S2320" s="7"/>
      <c r="T2320" s="66"/>
    </row>
    <row r="2321" spans="1:20" ht="13.2">
      <c r="A2321" s="7"/>
      <c r="B2321" s="7"/>
      <c r="C2321" s="74"/>
      <c r="D2321" s="74"/>
      <c r="F2321" s="7"/>
      <c r="G2321" s="74"/>
      <c r="H2321" s="74"/>
      <c r="J2321" s="7"/>
      <c r="K2321" s="74"/>
      <c r="L2321" s="74"/>
      <c r="N2321" s="7"/>
      <c r="O2321" s="74"/>
      <c r="P2321" s="74"/>
      <c r="R2321" s="7"/>
      <c r="S2321" s="7"/>
      <c r="T2321" s="66"/>
    </row>
    <row r="2322" spans="1:20" ht="13.2">
      <c r="A2322" s="7"/>
      <c r="B2322" s="7"/>
      <c r="C2322" s="74"/>
      <c r="D2322" s="74"/>
      <c r="F2322" s="7"/>
      <c r="G2322" s="74"/>
      <c r="H2322" s="74"/>
      <c r="J2322" s="7"/>
      <c r="K2322" s="74"/>
      <c r="L2322" s="74"/>
      <c r="N2322" s="7"/>
      <c r="O2322" s="74"/>
      <c r="P2322" s="74"/>
      <c r="R2322" s="7"/>
      <c r="S2322" s="7"/>
      <c r="T2322" s="66"/>
    </row>
    <row r="2323" spans="1:20" ht="13.2">
      <c r="A2323" s="7"/>
      <c r="B2323" s="7"/>
      <c r="C2323" s="74"/>
      <c r="D2323" s="74"/>
      <c r="F2323" s="7"/>
      <c r="G2323" s="74"/>
      <c r="H2323" s="74"/>
      <c r="J2323" s="7"/>
      <c r="K2323" s="74"/>
      <c r="L2323" s="74"/>
      <c r="N2323" s="7"/>
      <c r="O2323" s="74"/>
      <c r="P2323" s="74"/>
      <c r="R2323" s="7"/>
      <c r="S2323" s="7"/>
      <c r="T2323" s="66"/>
    </row>
    <row r="2324" spans="1:20" ht="13.2">
      <c r="A2324" s="7"/>
      <c r="B2324" s="7"/>
      <c r="C2324" s="74"/>
      <c r="D2324" s="74"/>
      <c r="F2324" s="7"/>
      <c r="G2324" s="74"/>
      <c r="H2324" s="74"/>
      <c r="J2324" s="7"/>
      <c r="K2324" s="74"/>
      <c r="L2324" s="74"/>
      <c r="N2324" s="7"/>
      <c r="O2324" s="74"/>
      <c r="P2324" s="74"/>
      <c r="R2324" s="7"/>
      <c r="S2324" s="7"/>
      <c r="T2324" s="66"/>
    </row>
    <row r="2325" spans="1:20" ht="13.2">
      <c r="A2325" s="7"/>
      <c r="B2325" s="7"/>
      <c r="C2325" s="74"/>
      <c r="D2325" s="74"/>
      <c r="F2325" s="7"/>
      <c r="G2325" s="74"/>
      <c r="H2325" s="74"/>
      <c r="J2325" s="7"/>
      <c r="K2325" s="74"/>
      <c r="L2325" s="74"/>
      <c r="N2325" s="7"/>
      <c r="O2325" s="74"/>
      <c r="P2325" s="74"/>
      <c r="R2325" s="7"/>
      <c r="S2325" s="7"/>
      <c r="T2325" s="66"/>
    </row>
    <row r="2326" spans="1:20" ht="13.2">
      <c r="A2326" s="7"/>
      <c r="B2326" s="7"/>
      <c r="C2326" s="74"/>
      <c r="D2326" s="74"/>
      <c r="F2326" s="7"/>
      <c r="G2326" s="74"/>
      <c r="H2326" s="74"/>
      <c r="J2326" s="7"/>
      <c r="K2326" s="74"/>
      <c r="L2326" s="74"/>
      <c r="N2326" s="7"/>
      <c r="O2326" s="74"/>
      <c r="P2326" s="74"/>
      <c r="R2326" s="7"/>
      <c r="S2326" s="7"/>
      <c r="T2326" s="66"/>
    </row>
    <row r="2327" spans="1:20" ht="13.2">
      <c r="A2327" s="7"/>
      <c r="B2327" s="7"/>
      <c r="C2327" s="74"/>
      <c r="D2327" s="74"/>
      <c r="F2327" s="7"/>
      <c r="G2327" s="74"/>
      <c r="H2327" s="74"/>
      <c r="J2327" s="7"/>
      <c r="K2327" s="74"/>
      <c r="L2327" s="74"/>
      <c r="N2327" s="7"/>
      <c r="O2327" s="74"/>
      <c r="P2327" s="74"/>
      <c r="R2327" s="7"/>
      <c r="S2327" s="7"/>
      <c r="T2327" s="66"/>
    </row>
    <row r="2328" spans="1:20" ht="13.2">
      <c r="A2328" s="7"/>
      <c r="B2328" s="7"/>
      <c r="C2328" s="74"/>
      <c r="D2328" s="74"/>
      <c r="F2328" s="7"/>
      <c r="G2328" s="74"/>
      <c r="H2328" s="74"/>
      <c r="J2328" s="7"/>
      <c r="K2328" s="74"/>
      <c r="L2328" s="74"/>
      <c r="N2328" s="7"/>
      <c r="O2328" s="74"/>
      <c r="P2328" s="74"/>
      <c r="R2328" s="7"/>
      <c r="S2328" s="7"/>
      <c r="T2328" s="66"/>
    </row>
    <row r="2329" spans="1:20" ht="13.2">
      <c r="A2329" s="7"/>
      <c r="B2329" s="7"/>
      <c r="C2329" s="74"/>
      <c r="D2329" s="74"/>
      <c r="F2329" s="7"/>
      <c r="G2329" s="74"/>
      <c r="H2329" s="74"/>
      <c r="J2329" s="7"/>
      <c r="K2329" s="74"/>
      <c r="L2329" s="74"/>
      <c r="N2329" s="7"/>
      <c r="O2329" s="74"/>
      <c r="P2329" s="74"/>
      <c r="R2329" s="7"/>
      <c r="S2329" s="7"/>
      <c r="T2329" s="66"/>
    </row>
    <row r="2330" spans="1:20" ht="13.2">
      <c r="A2330" s="7"/>
      <c r="B2330" s="7"/>
      <c r="C2330" s="74"/>
      <c r="D2330" s="74"/>
      <c r="F2330" s="7"/>
      <c r="G2330" s="74"/>
      <c r="H2330" s="74"/>
      <c r="J2330" s="7"/>
      <c r="K2330" s="74"/>
      <c r="L2330" s="74"/>
      <c r="N2330" s="7"/>
      <c r="O2330" s="74"/>
      <c r="P2330" s="74"/>
      <c r="R2330" s="7"/>
      <c r="S2330" s="7"/>
      <c r="T2330" s="66"/>
    </row>
    <row r="2331" spans="1:20" ht="13.2">
      <c r="A2331" s="7"/>
      <c r="B2331" s="7"/>
      <c r="C2331" s="74"/>
      <c r="D2331" s="74"/>
      <c r="F2331" s="7"/>
      <c r="G2331" s="74"/>
      <c r="H2331" s="74"/>
      <c r="J2331" s="7"/>
      <c r="K2331" s="74"/>
      <c r="L2331" s="74"/>
      <c r="N2331" s="7"/>
      <c r="O2331" s="74"/>
      <c r="P2331" s="74"/>
      <c r="R2331" s="7"/>
      <c r="S2331" s="7"/>
      <c r="T2331" s="66"/>
    </row>
    <row r="2332" spans="1:20" ht="13.2">
      <c r="A2332" s="7"/>
      <c r="B2332" s="7"/>
      <c r="C2332" s="74"/>
      <c r="D2332" s="74"/>
      <c r="F2332" s="7"/>
      <c r="G2332" s="74"/>
      <c r="H2332" s="74"/>
      <c r="J2332" s="7"/>
      <c r="K2332" s="74"/>
      <c r="L2332" s="74"/>
      <c r="N2332" s="7"/>
      <c r="O2332" s="74"/>
      <c r="P2332" s="74"/>
      <c r="R2332" s="7"/>
      <c r="S2332" s="7"/>
      <c r="T2332" s="66"/>
    </row>
    <row r="2333" spans="1:20" ht="13.2">
      <c r="A2333" s="7"/>
      <c r="B2333" s="7"/>
      <c r="C2333" s="74"/>
      <c r="D2333" s="74"/>
      <c r="F2333" s="7"/>
      <c r="G2333" s="74"/>
      <c r="H2333" s="74"/>
      <c r="J2333" s="7"/>
      <c r="K2333" s="74"/>
      <c r="L2333" s="74"/>
      <c r="N2333" s="7"/>
      <c r="O2333" s="74"/>
      <c r="P2333" s="74"/>
      <c r="R2333" s="7"/>
      <c r="S2333" s="7"/>
      <c r="T2333" s="66"/>
    </row>
    <row r="2334" spans="1:20" ht="13.2">
      <c r="A2334" s="7"/>
      <c r="B2334" s="7"/>
      <c r="C2334" s="74"/>
      <c r="D2334" s="74"/>
      <c r="F2334" s="7"/>
      <c r="G2334" s="74"/>
      <c r="H2334" s="74"/>
      <c r="J2334" s="7"/>
      <c r="K2334" s="74"/>
      <c r="L2334" s="74"/>
      <c r="N2334" s="7"/>
      <c r="O2334" s="74"/>
      <c r="P2334" s="74"/>
      <c r="R2334" s="7"/>
      <c r="S2334" s="7"/>
      <c r="T2334" s="66"/>
    </row>
    <row r="2335" spans="1:20" ht="13.2">
      <c r="A2335" s="7"/>
      <c r="B2335" s="7"/>
      <c r="C2335" s="74"/>
      <c r="D2335" s="74"/>
      <c r="F2335" s="7"/>
      <c r="G2335" s="74"/>
      <c r="H2335" s="74"/>
      <c r="J2335" s="7"/>
      <c r="K2335" s="74"/>
      <c r="L2335" s="74"/>
      <c r="N2335" s="7"/>
      <c r="O2335" s="74"/>
      <c r="P2335" s="74"/>
      <c r="R2335" s="7"/>
      <c r="S2335" s="7"/>
      <c r="T2335" s="66"/>
    </row>
    <row r="2336" spans="1:20" ht="13.2">
      <c r="A2336" s="7"/>
      <c r="B2336" s="7"/>
      <c r="C2336" s="74"/>
      <c r="D2336" s="74"/>
      <c r="F2336" s="7"/>
      <c r="G2336" s="74"/>
      <c r="H2336" s="74"/>
      <c r="J2336" s="7"/>
      <c r="K2336" s="74"/>
      <c r="L2336" s="74"/>
      <c r="N2336" s="7"/>
      <c r="O2336" s="74"/>
      <c r="P2336" s="74"/>
      <c r="R2336" s="7"/>
      <c r="S2336" s="7"/>
      <c r="T2336" s="66"/>
    </row>
    <row r="2337" spans="1:20" ht="13.2">
      <c r="A2337" s="7"/>
      <c r="B2337" s="7"/>
      <c r="C2337" s="74"/>
      <c r="D2337" s="74"/>
      <c r="F2337" s="7"/>
      <c r="G2337" s="74"/>
      <c r="H2337" s="74"/>
      <c r="J2337" s="7"/>
      <c r="K2337" s="74"/>
      <c r="L2337" s="74"/>
      <c r="N2337" s="7"/>
      <c r="O2337" s="74"/>
      <c r="P2337" s="74"/>
      <c r="R2337" s="7"/>
      <c r="S2337" s="7"/>
      <c r="T2337" s="66"/>
    </row>
    <row r="2338" spans="1:20" ht="13.2">
      <c r="A2338" s="7"/>
      <c r="B2338" s="7"/>
      <c r="C2338" s="74"/>
      <c r="D2338" s="74"/>
      <c r="F2338" s="7"/>
      <c r="G2338" s="74"/>
      <c r="H2338" s="74"/>
      <c r="J2338" s="7"/>
      <c r="K2338" s="74"/>
      <c r="L2338" s="74"/>
      <c r="N2338" s="7"/>
      <c r="O2338" s="74"/>
      <c r="P2338" s="74"/>
      <c r="R2338" s="7"/>
      <c r="S2338" s="7"/>
      <c r="T2338" s="66"/>
    </row>
    <row r="2339" spans="1:20" ht="13.2">
      <c r="A2339" s="7"/>
      <c r="B2339" s="7"/>
      <c r="C2339" s="74"/>
      <c r="D2339" s="74"/>
      <c r="F2339" s="7"/>
      <c r="G2339" s="74"/>
      <c r="H2339" s="74"/>
      <c r="J2339" s="7"/>
      <c r="K2339" s="74"/>
      <c r="L2339" s="74"/>
      <c r="N2339" s="7"/>
      <c r="O2339" s="74"/>
      <c r="P2339" s="74"/>
      <c r="R2339" s="7"/>
      <c r="S2339" s="7"/>
      <c r="T2339" s="66"/>
    </row>
    <row r="2340" spans="1:20" ht="13.2">
      <c r="A2340" s="7"/>
      <c r="B2340" s="7"/>
      <c r="C2340" s="74"/>
      <c r="D2340" s="74"/>
      <c r="F2340" s="7"/>
      <c r="G2340" s="74"/>
      <c r="H2340" s="74"/>
      <c r="J2340" s="7"/>
      <c r="K2340" s="74"/>
      <c r="L2340" s="74"/>
      <c r="N2340" s="7"/>
      <c r="O2340" s="74"/>
      <c r="P2340" s="74"/>
      <c r="R2340" s="7"/>
      <c r="S2340" s="7"/>
      <c r="T2340" s="66"/>
    </row>
    <row r="2341" spans="1:20" ht="13.2">
      <c r="A2341" s="7"/>
      <c r="B2341" s="7"/>
      <c r="C2341" s="74"/>
      <c r="D2341" s="74"/>
      <c r="F2341" s="7"/>
      <c r="G2341" s="74"/>
      <c r="H2341" s="74"/>
      <c r="J2341" s="7"/>
      <c r="K2341" s="74"/>
      <c r="L2341" s="74"/>
      <c r="N2341" s="7"/>
      <c r="O2341" s="74"/>
      <c r="P2341" s="74"/>
      <c r="R2341" s="7"/>
      <c r="S2341" s="7"/>
      <c r="T2341" s="66"/>
    </row>
    <row r="2342" spans="1:20" ht="13.2">
      <c r="A2342" s="7"/>
      <c r="B2342" s="7"/>
      <c r="C2342" s="74"/>
      <c r="D2342" s="74"/>
      <c r="F2342" s="7"/>
      <c r="G2342" s="74"/>
      <c r="H2342" s="74"/>
      <c r="J2342" s="7"/>
      <c r="K2342" s="74"/>
      <c r="L2342" s="74"/>
      <c r="N2342" s="7"/>
      <c r="O2342" s="74"/>
      <c r="P2342" s="74"/>
      <c r="R2342" s="7"/>
      <c r="S2342" s="7"/>
      <c r="T2342" s="66"/>
    </row>
    <row r="2343" spans="1:20" ht="13.2">
      <c r="A2343" s="7"/>
      <c r="B2343" s="7"/>
      <c r="C2343" s="74"/>
      <c r="D2343" s="74"/>
      <c r="F2343" s="7"/>
      <c r="G2343" s="74"/>
      <c r="H2343" s="74"/>
      <c r="J2343" s="7"/>
      <c r="K2343" s="74"/>
      <c r="L2343" s="74"/>
      <c r="N2343" s="7"/>
      <c r="O2343" s="74"/>
      <c r="P2343" s="74"/>
      <c r="R2343" s="7"/>
      <c r="S2343" s="7"/>
      <c r="T2343" s="66"/>
    </row>
    <row r="2344" spans="1:20" ht="13.2">
      <c r="A2344" s="7"/>
      <c r="B2344" s="7"/>
      <c r="C2344" s="74"/>
      <c r="D2344" s="74"/>
      <c r="F2344" s="7"/>
      <c r="G2344" s="74"/>
      <c r="H2344" s="74"/>
      <c r="J2344" s="7"/>
      <c r="K2344" s="74"/>
      <c r="L2344" s="74"/>
      <c r="N2344" s="7"/>
      <c r="O2344" s="74"/>
      <c r="P2344" s="74"/>
      <c r="R2344" s="7"/>
      <c r="S2344" s="7"/>
      <c r="T2344" s="66"/>
    </row>
    <row r="2345" spans="1:20" ht="13.2">
      <c r="A2345" s="7"/>
      <c r="B2345" s="7"/>
      <c r="C2345" s="74"/>
      <c r="D2345" s="74"/>
      <c r="F2345" s="7"/>
      <c r="G2345" s="74"/>
      <c r="H2345" s="74"/>
      <c r="J2345" s="7"/>
      <c r="K2345" s="74"/>
      <c r="L2345" s="74"/>
      <c r="N2345" s="7"/>
      <c r="O2345" s="74"/>
      <c r="P2345" s="74"/>
      <c r="R2345" s="7"/>
      <c r="S2345" s="7"/>
      <c r="T2345" s="66"/>
    </row>
    <row r="2346" spans="1:20" ht="13.2">
      <c r="A2346" s="7"/>
      <c r="B2346" s="7"/>
      <c r="C2346" s="74"/>
      <c r="D2346" s="74"/>
      <c r="F2346" s="7"/>
      <c r="G2346" s="74"/>
      <c r="H2346" s="74"/>
      <c r="J2346" s="7"/>
      <c r="K2346" s="74"/>
      <c r="L2346" s="74"/>
      <c r="N2346" s="7"/>
      <c r="O2346" s="74"/>
      <c r="P2346" s="74"/>
      <c r="R2346" s="7"/>
      <c r="S2346" s="7"/>
      <c r="T2346" s="66"/>
    </row>
    <row r="2347" spans="1:20" ht="13.2">
      <c r="A2347" s="7"/>
      <c r="B2347" s="7"/>
      <c r="C2347" s="74"/>
      <c r="D2347" s="74"/>
      <c r="F2347" s="7"/>
      <c r="G2347" s="74"/>
      <c r="H2347" s="74"/>
      <c r="J2347" s="7"/>
      <c r="K2347" s="74"/>
      <c r="L2347" s="74"/>
      <c r="N2347" s="7"/>
      <c r="O2347" s="74"/>
      <c r="P2347" s="74"/>
      <c r="R2347" s="7"/>
      <c r="S2347" s="7"/>
      <c r="T2347" s="66"/>
    </row>
    <row r="2348" spans="1:20" ht="13.2">
      <c r="A2348" s="7"/>
      <c r="B2348" s="7"/>
      <c r="C2348" s="74"/>
      <c r="D2348" s="74"/>
      <c r="F2348" s="7"/>
      <c r="G2348" s="74"/>
      <c r="H2348" s="74"/>
      <c r="J2348" s="7"/>
      <c r="K2348" s="74"/>
      <c r="L2348" s="74"/>
      <c r="N2348" s="7"/>
      <c r="O2348" s="74"/>
      <c r="P2348" s="74"/>
      <c r="R2348" s="7"/>
      <c r="S2348" s="7"/>
      <c r="T2348" s="66"/>
    </row>
    <row r="2349" spans="1:20" ht="13.2">
      <c r="A2349" s="7"/>
      <c r="B2349" s="7"/>
      <c r="C2349" s="74"/>
      <c r="D2349" s="74"/>
      <c r="F2349" s="7"/>
      <c r="G2349" s="74"/>
      <c r="H2349" s="74"/>
      <c r="J2349" s="7"/>
      <c r="K2349" s="74"/>
      <c r="L2349" s="74"/>
      <c r="N2349" s="7"/>
      <c r="O2349" s="74"/>
      <c r="P2349" s="74"/>
      <c r="R2349" s="7"/>
      <c r="S2349" s="7"/>
      <c r="T2349" s="66"/>
    </row>
    <row r="2350" spans="1:20" ht="13.2">
      <c r="A2350" s="7"/>
      <c r="B2350" s="7"/>
      <c r="C2350" s="74"/>
      <c r="D2350" s="74"/>
      <c r="F2350" s="7"/>
      <c r="G2350" s="74"/>
      <c r="H2350" s="74"/>
      <c r="J2350" s="7"/>
      <c r="K2350" s="74"/>
      <c r="L2350" s="74"/>
      <c r="N2350" s="7"/>
      <c r="O2350" s="74"/>
      <c r="P2350" s="74"/>
      <c r="R2350" s="7"/>
      <c r="S2350" s="7"/>
      <c r="T2350" s="66"/>
    </row>
    <row r="2351" spans="1:20" ht="13.2">
      <c r="A2351" s="7"/>
      <c r="B2351" s="7"/>
      <c r="C2351" s="74"/>
      <c r="D2351" s="74"/>
      <c r="F2351" s="7"/>
      <c r="G2351" s="74"/>
      <c r="H2351" s="74"/>
      <c r="J2351" s="7"/>
      <c r="K2351" s="74"/>
      <c r="L2351" s="74"/>
      <c r="N2351" s="7"/>
      <c r="O2351" s="74"/>
      <c r="P2351" s="74"/>
      <c r="R2351" s="7"/>
      <c r="S2351" s="7"/>
      <c r="T2351" s="66"/>
    </row>
    <row r="2352" spans="1:20" ht="13.2">
      <c r="A2352" s="7"/>
      <c r="B2352" s="7"/>
      <c r="C2352" s="74"/>
      <c r="D2352" s="74"/>
      <c r="F2352" s="7"/>
      <c r="G2352" s="74"/>
      <c r="H2352" s="74"/>
      <c r="J2352" s="7"/>
      <c r="K2352" s="74"/>
      <c r="L2352" s="74"/>
      <c r="N2352" s="7"/>
      <c r="O2352" s="74"/>
      <c r="P2352" s="74"/>
      <c r="R2352" s="7"/>
      <c r="S2352" s="7"/>
      <c r="T2352" s="66"/>
    </row>
    <row r="2353" spans="1:20" ht="13.2">
      <c r="A2353" s="7"/>
      <c r="B2353" s="7"/>
      <c r="C2353" s="74"/>
      <c r="D2353" s="74"/>
      <c r="F2353" s="7"/>
      <c r="G2353" s="74"/>
      <c r="H2353" s="74"/>
      <c r="J2353" s="7"/>
      <c r="K2353" s="74"/>
      <c r="L2353" s="74"/>
      <c r="N2353" s="7"/>
      <c r="O2353" s="74"/>
      <c r="P2353" s="74"/>
      <c r="R2353" s="7"/>
      <c r="S2353" s="7"/>
      <c r="T2353" s="66"/>
    </row>
    <row r="2354" spans="1:20" ht="13.2">
      <c r="A2354" s="7"/>
      <c r="B2354" s="7"/>
      <c r="C2354" s="74"/>
      <c r="D2354" s="74"/>
      <c r="F2354" s="7"/>
      <c r="G2354" s="74"/>
      <c r="H2354" s="74"/>
      <c r="J2354" s="7"/>
      <c r="K2354" s="74"/>
      <c r="L2354" s="74"/>
      <c r="N2354" s="7"/>
      <c r="O2354" s="74"/>
      <c r="P2354" s="74"/>
      <c r="R2354" s="7"/>
      <c r="S2354" s="7"/>
      <c r="T2354" s="66"/>
    </row>
    <row r="2355" spans="1:20" ht="13.2">
      <c r="A2355" s="7"/>
      <c r="B2355" s="7"/>
      <c r="C2355" s="74"/>
      <c r="D2355" s="74"/>
      <c r="F2355" s="7"/>
      <c r="G2355" s="74"/>
      <c r="H2355" s="74"/>
      <c r="J2355" s="7"/>
      <c r="K2355" s="74"/>
      <c r="L2355" s="74"/>
      <c r="N2355" s="7"/>
      <c r="O2355" s="74"/>
      <c r="P2355" s="74"/>
      <c r="R2355" s="7"/>
      <c r="S2355" s="7"/>
      <c r="T2355" s="66"/>
    </row>
    <row r="2356" spans="1:20" ht="13.2">
      <c r="A2356" s="7"/>
      <c r="B2356" s="7"/>
      <c r="C2356" s="74"/>
      <c r="D2356" s="74"/>
      <c r="F2356" s="7"/>
      <c r="G2356" s="74"/>
      <c r="H2356" s="74"/>
      <c r="J2356" s="7"/>
      <c r="K2356" s="74"/>
      <c r="L2356" s="74"/>
      <c r="N2356" s="7"/>
      <c r="O2356" s="74"/>
      <c r="P2356" s="74"/>
      <c r="R2356" s="7"/>
      <c r="S2356" s="7"/>
      <c r="T2356" s="66"/>
    </row>
    <row r="2357" spans="1:20" ht="13.2">
      <c r="A2357" s="7"/>
      <c r="B2357" s="7"/>
      <c r="C2357" s="74"/>
      <c r="D2357" s="74"/>
      <c r="F2357" s="7"/>
      <c r="G2357" s="74"/>
      <c r="H2357" s="74"/>
      <c r="J2357" s="7"/>
      <c r="K2357" s="74"/>
      <c r="L2357" s="74"/>
      <c r="N2357" s="7"/>
      <c r="O2357" s="74"/>
      <c r="P2357" s="74"/>
      <c r="R2357" s="7"/>
      <c r="S2357" s="7"/>
      <c r="T2357" s="66"/>
    </row>
    <row r="2358" spans="1:20" ht="13.2">
      <c r="A2358" s="7"/>
      <c r="B2358" s="7"/>
      <c r="C2358" s="74"/>
      <c r="D2358" s="74"/>
      <c r="F2358" s="7"/>
      <c r="G2358" s="74"/>
      <c r="H2358" s="74"/>
      <c r="J2358" s="7"/>
      <c r="K2358" s="74"/>
      <c r="L2358" s="74"/>
      <c r="N2358" s="7"/>
      <c r="O2358" s="74"/>
      <c r="P2358" s="74"/>
      <c r="R2358" s="7"/>
      <c r="S2358" s="7"/>
      <c r="T2358" s="66"/>
    </row>
    <row r="2359" spans="1:20" ht="13.2">
      <c r="A2359" s="7"/>
      <c r="B2359" s="7"/>
      <c r="C2359" s="74"/>
      <c r="D2359" s="74"/>
      <c r="F2359" s="7"/>
      <c r="G2359" s="74"/>
      <c r="H2359" s="74"/>
      <c r="J2359" s="7"/>
      <c r="K2359" s="74"/>
      <c r="L2359" s="74"/>
      <c r="N2359" s="7"/>
      <c r="O2359" s="74"/>
      <c r="P2359" s="74"/>
      <c r="R2359" s="7"/>
      <c r="S2359" s="7"/>
      <c r="T2359" s="66"/>
    </row>
    <row r="2360" spans="1:20" ht="13.2">
      <c r="A2360" s="7"/>
      <c r="B2360" s="7"/>
      <c r="C2360" s="74"/>
      <c r="D2360" s="74"/>
      <c r="F2360" s="7"/>
      <c r="G2360" s="74"/>
      <c r="H2360" s="74"/>
      <c r="J2360" s="7"/>
      <c r="K2360" s="74"/>
      <c r="L2360" s="74"/>
      <c r="N2360" s="7"/>
      <c r="O2360" s="74"/>
      <c r="P2360" s="74"/>
      <c r="R2360" s="7"/>
      <c r="S2360" s="7"/>
      <c r="T2360" s="66"/>
    </row>
    <row r="2361" spans="1:20" ht="13.2">
      <c r="A2361" s="7"/>
      <c r="B2361" s="7"/>
      <c r="C2361" s="74"/>
      <c r="D2361" s="74"/>
      <c r="F2361" s="7"/>
      <c r="G2361" s="74"/>
      <c r="H2361" s="74"/>
      <c r="J2361" s="7"/>
      <c r="K2361" s="74"/>
      <c r="L2361" s="74"/>
      <c r="N2361" s="7"/>
      <c r="O2361" s="74"/>
      <c r="P2361" s="74"/>
      <c r="R2361" s="7"/>
      <c r="S2361" s="7"/>
      <c r="T2361" s="66"/>
    </row>
    <row r="2362" spans="1:20" ht="13.2">
      <c r="A2362" s="7"/>
      <c r="B2362" s="7"/>
      <c r="C2362" s="74"/>
      <c r="D2362" s="74"/>
      <c r="F2362" s="7"/>
      <c r="G2362" s="74"/>
      <c r="H2362" s="74"/>
      <c r="J2362" s="7"/>
      <c r="K2362" s="74"/>
      <c r="L2362" s="74"/>
      <c r="N2362" s="7"/>
      <c r="O2362" s="74"/>
      <c r="P2362" s="74"/>
      <c r="R2362" s="7"/>
      <c r="S2362" s="7"/>
      <c r="T2362" s="66"/>
    </row>
    <row r="2363" spans="1:20" ht="13.2">
      <c r="A2363" s="7"/>
      <c r="B2363" s="7"/>
      <c r="C2363" s="74"/>
      <c r="D2363" s="74"/>
      <c r="F2363" s="7"/>
      <c r="G2363" s="74"/>
      <c r="H2363" s="74"/>
      <c r="J2363" s="7"/>
      <c r="K2363" s="74"/>
      <c r="L2363" s="74"/>
      <c r="N2363" s="7"/>
      <c r="O2363" s="74"/>
      <c r="P2363" s="74"/>
      <c r="R2363" s="7"/>
      <c r="S2363" s="7"/>
      <c r="T2363" s="66"/>
    </row>
    <row r="2364" spans="1:20" ht="13.2">
      <c r="A2364" s="7"/>
      <c r="B2364" s="7"/>
      <c r="C2364" s="74"/>
      <c r="D2364" s="74"/>
      <c r="F2364" s="7"/>
      <c r="G2364" s="74"/>
      <c r="H2364" s="74"/>
      <c r="J2364" s="7"/>
      <c r="K2364" s="74"/>
      <c r="L2364" s="74"/>
      <c r="N2364" s="7"/>
      <c r="O2364" s="74"/>
      <c r="P2364" s="74"/>
      <c r="R2364" s="7"/>
      <c r="S2364" s="7"/>
      <c r="T2364" s="66"/>
    </row>
    <row r="2365" spans="1:20" ht="13.2">
      <c r="A2365" s="7"/>
      <c r="B2365" s="7"/>
      <c r="C2365" s="74"/>
      <c r="D2365" s="74"/>
      <c r="F2365" s="7"/>
      <c r="G2365" s="74"/>
      <c r="H2365" s="74"/>
      <c r="J2365" s="7"/>
      <c r="K2365" s="74"/>
      <c r="L2365" s="74"/>
      <c r="N2365" s="7"/>
      <c r="O2365" s="74"/>
      <c r="P2365" s="74"/>
      <c r="R2365" s="7"/>
      <c r="S2365" s="7"/>
      <c r="T2365" s="66"/>
    </row>
    <row r="2366" spans="1:20" ht="13.2">
      <c r="A2366" s="7"/>
      <c r="B2366" s="7"/>
      <c r="C2366" s="74"/>
      <c r="D2366" s="74"/>
      <c r="F2366" s="7"/>
      <c r="G2366" s="74"/>
      <c r="H2366" s="74"/>
      <c r="J2366" s="7"/>
      <c r="K2366" s="74"/>
      <c r="L2366" s="74"/>
      <c r="N2366" s="7"/>
      <c r="O2366" s="74"/>
      <c r="P2366" s="74"/>
      <c r="R2366" s="7"/>
      <c r="S2366" s="7"/>
      <c r="T2366" s="66"/>
    </row>
    <row r="2367" spans="1:20" ht="13.2">
      <c r="A2367" s="7"/>
      <c r="B2367" s="7"/>
      <c r="C2367" s="74"/>
      <c r="D2367" s="74"/>
      <c r="F2367" s="7"/>
      <c r="G2367" s="74"/>
      <c r="H2367" s="74"/>
      <c r="J2367" s="7"/>
      <c r="K2367" s="74"/>
      <c r="L2367" s="74"/>
      <c r="N2367" s="7"/>
      <c r="O2367" s="74"/>
      <c r="P2367" s="74"/>
      <c r="R2367" s="7"/>
      <c r="S2367" s="7"/>
      <c r="T2367" s="66"/>
    </row>
    <row r="2368" spans="1:20" ht="13.2">
      <c r="A2368" s="7"/>
      <c r="B2368" s="7"/>
      <c r="C2368" s="74"/>
      <c r="D2368" s="74"/>
      <c r="F2368" s="7"/>
      <c r="G2368" s="74"/>
      <c r="H2368" s="74"/>
      <c r="J2368" s="7"/>
      <c r="K2368" s="74"/>
      <c r="L2368" s="74"/>
      <c r="N2368" s="7"/>
      <c r="O2368" s="74"/>
      <c r="P2368" s="74"/>
      <c r="R2368" s="7"/>
      <c r="S2368" s="7"/>
      <c r="T2368" s="66"/>
    </row>
    <row r="2369" spans="1:20" ht="13.2">
      <c r="A2369" s="7"/>
      <c r="B2369" s="7"/>
      <c r="C2369" s="74"/>
      <c r="D2369" s="74"/>
      <c r="F2369" s="7"/>
      <c r="G2369" s="74"/>
      <c r="H2369" s="74"/>
      <c r="J2369" s="7"/>
      <c r="K2369" s="74"/>
      <c r="L2369" s="74"/>
      <c r="N2369" s="7"/>
      <c r="O2369" s="74"/>
      <c r="P2369" s="74"/>
      <c r="R2369" s="7"/>
      <c r="S2369" s="7"/>
      <c r="T2369" s="66"/>
    </row>
    <row r="2370" spans="1:20" ht="13.2">
      <c r="A2370" s="7"/>
      <c r="B2370" s="7"/>
      <c r="C2370" s="74"/>
      <c r="D2370" s="74"/>
      <c r="F2370" s="7"/>
      <c r="G2370" s="74"/>
      <c r="H2370" s="74"/>
      <c r="J2370" s="7"/>
      <c r="K2370" s="74"/>
      <c r="L2370" s="74"/>
      <c r="N2370" s="7"/>
      <c r="O2370" s="74"/>
      <c r="P2370" s="74"/>
      <c r="R2370" s="7"/>
      <c r="S2370" s="7"/>
      <c r="T2370" s="66"/>
    </row>
    <row r="2371" spans="1:20" ht="13.2">
      <c r="A2371" s="7"/>
      <c r="B2371" s="7"/>
      <c r="C2371" s="74"/>
      <c r="D2371" s="74"/>
      <c r="F2371" s="7"/>
      <c r="G2371" s="74"/>
      <c r="H2371" s="74"/>
      <c r="J2371" s="7"/>
      <c r="K2371" s="74"/>
      <c r="L2371" s="74"/>
      <c r="N2371" s="7"/>
      <c r="O2371" s="74"/>
      <c r="P2371" s="74"/>
      <c r="R2371" s="7"/>
      <c r="S2371" s="7"/>
      <c r="T2371" s="66"/>
    </row>
    <row r="2372" spans="1:20" ht="13.2">
      <c r="A2372" s="7"/>
      <c r="B2372" s="7"/>
      <c r="C2372" s="74"/>
      <c r="D2372" s="74"/>
      <c r="F2372" s="7"/>
      <c r="G2372" s="74"/>
      <c r="H2372" s="74"/>
      <c r="J2372" s="7"/>
      <c r="K2372" s="74"/>
      <c r="L2372" s="74"/>
      <c r="N2372" s="7"/>
      <c r="O2372" s="74"/>
      <c r="P2372" s="74"/>
      <c r="R2372" s="7"/>
      <c r="S2372" s="7"/>
      <c r="T2372" s="66"/>
    </row>
    <row r="2373" spans="1:20" ht="13.2">
      <c r="A2373" s="7"/>
      <c r="B2373" s="7"/>
      <c r="C2373" s="74"/>
      <c r="D2373" s="74"/>
      <c r="F2373" s="7"/>
      <c r="G2373" s="74"/>
      <c r="H2373" s="74"/>
      <c r="J2373" s="7"/>
      <c r="K2373" s="74"/>
      <c r="L2373" s="74"/>
      <c r="N2373" s="7"/>
      <c r="O2373" s="74"/>
      <c r="P2373" s="74"/>
      <c r="R2373" s="7"/>
      <c r="S2373" s="7"/>
      <c r="T2373" s="66"/>
    </row>
    <row r="2374" spans="1:20" ht="13.2">
      <c r="A2374" s="7"/>
      <c r="B2374" s="7"/>
      <c r="C2374" s="74"/>
      <c r="D2374" s="74"/>
      <c r="F2374" s="7"/>
      <c r="G2374" s="74"/>
      <c r="H2374" s="74"/>
      <c r="J2374" s="7"/>
      <c r="K2374" s="74"/>
      <c r="L2374" s="74"/>
      <c r="N2374" s="7"/>
      <c r="O2374" s="74"/>
      <c r="P2374" s="74"/>
      <c r="R2374" s="7"/>
      <c r="S2374" s="7"/>
      <c r="T2374" s="66"/>
    </row>
    <row r="2375" spans="1:20" ht="13.2">
      <c r="A2375" s="7"/>
      <c r="B2375" s="7"/>
      <c r="C2375" s="74"/>
      <c r="D2375" s="74"/>
      <c r="F2375" s="7"/>
      <c r="G2375" s="74"/>
      <c r="H2375" s="74"/>
      <c r="J2375" s="7"/>
      <c r="K2375" s="74"/>
      <c r="L2375" s="74"/>
      <c r="N2375" s="7"/>
      <c r="O2375" s="74"/>
      <c r="P2375" s="74"/>
      <c r="R2375" s="7"/>
      <c r="S2375" s="7"/>
      <c r="T2375" s="66"/>
    </row>
    <row r="2376" spans="1:20" ht="13.2">
      <c r="A2376" s="7"/>
      <c r="B2376" s="7"/>
      <c r="C2376" s="74"/>
      <c r="D2376" s="74"/>
      <c r="F2376" s="7"/>
      <c r="G2376" s="74"/>
      <c r="H2376" s="74"/>
      <c r="J2376" s="7"/>
      <c r="K2376" s="74"/>
      <c r="L2376" s="74"/>
      <c r="N2376" s="7"/>
      <c r="O2376" s="74"/>
      <c r="P2376" s="74"/>
      <c r="R2376" s="7"/>
      <c r="S2376" s="7"/>
      <c r="T2376" s="66"/>
    </row>
    <row r="2377" spans="1:20" ht="13.2">
      <c r="A2377" s="7"/>
      <c r="B2377" s="7"/>
      <c r="C2377" s="74"/>
      <c r="D2377" s="74"/>
      <c r="F2377" s="7"/>
      <c r="G2377" s="74"/>
      <c r="H2377" s="74"/>
      <c r="J2377" s="7"/>
      <c r="K2377" s="74"/>
      <c r="L2377" s="74"/>
      <c r="N2377" s="7"/>
      <c r="O2377" s="74"/>
      <c r="P2377" s="74"/>
      <c r="R2377" s="7"/>
      <c r="S2377" s="7"/>
      <c r="T2377" s="66"/>
    </row>
    <row r="2378" spans="1:20" ht="13.2">
      <c r="A2378" s="7"/>
      <c r="B2378" s="7"/>
      <c r="C2378" s="74"/>
      <c r="D2378" s="74"/>
      <c r="F2378" s="7"/>
      <c r="G2378" s="74"/>
      <c r="H2378" s="74"/>
      <c r="J2378" s="7"/>
      <c r="K2378" s="74"/>
      <c r="L2378" s="74"/>
      <c r="N2378" s="7"/>
      <c r="O2378" s="74"/>
      <c r="P2378" s="74"/>
      <c r="R2378" s="7"/>
      <c r="S2378" s="7"/>
      <c r="T2378" s="66"/>
    </row>
    <row r="2379" spans="1:20" ht="13.2">
      <c r="A2379" s="7"/>
      <c r="B2379" s="7"/>
      <c r="C2379" s="74"/>
      <c r="D2379" s="74"/>
      <c r="F2379" s="7"/>
      <c r="G2379" s="74"/>
      <c r="H2379" s="74"/>
      <c r="J2379" s="7"/>
      <c r="K2379" s="74"/>
      <c r="L2379" s="74"/>
      <c r="N2379" s="7"/>
      <c r="O2379" s="74"/>
      <c r="P2379" s="74"/>
      <c r="R2379" s="7"/>
      <c r="S2379" s="7"/>
      <c r="T2379" s="66"/>
    </row>
    <row r="2380" spans="1:20" ht="13.2">
      <c r="A2380" s="7"/>
      <c r="B2380" s="7"/>
      <c r="C2380" s="74"/>
      <c r="D2380" s="74"/>
      <c r="F2380" s="7"/>
      <c r="G2380" s="74"/>
      <c r="H2380" s="74"/>
      <c r="J2380" s="7"/>
      <c r="K2380" s="74"/>
      <c r="L2380" s="74"/>
      <c r="N2380" s="7"/>
      <c r="O2380" s="74"/>
      <c r="P2380" s="74"/>
      <c r="R2380" s="7"/>
      <c r="S2380" s="7"/>
      <c r="T2380" s="66"/>
    </row>
    <row r="2381" spans="1:20" ht="13.2">
      <c r="A2381" s="7"/>
      <c r="B2381" s="7"/>
      <c r="C2381" s="74"/>
      <c r="D2381" s="74"/>
      <c r="F2381" s="7"/>
      <c r="G2381" s="74"/>
      <c r="H2381" s="74"/>
      <c r="J2381" s="7"/>
      <c r="K2381" s="74"/>
      <c r="L2381" s="74"/>
      <c r="N2381" s="7"/>
      <c r="O2381" s="74"/>
      <c r="P2381" s="74"/>
      <c r="R2381" s="7"/>
      <c r="S2381" s="7"/>
      <c r="T2381" s="66"/>
    </row>
    <row r="2382" spans="1:20" ht="13.2">
      <c r="A2382" s="7"/>
      <c r="B2382" s="7"/>
      <c r="C2382" s="74"/>
      <c r="D2382" s="74"/>
      <c r="F2382" s="7"/>
      <c r="G2382" s="74"/>
      <c r="H2382" s="74"/>
      <c r="J2382" s="7"/>
      <c r="K2382" s="74"/>
      <c r="L2382" s="74"/>
      <c r="N2382" s="7"/>
      <c r="O2382" s="74"/>
      <c r="P2382" s="74"/>
      <c r="R2382" s="7"/>
      <c r="S2382" s="7"/>
      <c r="T2382" s="66"/>
    </row>
    <row r="2383" spans="1:20" ht="13.2">
      <c r="A2383" s="7"/>
      <c r="B2383" s="7"/>
      <c r="C2383" s="74"/>
      <c r="D2383" s="74"/>
      <c r="F2383" s="7"/>
      <c r="G2383" s="74"/>
      <c r="H2383" s="74"/>
      <c r="J2383" s="7"/>
      <c r="K2383" s="74"/>
      <c r="L2383" s="74"/>
      <c r="N2383" s="7"/>
      <c r="O2383" s="74"/>
      <c r="P2383" s="74"/>
      <c r="R2383" s="7"/>
      <c r="S2383" s="7"/>
      <c r="T2383" s="66"/>
    </row>
    <row r="2384" spans="1:20" ht="13.2">
      <c r="A2384" s="7"/>
      <c r="B2384" s="7"/>
      <c r="C2384" s="74"/>
      <c r="D2384" s="74"/>
      <c r="F2384" s="7"/>
      <c r="G2384" s="74"/>
      <c r="H2384" s="74"/>
      <c r="J2384" s="7"/>
      <c r="K2384" s="74"/>
      <c r="L2384" s="74"/>
      <c r="N2384" s="7"/>
      <c r="O2384" s="74"/>
      <c r="P2384" s="74"/>
      <c r="R2384" s="7"/>
      <c r="S2384" s="7"/>
      <c r="T2384" s="66"/>
    </row>
    <row r="2385" spans="1:20" ht="13.2">
      <c r="A2385" s="7"/>
      <c r="B2385" s="7"/>
      <c r="C2385" s="74"/>
      <c r="D2385" s="74"/>
      <c r="F2385" s="7"/>
      <c r="G2385" s="74"/>
      <c r="H2385" s="74"/>
      <c r="J2385" s="7"/>
      <c r="K2385" s="74"/>
      <c r="L2385" s="74"/>
      <c r="N2385" s="7"/>
      <c r="O2385" s="74"/>
      <c r="P2385" s="74"/>
      <c r="R2385" s="7"/>
      <c r="S2385" s="7"/>
      <c r="T2385" s="66"/>
    </row>
    <row r="2386" spans="1:20" ht="13.2">
      <c r="A2386" s="7"/>
      <c r="B2386" s="7"/>
      <c r="C2386" s="74"/>
      <c r="D2386" s="74"/>
      <c r="F2386" s="7"/>
      <c r="G2386" s="74"/>
      <c r="H2386" s="74"/>
      <c r="J2386" s="7"/>
      <c r="K2386" s="74"/>
      <c r="L2386" s="74"/>
      <c r="N2386" s="7"/>
      <c r="O2386" s="74"/>
      <c r="P2386" s="74"/>
      <c r="R2386" s="7"/>
      <c r="S2386" s="7"/>
      <c r="T2386" s="66"/>
    </row>
    <row r="2387" spans="1:20" ht="13.2">
      <c r="A2387" s="7"/>
      <c r="B2387" s="7"/>
      <c r="C2387" s="74"/>
      <c r="D2387" s="74"/>
      <c r="F2387" s="7"/>
      <c r="G2387" s="74"/>
      <c r="H2387" s="74"/>
      <c r="J2387" s="7"/>
      <c r="K2387" s="74"/>
      <c r="L2387" s="74"/>
      <c r="N2387" s="7"/>
      <c r="O2387" s="74"/>
      <c r="P2387" s="74"/>
      <c r="R2387" s="7"/>
      <c r="S2387" s="7"/>
      <c r="T2387" s="66"/>
    </row>
    <row r="2388" spans="1:20" ht="13.2">
      <c r="A2388" s="7"/>
      <c r="B2388" s="7"/>
      <c r="C2388" s="74"/>
      <c r="D2388" s="74"/>
      <c r="F2388" s="7"/>
      <c r="G2388" s="74"/>
      <c r="H2388" s="74"/>
      <c r="J2388" s="7"/>
      <c r="K2388" s="74"/>
      <c r="L2388" s="74"/>
      <c r="N2388" s="7"/>
      <c r="O2388" s="74"/>
      <c r="P2388" s="74"/>
      <c r="R2388" s="7"/>
      <c r="S2388" s="7"/>
      <c r="T2388" s="66"/>
    </row>
    <row r="2389" spans="1:20" ht="13.2">
      <c r="A2389" s="7"/>
      <c r="B2389" s="7"/>
      <c r="C2389" s="74"/>
      <c r="D2389" s="74"/>
      <c r="F2389" s="7"/>
      <c r="G2389" s="74"/>
      <c r="H2389" s="74"/>
      <c r="J2389" s="7"/>
      <c r="K2389" s="74"/>
      <c r="L2389" s="74"/>
      <c r="N2389" s="7"/>
      <c r="O2389" s="74"/>
      <c r="P2389" s="74"/>
      <c r="R2389" s="7"/>
      <c r="S2389" s="7"/>
      <c r="T2389" s="66"/>
    </row>
    <row r="2390" spans="1:20" ht="13.2">
      <c r="A2390" s="7"/>
      <c r="B2390" s="7"/>
      <c r="C2390" s="74"/>
      <c r="D2390" s="74"/>
      <c r="F2390" s="7"/>
      <c r="G2390" s="74"/>
      <c r="H2390" s="74"/>
      <c r="J2390" s="7"/>
      <c r="K2390" s="74"/>
      <c r="L2390" s="74"/>
      <c r="N2390" s="7"/>
      <c r="O2390" s="74"/>
      <c r="P2390" s="74"/>
      <c r="R2390" s="7"/>
      <c r="S2390" s="7"/>
      <c r="T2390" s="66"/>
    </row>
    <row r="2391" spans="1:20" ht="13.2">
      <c r="A2391" s="7"/>
      <c r="B2391" s="7"/>
      <c r="C2391" s="74"/>
      <c r="D2391" s="74"/>
      <c r="F2391" s="7"/>
      <c r="G2391" s="74"/>
      <c r="H2391" s="74"/>
      <c r="J2391" s="7"/>
      <c r="K2391" s="74"/>
      <c r="L2391" s="74"/>
      <c r="N2391" s="7"/>
      <c r="O2391" s="74"/>
      <c r="P2391" s="74"/>
      <c r="R2391" s="7"/>
      <c r="S2391" s="7"/>
      <c r="T2391" s="66"/>
    </row>
    <row r="2392" spans="1:20" ht="13.2">
      <c r="A2392" s="7"/>
      <c r="B2392" s="7"/>
      <c r="C2392" s="74"/>
      <c r="D2392" s="74"/>
      <c r="F2392" s="7"/>
      <c r="G2392" s="74"/>
      <c r="H2392" s="74"/>
      <c r="J2392" s="7"/>
      <c r="K2392" s="74"/>
      <c r="L2392" s="74"/>
      <c r="N2392" s="7"/>
      <c r="O2392" s="74"/>
      <c r="P2392" s="74"/>
      <c r="R2392" s="7"/>
      <c r="S2392" s="7"/>
      <c r="T2392" s="66"/>
    </row>
    <row r="2393" spans="1:20" ht="13.2">
      <c r="A2393" s="7"/>
      <c r="B2393" s="7"/>
      <c r="C2393" s="74"/>
      <c r="D2393" s="74"/>
      <c r="F2393" s="7"/>
      <c r="G2393" s="74"/>
      <c r="H2393" s="74"/>
      <c r="J2393" s="7"/>
      <c r="K2393" s="74"/>
      <c r="L2393" s="74"/>
      <c r="N2393" s="7"/>
      <c r="O2393" s="74"/>
      <c r="P2393" s="74"/>
      <c r="R2393" s="7"/>
      <c r="S2393" s="7"/>
      <c r="T2393" s="66"/>
    </row>
    <row r="2394" spans="1:20" ht="13.2">
      <c r="A2394" s="7"/>
      <c r="B2394" s="7"/>
      <c r="C2394" s="74"/>
      <c r="D2394" s="74"/>
      <c r="F2394" s="7"/>
      <c r="G2394" s="74"/>
      <c r="H2394" s="74"/>
      <c r="J2394" s="7"/>
      <c r="K2394" s="74"/>
      <c r="L2394" s="74"/>
      <c r="N2394" s="7"/>
      <c r="O2394" s="74"/>
      <c r="P2394" s="74"/>
      <c r="R2394" s="7"/>
      <c r="S2394" s="7"/>
      <c r="T2394" s="66"/>
    </row>
    <row r="2395" spans="1:20" ht="13.2">
      <c r="A2395" s="7"/>
      <c r="B2395" s="7"/>
      <c r="C2395" s="74"/>
      <c r="D2395" s="74"/>
      <c r="F2395" s="7"/>
      <c r="G2395" s="74"/>
      <c r="H2395" s="74"/>
      <c r="J2395" s="7"/>
      <c r="K2395" s="74"/>
      <c r="L2395" s="74"/>
      <c r="N2395" s="7"/>
      <c r="O2395" s="74"/>
      <c r="P2395" s="74"/>
      <c r="R2395" s="7"/>
      <c r="S2395" s="7"/>
      <c r="T2395" s="66"/>
    </row>
    <row r="2396" spans="1:20" ht="13.2">
      <c r="A2396" s="7"/>
      <c r="B2396" s="7"/>
      <c r="C2396" s="74"/>
      <c r="D2396" s="74"/>
      <c r="F2396" s="7"/>
      <c r="G2396" s="74"/>
      <c r="H2396" s="74"/>
      <c r="J2396" s="7"/>
      <c r="K2396" s="74"/>
      <c r="L2396" s="74"/>
      <c r="N2396" s="7"/>
      <c r="O2396" s="74"/>
      <c r="P2396" s="74"/>
      <c r="R2396" s="7"/>
      <c r="S2396" s="7"/>
      <c r="T2396" s="66"/>
    </row>
    <row r="2397" spans="1:20" ht="13.2">
      <c r="A2397" s="7"/>
      <c r="B2397" s="7"/>
      <c r="C2397" s="74"/>
      <c r="D2397" s="74"/>
      <c r="F2397" s="7"/>
      <c r="G2397" s="74"/>
      <c r="H2397" s="74"/>
      <c r="J2397" s="7"/>
      <c r="K2397" s="74"/>
      <c r="L2397" s="74"/>
      <c r="N2397" s="7"/>
      <c r="O2397" s="74"/>
      <c r="P2397" s="74"/>
      <c r="R2397" s="7"/>
      <c r="S2397" s="7"/>
      <c r="T2397" s="66"/>
    </row>
    <row r="2398" spans="1:20" ht="13.2">
      <c r="A2398" s="7"/>
      <c r="B2398" s="7"/>
      <c r="C2398" s="74"/>
      <c r="D2398" s="74"/>
      <c r="F2398" s="7"/>
      <c r="G2398" s="74"/>
      <c r="H2398" s="74"/>
      <c r="J2398" s="7"/>
      <c r="K2398" s="74"/>
      <c r="L2398" s="74"/>
      <c r="N2398" s="7"/>
      <c r="O2398" s="74"/>
      <c r="P2398" s="74"/>
      <c r="R2398" s="7"/>
      <c r="S2398" s="7"/>
      <c r="T2398" s="66"/>
    </row>
    <row r="2399" spans="1:20" ht="13.2">
      <c r="A2399" s="7"/>
      <c r="B2399" s="7"/>
      <c r="C2399" s="74"/>
      <c r="D2399" s="74"/>
      <c r="F2399" s="7"/>
      <c r="G2399" s="74"/>
      <c r="H2399" s="74"/>
      <c r="J2399" s="7"/>
      <c r="K2399" s="74"/>
      <c r="L2399" s="74"/>
      <c r="N2399" s="7"/>
      <c r="O2399" s="74"/>
      <c r="P2399" s="74"/>
      <c r="R2399" s="7"/>
      <c r="S2399" s="7"/>
      <c r="T2399" s="66"/>
    </row>
    <row r="2400" spans="1:20" ht="13.2">
      <c r="A2400" s="7"/>
      <c r="B2400" s="7"/>
      <c r="C2400" s="74"/>
      <c r="D2400" s="74"/>
      <c r="F2400" s="7"/>
      <c r="G2400" s="74"/>
      <c r="H2400" s="74"/>
      <c r="J2400" s="7"/>
      <c r="K2400" s="74"/>
      <c r="L2400" s="74"/>
      <c r="N2400" s="7"/>
      <c r="O2400" s="74"/>
      <c r="P2400" s="74"/>
      <c r="R2400" s="7"/>
      <c r="S2400" s="7"/>
      <c r="T2400" s="66"/>
    </row>
    <row r="2401" spans="1:20" ht="13.2">
      <c r="A2401" s="7"/>
      <c r="B2401" s="7"/>
      <c r="C2401" s="74"/>
      <c r="D2401" s="74"/>
      <c r="F2401" s="7"/>
      <c r="G2401" s="74"/>
      <c r="H2401" s="74"/>
      <c r="J2401" s="7"/>
      <c r="K2401" s="74"/>
      <c r="L2401" s="74"/>
      <c r="N2401" s="7"/>
      <c r="O2401" s="74"/>
      <c r="P2401" s="74"/>
      <c r="R2401" s="7"/>
      <c r="S2401" s="7"/>
      <c r="T2401" s="66"/>
    </row>
    <row r="2402" spans="1:20" ht="13.2">
      <c r="A2402" s="7"/>
      <c r="B2402" s="7"/>
      <c r="C2402" s="74"/>
      <c r="D2402" s="74"/>
      <c r="F2402" s="7"/>
      <c r="G2402" s="74"/>
      <c r="H2402" s="74"/>
      <c r="J2402" s="7"/>
      <c r="K2402" s="74"/>
      <c r="L2402" s="74"/>
      <c r="N2402" s="7"/>
      <c r="O2402" s="74"/>
      <c r="P2402" s="74"/>
      <c r="R2402" s="7"/>
      <c r="S2402" s="7"/>
      <c r="T2402" s="66"/>
    </row>
    <row r="2403" spans="1:20" ht="13.2">
      <c r="A2403" s="7"/>
      <c r="B2403" s="7"/>
      <c r="C2403" s="74"/>
      <c r="D2403" s="74"/>
      <c r="F2403" s="7"/>
      <c r="G2403" s="74"/>
      <c r="H2403" s="74"/>
      <c r="J2403" s="7"/>
      <c r="K2403" s="74"/>
      <c r="L2403" s="74"/>
      <c r="N2403" s="7"/>
      <c r="O2403" s="74"/>
      <c r="P2403" s="74"/>
      <c r="R2403" s="7"/>
      <c r="S2403" s="7"/>
      <c r="T2403" s="66"/>
    </row>
    <row r="2404" spans="1:20" ht="13.2">
      <c r="A2404" s="7"/>
      <c r="B2404" s="7"/>
      <c r="C2404" s="74"/>
      <c r="D2404" s="74"/>
      <c r="F2404" s="7"/>
      <c r="G2404" s="74"/>
      <c r="H2404" s="74"/>
      <c r="J2404" s="7"/>
      <c r="K2404" s="74"/>
      <c r="L2404" s="74"/>
      <c r="N2404" s="7"/>
      <c r="O2404" s="74"/>
      <c r="P2404" s="74"/>
      <c r="R2404" s="7"/>
      <c r="S2404" s="7"/>
      <c r="T2404" s="66"/>
    </row>
    <row r="2405" spans="1:20" ht="13.2">
      <c r="A2405" s="7"/>
      <c r="B2405" s="7"/>
      <c r="C2405" s="74"/>
      <c r="D2405" s="74"/>
      <c r="F2405" s="7"/>
      <c r="G2405" s="74"/>
      <c r="H2405" s="74"/>
      <c r="J2405" s="7"/>
      <c r="K2405" s="74"/>
      <c r="L2405" s="74"/>
      <c r="N2405" s="7"/>
      <c r="O2405" s="74"/>
      <c r="P2405" s="74"/>
      <c r="R2405" s="7"/>
      <c r="S2405" s="7"/>
      <c r="T2405" s="66"/>
    </row>
    <row r="2406" spans="1:20" ht="13.2">
      <c r="A2406" s="7"/>
      <c r="B2406" s="7"/>
      <c r="C2406" s="74"/>
      <c r="D2406" s="74"/>
      <c r="F2406" s="7"/>
      <c r="G2406" s="74"/>
      <c r="H2406" s="74"/>
      <c r="J2406" s="7"/>
      <c r="K2406" s="74"/>
      <c r="L2406" s="74"/>
      <c r="N2406" s="7"/>
      <c r="O2406" s="74"/>
      <c r="P2406" s="74"/>
      <c r="R2406" s="7"/>
      <c r="S2406" s="7"/>
      <c r="T2406" s="66"/>
    </row>
    <row r="2407" spans="1:20" ht="13.2">
      <c r="A2407" s="7"/>
      <c r="B2407" s="7"/>
      <c r="C2407" s="74"/>
      <c r="D2407" s="74"/>
      <c r="F2407" s="7"/>
      <c r="G2407" s="74"/>
      <c r="H2407" s="74"/>
      <c r="J2407" s="7"/>
      <c r="K2407" s="74"/>
      <c r="L2407" s="74"/>
      <c r="N2407" s="7"/>
      <c r="O2407" s="74"/>
      <c r="P2407" s="74"/>
      <c r="R2407" s="7"/>
      <c r="S2407" s="7"/>
      <c r="T2407" s="66"/>
    </row>
    <row r="2408" spans="1:20" ht="13.2">
      <c r="A2408" s="7"/>
      <c r="B2408" s="7"/>
      <c r="C2408" s="74"/>
      <c r="D2408" s="74"/>
      <c r="F2408" s="7"/>
      <c r="G2408" s="74"/>
      <c r="H2408" s="74"/>
      <c r="J2408" s="7"/>
      <c r="K2408" s="74"/>
      <c r="L2408" s="74"/>
      <c r="N2408" s="7"/>
      <c r="O2408" s="74"/>
      <c r="P2408" s="74"/>
      <c r="R2408" s="7"/>
      <c r="S2408" s="7"/>
      <c r="T2408" s="66"/>
    </row>
    <row r="2409" spans="1:20" ht="13.2">
      <c r="A2409" s="7"/>
      <c r="B2409" s="7"/>
      <c r="C2409" s="74"/>
      <c r="D2409" s="74"/>
      <c r="F2409" s="7"/>
      <c r="G2409" s="74"/>
      <c r="H2409" s="74"/>
      <c r="J2409" s="7"/>
      <c r="K2409" s="74"/>
      <c r="L2409" s="74"/>
      <c r="N2409" s="7"/>
      <c r="O2409" s="74"/>
      <c r="P2409" s="74"/>
      <c r="R2409" s="7"/>
      <c r="S2409" s="7"/>
      <c r="T2409" s="66"/>
    </row>
    <row r="2410" spans="1:20" ht="13.2">
      <c r="A2410" s="7"/>
      <c r="B2410" s="7"/>
      <c r="C2410" s="74"/>
      <c r="D2410" s="74"/>
      <c r="F2410" s="7"/>
      <c r="G2410" s="74"/>
      <c r="H2410" s="74"/>
      <c r="J2410" s="7"/>
      <c r="K2410" s="74"/>
      <c r="L2410" s="74"/>
      <c r="N2410" s="7"/>
      <c r="O2410" s="74"/>
      <c r="P2410" s="74"/>
      <c r="R2410" s="7"/>
      <c r="S2410" s="7"/>
      <c r="T2410" s="66"/>
    </row>
    <row r="2411" spans="1:20" ht="13.2">
      <c r="A2411" s="7"/>
      <c r="B2411" s="7"/>
      <c r="C2411" s="74"/>
      <c r="D2411" s="74"/>
      <c r="F2411" s="7"/>
      <c r="G2411" s="74"/>
      <c r="H2411" s="74"/>
      <c r="J2411" s="7"/>
      <c r="K2411" s="74"/>
      <c r="L2411" s="74"/>
      <c r="N2411" s="7"/>
      <c r="O2411" s="74"/>
      <c r="P2411" s="74"/>
      <c r="R2411" s="7"/>
      <c r="S2411" s="7"/>
      <c r="T2411" s="66"/>
    </row>
    <row r="2412" spans="1:20" ht="13.2">
      <c r="A2412" s="7"/>
      <c r="B2412" s="7"/>
      <c r="C2412" s="74"/>
      <c r="D2412" s="74"/>
      <c r="F2412" s="7"/>
      <c r="G2412" s="74"/>
      <c r="H2412" s="74"/>
      <c r="J2412" s="7"/>
      <c r="K2412" s="74"/>
      <c r="L2412" s="74"/>
      <c r="N2412" s="7"/>
      <c r="O2412" s="74"/>
      <c r="P2412" s="74"/>
      <c r="R2412" s="7"/>
      <c r="S2412" s="7"/>
      <c r="T2412" s="66"/>
    </row>
    <row r="2413" spans="1:20" ht="13.2">
      <c r="A2413" s="7"/>
      <c r="B2413" s="7"/>
      <c r="C2413" s="74"/>
      <c r="D2413" s="74"/>
      <c r="F2413" s="7"/>
      <c r="G2413" s="74"/>
      <c r="H2413" s="74"/>
      <c r="J2413" s="7"/>
      <c r="K2413" s="74"/>
      <c r="L2413" s="74"/>
      <c r="N2413" s="7"/>
      <c r="O2413" s="74"/>
      <c r="P2413" s="74"/>
      <c r="R2413" s="7"/>
      <c r="S2413" s="7"/>
      <c r="T2413" s="66"/>
    </row>
    <row r="2414" spans="1:20" ht="13.2">
      <c r="A2414" s="7"/>
      <c r="B2414" s="7"/>
      <c r="C2414" s="74"/>
      <c r="D2414" s="74"/>
      <c r="F2414" s="7"/>
      <c r="G2414" s="74"/>
      <c r="H2414" s="74"/>
      <c r="J2414" s="7"/>
      <c r="K2414" s="74"/>
      <c r="L2414" s="74"/>
      <c r="N2414" s="7"/>
      <c r="O2414" s="74"/>
      <c r="P2414" s="74"/>
      <c r="R2414" s="7"/>
      <c r="S2414" s="7"/>
      <c r="T2414" s="66"/>
    </row>
    <row r="2415" spans="1:20" ht="13.2">
      <c r="A2415" s="7"/>
      <c r="B2415" s="7"/>
      <c r="C2415" s="74"/>
      <c r="D2415" s="74"/>
      <c r="F2415" s="7"/>
      <c r="G2415" s="74"/>
      <c r="H2415" s="74"/>
      <c r="J2415" s="7"/>
      <c r="K2415" s="74"/>
      <c r="L2415" s="74"/>
      <c r="N2415" s="7"/>
      <c r="O2415" s="74"/>
      <c r="P2415" s="74"/>
      <c r="R2415" s="7"/>
      <c r="S2415" s="7"/>
      <c r="T2415" s="66"/>
    </row>
    <row r="2416" spans="1:20" ht="13.2">
      <c r="A2416" s="7"/>
      <c r="B2416" s="7"/>
      <c r="C2416" s="74"/>
      <c r="D2416" s="74"/>
      <c r="F2416" s="7"/>
      <c r="G2416" s="74"/>
      <c r="H2416" s="74"/>
      <c r="J2416" s="7"/>
      <c r="K2416" s="74"/>
      <c r="L2416" s="74"/>
      <c r="N2416" s="7"/>
      <c r="O2416" s="74"/>
      <c r="P2416" s="74"/>
      <c r="R2416" s="7"/>
      <c r="S2416" s="7"/>
      <c r="T2416" s="66"/>
    </row>
    <row r="2417" spans="1:20" ht="13.2">
      <c r="A2417" s="7"/>
      <c r="B2417" s="7"/>
      <c r="C2417" s="74"/>
      <c r="D2417" s="74"/>
      <c r="F2417" s="7"/>
      <c r="G2417" s="74"/>
      <c r="H2417" s="74"/>
      <c r="J2417" s="7"/>
      <c r="K2417" s="74"/>
      <c r="L2417" s="74"/>
      <c r="N2417" s="7"/>
      <c r="O2417" s="74"/>
      <c r="P2417" s="74"/>
      <c r="R2417" s="7"/>
      <c r="S2417" s="7"/>
      <c r="T2417" s="66"/>
    </row>
    <row r="2418" spans="1:20" ht="13.2">
      <c r="A2418" s="7"/>
      <c r="B2418" s="7"/>
      <c r="C2418" s="74"/>
      <c r="D2418" s="74"/>
      <c r="F2418" s="7"/>
      <c r="G2418" s="74"/>
      <c r="H2418" s="74"/>
      <c r="J2418" s="7"/>
      <c r="K2418" s="74"/>
      <c r="L2418" s="74"/>
      <c r="N2418" s="7"/>
      <c r="O2418" s="74"/>
      <c r="P2418" s="74"/>
      <c r="R2418" s="7"/>
      <c r="S2418" s="7"/>
      <c r="T2418" s="66"/>
    </row>
    <row r="2419" spans="1:20" ht="13.2">
      <c r="A2419" s="7"/>
      <c r="B2419" s="7"/>
      <c r="C2419" s="74"/>
      <c r="D2419" s="74"/>
      <c r="F2419" s="7"/>
      <c r="G2419" s="74"/>
      <c r="H2419" s="74"/>
      <c r="J2419" s="7"/>
      <c r="K2419" s="74"/>
      <c r="L2419" s="74"/>
      <c r="N2419" s="7"/>
      <c r="O2419" s="74"/>
      <c r="P2419" s="74"/>
      <c r="R2419" s="7"/>
      <c r="S2419" s="7"/>
      <c r="T2419" s="66"/>
    </row>
    <row r="2420" spans="1:20" ht="13.2">
      <c r="A2420" s="7"/>
      <c r="B2420" s="7"/>
      <c r="C2420" s="74"/>
      <c r="D2420" s="74"/>
      <c r="F2420" s="7"/>
      <c r="G2420" s="74"/>
      <c r="H2420" s="74"/>
      <c r="J2420" s="7"/>
      <c r="K2420" s="74"/>
      <c r="L2420" s="74"/>
      <c r="N2420" s="7"/>
      <c r="O2420" s="74"/>
      <c r="P2420" s="74"/>
      <c r="R2420" s="7"/>
      <c r="S2420" s="7"/>
      <c r="T2420" s="66"/>
    </row>
    <row r="2421" spans="1:20" ht="13.2">
      <c r="A2421" s="7"/>
      <c r="B2421" s="7"/>
      <c r="C2421" s="74"/>
      <c r="D2421" s="74"/>
      <c r="F2421" s="7"/>
      <c r="G2421" s="74"/>
      <c r="H2421" s="74"/>
      <c r="J2421" s="7"/>
      <c r="K2421" s="74"/>
      <c r="L2421" s="74"/>
      <c r="N2421" s="7"/>
      <c r="O2421" s="74"/>
      <c r="P2421" s="74"/>
      <c r="R2421" s="7"/>
      <c r="S2421" s="7"/>
      <c r="T2421" s="66"/>
    </row>
    <row r="2422" spans="1:20" ht="13.2">
      <c r="A2422" s="7"/>
      <c r="B2422" s="7"/>
      <c r="C2422" s="74"/>
      <c r="D2422" s="74"/>
      <c r="F2422" s="7"/>
      <c r="G2422" s="74"/>
      <c r="H2422" s="74"/>
      <c r="J2422" s="7"/>
      <c r="K2422" s="74"/>
      <c r="L2422" s="74"/>
      <c r="N2422" s="7"/>
      <c r="O2422" s="74"/>
      <c r="P2422" s="74"/>
      <c r="R2422" s="7"/>
      <c r="S2422" s="7"/>
      <c r="T2422" s="66"/>
    </row>
    <row r="2423" spans="1:20" ht="13.2">
      <c r="A2423" s="7"/>
      <c r="B2423" s="7"/>
      <c r="C2423" s="74"/>
      <c r="D2423" s="74"/>
      <c r="F2423" s="7"/>
      <c r="G2423" s="74"/>
      <c r="H2423" s="74"/>
      <c r="J2423" s="7"/>
      <c r="K2423" s="74"/>
      <c r="L2423" s="74"/>
      <c r="N2423" s="7"/>
      <c r="O2423" s="74"/>
      <c r="P2423" s="74"/>
      <c r="R2423" s="7"/>
      <c r="S2423" s="7"/>
      <c r="T2423" s="66"/>
    </row>
    <row r="2424" spans="1:20" ht="13.2">
      <c r="A2424" s="7"/>
      <c r="B2424" s="7"/>
      <c r="C2424" s="74"/>
      <c r="D2424" s="74"/>
      <c r="F2424" s="7"/>
      <c r="G2424" s="74"/>
      <c r="H2424" s="74"/>
      <c r="J2424" s="7"/>
      <c r="K2424" s="74"/>
      <c r="L2424" s="74"/>
      <c r="N2424" s="7"/>
      <c r="O2424" s="74"/>
      <c r="P2424" s="74"/>
      <c r="R2424" s="7"/>
      <c r="S2424" s="7"/>
      <c r="T2424" s="66"/>
    </row>
    <row r="2425" spans="1:20" ht="13.2">
      <c r="A2425" s="7"/>
      <c r="B2425" s="7"/>
      <c r="C2425" s="74"/>
      <c r="D2425" s="74"/>
      <c r="F2425" s="7"/>
      <c r="G2425" s="74"/>
      <c r="H2425" s="74"/>
      <c r="J2425" s="7"/>
      <c r="K2425" s="74"/>
      <c r="L2425" s="74"/>
      <c r="N2425" s="7"/>
      <c r="O2425" s="74"/>
      <c r="P2425" s="74"/>
      <c r="R2425" s="7"/>
      <c r="S2425" s="7"/>
      <c r="T2425" s="66"/>
    </row>
    <row r="2426" spans="1:20" ht="13.2">
      <c r="A2426" s="7"/>
      <c r="B2426" s="7"/>
      <c r="C2426" s="74"/>
      <c r="D2426" s="74"/>
      <c r="F2426" s="7"/>
      <c r="G2426" s="74"/>
      <c r="H2426" s="74"/>
      <c r="J2426" s="7"/>
      <c r="K2426" s="74"/>
      <c r="L2426" s="74"/>
      <c r="N2426" s="7"/>
      <c r="O2426" s="74"/>
      <c r="P2426" s="74"/>
      <c r="R2426" s="7"/>
      <c r="S2426" s="7"/>
      <c r="T2426" s="66"/>
    </row>
    <row r="2427" spans="1:20" ht="13.2">
      <c r="A2427" s="7"/>
      <c r="B2427" s="7"/>
      <c r="C2427" s="74"/>
      <c r="D2427" s="74"/>
      <c r="F2427" s="7"/>
      <c r="G2427" s="74"/>
      <c r="H2427" s="74"/>
      <c r="J2427" s="7"/>
      <c r="K2427" s="74"/>
      <c r="L2427" s="74"/>
      <c r="N2427" s="7"/>
      <c r="O2427" s="74"/>
      <c r="P2427" s="74"/>
      <c r="R2427" s="7"/>
      <c r="S2427" s="7"/>
      <c r="T2427" s="66"/>
    </row>
    <row r="2428" spans="1:20" ht="13.2">
      <c r="A2428" s="7"/>
      <c r="B2428" s="7"/>
      <c r="C2428" s="74"/>
      <c r="D2428" s="74"/>
      <c r="F2428" s="7"/>
      <c r="G2428" s="74"/>
      <c r="H2428" s="74"/>
      <c r="J2428" s="7"/>
      <c r="K2428" s="74"/>
      <c r="L2428" s="74"/>
      <c r="N2428" s="7"/>
      <c r="O2428" s="74"/>
      <c r="P2428" s="74"/>
      <c r="R2428" s="7"/>
      <c r="S2428" s="7"/>
      <c r="T2428" s="66"/>
    </row>
    <row r="2429" spans="1:20" ht="13.2">
      <c r="A2429" s="7"/>
      <c r="B2429" s="7"/>
      <c r="C2429" s="74"/>
      <c r="D2429" s="74"/>
      <c r="F2429" s="7"/>
      <c r="G2429" s="74"/>
      <c r="H2429" s="74"/>
      <c r="J2429" s="7"/>
      <c r="K2429" s="74"/>
      <c r="L2429" s="74"/>
      <c r="N2429" s="7"/>
      <c r="O2429" s="74"/>
      <c r="P2429" s="74"/>
      <c r="R2429" s="7"/>
      <c r="S2429" s="7"/>
      <c r="T2429" s="66"/>
    </row>
    <row r="2430" spans="1:20" ht="13.2">
      <c r="A2430" s="7"/>
      <c r="B2430" s="7"/>
      <c r="C2430" s="74"/>
      <c r="D2430" s="74"/>
      <c r="F2430" s="7"/>
      <c r="G2430" s="74"/>
      <c r="H2430" s="74"/>
      <c r="J2430" s="7"/>
      <c r="K2430" s="74"/>
      <c r="L2430" s="74"/>
      <c r="N2430" s="7"/>
      <c r="O2430" s="74"/>
      <c r="P2430" s="74"/>
      <c r="R2430" s="7"/>
      <c r="S2430" s="7"/>
      <c r="T2430" s="66"/>
    </row>
    <row r="2431" spans="1:20" ht="13.2">
      <c r="A2431" s="7"/>
      <c r="B2431" s="7"/>
      <c r="C2431" s="74"/>
      <c r="D2431" s="74"/>
      <c r="F2431" s="7"/>
      <c r="G2431" s="74"/>
      <c r="H2431" s="74"/>
      <c r="J2431" s="7"/>
      <c r="K2431" s="74"/>
      <c r="L2431" s="74"/>
      <c r="N2431" s="7"/>
      <c r="O2431" s="74"/>
      <c r="P2431" s="74"/>
      <c r="R2431" s="7"/>
      <c r="S2431" s="7"/>
      <c r="T2431" s="66"/>
    </row>
    <row r="2432" spans="1:20" ht="13.2">
      <c r="A2432" s="7"/>
      <c r="B2432" s="7"/>
      <c r="C2432" s="74"/>
      <c r="D2432" s="74"/>
      <c r="F2432" s="7"/>
      <c r="G2432" s="74"/>
      <c r="H2432" s="74"/>
      <c r="J2432" s="7"/>
      <c r="K2432" s="74"/>
      <c r="L2432" s="74"/>
      <c r="N2432" s="7"/>
      <c r="O2432" s="74"/>
      <c r="P2432" s="74"/>
      <c r="R2432" s="7"/>
      <c r="S2432" s="7"/>
      <c r="T2432" s="66"/>
    </row>
    <row r="2433" spans="1:20" ht="13.2">
      <c r="A2433" s="7"/>
      <c r="B2433" s="7"/>
      <c r="C2433" s="74"/>
      <c r="D2433" s="74"/>
      <c r="F2433" s="7"/>
      <c r="G2433" s="74"/>
      <c r="H2433" s="74"/>
      <c r="J2433" s="7"/>
      <c r="K2433" s="74"/>
      <c r="L2433" s="74"/>
      <c r="N2433" s="7"/>
      <c r="O2433" s="74"/>
      <c r="P2433" s="74"/>
      <c r="R2433" s="7"/>
      <c r="S2433" s="7"/>
      <c r="T2433" s="66"/>
    </row>
    <row r="2434" spans="1:20" ht="13.2">
      <c r="A2434" s="7"/>
      <c r="B2434" s="7"/>
      <c r="C2434" s="74"/>
      <c r="D2434" s="74"/>
      <c r="F2434" s="7"/>
      <c r="G2434" s="74"/>
      <c r="H2434" s="74"/>
      <c r="J2434" s="7"/>
      <c r="K2434" s="74"/>
      <c r="L2434" s="74"/>
      <c r="N2434" s="7"/>
      <c r="O2434" s="74"/>
      <c r="P2434" s="74"/>
      <c r="R2434" s="7"/>
      <c r="S2434" s="7"/>
      <c r="T2434" s="66"/>
    </row>
    <row r="2435" spans="1:20" ht="13.2">
      <c r="A2435" s="7"/>
      <c r="B2435" s="7"/>
      <c r="C2435" s="74"/>
      <c r="D2435" s="74"/>
      <c r="F2435" s="7"/>
      <c r="G2435" s="74"/>
      <c r="H2435" s="74"/>
      <c r="J2435" s="7"/>
      <c r="K2435" s="74"/>
      <c r="L2435" s="74"/>
      <c r="N2435" s="7"/>
      <c r="O2435" s="74"/>
      <c r="P2435" s="74"/>
      <c r="R2435" s="7"/>
      <c r="S2435" s="7"/>
      <c r="T2435" s="66"/>
    </row>
    <row r="2436" spans="1:20" ht="13.2">
      <c r="A2436" s="7"/>
      <c r="B2436" s="7"/>
      <c r="C2436" s="74"/>
      <c r="D2436" s="74"/>
      <c r="F2436" s="7"/>
      <c r="G2436" s="74"/>
      <c r="H2436" s="74"/>
      <c r="J2436" s="7"/>
      <c r="K2436" s="74"/>
      <c r="L2436" s="74"/>
      <c r="N2436" s="7"/>
      <c r="O2436" s="74"/>
      <c r="P2436" s="74"/>
      <c r="R2436" s="7"/>
      <c r="S2436" s="7"/>
      <c r="T2436" s="66"/>
    </row>
    <row r="2437" spans="1:20" ht="13.2">
      <c r="A2437" s="7"/>
      <c r="B2437" s="7"/>
      <c r="C2437" s="74"/>
      <c r="D2437" s="74"/>
      <c r="F2437" s="7"/>
      <c r="G2437" s="74"/>
      <c r="H2437" s="74"/>
      <c r="J2437" s="7"/>
      <c r="K2437" s="74"/>
      <c r="L2437" s="74"/>
      <c r="N2437" s="7"/>
      <c r="O2437" s="74"/>
      <c r="P2437" s="74"/>
      <c r="R2437" s="7"/>
      <c r="S2437" s="7"/>
      <c r="T2437" s="66"/>
    </row>
    <row r="2438" spans="1:20" ht="13.2">
      <c r="A2438" s="7"/>
      <c r="B2438" s="7"/>
      <c r="C2438" s="74"/>
      <c r="D2438" s="74"/>
      <c r="F2438" s="7"/>
      <c r="G2438" s="74"/>
      <c r="H2438" s="74"/>
      <c r="J2438" s="7"/>
      <c r="K2438" s="74"/>
      <c r="L2438" s="74"/>
      <c r="N2438" s="7"/>
      <c r="O2438" s="74"/>
      <c r="P2438" s="74"/>
      <c r="R2438" s="7"/>
      <c r="S2438" s="7"/>
      <c r="T2438" s="66"/>
    </row>
    <row r="2439" spans="1:20" ht="13.2">
      <c r="A2439" s="7"/>
      <c r="B2439" s="7"/>
      <c r="C2439" s="74"/>
      <c r="D2439" s="74"/>
      <c r="F2439" s="7"/>
      <c r="G2439" s="74"/>
      <c r="H2439" s="74"/>
      <c r="J2439" s="7"/>
      <c r="K2439" s="74"/>
      <c r="L2439" s="74"/>
      <c r="N2439" s="7"/>
      <c r="O2439" s="74"/>
      <c r="P2439" s="74"/>
      <c r="R2439" s="7"/>
      <c r="S2439" s="7"/>
      <c r="T2439" s="66"/>
    </row>
    <row r="2440" spans="1:20" ht="13.2">
      <c r="A2440" s="7"/>
      <c r="B2440" s="7"/>
      <c r="C2440" s="74"/>
      <c r="D2440" s="74"/>
      <c r="F2440" s="7"/>
      <c r="G2440" s="74"/>
      <c r="H2440" s="74"/>
      <c r="J2440" s="7"/>
      <c r="K2440" s="74"/>
      <c r="L2440" s="74"/>
      <c r="N2440" s="7"/>
      <c r="O2440" s="74"/>
      <c r="P2440" s="74"/>
      <c r="R2440" s="7"/>
      <c r="S2440" s="7"/>
      <c r="T2440" s="66"/>
    </row>
    <row r="2441" spans="1:20" ht="13.2">
      <c r="A2441" s="7"/>
      <c r="B2441" s="7"/>
      <c r="C2441" s="74"/>
      <c r="D2441" s="74"/>
      <c r="F2441" s="7"/>
      <c r="G2441" s="74"/>
      <c r="H2441" s="74"/>
      <c r="J2441" s="7"/>
      <c r="K2441" s="74"/>
      <c r="L2441" s="74"/>
      <c r="N2441" s="7"/>
      <c r="O2441" s="74"/>
      <c r="P2441" s="74"/>
      <c r="R2441" s="7"/>
      <c r="S2441" s="7"/>
      <c r="T2441" s="66"/>
    </row>
    <row r="2442" spans="1:20" ht="13.2">
      <c r="A2442" s="7"/>
      <c r="B2442" s="7"/>
      <c r="C2442" s="74"/>
      <c r="D2442" s="74"/>
      <c r="F2442" s="7"/>
      <c r="G2442" s="74"/>
      <c r="H2442" s="74"/>
      <c r="J2442" s="7"/>
      <c r="K2442" s="74"/>
      <c r="L2442" s="74"/>
      <c r="N2442" s="7"/>
      <c r="O2442" s="74"/>
      <c r="P2442" s="74"/>
      <c r="R2442" s="7"/>
      <c r="S2442" s="7"/>
      <c r="T2442" s="66"/>
    </row>
    <row r="2443" spans="1:20" ht="13.2">
      <c r="A2443" s="7"/>
      <c r="B2443" s="7"/>
      <c r="C2443" s="74"/>
      <c r="D2443" s="74"/>
      <c r="F2443" s="7"/>
      <c r="G2443" s="74"/>
      <c r="H2443" s="74"/>
      <c r="J2443" s="7"/>
      <c r="K2443" s="74"/>
      <c r="L2443" s="74"/>
      <c r="N2443" s="7"/>
      <c r="O2443" s="74"/>
      <c r="P2443" s="74"/>
      <c r="R2443" s="7"/>
      <c r="S2443" s="7"/>
      <c r="T2443" s="66"/>
    </row>
    <row r="2444" spans="1:20" ht="13.2">
      <c r="A2444" s="7"/>
      <c r="B2444" s="7"/>
      <c r="C2444" s="74"/>
      <c r="D2444" s="74"/>
      <c r="F2444" s="7"/>
      <c r="G2444" s="74"/>
      <c r="H2444" s="74"/>
      <c r="J2444" s="7"/>
      <c r="K2444" s="74"/>
      <c r="L2444" s="74"/>
      <c r="N2444" s="7"/>
      <c r="O2444" s="74"/>
      <c r="P2444" s="74"/>
      <c r="R2444" s="7"/>
      <c r="S2444" s="7"/>
      <c r="T2444" s="66"/>
    </row>
    <row r="2445" spans="1:20" ht="13.2">
      <c r="A2445" s="7"/>
      <c r="B2445" s="7"/>
      <c r="C2445" s="74"/>
      <c r="D2445" s="74"/>
      <c r="F2445" s="7"/>
      <c r="G2445" s="74"/>
      <c r="H2445" s="74"/>
      <c r="J2445" s="7"/>
      <c r="K2445" s="74"/>
      <c r="L2445" s="74"/>
      <c r="N2445" s="7"/>
      <c r="O2445" s="74"/>
      <c r="P2445" s="74"/>
      <c r="R2445" s="7"/>
      <c r="S2445" s="7"/>
      <c r="T2445" s="66"/>
    </row>
    <row r="2446" spans="1:20" ht="13.2">
      <c r="A2446" s="7"/>
      <c r="B2446" s="7"/>
      <c r="C2446" s="74"/>
      <c r="D2446" s="74"/>
      <c r="F2446" s="7"/>
      <c r="G2446" s="74"/>
      <c r="H2446" s="74"/>
      <c r="J2446" s="7"/>
      <c r="K2446" s="74"/>
      <c r="L2446" s="74"/>
      <c r="N2446" s="7"/>
      <c r="O2446" s="74"/>
      <c r="P2446" s="74"/>
      <c r="R2446" s="7"/>
      <c r="S2446" s="7"/>
      <c r="T2446" s="66"/>
    </row>
    <row r="2447" spans="1:20" ht="13.2">
      <c r="A2447" s="7"/>
      <c r="B2447" s="7"/>
      <c r="C2447" s="74"/>
      <c r="D2447" s="74"/>
      <c r="F2447" s="7"/>
      <c r="G2447" s="74"/>
      <c r="H2447" s="74"/>
      <c r="J2447" s="7"/>
      <c r="K2447" s="74"/>
      <c r="L2447" s="74"/>
      <c r="N2447" s="7"/>
      <c r="O2447" s="74"/>
      <c r="P2447" s="74"/>
      <c r="R2447" s="7"/>
      <c r="S2447" s="7"/>
      <c r="T2447" s="66"/>
    </row>
    <row r="2448" spans="1:20" ht="13.2">
      <c r="A2448" s="7"/>
      <c r="B2448" s="7"/>
      <c r="C2448" s="74"/>
      <c r="D2448" s="74"/>
      <c r="F2448" s="7"/>
      <c r="G2448" s="74"/>
      <c r="H2448" s="74"/>
      <c r="J2448" s="7"/>
      <c r="K2448" s="74"/>
      <c r="L2448" s="74"/>
      <c r="N2448" s="7"/>
      <c r="O2448" s="74"/>
      <c r="P2448" s="74"/>
      <c r="R2448" s="7"/>
      <c r="S2448" s="7"/>
      <c r="T2448" s="66"/>
    </row>
    <row r="2449" spans="1:20" ht="13.2">
      <c r="A2449" s="7"/>
      <c r="B2449" s="7"/>
      <c r="C2449" s="74"/>
      <c r="D2449" s="74"/>
      <c r="F2449" s="7"/>
      <c r="G2449" s="74"/>
      <c r="H2449" s="74"/>
      <c r="J2449" s="7"/>
      <c r="K2449" s="74"/>
      <c r="L2449" s="74"/>
      <c r="N2449" s="7"/>
      <c r="O2449" s="74"/>
      <c r="P2449" s="74"/>
      <c r="R2449" s="7"/>
      <c r="S2449" s="7"/>
      <c r="T2449" s="66"/>
    </row>
    <row r="2450" spans="1:20" ht="13.2">
      <c r="A2450" s="7"/>
      <c r="B2450" s="7"/>
      <c r="C2450" s="74"/>
      <c r="D2450" s="74"/>
      <c r="F2450" s="7"/>
      <c r="G2450" s="74"/>
      <c r="H2450" s="74"/>
      <c r="J2450" s="7"/>
      <c r="K2450" s="74"/>
      <c r="L2450" s="74"/>
      <c r="N2450" s="7"/>
      <c r="O2450" s="74"/>
      <c r="P2450" s="74"/>
      <c r="R2450" s="7"/>
      <c r="S2450" s="7"/>
      <c r="T2450" s="66"/>
    </row>
    <row r="2451" spans="1:20" ht="13.2">
      <c r="A2451" s="7"/>
      <c r="B2451" s="7"/>
      <c r="C2451" s="74"/>
      <c r="D2451" s="74"/>
      <c r="F2451" s="7"/>
      <c r="G2451" s="74"/>
      <c r="H2451" s="74"/>
      <c r="J2451" s="7"/>
      <c r="K2451" s="74"/>
      <c r="L2451" s="74"/>
      <c r="N2451" s="7"/>
      <c r="O2451" s="74"/>
      <c r="P2451" s="74"/>
      <c r="R2451" s="7"/>
      <c r="S2451" s="7"/>
      <c r="T2451" s="66"/>
    </row>
    <row r="2452" spans="1:20" ht="13.2">
      <c r="A2452" s="7"/>
      <c r="B2452" s="7"/>
      <c r="C2452" s="74"/>
      <c r="D2452" s="74"/>
      <c r="F2452" s="7"/>
      <c r="G2452" s="74"/>
      <c r="H2452" s="74"/>
      <c r="J2452" s="7"/>
      <c r="K2452" s="74"/>
      <c r="L2452" s="74"/>
      <c r="N2452" s="7"/>
      <c r="O2452" s="74"/>
      <c r="P2452" s="74"/>
      <c r="R2452" s="7"/>
      <c r="S2452" s="7"/>
      <c r="T2452" s="66"/>
    </row>
    <row r="2453" spans="1:20" ht="13.2">
      <c r="A2453" s="7"/>
      <c r="B2453" s="7"/>
      <c r="C2453" s="74"/>
      <c r="D2453" s="74"/>
      <c r="F2453" s="7"/>
      <c r="G2453" s="74"/>
      <c r="H2453" s="74"/>
      <c r="J2453" s="7"/>
      <c r="K2453" s="74"/>
      <c r="L2453" s="74"/>
      <c r="N2453" s="7"/>
      <c r="O2453" s="74"/>
      <c r="P2453" s="74"/>
      <c r="R2453" s="7"/>
      <c r="S2453" s="7"/>
      <c r="T2453" s="66"/>
    </row>
    <row r="2454" spans="1:20" ht="13.2">
      <c r="A2454" s="7"/>
      <c r="B2454" s="7"/>
      <c r="C2454" s="74"/>
      <c r="D2454" s="74"/>
      <c r="F2454" s="7"/>
      <c r="G2454" s="74"/>
      <c r="H2454" s="74"/>
      <c r="J2454" s="7"/>
      <c r="K2454" s="74"/>
      <c r="L2454" s="74"/>
      <c r="N2454" s="7"/>
      <c r="O2454" s="74"/>
      <c r="P2454" s="74"/>
      <c r="R2454" s="7"/>
      <c r="S2454" s="7"/>
      <c r="T2454" s="66"/>
    </row>
    <row r="2455" spans="1:20" ht="13.2">
      <c r="A2455" s="7"/>
      <c r="B2455" s="7"/>
      <c r="C2455" s="74"/>
      <c r="D2455" s="74"/>
      <c r="F2455" s="7"/>
      <c r="G2455" s="74"/>
      <c r="H2455" s="74"/>
      <c r="J2455" s="7"/>
      <c r="K2455" s="74"/>
      <c r="L2455" s="74"/>
      <c r="N2455" s="7"/>
      <c r="O2455" s="74"/>
      <c r="P2455" s="74"/>
      <c r="R2455" s="7"/>
      <c r="S2455" s="7"/>
      <c r="T2455" s="66"/>
    </row>
    <row r="2456" spans="1:20" ht="13.2">
      <c r="A2456" s="7"/>
      <c r="B2456" s="7"/>
      <c r="C2456" s="74"/>
      <c r="D2456" s="74"/>
      <c r="F2456" s="7"/>
      <c r="G2456" s="74"/>
      <c r="H2456" s="74"/>
      <c r="J2456" s="7"/>
      <c r="K2456" s="74"/>
      <c r="L2456" s="74"/>
      <c r="N2456" s="7"/>
      <c r="O2456" s="74"/>
      <c r="P2456" s="74"/>
      <c r="R2456" s="7"/>
      <c r="S2456" s="7"/>
      <c r="T2456" s="66"/>
    </row>
    <row r="2457" spans="1:20" ht="13.2">
      <c r="A2457" s="7"/>
      <c r="B2457" s="7"/>
      <c r="C2457" s="74"/>
      <c r="D2457" s="74"/>
      <c r="F2457" s="7"/>
      <c r="G2457" s="74"/>
      <c r="H2457" s="74"/>
      <c r="J2457" s="7"/>
      <c r="K2457" s="74"/>
      <c r="L2457" s="74"/>
      <c r="N2457" s="7"/>
      <c r="O2457" s="74"/>
      <c r="P2457" s="74"/>
      <c r="R2457" s="7"/>
      <c r="S2457" s="7"/>
      <c r="T2457" s="66"/>
    </row>
    <row r="2458" spans="1:20" ht="13.2">
      <c r="A2458" s="7"/>
      <c r="B2458" s="7"/>
      <c r="C2458" s="74"/>
      <c r="D2458" s="74"/>
      <c r="F2458" s="7"/>
      <c r="G2458" s="74"/>
      <c r="H2458" s="74"/>
      <c r="J2458" s="7"/>
      <c r="K2458" s="74"/>
      <c r="L2458" s="74"/>
      <c r="N2458" s="7"/>
      <c r="O2458" s="74"/>
      <c r="P2458" s="74"/>
      <c r="R2458" s="7"/>
      <c r="S2458" s="7"/>
      <c r="T2458" s="66"/>
    </row>
    <row r="2459" spans="1:20" ht="13.2">
      <c r="A2459" s="7"/>
      <c r="B2459" s="7"/>
      <c r="C2459" s="74"/>
      <c r="D2459" s="74"/>
      <c r="F2459" s="7"/>
      <c r="G2459" s="74"/>
      <c r="H2459" s="74"/>
      <c r="J2459" s="7"/>
      <c r="K2459" s="74"/>
      <c r="L2459" s="74"/>
      <c r="N2459" s="7"/>
      <c r="O2459" s="74"/>
      <c r="P2459" s="74"/>
      <c r="R2459" s="7"/>
      <c r="S2459" s="7"/>
      <c r="T2459" s="66"/>
    </row>
    <row r="2460" spans="1:20" ht="13.2">
      <c r="A2460" s="7"/>
      <c r="B2460" s="7"/>
      <c r="C2460" s="74"/>
      <c r="D2460" s="74"/>
      <c r="F2460" s="7"/>
      <c r="G2460" s="74"/>
      <c r="H2460" s="74"/>
      <c r="J2460" s="7"/>
      <c r="K2460" s="74"/>
      <c r="L2460" s="74"/>
      <c r="N2460" s="7"/>
      <c r="O2460" s="74"/>
      <c r="P2460" s="74"/>
      <c r="R2460" s="7"/>
      <c r="S2460" s="7"/>
      <c r="T2460" s="66"/>
    </row>
    <row r="2461" spans="1:20" ht="13.2">
      <c r="A2461" s="7"/>
      <c r="B2461" s="7"/>
      <c r="C2461" s="74"/>
      <c r="D2461" s="74"/>
      <c r="F2461" s="7"/>
      <c r="G2461" s="74"/>
      <c r="H2461" s="74"/>
      <c r="J2461" s="7"/>
      <c r="K2461" s="74"/>
      <c r="L2461" s="74"/>
      <c r="N2461" s="7"/>
      <c r="O2461" s="74"/>
      <c r="P2461" s="74"/>
      <c r="R2461" s="7"/>
      <c r="S2461" s="7"/>
      <c r="T2461" s="66"/>
    </row>
    <row r="2462" spans="1:20" ht="13.2">
      <c r="A2462" s="7"/>
      <c r="B2462" s="7"/>
      <c r="C2462" s="74"/>
      <c r="D2462" s="74"/>
      <c r="F2462" s="7"/>
      <c r="G2462" s="74"/>
      <c r="H2462" s="74"/>
      <c r="J2462" s="7"/>
      <c r="K2462" s="74"/>
      <c r="L2462" s="74"/>
      <c r="N2462" s="7"/>
      <c r="O2462" s="74"/>
      <c r="P2462" s="74"/>
      <c r="R2462" s="7"/>
      <c r="S2462" s="7"/>
      <c r="T2462" s="66"/>
    </row>
    <row r="2463" spans="1:20" ht="13.2">
      <c r="A2463" s="7"/>
      <c r="B2463" s="7"/>
      <c r="C2463" s="74"/>
      <c r="D2463" s="74"/>
      <c r="F2463" s="7"/>
      <c r="G2463" s="74"/>
      <c r="H2463" s="74"/>
      <c r="J2463" s="7"/>
      <c r="K2463" s="74"/>
      <c r="L2463" s="74"/>
      <c r="N2463" s="7"/>
      <c r="O2463" s="74"/>
      <c r="P2463" s="74"/>
      <c r="R2463" s="7"/>
      <c r="S2463" s="7"/>
      <c r="T2463" s="66"/>
    </row>
    <row r="2464" spans="1:20" ht="13.2">
      <c r="A2464" s="7"/>
      <c r="B2464" s="7"/>
      <c r="C2464" s="74"/>
      <c r="D2464" s="74"/>
      <c r="F2464" s="7"/>
      <c r="G2464" s="74"/>
      <c r="H2464" s="74"/>
      <c r="J2464" s="7"/>
      <c r="K2464" s="74"/>
      <c r="L2464" s="74"/>
      <c r="N2464" s="7"/>
      <c r="O2464" s="74"/>
      <c r="P2464" s="74"/>
      <c r="R2464" s="7"/>
      <c r="S2464" s="7"/>
      <c r="T2464" s="66"/>
    </row>
    <row r="2465" spans="1:20" ht="13.2">
      <c r="A2465" s="7"/>
      <c r="B2465" s="7"/>
      <c r="C2465" s="74"/>
      <c r="D2465" s="74"/>
      <c r="F2465" s="7"/>
      <c r="G2465" s="74"/>
      <c r="H2465" s="74"/>
      <c r="J2465" s="7"/>
      <c r="K2465" s="74"/>
      <c r="L2465" s="74"/>
      <c r="N2465" s="7"/>
      <c r="O2465" s="74"/>
      <c r="P2465" s="74"/>
      <c r="R2465" s="7"/>
      <c r="S2465" s="7"/>
      <c r="T2465" s="66"/>
    </row>
    <row r="2466" spans="1:20" ht="13.2">
      <c r="A2466" s="7"/>
      <c r="B2466" s="7"/>
      <c r="C2466" s="74"/>
      <c r="D2466" s="74"/>
      <c r="F2466" s="7"/>
      <c r="G2466" s="74"/>
      <c r="H2466" s="74"/>
      <c r="J2466" s="7"/>
      <c r="K2466" s="74"/>
      <c r="L2466" s="74"/>
      <c r="N2466" s="7"/>
      <c r="O2466" s="74"/>
      <c r="P2466" s="74"/>
      <c r="R2466" s="7"/>
      <c r="S2466" s="7"/>
      <c r="T2466" s="66"/>
    </row>
    <row r="2467" spans="1:20" ht="13.2">
      <c r="A2467" s="7"/>
      <c r="B2467" s="7"/>
      <c r="C2467" s="74"/>
      <c r="D2467" s="74"/>
      <c r="F2467" s="7"/>
      <c r="G2467" s="74"/>
      <c r="H2467" s="74"/>
      <c r="J2467" s="7"/>
      <c r="K2467" s="74"/>
      <c r="L2467" s="74"/>
      <c r="N2467" s="7"/>
      <c r="O2467" s="74"/>
      <c r="P2467" s="74"/>
      <c r="R2467" s="7"/>
      <c r="S2467" s="7"/>
      <c r="T2467" s="66"/>
    </row>
    <row r="2468" spans="1:20" ht="13.2">
      <c r="A2468" s="7"/>
      <c r="B2468" s="7"/>
      <c r="C2468" s="74"/>
      <c r="D2468" s="74"/>
      <c r="F2468" s="7"/>
      <c r="G2468" s="74"/>
      <c r="H2468" s="74"/>
      <c r="J2468" s="7"/>
      <c r="K2468" s="74"/>
      <c r="L2468" s="74"/>
      <c r="N2468" s="7"/>
      <c r="O2468" s="74"/>
      <c r="P2468" s="74"/>
      <c r="R2468" s="7"/>
      <c r="S2468" s="7"/>
      <c r="T2468" s="66"/>
    </row>
    <row r="2469" spans="1:20" ht="13.2">
      <c r="A2469" s="7"/>
      <c r="B2469" s="7"/>
      <c r="C2469" s="74"/>
      <c r="D2469" s="74"/>
      <c r="F2469" s="7"/>
      <c r="G2469" s="74"/>
      <c r="H2469" s="74"/>
      <c r="J2469" s="7"/>
      <c r="K2469" s="74"/>
      <c r="L2469" s="74"/>
      <c r="N2469" s="7"/>
      <c r="O2469" s="74"/>
      <c r="P2469" s="74"/>
      <c r="R2469" s="7"/>
      <c r="S2469" s="7"/>
      <c r="T2469" s="66"/>
    </row>
    <row r="2470" spans="1:20" ht="13.2">
      <c r="A2470" s="7"/>
      <c r="B2470" s="7"/>
      <c r="C2470" s="74"/>
      <c r="D2470" s="74"/>
      <c r="F2470" s="7"/>
      <c r="G2470" s="74"/>
      <c r="H2470" s="74"/>
      <c r="J2470" s="7"/>
      <c r="K2470" s="74"/>
      <c r="L2470" s="74"/>
      <c r="N2470" s="7"/>
      <c r="O2470" s="74"/>
      <c r="P2470" s="74"/>
      <c r="R2470" s="7"/>
      <c r="S2470" s="7"/>
      <c r="T2470" s="66"/>
    </row>
    <row r="2471" spans="1:20" ht="13.2">
      <c r="A2471" s="7"/>
      <c r="B2471" s="7"/>
      <c r="C2471" s="74"/>
      <c r="D2471" s="74"/>
      <c r="F2471" s="7"/>
      <c r="G2471" s="74"/>
      <c r="H2471" s="74"/>
      <c r="J2471" s="7"/>
      <c r="K2471" s="74"/>
      <c r="L2471" s="74"/>
      <c r="N2471" s="7"/>
      <c r="O2471" s="74"/>
      <c r="P2471" s="74"/>
      <c r="R2471" s="7"/>
      <c r="S2471" s="7"/>
      <c r="T2471" s="66"/>
    </row>
    <row r="2472" spans="1:20" ht="13.2">
      <c r="A2472" s="7"/>
      <c r="B2472" s="7"/>
      <c r="C2472" s="74"/>
      <c r="D2472" s="74"/>
      <c r="F2472" s="7"/>
      <c r="G2472" s="74"/>
      <c r="H2472" s="74"/>
      <c r="J2472" s="7"/>
      <c r="K2472" s="74"/>
      <c r="L2472" s="74"/>
      <c r="N2472" s="7"/>
      <c r="O2472" s="74"/>
      <c r="P2472" s="74"/>
      <c r="R2472" s="7"/>
      <c r="S2472" s="7"/>
      <c r="T2472" s="66"/>
    </row>
    <row r="2473" spans="1:20" ht="13.2">
      <c r="A2473" s="7"/>
      <c r="B2473" s="7"/>
      <c r="C2473" s="74"/>
      <c r="D2473" s="74"/>
      <c r="F2473" s="7"/>
      <c r="G2473" s="74"/>
      <c r="H2473" s="74"/>
      <c r="J2473" s="7"/>
      <c r="K2473" s="74"/>
      <c r="L2473" s="74"/>
      <c r="N2473" s="7"/>
      <c r="O2473" s="74"/>
      <c r="P2473" s="74"/>
      <c r="R2473" s="7"/>
      <c r="S2473" s="7"/>
      <c r="T2473" s="66"/>
    </row>
    <row r="2474" spans="1:20" ht="13.2">
      <c r="A2474" s="7"/>
      <c r="B2474" s="7"/>
      <c r="C2474" s="74"/>
      <c r="D2474" s="74"/>
      <c r="F2474" s="7"/>
      <c r="G2474" s="74"/>
      <c r="H2474" s="74"/>
      <c r="J2474" s="7"/>
      <c r="K2474" s="74"/>
      <c r="L2474" s="74"/>
      <c r="N2474" s="7"/>
      <c r="O2474" s="74"/>
      <c r="P2474" s="74"/>
      <c r="R2474" s="7"/>
      <c r="S2474" s="7"/>
      <c r="T2474" s="66"/>
    </row>
    <row r="2475" spans="1:20" ht="13.2">
      <c r="A2475" s="7"/>
      <c r="B2475" s="7"/>
      <c r="C2475" s="74"/>
      <c r="D2475" s="74"/>
      <c r="F2475" s="7"/>
      <c r="G2475" s="74"/>
      <c r="H2475" s="74"/>
      <c r="J2475" s="7"/>
      <c r="K2475" s="74"/>
      <c r="L2475" s="74"/>
      <c r="N2475" s="7"/>
      <c r="O2475" s="74"/>
      <c r="P2475" s="74"/>
      <c r="R2475" s="7"/>
      <c r="S2475" s="7"/>
      <c r="T2475" s="66"/>
    </row>
    <row r="2476" spans="1:20" ht="13.2">
      <c r="A2476" s="7"/>
      <c r="B2476" s="7"/>
      <c r="C2476" s="74"/>
      <c r="D2476" s="74"/>
      <c r="F2476" s="7"/>
      <c r="G2476" s="74"/>
      <c r="H2476" s="74"/>
      <c r="J2476" s="7"/>
      <c r="K2476" s="74"/>
      <c r="L2476" s="74"/>
      <c r="N2476" s="7"/>
      <c r="O2476" s="74"/>
      <c r="P2476" s="74"/>
      <c r="R2476" s="7"/>
      <c r="S2476" s="7"/>
      <c r="T2476" s="66"/>
    </row>
    <row r="2477" spans="1:20" ht="13.2">
      <c r="A2477" s="7"/>
      <c r="B2477" s="7"/>
      <c r="C2477" s="74"/>
      <c r="D2477" s="74"/>
      <c r="F2477" s="7"/>
      <c r="G2477" s="74"/>
      <c r="H2477" s="74"/>
      <c r="J2477" s="7"/>
      <c r="K2477" s="74"/>
      <c r="L2477" s="74"/>
      <c r="N2477" s="7"/>
      <c r="O2477" s="74"/>
      <c r="P2477" s="74"/>
      <c r="R2477" s="7"/>
      <c r="S2477" s="7"/>
      <c r="T2477" s="66"/>
    </row>
    <row r="2478" spans="1:20" ht="13.2">
      <c r="A2478" s="7"/>
      <c r="B2478" s="7"/>
      <c r="C2478" s="74"/>
      <c r="D2478" s="74"/>
      <c r="F2478" s="7"/>
      <c r="G2478" s="74"/>
      <c r="H2478" s="74"/>
      <c r="J2478" s="7"/>
      <c r="K2478" s="74"/>
      <c r="L2478" s="74"/>
      <c r="N2478" s="7"/>
      <c r="O2478" s="74"/>
      <c r="P2478" s="74"/>
      <c r="R2478" s="7"/>
      <c r="S2478" s="7"/>
      <c r="T2478" s="66"/>
    </row>
    <row r="2479" spans="1:20" ht="13.2">
      <c r="A2479" s="7"/>
      <c r="B2479" s="7"/>
      <c r="C2479" s="74"/>
      <c r="D2479" s="74"/>
      <c r="F2479" s="7"/>
      <c r="G2479" s="74"/>
      <c r="H2479" s="74"/>
      <c r="J2479" s="7"/>
      <c r="K2479" s="74"/>
      <c r="L2479" s="74"/>
      <c r="N2479" s="7"/>
      <c r="O2479" s="74"/>
      <c r="P2479" s="74"/>
      <c r="R2479" s="7"/>
      <c r="S2479" s="7"/>
      <c r="T2479" s="66"/>
    </row>
    <row r="2480" spans="1:20" ht="13.2">
      <c r="A2480" s="7"/>
      <c r="B2480" s="7"/>
      <c r="C2480" s="74"/>
      <c r="D2480" s="74"/>
      <c r="F2480" s="7"/>
      <c r="G2480" s="74"/>
      <c r="H2480" s="74"/>
      <c r="J2480" s="7"/>
      <c r="K2480" s="74"/>
      <c r="L2480" s="74"/>
      <c r="N2480" s="7"/>
      <c r="O2480" s="74"/>
      <c r="P2480" s="74"/>
      <c r="R2480" s="7"/>
      <c r="S2480" s="7"/>
      <c r="T2480" s="66"/>
    </row>
    <row r="2481" spans="1:20" ht="13.2">
      <c r="A2481" s="7"/>
      <c r="B2481" s="7"/>
      <c r="C2481" s="74"/>
      <c r="D2481" s="74"/>
      <c r="F2481" s="7"/>
      <c r="G2481" s="74"/>
      <c r="H2481" s="74"/>
      <c r="J2481" s="7"/>
      <c r="K2481" s="74"/>
      <c r="L2481" s="74"/>
      <c r="N2481" s="7"/>
      <c r="O2481" s="74"/>
      <c r="P2481" s="74"/>
      <c r="R2481" s="7"/>
      <c r="S2481" s="7"/>
      <c r="T2481" s="66"/>
    </row>
    <row r="2482" spans="1:20" ht="13.2">
      <c r="A2482" s="7"/>
      <c r="B2482" s="7"/>
      <c r="C2482" s="74"/>
      <c r="D2482" s="74"/>
      <c r="F2482" s="7"/>
      <c r="G2482" s="74"/>
      <c r="H2482" s="74"/>
      <c r="J2482" s="7"/>
      <c r="K2482" s="74"/>
      <c r="L2482" s="74"/>
      <c r="N2482" s="7"/>
      <c r="O2482" s="74"/>
      <c r="P2482" s="74"/>
      <c r="R2482" s="7"/>
      <c r="S2482" s="7"/>
      <c r="T2482" s="66"/>
    </row>
    <row r="2483" spans="1:20" ht="13.2">
      <c r="A2483" s="7"/>
      <c r="B2483" s="7"/>
      <c r="C2483" s="74"/>
      <c r="D2483" s="74"/>
      <c r="F2483" s="7"/>
      <c r="G2483" s="74"/>
      <c r="H2483" s="74"/>
      <c r="J2483" s="7"/>
      <c r="K2483" s="74"/>
      <c r="L2483" s="74"/>
      <c r="N2483" s="7"/>
      <c r="O2483" s="74"/>
      <c r="P2483" s="74"/>
      <c r="R2483" s="7"/>
      <c r="S2483" s="7"/>
      <c r="T2483" s="66"/>
    </row>
    <row r="2484" spans="1:20" ht="13.2">
      <c r="A2484" s="7"/>
      <c r="B2484" s="7"/>
      <c r="C2484" s="74"/>
      <c r="D2484" s="74"/>
      <c r="F2484" s="7"/>
      <c r="G2484" s="74"/>
      <c r="H2484" s="74"/>
      <c r="J2484" s="7"/>
      <c r="K2484" s="74"/>
      <c r="L2484" s="74"/>
      <c r="N2484" s="7"/>
      <c r="O2484" s="74"/>
      <c r="P2484" s="74"/>
      <c r="R2484" s="7"/>
      <c r="S2484" s="7"/>
      <c r="T2484" s="66"/>
    </row>
    <row r="2485" spans="1:20" ht="13.2">
      <c r="A2485" s="7"/>
      <c r="B2485" s="7"/>
      <c r="C2485" s="74"/>
      <c r="D2485" s="74"/>
      <c r="F2485" s="7"/>
      <c r="G2485" s="74"/>
      <c r="H2485" s="74"/>
      <c r="J2485" s="7"/>
      <c r="K2485" s="74"/>
      <c r="L2485" s="74"/>
      <c r="N2485" s="7"/>
      <c r="O2485" s="74"/>
      <c r="P2485" s="74"/>
      <c r="R2485" s="7"/>
      <c r="S2485" s="7"/>
      <c r="T2485" s="66"/>
    </row>
    <row r="2486" spans="1:20" ht="13.2">
      <c r="A2486" s="7"/>
      <c r="B2486" s="7"/>
      <c r="C2486" s="74"/>
      <c r="D2486" s="74"/>
      <c r="F2486" s="7"/>
      <c r="G2486" s="74"/>
      <c r="H2486" s="74"/>
      <c r="J2486" s="7"/>
      <c r="K2486" s="74"/>
      <c r="L2486" s="74"/>
      <c r="N2486" s="7"/>
      <c r="O2486" s="74"/>
      <c r="P2486" s="74"/>
      <c r="R2486" s="7"/>
      <c r="S2486" s="7"/>
      <c r="T2486" s="66"/>
    </row>
    <row r="2487" spans="1:20" ht="13.2">
      <c r="A2487" s="7"/>
      <c r="B2487" s="7"/>
      <c r="C2487" s="74"/>
      <c r="D2487" s="74"/>
      <c r="F2487" s="7"/>
      <c r="G2487" s="74"/>
      <c r="H2487" s="74"/>
      <c r="J2487" s="7"/>
      <c r="K2487" s="74"/>
      <c r="L2487" s="74"/>
      <c r="N2487" s="7"/>
      <c r="O2487" s="74"/>
      <c r="P2487" s="74"/>
      <c r="R2487" s="7"/>
      <c r="S2487" s="7"/>
      <c r="T2487" s="66"/>
    </row>
    <row r="2488" spans="1:20" ht="13.2">
      <c r="A2488" s="7"/>
      <c r="B2488" s="7"/>
      <c r="C2488" s="74"/>
      <c r="D2488" s="74"/>
      <c r="F2488" s="7"/>
      <c r="G2488" s="74"/>
      <c r="H2488" s="74"/>
      <c r="J2488" s="7"/>
      <c r="K2488" s="74"/>
      <c r="L2488" s="74"/>
      <c r="N2488" s="7"/>
      <c r="O2488" s="74"/>
      <c r="P2488" s="74"/>
      <c r="R2488" s="7"/>
      <c r="S2488" s="7"/>
      <c r="T2488" s="66"/>
    </row>
    <row r="2489" spans="1:20" ht="13.2">
      <c r="A2489" s="7"/>
      <c r="B2489" s="7"/>
      <c r="C2489" s="74"/>
      <c r="D2489" s="74"/>
      <c r="F2489" s="7"/>
      <c r="G2489" s="74"/>
      <c r="H2489" s="74"/>
      <c r="J2489" s="7"/>
      <c r="K2489" s="74"/>
      <c r="L2489" s="74"/>
      <c r="N2489" s="7"/>
      <c r="O2489" s="74"/>
      <c r="P2489" s="74"/>
      <c r="R2489" s="7"/>
      <c r="S2489" s="7"/>
      <c r="T2489" s="66"/>
    </row>
    <row r="2490" spans="1:20" ht="13.2">
      <c r="A2490" s="7"/>
      <c r="B2490" s="7"/>
      <c r="C2490" s="74"/>
      <c r="D2490" s="74"/>
      <c r="F2490" s="7"/>
      <c r="G2490" s="74"/>
      <c r="H2490" s="74"/>
      <c r="J2490" s="7"/>
      <c r="K2490" s="74"/>
      <c r="L2490" s="74"/>
      <c r="N2490" s="7"/>
      <c r="O2490" s="74"/>
      <c r="P2490" s="74"/>
      <c r="R2490" s="7"/>
      <c r="S2490" s="7"/>
      <c r="T2490" s="66"/>
    </row>
    <row r="2491" spans="1:20" ht="13.2">
      <c r="A2491" s="7"/>
      <c r="B2491" s="7"/>
      <c r="C2491" s="74"/>
      <c r="D2491" s="74"/>
      <c r="F2491" s="7"/>
      <c r="G2491" s="74"/>
      <c r="H2491" s="74"/>
      <c r="J2491" s="7"/>
      <c r="K2491" s="74"/>
      <c r="L2491" s="74"/>
      <c r="N2491" s="7"/>
      <c r="O2491" s="74"/>
      <c r="P2491" s="74"/>
      <c r="R2491" s="7"/>
      <c r="S2491" s="7"/>
      <c r="T2491" s="66"/>
    </row>
    <row r="2492" spans="1:20" ht="13.2">
      <c r="A2492" s="7"/>
      <c r="B2492" s="7"/>
      <c r="C2492" s="74"/>
      <c r="D2492" s="74"/>
      <c r="F2492" s="7"/>
      <c r="G2492" s="74"/>
      <c r="H2492" s="74"/>
      <c r="J2492" s="7"/>
      <c r="K2492" s="74"/>
      <c r="L2492" s="74"/>
      <c r="N2492" s="7"/>
      <c r="O2492" s="74"/>
      <c r="P2492" s="74"/>
      <c r="R2492" s="7"/>
      <c r="S2492" s="7"/>
      <c r="T2492" s="66"/>
    </row>
    <row r="2493" spans="1:20" ht="13.2">
      <c r="A2493" s="7"/>
      <c r="B2493" s="7"/>
      <c r="C2493" s="74"/>
      <c r="D2493" s="74"/>
      <c r="F2493" s="7"/>
      <c r="G2493" s="74"/>
      <c r="H2493" s="74"/>
      <c r="J2493" s="7"/>
      <c r="K2493" s="74"/>
      <c r="L2493" s="74"/>
      <c r="N2493" s="7"/>
      <c r="O2493" s="74"/>
      <c r="P2493" s="74"/>
      <c r="R2493" s="7"/>
      <c r="S2493" s="7"/>
      <c r="T2493" s="66"/>
    </row>
    <row r="2494" spans="1:20" ht="13.2">
      <c r="A2494" s="7"/>
      <c r="B2494" s="7"/>
      <c r="C2494" s="74"/>
      <c r="D2494" s="74"/>
      <c r="F2494" s="7"/>
      <c r="G2494" s="74"/>
      <c r="H2494" s="74"/>
      <c r="J2494" s="7"/>
      <c r="K2494" s="74"/>
      <c r="L2494" s="74"/>
      <c r="N2494" s="7"/>
      <c r="O2494" s="74"/>
      <c r="P2494" s="74"/>
      <c r="R2494" s="7"/>
      <c r="S2494" s="7"/>
      <c r="T2494" s="66"/>
    </row>
    <row r="2495" spans="1:20" ht="13.2">
      <c r="A2495" s="7"/>
      <c r="B2495" s="7"/>
      <c r="C2495" s="74"/>
      <c r="D2495" s="74"/>
      <c r="F2495" s="7"/>
      <c r="G2495" s="74"/>
      <c r="H2495" s="74"/>
      <c r="J2495" s="7"/>
      <c r="K2495" s="74"/>
      <c r="L2495" s="74"/>
      <c r="N2495" s="7"/>
      <c r="O2495" s="74"/>
      <c r="P2495" s="74"/>
      <c r="R2495" s="7"/>
      <c r="S2495" s="7"/>
      <c r="T2495" s="66"/>
    </row>
    <row r="2496" spans="1:20" ht="13.2">
      <c r="A2496" s="7"/>
      <c r="B2496" s="7"/>
      <c r="C2496" s="74"/>
      <c r="D2496" s="74"/>
      <c r="F2496" s="7"/>
      <c r="G2496" s="74"/>
      <c r="H2496" s="74"/>
      <c r="J2496" s="7"/>
      <c r="K2496" s="74"/>
      <c r="L2496" s="74"/>
      <c r="N2496" s="7"/>
      <c r="O2496" s="74"/>
      <c r="P2496" s="74"/>
      <c r="R2496" s="7"/>
      <c r="S2496" s="7"/>
      <c r="T2496" s="66"/>
    </row>
    <row r="2497" spans="1:20" ht="13.2">
      <c r="A2497" s="7"/>
      <c r="B2497" s="7"/>
      <c r="C2497" s="74"/>
      <c r="D2497" s="74"/>
      <c r="F2497" s="7"/>
      <c r="G2497" s="74"/>
      <c r="H2497" s="74"/>
      <c r="J2497" s="7"/>
      <c r="K2497" s="74"/>
      <c r="L2497" s="74"/>
      <c r="N2497" s="7"/>
      <c r="O2497" s="74"/>
      <c r="P2497" s="74"/>
      <c r="R2497" s="7"/>
      <c r="S2497" s="7"/>
      <c r="T2497" s="66"/>
    </row>
    <row r="2498" spans="1:20" ht="13.2">
      <c r="A2498" s="7"/>
      <c r="B2498" s="7"/>
      <c r="C2498" s="74"/>
      <c r="D2498" s="74"/>
      <c r="F2498" s="7"/>
      <c r="G2498" s="74"/>
      <c r="H2498" s="74"/>
      <c r="J2498" s="7"/>
      <c r="K2498" s="74"/>
      <c r="L2498" s="74"/>
      <c r="N2498" s="7"/>
      <c r="O2498" s="74"/>
      <c r="P2498" s="74"/>
      <c r="R2498" s="7"/>
      <c r="S2498" s="7"/>
      <c r="T2498" s="66"/>
    </row>
    <row r="2499" spans="1:20" ht="13.2">
      <c r="A2499" s="7"/>
      <c r="B2499" s="7"/>
      <c r="C2499" s="74"/>
      <c r="D2499" s="74"/>
      <c r="F2499" s="7"/>
      <c r="G2499" s="74"/>
      <c r="H2499" s="74"/>
      <c r="J2499" s="7"/>
      <c r="K2499" s="74"/>
      <c r="L2499" s="74"/>
      <c r="N2499" s="7"/>
      <c r="O2499" s="74"/>
      <c r="P2499" s="74"/>
      <c r="R2499" s="7"/>
      <c r="S2499" s="7"/>
      <c r="T2499" s="66"/>
    </row>
    <row r="2500" spans="1:20" ht="13.2">
      <c r="A2500" s="7"/>
      <c r="B2500" s="7"/>
      <c r="C2500" s="74"/>
      <c r="D2500" s="74"/>
      <c r="F2500" s="7"/>
      <c r="G2500" s="74"/>
      <c r="H2500" s="74"/>
      <c r="J2500" s="7"/>
      <c r="K2500" s="74"/>
      <c r="L2500" s="74"/>
      <c r="N2500" s="7"/>
      <c r="O2500" s="74"/>
      <c r="P2500" s="74"/>
      <c r="R2500" s="7"/>
      <c r="S2500" s="7"/>
      <c r="T2500" s="66"/>
    </row>
    <row r="2501" spans="1:20" ht="13.2">
      <c r="A2501" s="7"/>
      <c r="B2501" s="7"/>
      <c r="C2501" s="74"/>
      <c r="D2501" s="74"/>
      <c r="F2501" s="7"/>
      <c r="G2501" s="74"/>
      <c r="H2501" s="74"/>
      <c r="J2501" s="7"/>
      <c r="K2501" s="74"/>
      <c r="L2501" s="74"/>
      <c r="N2501" s="7"/>
      <c r="O2501" s="74"/>
      <c r="P2501" s="74"/>
      <c r="R2501" s="7"/>
      <c r="S2501" s="7"/>
      <c r="T2501" s="66"/>
    </row>
    <row r="2502" spans="1:20" ht="13.2">
      <c r="A2502" s="7"/>
      <c r="B2502" s="7"/>
      <c r="C2502" s="74"/>
      <c r="D2502" s="74"/>
      <c r="F2502" s="7"/>
      <c r="G2502" s="74"/>
      <c r="H2502" s="74"/>
      <c r="J2502" s="7"/>
      <c r="K2502" s="74"/>
      <c r="L2502" s="74"/>
      <c r="N2502" s="7"/>
      <c r="O2502" s="74"/>
      <c r="P2502" s="74"/>
      <c r="R2502" s="7"/>
      <c r="S2502" s="7"/>
      <c r="T2502" s="66"/>
    </row>
    <row r="2503" spans="1:20" ht="13.2">
      <c r="A2503" s="7"/>
      <c r="B2503" s="7"/>
      <c r="C2503" s="74"/>
      <c r="D2503" s="74"/>
      <c r="F2503" s="7"/>
      <c r="G2503" s="74"/>
      <c r="H2503" s="74"/>
      <c r="J2503" s="7"/>
      <c r="K2503" s="74"/>
      <c r="L2503" s="74"/>
      <c r="N2503" s="7"/>
      <c r="O2503" s="74"/>
      <c r="P2503" s="74"/>
      <c r="R2503" s="7"/>
      <c r="S2503" s="7"/>
      <c r="T2503" s="66"/>
    </row>
    <row r="2504" spans="1:20" ht="13.2">
      <c r="A2504" s="7"/>
      <c r="B2504" s="7"/>
      <c r="C2504" s="74"/>
      <c r="D2504" s="74"/>
      <c r="F2504" s="7"/>
      <c r="G2504" s="74"/>
      <c r="H2504" s="74"/>
      <c r="J2504" s="7"/>
      <c r="K2504" s="74"/>
      <c r="L2504" s="74"/>
      <c r="N2504" s="7"/>
      <c r="O2504" s="74"/>
      <c r="P2504" s="74"/>
      <c r="R2504" s="7"/>
      <c r="S2504" s="7"/>
      <c r="T2504" s="66"/>
    </row>
    <row r="2505" spans="1:20" ht="13.2">
      <c r="A2505" s="7"/>
      <c r="B2505" s="7"/>
      <c r="C2505" s="74"/>
      <c r="D2505" s="74"/>
      <c r="F2505" s="7"/>
      <c r="G2505" s="74"/>
      <c r="H2505" s="74"/>
      <c r="J2505" s="7"/>
      <c r="K2505" s="74"/>
      <c r="L2505" s="74"/>
      <c r="N2505" s="7"/>
      <c r="O2505" s="74"/>
      <c r="P2505" s="74"/>
      <c r="R2505" s="7"/>
      <c r="S2505" s="7"/>
      <c r="T2505" s="66"/>
    </row>
    <row r="2506" spans="1:20" ht="13.2">
      <c r="A2506" s="7"/>
      <c r="B2506" s="7"/>
      <c r="C2506" s="74"/>
      <c r="D2506" s="74"/>
      <c r="F2506" s="7"/>
      <c r="G2506" s="74"/>
      <c r="H2506" s="74"/>
      <c r="J2506" s="7"/>
      <c r="K2506" s="74"/>
      <c r="L2506" s="74"/>
      <c r="N2506" s="7"/>
      <c r="O2506" s="74"/>
      <c r="P2506" s="74"/>
      <c r="R2506" s="7"/>
      <c r="S2506" s="7"/>
      <c r="T2506" s="66"/>
    </row>
    <row r="2507" spans="1:20" ht="13.2">
      <c r="A2507" s="7"/>
      <c r="B2507" s="7"/>
      <c r="C2507" s="74"/>
      <c r="D2507" s="74"/>
      <c r="F2507" s="7"/>
      <c r="G2507" s="74"/>
      <c r="H2507" s="74"/>
      <c r="J2507" s="7"/>
      <c r="K2507" s="74"/>
      <c r="L2507" s="74"/>
      <c r="N2507" s="7"/>
      <c r="O2507" s="74"/>
      <c r="P2507" s="74"/>
      <c r="R2507" s="7"/>
      <c r="S2507" s="7"/>
      <c r="T2507" s="66"/>
    </row>
    <row r="2508" spans="1:20" ht="13.2">
      <c r="A2508" s="7"/>
      <c r="B2508" s="7"/>
      <c r="C2508" s="74"/>
      <c r="D2508" s="74"/>
      <c r="F2508" s="7"/>
      <c r="G2508" s="74"/>
      <c r="H2508" s="74"/>
      <c r="J2508" s="7"/>
      <c r="K2508" s="74"/>
      <c r="L2508" s="74"/>
      <c r="N2508" s="7"/>
      <c r="O2508" s="74"/>
      <c r="P2508" s="74"/>
      <c r="R2508" s="7"/>
      <c r="S2508" s="7"/>
      <c r="T2508" s="66"/>
    </row>
    <row r="2509" spans="1:20" ht="13.2">
      <c r="A2509" s="7"/>
      <c r="B2509" s="7"/>
      <c r="C2509" s="74"/>
      <c r="D2509" s="74"/>
      <c r="F2509" s="7"/>
      <c r="G2509" s="74"/>
      <c r="H2509" s="74"/>
      <c r="J2509" s="7"/>
      <c r="K2509" s="74"/>
      <c r="L2509" s="74"/>
      <c r="N2509" s="7"/>
      <c r="O2509" s="74"/>
      <c r="P2509" s="74"/>
      <c r="R2509" s="7"/>
      <c r="S2509" s="7"/>
      <c r="T2509" s="66"/>
    </row>
    <row r="2510" spans="1:20" ht="13.2">
      <c r="A2510" s="7"/>
      <c r="B2510" s="7"/>
      <c r="C2510" s="74"/>
      <c r="D2510" s="74"/>
      <c r="F2510" s="7"/>
      <c r="G2510" s="74"/>
      <c r="H2510" s="74"/>
      <c r="J2510" s="7"/>
      <c r="K2510" s="74"/>
      <c r="L2510" s="74"/>
      <c r="N2510" s="7"/>
      <c r="O2510" s="74"/>
      <c r="P2510" s="74"/>
      <c r="R2510" s="7"/>
      <c r="S2510" s="7"/>
      <c r="T2510" s="66"/>
    </row>
    <row r="2511" spans="1:20" ht="13.2">
      <c r="A2511" s="7"/>
      <c r="B2511" s="7"/>
      <c r="C2511" s="74"/>
      <c r="D2511" s="74"/>
      <c r="F2511" s="7"/>
      <c r="G2511" s="74"/>
      <c r="H2511" s="74"/>
      <c r="J2511" s="7"/>
      <c r="K2511" s="74"/>
      <c r="L2511" s="74"/>
      <c r="N2511" s="7"/>
      <c r="O2511" s="74"/>
      <c r="P2511" s="74"/>
      <c r="R2511" s="7"/>
      <c r="S2511" s="7"/>
      <c r="T2511" s="66"/>
    </row>
    <row r="2512" spans="1:20" ht="13.2">
      <c r="A2512" s="7"/>
      <c r="B2512" s="7"/>
      <c r="C2512" s="74"/>
      <c r="D2512" s="74"/>
      <c r="F2512" s="7"/>
      <c r="G2512" s="74"/>
      <c r="H2512" s="74"/>
      <c r="J2512" s="7"/>
      <c r="K2512" s="74"/>
      <c r="L2512" s="74"/>
      <c r="N2512" s="7"/>
      <c r="O2512" s="74"/>
      <c r="P2512" s="74"/>
      <c r="R2512" s="7"/>
      <c r="S2512" s="7"/>
      <c r="T2512" s="66"/>
    </row>
    <row r="2513" spans="1:20" ht="13.2">
      <c r="A2513" s="7"/>
      <c r="B2513" s="7"/>
      <c r="C2513" s="74"/>
      <c r="D2513" s="74"/>
      <c r="F2513" s="7"/>
      <c r="G2513" s="74"/>
      <c r="H2513" s="74"/>
      <c r="J2513" s="7"/>
      <c r="K2513" s="74"/>
      <c r="L2513" s="74"/>
      <c r="N2513" s="7"/>
      <c r="O2513" s="74"/>
      <c r="P2513" s="74"/>
      <c r="R2513" s="7"/>
      <c r="S2513" s="7"/>
      <c r="T2513" s="66"/>
    </row>
    <row r="2514" spans="1:20" ht="13.2">
      <c r="A2514" s="7"/>
      <c r="B2514" s="7"/>
      <c r="C2514" s="74"/>
      <c r="D2514" s="74"/>
      <c r="F2514" s="7"/>
      <c r="G2514" s="74"/>
      <c r="H2514" s="74"/>
      <c r="J2514" s="7"/>
      <c r="K2514" s="74"/>
      <c r="L2514" s="74"/>
      <c r="N2514" s="7"/>
      <c r="O2514" s="74"/>
      <c r="P2514" s="74"/>
      <c r="R2514" s="7"/>
      <c r="S2514" s="7"/>
      <c r="T2514" s="66"/>
    </row>
    <row r="2515" spans="1:20" ht="13.2">
      <c r="A2515" s="7"/>
      <c r="B2515" s="7"/>
      <c r="C2515" s="74"/>
      <c r="D2515" s="74"/>
      <c r="F2515" s="7"/>
      <c r="G2515" s="74"/>
      <c r="H2515" s="74"/>
      <c r="J2515" s="7"/>
      <c r="K2515" s="74"/>
      <c r="L2515" s="74"/>
      <c r="N2515" s="7"/>
      <c r="O2515" s="74"/>
      <c r="P2515" s="74"/>
      <c r="R2515" s="7"/>
      <c r="S2515" s="7"/>
      <c r="T2515" s="66"/>
    </row>
    <row r="2516" spans="1:20" ht="13.2">
      <c r="A2516" s="7"/>
      <c r="B2516" s="7"/>
      <c r="C2516" s="74"/>
      <c r="D2516" s="74"/>
      <c r="F2516" s="7"/>
      <c r="G2516" s="74"/>
      <c r="H2516" s="74"/>
      <c r="J2516" s="7"/>
      <c r="K2516" s="74"/>
      <c r="L2516" s="74"/>
      <c r="N2516" s="7"/>
      <c r="O2516" s="74"/>
      <c r="P2516" s="74"/>
      <c r="R2516" s="7"/>
      <c r="S2516" s="7"/>
      <c r="T2516" s="66"/>
    </row>
    <row r="2517" spans="1:20" ht="13.2">
      <c r="A2517" s="7"/>
      <c r="B2517" s="7"/>
      <c r="C2517" s="74"/>
      <c r="D2517" s="74"/>
      <c r="F2517" s="7"/>
      <c r="G2517" s="74"/>
      <c r="H2517" s="74"/>
      <c r="J2517" s="7"/>
      <c r="K2517" s="74"/>
      <c r="L2517" s="74"/>
      <c r="N2517" s="7"/>
      <c r="O2517" s="74"/>
      <c r="P2517" s="74"/>
      <c r="R2517" s="7"/>
      <c r="S2517" s="7"/>
      <c r="T2517" s="66"/>
    </row>
    <row r="2518" spans="1:20" ht="13.2">
      <c r="A2518" s="7"/>
      <c r="B2518" s="7"/>
      <c r="C2518" s="74"/>
      <c r="D2518" s="74"/>
      <c r="F2518" s="7"/>
      <c r="G2518" s="74"/>
      <c r="H2518" s="74"/>
      <c r="J2518" s="7"/>
      <c r="K2518" s="74"/>
      <c r="L2518" s="74"/>
      <c r="N2518" s="7"/>
      <c r="O2518" s="74"/>
      <c r="P2518" s="74"/>
      <c r="R2518" s="7"/>
      <c r="S2518" s="7"/>
      <c r="T2518" s="66"/>
    </row>
    <row r="2519" spans="1:20" ht="13.2">
      <c r="A2519" s="7"/>
      <c r="B2519" s="7"/>
      <c r="C2519" s="74"/>
      <c r="D2519" s="74"/>
      <c r="F2519" s="7"/>
      <c r="G2519" s="74"/>
      <c r="H2519" s="74"/>
      <c r="J2519" s="7"/>
      <c r="K2519" s="74"/>
      <c r="L2519" s="74"/>
      <c r="N2519" s="7"/>
      <c r="O2519" s="74"/>
      <c r="P2519" s="74"/>
      <c r="R2519" s="7"/>
      <c r="S2519" s="7"/>
      <c r="T2519" s="66"/>
    </row>
    <row r="2520" spans="1:20" ht="13.2">
      <c r="A2520" s="7"/>
      <c r="B2520" s="7"/>
      <c r="C2520" s="74"/>
      <c r="D2520" s="74"/>
      <c r="F2520" s="7"/>
      <c r="G2520" s="74"/>
      <c r="H2520" s="74"/>
      <c r="J2520" s="7"/>
      <c r="K2520" s="74"/>
      <c r="L2520" s="74"/>
      <c r="N2520" s="7"/>
      <c r="O2520" s="74"/>
      <c r="P2520" s="74"/>
      <c r="R2520" s="7"/>
      <c r="S2520" s="7"/>
      <c r="T2520" s="66"/>
    </row>
    <row r="2521" spans="1:20" ht="13.2">
      <c r="A2521" s="7"/>
      <c r="B2521" s="7"/>
      <c r="C2521" s="74"/>
      <c r="D2521" s="74"/>
      <c r="F2521" s="7"/>
      <c r="G2521" s="74"/>
      <c r="H2521" s="74"/>
      <c r="J2521" s="7"/>
      <c r="K2521" s="74"/>
      <c r="L2521" s="74"/>
      <c r="N2521" s="7"/>
      <c r="O2521" s="74"/>
      <c r="P2521" s="74"/>
      <c r="R2521" s="7"/>
      <c r="S2521" s="7"/>
      <c r="T2521" s="66"/>
    </row>
    <row r="2522" spans="1:20" ht="13.2">
      <c r="A2522" s="7"/>
      <c r="B2522" s="7"/>
      <c r="C2522" s="74"/>
      <c r="D2522" s="74"/>
      <c r="F2522" s="7"/>
      <c r="G2522" s="74"/>
      <c r="H2522" s="74"/>
      <c r="J2522" s="7"/>
      <c r="K2522" s="74"/>
      <c r="L2522" s="74"/>
      <c r="N2522" s="7"/>
      <c r="O2522" s="74"/>
      <c r="P2522" s="74"/>
      <c r="R2522" s="7"/>
      <c r="S2522" s="7"/>
      <c r="T2522" s="66"/>
    </row>
    <row r="2523" spans="1:20" ht="13.2">
      <c r="A2523" s="7"/>
      <c r="B2523" s="7"/>
      <c r="C2523" s="74"/>
      <c r="D2523" s="74"/>
      <c r="F2523" s="7"/>
      <c r="G2523" s="74"/>
      <c r="H2523" s="74"/>
      <c r="J2523" s="7"/>
      <c r="K2523" s="74"/>
      <c r="L2523" s="74"/>
      <c r="N2523" s="7"/>
      <c r="O2523" s="74"/>
      <c r="P2523" s="74"/>
      <c r="R2523" s="7"/>
      <c r="S2523" s="7"/>
      <c r="T2523" s="66"/>
    </row>
    <row r="2524" spans="1:20" ht="13.2">
      <c r="A2524" s="7"/>
      <c r="B2524" s="7"/>
      <c r="C2524" s="74"/>
      <c r="D2524" s="74"/>
      <c r="F2524" s="7"/>
      <c r="G2524" s="74"/>
      <c r="H2524" s="74"/>
      <c r="J2524" s="7"/>
      <c r="K2524" s="74"/>
      <c r="L2524" s="74"/>
      <c r="N2524" s="7"/>
      <c r="O2524" s="74"/>
      <c r="P2524" s="74"/>
      <c r="R2524" s="7"/>
      <c r="S2524" s="7"/>
      <c r="T2524" s="66"/>
    </row>
    <row r="2525" spans="1:20" ht="13.2">
      <c r="A2525" s="7"/>
      <c r="B2525" s="7"/>
      <c r="C2525" s="74"/>
      <c r="D2525" s="74"/>
      <c r="F2525" s="7"/>
      <c r="G2525" s="74"/>
      <c r="H2525" s="74"/>
      <c r="J2525" s="7"/>
      <c r="K2525" s="74"/>
      <c r="L2525" s="74"/>
      <c r="N2525" s="7"/>
      <c r="O2525" s="74"/>
      <c r="P2525" s="74"/>
      <c r="R2525" s="7"/>
      <c r="S2525" s="7"/>
      <c r="T2525" s="66"/>
    </row>
    <row r="2526" spans="1:20" ht="13.2">
      <c r="A2526" s="7"/>
      <c r="B2526" s="7"/>
      <c r="C2526" s="74"/>
      <c r="D2526" s="74"/>
      <c r="F2526" s="7"/>
      <c r="G2526" s="74"/>
      <c r="H2526" s="74"/>
      <c r="J2526" s="7"/>
      <c r="K2526" s="74"/>
      <c r="L2526" s="74"/>
      <c r="N2526" s="7"/>
      <c r="O2526" s="74"/>
      <c r="P2526" s="74"/>
      <c r="R2526" s="7"/>
      <c r="S2526" s="7"/>
      <c r="T2526" s="66"/>
    </row>
    <row r="2527" spans="1:20" ht="13.2">
      <c r="A2527" s="7"/>
      <c r="B2527" s="7"/>
      <c r="C2527" s="74"/>
      <c r="D2527" s="74"/>
      <c r="F2527" s="7"/>
      <c r="G2527" s="74"/>
      <c r="H2527" s="74"/>
      <c r="J2527" s="7"/>
      <c r="K2527" s="74"/>
      <c r="L2527" s="74"/>
      <c r="N2527" s="7"/>
      <c r="O2527" s="74"/>
      <c r="P2527" s="74"/>
      <c r="R2527" s="7"/>
      <c r="S2527" s="7"/>
      <c r="T2527" s="66"/>
    </row>
    <row r="2528" spans="1:20" ht="13.2">
      <c r="A2528" s="7"/>
      <c r="B2528" s="7"/>
      <c r="C2528" s="74"/>
      <c r="D2528" s="74"/>
      <c r="F2528" s="7"/>
      <c r="G2528" s="74"/>
      <c r="H2528" s="74"/>
      <c r="J2528" s="7"/>
      <c r="K2528" s="74"/>
      <c r="L2528" s="74"/>
      <c r="N2528" s="7"/>
      <c r="O2528" s="74"/>
      <c r="P2528" s="74"/>
      <c r="R2528" s="7"/>
      <c r="S2528" s="7"/>
      <c r="T2528" s="66"/>
    </row>
    <row r="2529" spans="1:20" ht="13.2">
      <c r="A2529" s="7"/>
      <c r="B2529" s="7"/>
      <c r="C2529" s="74"/>
      <c r="D2529" s="74"/>
      <c r="F2529" s="7"/>
      <c r="G2529" s="74"/>
      <c r="H2529" s="74"/>
      <c r="J2529" s="7"/>
      <c r="K2529" s="74"/>
      <c r="L2529" s="74"/>
      <c r="N2529" s="7"/>
      <c r="O2529" s="74"/>
      <c r="P2529" s="74"/>
      <c r="R2529" s="7"/>
      <c r="S2529" s="7"/>
      <c r="T2529" s="66"/>
    </row>
    <row r="2530" spans="1:20" ht="13.2">
      <c r="A2530" s="7"/>
      <c r="B2530" s="7"/>
      <c r="C2530" s="74"/>
      <c r="D2530" s="74"/>
      <c r="F2530" s="7"/>
      <c r="G2530" s="74"/>
      <c r="H2530" s="74"/>
      <c r="J2530" s="7"/>
      <c r="K2530" s="74"/>
      <c r="L2530" s="74"/>
      <c r="N2530" s="7"/>
      <c r="O2530" s="74"/>
      <c r="P2530" s="74"/>
      <c r="R2530" s="7"/>
      <c r="S2530" s="7"/>
      <c r="T2530" s="66"/>
    </row>
    <row r="2531" spans="1:20" ht="13.2">
      <c r="A2531" s="7"/>
      <c r="B2531" s="7"/>
      <c r="C2531" s="74"/>
      <c r="D2531" s="74"/>
      <c r="F2531" s="7"/>
      <c r="G2531" s="74"/>
      <c r="H2531" s="74"/>
      <c r="J2531" s="7"/>
      <c r="K2531" s="74"/>
      <c r="L2531" s="74"/>
      <c r="N2531" s="7"/>
      <c r="O2531" s="74"/>
      <c r="P2531" s="74"/>
      <c r="R2531" s="7"/>
      <c r="S2531" s="7"/>
      <c r="T2531" s="66"/>
    </row>
    <row r="2532" spans="1:20" ht="13.2">
      <c r="A2532" s="7"/>
      <c r="B2532" s="7"/>
      <c r="C2532" s="74"/>
      <c r="D2532" s="74"/>
      <c r="F2532" s="7"/>
      <c r="G2532" s="74"/>
      <c r="H2532" s="74"/>
      <c r="J2532" s="7"/>
      <c r="K2532" s="74"/>
      <c r="L2532" s="74"/>
      <c r="N2532" s="7"/>
      <c r="O2532" s="74"/>
      <c r="P2532" s="74"/>
      <c r="R2532" s="7"/>
      <c r="S2532" s="7"/>
      <c r="T2532" s="66"/>
    </row>
    <row r="2533" spans="1:20" ht="13.2">
      <c r="A2533" s="7"/>
      <c r="B2533" s="7"/>
      <c r="C2533" s="74"/>
      <c r="D2533" s="74"/>
      <c r="F2533" s="7"/>
      <c r="G2533" s="74"/>
      <c r="H2533" s="74"/>
      <c r="J2533" s="7"/>
      <c r="K2533" s="74"/>
      <c r="L2533" s="74"/>
      <c r="N2533" s="7"/>
      <c r="O2533" s="74"/>
      <c r="P2533" s="74"/>
      <c r="R2533" s="7"/>
      <c r="S2533" s="7"/>
      <c r="T2533" s="66"/>
    </row>
    <row r="2534" spans="1:20" ht="13.2">
      <c r="A2534" s="7"/>
      <c r="B2534" s="7"/>
      <c r="C2534" s="74"/>
      <c r="D2534" s="74"/>
      <c r="F2534" s="7"/>
      <c r="G2534" s="74"/>
      <c r="H2534" s="74"/>
      <c r="J2534" s="7"/>
      <c r="K2534" s="74"/>
      <c r="L2534" s="74"/>
      <c r="N2534" s="7"/>
      <c r="O2534" s="74"/>
      <c r="P2534" s="74"/>
      <c r="R2534" s="7"/>
      <c r="S2534" s="7"/>
      <c r="T2534" s="66"/>
    </row>
    <row r="2535" spans="1:20" ht="13.2">
      <c r="A2535" s="7"/>
      <c r="B2535" s="7"/>
      <c r="C2535" s="74"/>
      <c r="D2535" s="74"/>
      <c r="F2535" s="7"/>
      <c r="G2535" s="74"/>
      <c r="H2535" s="74"/>
      <c r="J2535" s="7"/>
      <c r="K2535" s="74"/>
      <c r="L2535" s="74"/>
      <c r="N2535" s="7"/>
      <c r="O2535" s="74"/>
      <c r="P2535" s="74"/>
      <c r="R2535" s="7"/>
      <c r="S2535" s="7"/>
      <c r="T2535" s="66"/>
    </row>
    <row r="2536" spans="1:20" ht="13.2">
      <c r="A2536" s="7"/>
      <c r="B2536" s="7"/>
      <c r="C2536" s="74"/>
      <c r="D2536" s="74"/>
      <c r="F2536" s="7"/>
      <c r="G2536" s="74"/>
      <c r="H2536" s="74"/>
      <c r="J2536" s="7"/>
      <c r="K2536" s="74"/>
      <c r="L2536" s="74"/>
      <c r="N2536" s="7"/>
      <c r="O2536" s="74"/>
      <c r="P2536" s="74"/>
      <c r="R2536" s="7"/>
      <c r="S2536" s="7"/>
      <c r="T2536" s="66"/>
    </row>
    <row r="2537" spans="1:20" ht="13.2">
      <c r="A2537" s="7"/>
      <c r="B2537" s="7"/>
      <c r="C2537" s="74"/>
      <c r="D2537" s="74"/>
      <c r="F2537" s="7"/>
      <c r="G2537" s="74"/>
      <c r="H2537" s="74"/>
      <c r="J2537" s="7"/>
      <c r="K2537" s="74"/>
      <c r="L2537" s="74"/>
      <c r="N2537" s="7"/>
      <c r="O2537" s="74"/>
      <c r="P2537" s="74"/>
      <c r="R2537" s="7"/>
      <c r="S2537" s="7"/>
      <c r="T2537" s="66"/>
    </row>
    <row r="2538" spans="1:20" ht="13.2">
      <c r="A2538" s="7"/>
      <c r="B2538" s="7"/>
      <c r="C2538" s="74"/>
      <c r="D2538" s="74"/>
      <c r="F2538" s="7"/>
      <c r="G2538" s="74"/>
      <c r="H2538" s="74"/>
      <c r="J2538" s="7"/>
      <c r="K2538" s="74"/>
      <c r="L2538" s="74"/>
      <c r="N2538" s="7"/>
      <c r="O2538" s="74"/>
      <c r="P2538" s="74"/>
      <c r="R2538" s="7"/>
      <c r="S2538" s="7"/>
      <c r="T2538" s="66"/>
    </row>
    <row r="2539" spans="1:20" ht="13.2">
      <c r="A2539" s="7"/>
      <c r="B2539" s="7"/>
      <c r="C2539" s="74"/>
      <c r="D2539" s="74"/>
      <c r="F2539" s="7"/>
      <c r="G2539" s="74"/>
      <c r="H2539" s="74"/>
      <c r="J2539" s="7"/>
      <c r="K2539" s="74"/>
      <c r="L2539" s="74"/>
      <c r="N2539" s="7"/>
      <c r="O2539" s="74"/>
      <c r="P2539" s="74"/>
      <c r="R2539" s="7"/>
      <c r="S2539" s="7"/>
      <c r="T2539" s="66"/>
    </row>
    <row r="2540" spans="1:20" ht="13.2">
      <c r="A2540" s="7"/>
      <c r="B2540" s="7"/>
      <c r="C2540" s="74"/>
      <c r="D2540" s="74"/>
      <c r="F2540" s="7"/>
      <c r="G2540" s="74"/>
      <c r="H2540" s="74"/>
      <c r="J2540" s="7"/>
      <c r="K2540" s="74"/>
      <c r="L2540" s="74"/>
      <c r="N2540" s="7"/>
      <c r="O2540" s="74"/>
      <c r="P2540" s="74"/>
      <c r="R2540" s="7"/>
      <c r="S2540" s="7"/>
      <c r="T2540" s="66"/>
    </row>
    <row r="2541" spans="1:20" ht="13.2">
      <c r="A2541" s="7"/>
      <c r="B2541" s="7"/>
      <c r="C2541" s="74"/>
      <c r="D2541" s="74"/>
      <c r="F2541" s="7"/>
      <c r="G2541" s="74"/>
      <c r="H2541" s="74"/>
      <c r="J2541" s="7"/>
      <c r="K2541" s="74"/>
      <c r="L2541" s="74"/>
      <c r="N2541" s="7"/>
      <c r="O2541" s="74"/>
      <c r="P2541" s="74"/>
      <c r="R2541" s="7"/>
      <c r="S2541" s="7"/>
      <c r="T2541" s="66"/>
    </row>
    <row r="2542" spans="1:20" ht="13.2">
      <c r="A2542" s="7"/>
      <c r="B2542" s="7"/>
      <c r="C2542" s="74"/>
      <c r="D2542" s="74"/>
      <c r="F2542" s="7"/>
      <c r="G2542" s="74"/>
      <c r="H2542" s="74"/>
      <c r="J2542" s="7"/>
      <c r="K2542" s="74"/>
      <c r="L2542" s="74"/>
      <c r="N2542" s="7"/>
      <c r="O2542" s="74"/>
      <c r="P2542" s="74"/>
      <c r="R2542" s="7"/>
      <c r="S2542" s="7"/>
      <c r="T2542" s="66"/>
    </row>
    <row r="2543" spans="1:20" ht="13.2">
      <c r="A2543" s="7"/>
      <c r="B2543" s="7"/>
      <c r="C2543" s="74"/>
      <c r="D2543" s="74"/>
      <c r="F2543" s="7"/>
      <c r="G2543" s="74"/>
      <c r="H2543" s="74"/>
      <c r="J2543" s="7"/>
      <c r="K2543" s="74"/>
      <c r="L2543" s="74"/>
      <c r="N2543" s="7"/>
      <c r="O2543" s="74"/>
      <c r="P2543" s="74"/>
      <c r="R2543" s="7"/>
      <c r="S2543" s="7"/>
      <c r="T2543" s="66"/>
    </row>
    <row r="2544" spans="1:20" ht="13.2">
      <c r="A2544" s="7"/>
      <c r="B2544" s="7"/>
      <c r="C2544" s="74"/>
      <c r="D2544" s="74"/>
      <c r="F2544" s="7"/>
      <c r="G2544" s="74"/>
      <c r="H2544" s="74"/>
      <c r="J2544" s="7"/>
      <c r="K2544" s="74"/>
      <c r="L2544" s="74"/>
      <c r="N2544" s="7"/>
      <c r="O2544" s="74"/>
      <c r="P2544" s="74"/>
      <c r="R2544" s="7"/>
      <c r="S2544" s="7"/>
      <c r="T2544" s="66"/>
    </row>
    <row r="2545" spans="1:20" ht="13.2">
      <c r="A2545" s="7"/>
      <c r="B2545" s="7"/>
      <c r="C2545" s="74"/>
      <c r="D2545" s="74"/>
      <c r="F2545" s="7"/>
      <c r="G2545" s="74"/>
      <c r="H2545" s="74"/>
      <c r="J2545" s="7"/>
      <c r="K2545" s="74"/>
      <c r="L2545" s="74"/>
      <c r="N2545" s="7"/>
      <c r="O2545" s="74"/>
      <c r="P2545" s="74"/>
      <c r="R2545" s="7"/>
      <c r="S2545" s="7"/>
      <c r="T2545" s="66"/>
    </row>
    <row r="2546" spans="1:20" ht="13.2">
      <c r="A2546" s="7"/>
      <c r="B2546" s="7"/>
      <c r="C2546" s="74"/>
      <c r="D2546" s="74"/>
      <c r="F2546" s="7"/>
      <c r="G2546" s="74"/>
      <c r="H2546" s="74"/>
      <c r="J2546" s="7"/>
      <c r="K2546" s="74"/>
      <c r="L2546" s="74"/>
      <c r="N2546" s="7"/>
      <c r="O2546" s="74"/>
      <c r="P2546" s="74"/>
      <c r="R2546" s="7"/>
      <c r="S2546" s="7"/>
      <c r="T2546" s="66"/>
    </row>
    <row r="2547" spans="1:20" ht="13.2">
      <c r="A2547" s="7"/>
      <c r="B2547" s="7"/>
      <c r="C2547" s="74"/>
      <c r="D2547" s="74"/>
      <c r="F2547" s="7"/>
      <c r="G2547" s="74"/>
      <c r="H2547" s="74"/>
      <c r="J2547" s="7"/>
      <c r="K2547" s="74"/>
      <c r="L2547" s="74"/>
      <c r="N2547" s="7"/>
      <c r="O2547" s="74"/>
      <c r="P2547" s="74"/>
      <c r="R2547" s="7"/>
      <c r="S2547" s="7"/>
      <c r="T2547" s="66"/>
    </row>
    <row r="2548" spans="1:20" ht="13.2">
      <c r="A2548" s="7"/>
      <c r="B2548" s="7"/>
      <c r="C2548" s="74"/>
      <c r="D2548" s="74"/>
      <c r="F2548" s="7"/>
      <c r="G2548" s="74"/>
      <c r="H2548" s="74"/>
      <c r="J2548" s="7"/>
      <c r="K2548" s="74"/>
      <c r="L2548" s="74"/>
      <c r="N2548" s="7"/>
      <c r="O2548" s="74"/>
      <c r="P2548" s="74"/>
      <c r="R2548" s="7"/>
      <c r="S2548" s="7"/>
      <c r="T2548" s="66"/>
    </row>
    <row r="2549" spans="1:20" ht="13.2">
      <c r="A2549" s="7"/>
      <c r="B2549" s="7"/>
      <c r="C2549" s="74"/>
      <c r="D2549" s="74"/>
      <c r="F2549" s="7"/>
      <c r="G2549" s="74"/>
      <c r="H2549" s="74"/>
      <c r="J2549" s="7"/>
      <c r="K2549" s="74"/>
      <c r="L2549" s="74"/>
      <c r="N2549" s="7"/>
      <c r="O2549" s="74"/>
      <c r="P2549" s="74"/>
      <c r="R2549" s="7"/>
      <c r="S2549" s="7"/>
      <c r="T2549" s="66"/>
    </row>
    <row r="2550" spans="1:20" ht="13.2">
      <c r="A2550" s="7"/>
      <c r="B2550" s="7"/>
      <c r="C2550" s="74"/>
      <c r="D2550" s="74"/>
      <c r="F2550" s="7"/>
      <c r="G2550" s="74"/>
      <c r="H2550" s="74"/>
      <c r="J2550" s="7"/>
      <c r="K2550" s="74"/>
      <c r="L2550" s="74"/>
      <c r="N2550" s="7"/>
      <c r="O2550" s="74"/>
      <c r="P2550" s="74"/>
      <c r="R2550" s="7"/>
      <c r="S2550" s="7"/>
      <c r="T2550" s="66"/>
    </row>
    <row r="2551" spans="1:20" ht="13.2">
      <c r="A2551" s="7"/>
      <c r="B2551" s="7"/>
      <c r="C2551" s="74"/>
      <c r="D2551" s="74"/>
      <c r="F2551" s="7"/>
      <c r="G2551" s="74"/>
      <c r="H2551" s="74"/>
      <c r="J2551" s="7"/>
      <c r="K2551" s="74"/>
      <c r="L2551" s="74"/>
      <c r="N2551" s="7"/>
      <c r="O2551" s="74"/>
      <c r="P2551" s="74"/>
      <c r="R2551" s="7"/>
      <c r="S2551" s="7"/>
      <c r="T2551" s="66"/>
    </row>
    <row r="2552" spans="1:20" ht="13.2">
      <c r="A2552" s="7"/>
      <c r="B2552" s="7"/>
      <c r="C2552" s="74"/>
      <c r="D2552" s="74"/>
      <c r="F2552" s="7"/>
      <c r="G2552" s="74"/>
      <c r="H2552" s="74"/>
      <c r="J2552" s="7"/>
      <c r="K2552" s="74"/>
      <c r="L2552" s="74"/>
      <c r="N2552" s="7"/>
      <c r="O2552" s="74"/>
      <c r="P2552" s="74"/>
      <c r="R2552" s="7"/>
      <c r="S2552" s="7"/>
      <c r="T2552" s="66"/>
    </row>
    <row r="2553" spans="1:20" ht="13.2">
      <c r="A2553" s="7"/>
      <c r="B2553" s="7"/>
      <c r="C2553" s="74"/>
      <c r="D2553" s="74"/>
      <c r="F2553" s="7"/>
      <c r="G2553" s="74"/>
      <c r="H2553" s="74"/>
      <c r="J2553" s="7"/>
      <c r="K2553" s="74"/>
      <c r="L2553" s="74"/>
      <c r="N2553" s="7"/>
      <c r="O2553" s="74"/>
      <c r="P2553" s="74"/>
      <c r="R2553" s="7"/>
      <c r="S2553" s="7"/>
      <c r="T2553" s="66"/>
    </row>
    <row r="2554" spans="1:20" ht="13.2">
      <c r="A2554" s="7"/>
      <c r="B2554" s="7"/>
      <c r="C2554" s="74"/>
      <c r="D2554" s="74"/>
      <c r="F2554" s="7"/>
      <c r="G2554" s="74"/>
      <c r="H2554" s="74"/>
      <c r="J2554" s="7"/>
      <c r="K2554" s="74"/>
      <c r="L2554" s="74"/>
      <c r="N2554" s="7"/>
      <c r="O2554" s="74"/>
      <c r="P2554" s="74"/>
      <c r="R2554" s="7"/>
      <c r="S2554" s="7"/>
      <c r="T2554" s="66"/>
    </row>
    <row r="2555" spans="1:20" ht="13.2">
      <c r="A2555" s="7"/>
      <c r="B2555" s="7"/>
      <c r="C2555" s="74"/>
      <c r="D2555" s="74"/>
      <c r="F2555" s="7"/>
      <c r="G2555" s="74"/>
      <c r="H2555" s="74"/>
      <c r="J2555" s="7"/>
      <c r="K2555" s="74"/>
      <c r="L2555" s="74"/>
      <c r="N2555" s="7"/>
      <c r="O2555" s="74"/>
      <c r="P2555" s="74"/>
      <c r="R2555" s="7"/>
      <c r="S2555" s="7"/>
      <c r="T2555" s="66"/>
    </row>
    <row r="2556" spans="1:20" ht="13.2">
      <c r="A2556" s="7"/>
      <c r="B2556" s="7"/>
      <c r="C2556" s="74"/>
      <c r="D2556" s="74"/>
      <c r="F2556" s="7"/>
      <c r="G2556" s="74"/>
      <c r="H2556" s="74"/>
      <c r="J2556" s="7"/>
      <c r="K2556" s="74"/>
      <c r="L2556" s="74"/>
      <c r="N2556" s="7"/>
      <c r="O2556" s="74"/>
      <c r="P2556" s="74"/>
      <c r="R2556" s="7"/>
      <c r="S2556" s="7"/>
      <c r="T2556" s="66"/>
    </row>
    <row r="2557" spans="1:20" ht="13.2">
      <c r="A2557" s="7"/>
      <c r="B2557" s="7"/>
      <c r="C2557" s="74"/>
      <c r="D2557" s="74"/>
      <c r="F2557" s="7"/>
      <c r="G2557" s="74"/>
      <c r="H2557" s="74"/>
      <c r="J2557" s="7"/>
      <c r="K2557" s="74"/>
      <c r="L2557" s="74"/>
      <c r="N2557" s="7"/>
      <c r="O2557" s="74"/>
      <c r="P2557" s="74"/>
      <c r="R2557" s="7"/>
      <c r="S2557" s="7"/>
      <c r="T2557" s="66"/>
    </row>
    <row r="2558" spans="1:20" ht="13.2">
      <c r="A2558" s="7"/>
      <c r="B2558" s="7"/>
      <c r="C2558" s="74"/>
      <c r="D2558" s="74"/>
      <c r="F2558" s="7"/>
      <c r="G2558" s="74"/>
      <c r="H2558" s="74"/>
      <c r="J2558" s="7"/>
      <c r="K2558" s="74"/>
      <c r="L2558" s="74"/>
      <c r="N2558" s="7"/>
      <c r="O2558" s="74"/>
      <c r="P2558" s="74"/>
      <c r="R2558" s="7"/>
      <c r="S2558" s="7"/>
      <c r="T2558" s="66"/>
    </row>
    <row r="2559" spans="1:20" ht="13.2">
      <c r="A2559" s="7"/>
      <c r="B2559" s="7"/>
      <c r="C2559" s="74"/>
      <c r="D2559" s="74"/>
      <c r="F2559" s="7"/>
      <c r="G2559" s="74"/>
      <c r="H2559" s="74"/>
      <c r="J2559" s="7"/>
      <c r="K2559" s="74"/>
      <c r="L2559" s="74"/>
      <c r="N2559" s="7"/>
      <c r="O2559" s="74"/>
      <c r="P2559" s="74"/>
      <c r="R2559" s="7"/>
      <c r="S2559" s="7"/>
      <c r="T2559" s="66"/>
    </row>
    <row r="2560" spans="1:20" ht="13.2">
      <c r="A2560" s="7"/>
      <c r="B2560" s="7"/>
      <c r="C2560" s="74"/>
      <c r="D2560" s="74"/>
      <c r="F2560" s="7"/>
      <c r="G2560" s="74"/>
      <c r="H2560" s="74"/>
      <c r="J2560" s="7"/>
      <c r="K2560" s="74"/>
      <c r="L2560" s="74"/>
      <c r="N2560" s="7"/>
      <c r="O2560" s="74"/>
      <c r="P2560" s="74"/>
      <c r="R2560" s="7"/>
      <c r="S2560" s="7"/>
      <c r="T2560" s="66"/>
    </row>
    <row r="2561" spans="1:20" ht="13.2">
      <c r="A2561" s="7"/>
      <c r="B2561" s="7"/>
      <c r="C2561" s="74"/>
      <c r="D2561" s="74"/>
      <c r="F2561" s="7"/>
      <c r="G2561" s="74"/>
      <c r="H2561" s="74"/>
      <c r="J2561" s="7"/>
      <c r="K2561" s="74"/>
      <c r="L2561" s="74"/>
      <c r="N2561" s="7"/>
      <c r="O2561" s="74"/>
      <c r="P2561" s="74"/>
      <c r="R2561" s="7"/>
      <c r="S2561" s="7"/>
      <c r="T2561" s="66"/>
    </row>
    <row r="2562" spans="1:20" ht="13.2">
      <c r="A2562" s="7"/>
      <c r="B2562" s="7"/>
      <c r="C2562" s="74"/>
      <c r="D2562" s="74"/>
      <c r="F2562" s="7"/>
      <c r="G2562" s="74"/>
      <c r="H2562" s="74"/>
      <c r="J2562" s="7"/>
      <c r="K2562" s="74"/>
      <c r="L2562" s="74"/>
      <c r="N2562" s="7"/>
      <c r="O2562" s="74"/>
      <c r="P2562" s="74"/>
      <c r="R2562" s="7"/>
      <c r="S2562" s="7"/>
      <c r="T2562" s="66"/>
    </row>
    <row r="2563" spans="1:20" ht="13.2">
      <c r="A2563" s="7"/>
      <c r="B2563" s="7"/>
      <c r="C2563" s="74"/>
      <c r="D2563" s="74"/>
      <c r="F2563" s="7"/>
      <c r="G2563" s="74"/>
      <c r="H2563" s="74"/>
      <c r="J2563" s="7"/>
      <c r="K2563" s="74"/>
      <c r="L2563" s="74"/>
      <c r="N2563" s="7"/>
      <c r="O2563" s="74"/>
      <c r="P2563" s="74"/>
      <c r="R2563" s="7"/>
      <c r="S2563" s="7"/>
      <c r="T2563" s="66"/>
    </row>
    <row r="2564" spans="1:20" ht="13.2">
      <c r="A2564" s="7"/>
      <c r="B2564" s="7"/>
      <c r="C2564" s="74"/>
      <c r="D2564" s="74"/>
      <c r="F2564" s="7"/>
      <c r="G2564" s="74"/>
      <c r="H2564" s="74"/>
      <c r="J2564" s="7"/>
      <c r="K2564" s="74"/>
      <c r="L2564" s="74"/>
      <c r="N2564" s="7"/>
      <c r="O2564" s="74"/>
      <c r="P2564" s="74"/>
      <c r="R2564" s="7"/>
      <c r="S2564" s="7"/>
      <c r="T2564" s="66"/>
    </row>
    <row r="2565" spans="1:20" ht="13.2">
      <c r="A2565" s="7"/>
      <c r="B2565" s="7"/>
      <c r="C2565" s="74"/>
      <c r="D2565" s="74"/>
      <c r="F2565" s="7"/>
      <c r="G2565" s="74"/>
      <c r="H2565" s="74"/>
      <c r="J2565" s="7"/>
      <c r="K2565" s="74"/>
      <c r="L2565" s="74"/>
      <c r="N2565" s="7"/>
      <c r="O2565" s="74"/>
      <c r="P2565" s="74"/>
      <c r="R2565" s="7"/>
      <c r="S2565" s="7"/>
      <c r="T2565" s="66"/>
    </row>
    <row r="2566" spans="1:20" ht="13.2">
      <c r="A2566" s="7"/>
      <c r="B2566" s="7"/>
      <c r="C2566" s="74"/>
      <c r="D2566" s="74"/>
      <c r="F2566" s="7"/>
      <c r="G2566" s="74"/>
      <c r="H2566" s="74"/>
      <c r="J2566" s="7"/>
      <c r="K2566" s="74"/>
      <c r="L2566" s="74"/>
      <c r="N2566" s="7"/>
      <c r="O2566" s="74"/>
      <c r="P2566" s="74"/>
      <c r="R2566" s="7"/>
      <c r="S2566" s="7"/>
      <c r="T2566" s="66"/>
    </row>
    <row r="2567" spans="1:20" ht="13.2">
      <c r="A2567" s="7"/>
      <c r="B2567" s="7"/>
      <c r="C2567" s="74"/>
      <c r="D2567" s="74"/>
      <c r="F2567" s="7"/>
      <c r="G2567" s="74"/>
      <c r="H2567" s="74"/>
      <c r="J2567" s="7"/>
      <c r="K2567" s="74"/>
      <c r="L2567" s="74"/>
      <c r="N2567" s="7"/>
      <c r="O2567" s="74"/>
      <c r="P2567" s="74"/>
      <c r="R2567" s="7"/>
      <c r="S2567" s="7"/>
      <c r="T2567" s="66"/>
    </row>
    <row r="2568" spans="1:20" ht="13.2">
      <c r="A2568" s="7"/>
      <c r="B2568" s="7"/>
      <c r="C2568" s="74"/>
      <c r="D2568" s="74"/>
      <c r="F2568" s="7"/>
      <c r="G2568" s="74"/>
      <c r="H2568" s="74"/>
      <c r="J2568" s="7"/>
      <c r="K2568" s="74"/>
      <c r="L2568" s="74"/>
      <c r="N2568" s="7"/>
      <c r="O2568" s="74"/>
      <c r="P2568" s="74"/>
      <c r="R2568" s="7"/>
      <c r="S2568" s="7"/>
      <c r="T2568" s="66"/>
    </row>
    <row r="2569" spans="1:20" ht="13.2">
      <c r="A2569" s="7"/>
      <c r="B2569" s="7"/>
      <c r="C2569" s="74"/>
      <c r="D2569" s="74"/>
      <c r="F2569" s="7"/>
      <c r="G2569" s="74"/>
      <c r="H2569" s="74"/>
      <c r="J2569" s="7"/>
      <c r="K2569" s="74"/>
      <c r="L2569" s="74"/>
      <c r="N2569" s="7"/>
      <c r="O2569" s="74"/>
      <c r="P2569" s="74"/>
      <c r="R2569" s="7"/>
      <c r="S2569" s="7"/>
      <c r="T2569" s="66"/>
    </row>
    <row r="2570" spans="1:20" ht="13.2">
      <c r="A2570" s="7"/>
      <c r="B2570" s="7"/>
      <c r="C2570" s="74"/>
      <c r="D2570" s="74"/>
      <c r="F2570" s="7"/>
      <c r="G2570" s="74"/>
      <c r="H2570" s="74"/>
      <c r="J2570" s="7"/>
      <c r="K2570" s="74"/>
      <c r="L2570" s="74"/>
      <c r="N2570" s="7"/>
      <c r="O2570" s="74"/>
      <c r="P2570" s="74"/>
      <c r="R2570" s="7"/>
      <c r="S2570" s="7"/>
      <c r="T2570" s="66"/>
    </row>
    <row r="2571" spans="1:20" ht="13.2">
      <c r="A2571" s="7"/>
      <c r="B2571" s="7"/>
      <c r="C2571" s="74"/>
      <c r="D2571" s="74"/>
      <c r="F2571" s="7"/>
      <c r="G2571" s="74"/>
      <c r="H2571" s="74"/>
      <c r="J2571" s="7"/>
      <c r="K2571" s="74"/>
      <c r="L2571" s="74"/>
      <c r="N2571" s="7"/>
      <c r="O2571" s="74"/>
      <c r="P2571" s="74"/>
      <c r="R2571" s="7"/>
      <c r="S2571" s="7"/>
      <c r="T2571" s="66"/>
    </row>
    <row r="2572" spans="1:20" ht="13.2">
      <c r="A2572" s="7"/>
      <c r="B2572" s="7"/>
      <c r="C2572" s="74"/>
      <c r="D2572" s="74"/>
      <c r="F2572" s="7"/>
      <c r="G2572" s="74"/>
      <c r="H2572" s="74"/>
      <c r="J2572" s="7"/>
      <c r="K2572" s="74"/>
      <c r="L2572" s="74"/>
      <c r="N2572" s="7"/>
      <c r="O2572" s="74"/>
      <c r="P2572" s="74"/>
      <c r="R2572" s="7"/>
      <c r="S2572" s="7"/>
      <c r="T2572" s="66"/>
    </row>
    <row r="2573" spans="1:20" ht="13.2">
      <c r="A2573" s="7"/>
      <c r="B2573" s="7"/>
      <c r="C2573" s="74"/>
      <c r="D2573" s="74"/>
      <c r="F2573" s="7"/>
      <c r="G2573" s="74"/>
      <c r="H2573" s="74"/>
      <c r="J2573" s="7"/>
      <c r="K2573" s="74"/>
      <c r="L2573" s="74"/>
      <c r="N2573" s="7"/>
      <c r="O2573" s="74"/>
      <c r="P2573" s="74"/>
      <c r="R2573" s="7"/>
      <c r="S2573" s="7"/>
      <c r="T2573" s="66"/>
    </row>
    <row r="2574" spans="1:20" ht="13.2">
      <c r="A2574" s="7"/>
      <c r="B2574" s="7"/>
      <c r="C2574" s="74"/>
      <c r="D2574" s="74"/>
      <c r="F2574" s="7"/>
      <c r="G2574" s="74"/>
      <c r="H2574" s="74"/>
      <c r="J2574" s="7"/>
      <c r="K2574" s="74"/>
      <c r="L2574" s="74"/>
      <c r="N2574" s="7"/>
      <c r="O2574" s="74"/>
      <c r="P2574" s="74"/>
      <c r="R2574" s="7"/>
      <c r="S2574" s="7"/>
      <c r="T2574" s="66"/>
    </row>
    <row r="2575" spans="1:20" ht="13.2">
      <c r="A2575" s="7"/>
      <c r="B2575" s="7"/>
      <c r="C2575" s="74"/>
      <c r="D2575" s="74"/>
      <c r="F2575" s="7"/>
      <c r="G2575" s="74"/>
      <c r="H2575" s="74"/>
      <c r="J2575" s="7"/>
      <c r="K2575" s="74"/>
      <c r="L2575" s="74"/>
      <c r="N2575" s="7"/>
      <c r="O2575" s="74"/>
      <c r="P2575" s="74"/>
      <c r="R2575" s="7"/>
      <c r="S2575" s="7"/>
      <c r="T2575" s="66"/>
    </row>
    <row r="2576" spans="1:20" ht="13.2">
      <c r="A2576" s="7"/>
      <c r="B2576" s="7"/>
      <c r="C2576" s="74"/>
      <c r="D2576" s="74"/>
      <c r="F2576" s="7"/>
      <c r="G2576" s="74"/>
      <c r="H2576" s="74"/>
      <c r="J2576" s="7"/>
      <c r="K2576" s="74"/>
      <c r="L2576" s="74"/>
      <c r="N2576" s="7"/>
      <c r="O2576" s="74"/>
      <c r="P2576" s="74"/>
      <c r="R2576" s="7"/>
      <c r="S2576" s="7"/>
      <c r="T2576" s="66"/>
    </row>
    <row r="2577" spans="1:20" ht="13.2">
      <c r="A2577" s="7"/>
      <c r="B2577" s="7"/>
      <c r="C2577" s="74"/>
      <c r="D2577" s="74"/>
      <c r="F2577" s="7"/>
      <c r="G2577" s="74"/>
      <c r="H2577" s="74"/>
      <c r="J2577" s="7"/>
      <c r="K2577" s="74"/>
      <c r="L2577" s="74"/>
      <c r="N2577" s="7"/>
      <c r="O2577" s="74"/>
      <c r="P2577" s="74"/>
      <c r="R2577" s="7"/>
      <c r="S2577" s="7"/>
      <c r="T2577" s="66"/>
    </row>
    <row r="2578" spans="1:20" ht="13.2">
      <c r="A2578" s="7"/>
      <c r="B2578" s="7"/>
      <c r="C2578" s="74"/>
      <c r="D2578" s="74"/>
      <c r="F2578" s="7"/>
      <c r="G2578" s="74"/>
      <c r="H2578" s="74"/>
      <c r="J2578" s="7"/>
      <c r="K2578" s="74"/>
      <c r="L2578" s="74"/>
      <c r="N2578" s="7"/>
      <c r="O2578" s="74"/>
      <c r="P2578" s="74"/>
      <c r="R2578" s="7"/>
      <c r="S2578" s="7"/>
      <c r="T2578" s="66"/>
    </row>
    <row r="2579" spans="1:20" ht="13.2">
      <c r="A2579" s="7"/>
      <c r="B2579" s="7"/>
      <c r="C2579" s="74"/>
      <c r="D2579" s="74"/>
      <c r="F2579" s="7"/>
      <c r="G2579" s="74"/>
      <c r="H2579" s="74"/>
      <c r="J2579" s="7"/>
      <c r="K2579" s="74"/>
      <c r="L2579" s="74"/>
      <c r="N2579" s="7"/>
      <c r="O2579" s="74"/>
      <c r="P2579" s="74"/>
      <c r="R2579" s="7"/>
      <c r="S2579" s="7"/>
      <c r="T2579" s="66"/>
    </row>
    <row r="2580" spans="1:20" ht="13.2">
      <c r="A2580" s="7"/>
      <c r="B2580" s="7"/>
      <c r="C2580" s="74"/>
      <c r="D2580" s="74"/>
      <c r="F2580" s="7"/>
      <c r="G2580" s="74"/>
      <c r="H2580" s="74"/>
      <c r="J2580" s="7"/>
      <c r="K2580" s="74"/>
      <c r="L2580" s="74"/>
      <c r="N2580" s="7"/>
      <c r="O2580" s="74"/>
      <c r="P2580" s="74"/>
      <c r="R2580" s="7"/>
      <c r="S2580" s="7"/>
      <c r="T2580" s="66"/>
    </row>
    <row r="2581" spans="1:20" ht="13.2">
      <c r="A2581" s="7"/>
      <c r="B2581" s="7"/>
      <c r="C2581" s="74"/>
      <c r="D2581" s="74"/>
      <c r="F2581" s="7"/>
      <c r="G2581" s="74"/>
      <c r="H2581" s="74"/>
      <c r="J2581" s="7"/>
      <c r="K2581" s="74"/>
      <c r="L2581" s="74"/>
      <c r="N2581" s="7"/>
      <c r="O2581" s="74"/>
      <c r="P2581" s="74"/>
      <c r="R2581" s="7"/>
      <c r="S2581" s="7"/>
      <c r="T2581" s="66"/>
    </row>
    <row r="2582" spans="1:20" ht="13.2">
      <c r="A2582" s="7"/>
      <c r="B2582" s="7"/>
      <c r="C2582" s="74"/>
      <c r="D2582" s="74"/>
      <c r="F2582" s="7"/>
      <c r="G2582" s="74"/>
      <c r="H2582" s="74"/>
      <c r="J2582" s="7"/>
      <c r="K2582" s="74"/>
      <c r="L2582" s="74"/>
      <c r="N2582" s="7"/>
      <c r="O2582" s="74"/>
      <c r="P2582" s="74"/>
      <c r="R2582" s="7"/>
      <c r="S2582" s="7"/>
      <c r="T2582" s="66"/>
    </row>
    <row r="2583" spans="1:20" ht="13.2">
      <c r="A2583" s="7"/>
      <c r="B2583" s="7"/>
      <c r="C2583" s="74"/>
      <c r="D2583" s="74"/>
      <c r="F2583" s="7"/>
      <c r="G2583" s="74"/>
      <c r="H2583" s="74"/>
      <c r="J2583" s="7"/>
      <c r="K2583" s="74"/>
      <c r="L2583" s="74"/>
      <c r="N2583" s="7"/>
      <c r="O2583" s="74"/>
      <c r="P2583" s="74"/>
      <c r="R2583" s="7"/>
      <c r="S2583" s="7"/>
      <c r="T2583" s="66"/>
    </row>
    <row r="2584" spans="1:20" ht="13.2">
      <c r="A2584" s="7"/>
      <c r="B2584" s="7"/>
      <c r="C2584" s="74"/>
      <c r="D2584" s="74"/>
      <c r="F2584" s="7"/>
      <c r="G2584" s="74"/>
      <c r="H2584" s="74"/>
      <c r="J2584" s="7"/>
      <c r="K2584" s="74"/>
      <c r="L2584" s="74"/>
      <c r="N2584" s="7"/>
      <c r="O2584" s="74"/>
      <c r="P2584" s="74"/>
      <c r="R2584" s="7"/>
      <c r="S2584" s="7"/>
      <c r="T2584" s="66"/>
    </row>
    <row r="2585" spans="1:20" ht="13.2">
      <c r="A2585" s="7"/>
      <c r="B2585" s="7"/>
      <c r="C2585" s="74"/>
      <c r="D2585" s="74"/>
      <c r="F2585" s="7"/>
      <c r="G2585" s="74"/>
      <c r="H2585" s="74"/>
      <c r="J2585" s="7"/>
      <c r="K2585" s="74"/>
      <c r="L2585" s="74"/>
      <c r="N2585" s="7"/>
      <c r="O2585" s="74"/>
      <c r="P2585" s="74"/>
      <c r="R2585" s="7"/>
      <c r="S2585" s="7"/>
      <c r="T2585" s="66"/>
    </row>
    <row r="2586" spans="1:20" ht="13.2">
      <c r="A2586" s="7"/>
      <c r="B2586" s="7"/>
      <c r="C2586" s="74"/>
      <c r="D2586" s="74"/>
      <c r="F2586" s="7"/>
      <c r="G2586" s="74"/>
      <c r="H2586" s="74"/>
      <c r="J2586" s="7"/>
      <c r="K2586" s="74"/>
      <c r="L2586" s="74"/>
      <c r="N2586" s="7"/>
      <c r="O2586" s="74"/>
      <c r="P2586" s="74"/>
      <c r="R2586" s="7"/>
      <c r="S2586" s="7"/>
      <c r="T2586" s="66"/>
    </row>
    <row r="2587" spans="1:20" ht="13.2">
      <c r="A2587" s="7"/>
      <c r="B2587" s="7"/>
      <c r="C2587" s="74"/>
      <c r="D2587" s="74"/>
      <c r="F2587" s="7"/>
      <c r="G2587" s="74"/>
      <c r="H2587" s="74"/>
      <c r="J2587" s="7"/>
      <c r="K2587" s="74"/>
      <c r="L2587" s="74"/>
      <c r="N2587" s="7"/>
      <c r="O2587" s="74"/>
      <c r="P2587" s="74"/>
      <c r="R2587" s="7"/>
      <c r="S2587" s="7"/>
      <c r="T2587" s="66"/>
    </row>
    <row r="2588" spans="1:20" ht="13.2">
      <c r="A2588" s="7"/>
      <c r="B2588" s="7"/>
      <c r="C2588" s="74"/>
      <c r="D2588" s="74"/>
      <c r="F2588" s="7"/>
      <c r="G2588" s="74"/>
      <c r="H2588" s="74"/>
      <c r="J2588" s="7"/>
      <c r="K2588" s="74"/>
      <c r="L2588" s="74"/>
      <c r="N2588" s="7"/>
      <c r="O2588" s="74"/>
      <c r="P2588" s="74"/>
      <c r="R2588" s="7"/>
      <c r="S2588" s="7"/>
      <c r="T2588" s="66"/>
    </row>
    <row r="2589" spans="1:20" ht="13.2">
      <c r="A2589" s="7"/>
      <c r="B2589" s="7"/>
      <c r="C2589" s="74"/>
      <c r="D2589" s="74"/>
      <c r="F2589" s="7"/>
      <c r="G2589" s="74"/>
      <c r="H2589" s="74"/>
      <c r="J2589" s="7"/>
      <c r="K2589" s="74"/>
      <c r="L2589" s="74"/>
      <c r="N2589" s="7"/>
      <c r="O2589" s="74"/>
      <c r="P2589" s="74"/>
      <c r="R2589" s="7"/>
      <c r="S2589" s="7"/>
      <c r="T2589" s="66"/>
    </row>
    <row r="2590" spans="1:20" ht="13.2">
      <c r="A2590" s="7"/>
      <c r="B2590" s="7"/>
      <c r="C2590" s="74"/>
      <c r="D2590" s="74"/>
      <c r="F2590" s="7"/>
      <c r="G2590" s="74"/>
      <c r="H2590" s="74"/>
      <c r="J2590" s="7"/>
      <c r="K2590" s="74"/>
      <c r="L2590" s="74"/>
      <c r="N2590" s="7"/>
      <c r="O2590" s="74"/>
      <c r="P2590" s="74"/>
      <c r="R2590" s="7"/>
      <c r="S2590" s="7"/>
      <c r="T2590" s="66"/>
    </row>
    <row r="2591" spans="1:20" ht="13.2">
      <c r="A2591" s="7"/>
      <c r="B2591" s="7"/>
      <c r="C2591" s="74"/>
      <c r="D2591" s="74"/>
      <c r="F2591" s="7"/>
      <c r="G2591" s="74"/>
      <c r="H2591" s="74"/>
      <c r="J2591" s="7"/>
      <c r="K2591" s="74"/>
      <c r="L2591" s="74"/>
      <c r="N2591" s="7"/>
      <c r="O2591" s="74"/>
      <c r="P2591" s="74"/>
      <c r="R2591" s="7"/>
      <c r="S2591" s="7"/>
      <c r="T2591" s="66"/>
    </row>
    <row r="2592" spans="1:20" ht="13.2">
      <c r="A2592" s="7"/>
      <c r="B2592" s="7"/>
      <c r="C2592" s="74"/>
      <c r="D2592" s="74"/>
      <c r="F2592" s="7"/>
      <c r="G2592" s="74"/>
      <c r="H2592" s="74"/>
      <c r="J2592" s="7"/>
      <c r="K2592" s="74"/>
      <c r="L2592" s="74"/>
      <c r="N2592" s="7"/>
      <c r="O2592" s="74"/>
      <c r="P2592" s="74"/>
      <c r="R2592" s="7"/>
      <c r="S2592" s="7"/>
      <c r="T2592" s="66"/>
    </row>
    <row r="2593" spans="1:20" ht="13.2">
      <c r="A2593" s="7"/>
      <c r="B2593" s="7"/>
      <c r="C2593" s="74"/>
      <c r="D2593" s="74"/>
      <c r="F2593" s="7"/>
      <c r="G2593" s="74"/>
      <c r="H2593" s="74"/>
      <c r="J2593" s="7"/>
      <c r="K2593" s="74"/>
      <c r="L2593" s="74"/>
      <c r="N2593" s="7"/>
      <c r="O2593" s="74"/>
      <c r="P2593" s="74"/>
      <c r="R2593" s="7"/>
      <c r="S2593" s="7"/>
      <c r="T2593" s="66"/>
    </row>
    <row r="2594" spans="1:20" ht="13.2">
      <c r="A2594" s="7"/>
      <c r="B2594" s="7"/>
      <c r="C2594" s="74"/>
      <c r="D2594" s="74"/>
      <c r="F2594" s="7"/>
      <c r="G2594" s="74"/>
      <c r="H2594" s="74"/>
      <c r="J2594" s="7"/>
      <c r="K2594" s="74"/>
      <c r="L2594" s="74"/>
      <c r="N2594" s="7"/>
      <c r="O2594" s="74"/>
      <c r="P2594" s="74"/>
      <c r="R2594" s="7"/>
      <c r="S2594" s="7"/>
      <c r="T2594" s="66"/>
    </row>
    <row r="2595" spans="1:20" ht="13.2">
      <c r="A2595" s="7"/>
      <c r="B2595" s="7"/>
      <c r="C2595" s="74"/>
      <c r="D2595" s="74"/>
      <c r="F2595" s="7"/>
      <c r="G2595" s="74"/>
      <c r="H2595" s="74"/>
      <c r="J2595" s="7"/>
      <c r="K2595" s="74"/>
      <c r="L2595" s="74"/>
      <c r="N2595" s="7"/>
      <c r="O2595" s="74"/>
      <c r="P2595" s="74"/>
      <c r="R2595" s="7"/>
      <c r="S2595" s="7"/>
      <c r="T2595" s="66"/>
    </row>
    <row r="2596" spans="1:20" ht="13.2">
      <c r="A2596" s="7"/>
      <c r="B2596" s="7"/>
      <c r="C2596" s="74"/>
      <c r="D2596" s="74"/>
      <c r="F2596" s="7"/>
      <c r="G2596" s="74"/>
      <c r="H2596" s="74"/>
      <c r="J2596" s="7"/>
      <c r="K2596" s="74"/>
      <c r="L2596" s="74"/>
      <c r="N2596" s="7"/>
      <c r="O2596" s="74"/>
      <c r="P2596" s="74"/>
      <c r="R2596" s="7"/>
      <c r="S2596" s="7"/>
      <c r="T2596" s="66"/>
    </row>
    <row r="2597" spans="1:20" ht="13.2">
      <c r="A2597" s="7"/>
      <c r="B2597" s="7"/>
      <c r="C2597" s="74"/>
      <c r="D2597" s="74"/>
      <c r="F2597" s="7"/>
      <c r="G2597" s="74"/>
      <c r="H2597" s="74"/>
      <c r="J2597" s="7"/>
      <c r="K2597" s="74"/>
      <c r="L2597" s="74"/>
      <c r="N2597" s="7"/>
      <c r="O2597" s="74"/>
      <c r="P2597" s="74"/>
      <c r="R2597" s="7"/>
      <c r="S2597" s="7"/>
      <c r="T2597" s="66"/>
    </row>
    <row r="2598" spans="1:20" ht="13.2">
      <c r="A2598" s="7"/>
      <c r="B2598" s="7"/>
      <c r="C2598" s="74"/>
      <c r="D2598" s="74"/>
      <c r="F2598" s="7"/>
      <c r="G2598" s="74"/>
      <c r="H2598" s="74"/>
      <c r="J2598" s="7"/>
      <c r="K2598" s="74"/>
      <c r="L2598" s="74"/>
      <c r="N2598" s="7"/>
      <c r="O2598" s="74"/>
      <c r="P2598" s="74"/>
      <c r="R2598" s="7"/>
      <c r="S2598" s="7"/>
      <c r="T2598" s="66"/>
    </row>
    <row r="2599" spans="1:20" ht="13.2">
      <c r="A2599" s="7"/>
      <c r="B2599" s="7"/>
      <c r="C2599" s="74"/>
      <c r="D2599" s="74"/>
      <c r="F2599" s="7"/>
      <c r="G2599" s="74"/>
      <c r="H2599" s="74"/>
      <c r="J2599" s="7"/>
      <c r="K2599" s="74"/>
      <c r="L2599" s="74"/>
      <c r="N2599" s="7"/>
      <c r="O2599" s="74"/>
      <c r="P2599" s="74"/>
      <c r="R2599" s="7"/>
      <c r="S2599" s="7"/>
      <c r="T2599" s="66"/>
    </row>
    <row r="2600" spans="1:20" ht="13.2">
      <c r="A2600" s="7"/>
      <c r="B2600" s="7"/>
      <c r="C2600" s="74"/>
      <c r="D2600" s="74"/>
      <c r="F2600" s="7"/>
      <c r="G2600" s="74"/>
      <c r="H2600" s="74"/>
      <c r="J2600" s="7"/>
      <c r="K2600" s="74"/>
      <c r="L2600" s="74"/>
      <c r="N2600" s="7"/>
      <c r="O2600" s="74"/>
      <c r="P2600" s="74"/>
      <c r="R2600" s="7"/>
      <c r="S2600" s="7"/>
      <c r="T2600" s="66"/>
    </row>
    <row r="2601" spans="1:20" ht="13.2">
      <c r="A2601" s="7"/>
      <c r="B2601" s="7"/>
      <c r="C2601" s="74"/>
      <c r="D2601" s="74"/>
      <c r="F2601" s="7"/>
      <c r="G2601" s="74"/>
      <c r="H2601" s="74"/>
      <c r="J2601" s="7"/>
      <c r="K2601" s="74"/>
      <c r="L2601" s="74"/>
      <c r="N2601" s="7"/>
      <c r="O2601" s="74"/>
      <c r="P2601" s="74"/>
      <c r="R2601" s="7"/>
      <c r="S2601" s="7"/>
      <c r="T2601" s="66"/>
    </row>
    <row r="2602" spans="1:20" ht="13.2">
      <c r="A2602" s="7"/>
      <c r="B2602" s="7"/>
      <c r="C2602" s="74"/>
      <c r="D2602" s="74"/>
      <c r="F2602" s="7"/>
      <c r="G2602" s="74"/>
      <c r="H2602" s="74"/>
      <c r="J2602" s="7"/>
      <c r="K2602" s="74"/>
      <c r="L2602" s="74"/>
      <c r="N2602" s="7"/>
      <c r="O2602" s="74"/>
      <c r="P2602" s="74"/>
      <c r="R2602" s="7"/>
      <c r="S2602" s="7"/>
      <c r="T2602" s="66"/>
    </row>
    <row r="2603" spans="1:20" ht="13.2">
      <c r="A2603" s="7"/>
      <c r="B2603" s="7"/>
      <c r="C2603" s="74"/>
      <c r="D2603" s="74"/>
      <c r="F2603" s="7"/>
      <c r="G2603" s="74"/>
      <c r="H2603" s="74"/>
      <c r="J2603" s="7"/>
      <c r="K2603" s="74"/>
      <c r="L2603" s="74"/>
      <c r="N2603" s="7"/>
      <c r="O2603" s="74"/>
      <c r="P2603" s="74"/>
      <c r="R2603" s="7"/>
      <c r="S2603" s="7"/>
      <c r="T2603" s="66"/>
    </row>
    <row r="2604" spans="1:20" ht="13.2">
      <c r="A2604" s="7"/>
      <c r="B2604" s="7"/>
      <c r="C2604" s="74"/>
      <c r="D2604" s="74"/>
      <c r="F2604" s="7"/>
      <c r="G2604" s="74"/>
      <c r="H2604" s="74"/>
      <c r="J2604" s="7"/>
      <c r="K2604" s="74"/>
      <c r="L2604" s="74"/>
      <c r="N2604" s="7"/>
      <c r="O2604" s="74"/>
      <c r="P2604" s="74"/>
      <c r="R2604" s="7"/>
      <c r="S2604" s="7"/>
      <c r="T2604" s="66"/>
    </row>
    <row r="2605" spans="1:20" ht="13.2">
      <c r="A2605" s="7"/>
      <c r="B2605" s="7"/>
      <c r="C2605" s="74"/>
      <c r="D2605" s="74"/>
      <c r="F2605" s="7"/>
      <c r="G2605" s="74"/>
      <c r="H2605" s="74"/>
      <c r="J2605" s="7"/>
      <c r="K2605" s="74"/>
      <c r="L2605" s="74"/>
      <c r="N2605" s="7"/>
      <c r="O2605" s="74"/>
      <c r="P2605" s="74"/>
      <c r="R2605" s="7"/>
      <c r="S2605" s="7"/>
      <c r="T2605" s="66"/>
    </row>
    <row r="2606" spans="1:20" ht="13.2">
      <c r="A2606" s="7"/>
      <c r="B2606" s="7"/>
      <c r="C2606" s="74"/>
      <c r="D2606" s="74"/>
      <c r="F2606" s="7"/>
      <c r="G2606" s="74"/>
      <c r="H2606" s="74"/>
      <c r="J2606" s="7"/>
      <c r="K2606" s="74"/>
      <c r="L2606" s="74"/>
      <c r="N2606" s="7"/>
      <c r="O2606" s="74"/>
      <c r="P2606" s="74"/>
      <c r="R2606" s="7"/>
      <c r="S2606" s="7"/>
      <c r="T2606" s="66"/>
    </row>
    <row r="2607" spans="1:20" ht="13.2">
      <c r="A2607" s="7"/>
      <c r="B2607" s="7"/>
      <c r="C2607" s="74"/>
      <c r="D2607" s="74"/>
      <c r="F2607" s="7"/>
      <c r="G2607" s="74"/>
      <c r="H2607" s="74"/>
      <c r="J2607" s="7"/>
      <c r="K2607" s="74"/>
      <c r="L2607" s="74"/>
      <c r="N2607" s="7"/>
      <c r="O2607" s="74"/>
      <c r="P2607" s="74"/>
      <c r="R2607" s="7"/>
      <c r="S2607" s="7"/>
      <c r="T2607" s="66"/>
    </row>
    <row r="2608" spans="1:20" ht="13.2">
      <c r="A2608" s="7"/>
      <c r="B2608" s="7"/>
      <c r="C2608" s="74"/>
      <c r="D2608" s="74"/>
      <c r="F2608" s="7"/>
      <c r="G2608" s="74"/>
      <c r="H2608" s="74"/>
      <c r="J2608" s="7"/>
      <c r="K2608" s="74"/>
      <c r="L2608" s="74"/>
      <c r="N2608" s="7"/>
      <c r="O2608" s="74"/>
      <c r="P2608" s="74"/>
      <c r="R2608" s="7"/>
      <c r="S2608" s="7"/>
      <c r="T2608" s="66"/>
    </row>
    <row r="2609" spans="1:20" ht="13.2">
      <c r="A2609" s="7"/>
      <c r="B2609" s="7"/>
      <c r="C2609" s="74"/>
      <c r="D2609" s="74"/>
      <c r="F2609" s="7"/>
      <c r="G2609" s="74"/>
      <c r="H2609" s="74"/>
      <c r="J2609" s="7"/>
      <c r="K2609" s="74"/>
      <c r="L2609" s="74"/>
      <c r="N2609" s="7"/>
      <c r="O2609" s="74"/>
      <c r="P2609" s="74"/>
      <c r="R2609" s="7"/>
      <c r="S2609" s="7"/>
      <c r="T2609" s="66"/>
    </row>
    <row r="2610" spans="1:20" ht="13.2">
      <c r="A2610" s="7"/>
      <c r="B2610" s="7"/>
      <c r="C2610" s="74"/>
      <c r="D2610" s="74"/>
      <c r="F2610" s="7"/>
      <c r="G2610" s="74"/>
      <c r="H2610" s="74"/>
      <c r="J2610" s="7"/>
      <c r="K2610" s="74"/>
      <c r="L2610" s="74"/>
      <c r="N2610" s="7"/>
      <c r="O2610" s="74"/>
      <c r="P2610" s="74"/>
      <c r="R2610" s="7"/>
      <c r="S2610" s="7"/>
      <c r="T2610" s="66"/>
    </row>
    <row r="2611" spans="1:20" ht="13.2">
      <c r="A2611" s="7"/>
      <c r="B2611" s="7"/>
      <c r="C2611" s="74"/>
      <c r="D2611" s="74"/>
      <c r="F2611" s="7"/>
      <c r="G2611" s="74"/>
      <c r="H2611" s="74"/>
      <c r="J2611" s="7"/>
      <c r="K2611" s="74"/>
      <c r="L2611" s="74"/>
      <c r="N2611" s="7"/>
      <c r="O2611" s="74"/>
      <c r="P2611" s="74"/>
      <c r="R2611" s="7"/>
      <c r="S2611" s="7"/>
      <c r="T2611" s="66"/>
    </row>
    <row r="2612" spans="1:20" ht="13.2">
      <c r="A2612" s="7"/>
      <c r="B2612" s="7"/>
      <c r="C2612" s="74"/>
      <c r="D2612" s="74"/>
      <c r="F2612" s="7"/>
      <c r="G2612" s="74"/>
      <c r="H2612" s="74"/>
      <c r="J2612" s="7"/>
      <c r="K2612" s="74"/>
      <c r="L2612" s="74"/>
      <c r="N2612" s="7"/>
      <c r="O2612" s="74"/>
      <c r="P2612" s="74"/>
      <c r="R2612" s="7"/>
      <c r="S2612" s="7"/>
      <c r="T2612" s="66"/>
    </row>
    <row r="2613" spans="1:20" ht="13.2">
      <c r="A2613" s="7"/>
      <c r="B2613" s="7"/>
      <c r="C2613" s="74"/>
      <c r="D2613" s="74"/>
      <c r="F2613" s="7"/>
      <c r="G2613" s="74"/>
      <c r="H2613" s="74"/>
      <c r="J2613" s="7"/>
      <c r="K2613" s="74"/>
      <c r="L2613" s="74"/>
      <c r="N2613" s="7"/>
      <c r="O2613" s="74"/>
      <c r="P2613" s="74"/>
      <c r="R2613" s="7"/>
      <c r="S2613" s="7"/>
      <c r="T2613" s="66"/>
    </row>
    <row r="2614" spans="1:20" ht="13.2">
      <c r="A2614" s="7"/>
      <c r="B2614" s="7"/>
      <c r="C2614" s="74"/>
      <c r="D2614" s="74"/>
      <c r="F2614" s="7"/>
      <c r="G2614" s="74"/>
      <c r="H2614" s="74"/>
      <c r="J2614" s="7"/>
      <c r="K2614" s="74"/>
      <c r="L2614" s="74"/>
      <c r="N2614" s="7"/>
      <c r="O2614" s="74"/>
      <c r="P2614" s="74"/>
      <c r="R2614" s="7"/>
      <c r="S2614" s="7"/>
      <c r="T2614" s="66"/>
    </row>
    <row r="2615" spans="1:20" ht="13.2">
      <c r="A2615" s="7"/>
      <c r="B2615" s="7"/>
      <c r="C2615" s="74"/>
      <c r="D2615" s="74"/>
      <c r="F2615" s="7"/>
      <c r="G2615" s="74"/>
      <c r="H2615" s="74"/>
      <c r="J2615" s="7"/>
      <c r="K2615" s="74"/>
      <c r="L2615" s="74"/>
      <c r="N2615" s="7"/>
      <c r="O2615" s="74"/>
      <c r="P2615" s="74"/>
      <c r="R2615" s="7"/>
      <c r="S2615" s="7"/>
      <c r="T2615" s="66"/>
    </row>
    <row r="2616" spans="1:20" ht="13.2">
      <c r="A2616" s="7"/>
      <c r="B2616" s="7"/>
      <c r="C2616" s="74"/>
      <c r="D2616" s="74"/>
      <c r="F2616" s="7"/>
      <c r="G2616" s="74"/>
      <c r="H2616" s="74"/>
      <c r="J2616" s="7"/>
      <c r="K2616" s="74"/>
      <c r="L2616" s="74"/>
      <c r="N2616" s="7"/>
      <c r="O2616" s="74"/>
      <c r="P2616" s="74"/>
      <c r="R2616" s="7"/>
      <c r="S2616" s="7"/>
      <c r="T2616" s="66"/>
    </row>
    <row r="2617" spans="1:20" ht="13.2">
      <c r="A2617" s="7"/>
      <c r="B2617" s="7"/>
      <c r="C2617" s="74"/>
      <c r="D2617" s="74"/>
      <c r="F2617" s="7"/>
      <c r="G2617" s="74"/>
      <c r="H2617" s="74"/>
      <c r="J2617" s="7"/>
      <c r="K2617" s="74"/>
      <c r="L2617" s="74"/>
      <c r="N2617" s="7"/>
      <c r="O2617" s="74"/>
      <c r="P2617" s="74"/>
      <c r="R2617" s="7"/>
      <c r="S2617" s="7"/>
      <c r="T2617" s="66"/>
    </row>
    <row r="2618" spans="1:20" ht="13.2">
      <c r="A2618" s="7"/>
      <c r="B2618" s="7"/>
      <c r="C2618" s="74"/>
      <c r="D2618" s="74"/>
      <c r="F2618" s="7"/>
      <c r="G2618" s="74"/>
      <c r="H2618" s="74"/>
      <c r="J2618" s="7"/>
      <c r="K2618" s="74"/>
      <c r="L2618" s="74"/>
      <c r="N2618" s="7"/>
      <c r="O2618" s="74"/>
      <c r="P2618" s="74"/>
      <c r="R2618" s="7"/>
      <c r="S2618" s="7"/>
      <c r="T2618" s="66"/>
    </row>
    <row r="2619" spans="1:20" ht="13.2">
      <c r="A2619" s="7"/>
      <c r="B2619" s="7"/>
      <c r="C2619" s="74"/>
      <c r="D2619" s="74"/>
      <c r="F2619" s="7"/>
      <c r="G2619" s="74"/>
      <c r="H2619" s="74"/>
      <c r="J2619" s="7"/>
      <c r="K2619" s="74"/>
      <c r="L2619" s="74"/>
      <c r="N2619" s="7"/>
      <c r="O2619" s="74"/>
      <c r="P2619" s="74"/>
      <c r="R2619" s="7"/>
      <c r="S2619" s="7"/>
      <c r="T2619" s="66"/>
    </row>
    <row r="2620" spans="1:20" ht="13.2">
      <c r="A2620" s="7"/>
      <c r="B2620" s="7"/>
      <c r="C2620" s="74"/>
      <c r="D2620" s="74"/>
      <c r="F2620" s="7"/>
      <c r="G2620" s="74"/>
      <c r="H2620" s="74"/>
      <c r="J2620" s="7"/>
      <c r="K2620" s="74"/>
      <c r="L2620" s="74"/>
      <c r="N2620" s="7"/>
      <c r="O2620" s="74"/>
      <c r="P2620" s="74"/>
      <c r="R2620" s="7"/>
      <c r="S2620" s="7"/>
      <c r="T2620" s="66"/>
    </row>
    <row r="2621" spans="1:20" ht="13.2">
      <c r="A2621" s="7"/>
      <c r="B2621" s="7"/>
      <c r="C2621" s="74"/>
      <c r="D2621" s="74"/>
      <c r="F2621" s="7"/>
      <c r="G2621" s="74"/>
      <c r="H2621" s="74"/>
      <c r="J2621" s="7"/>
      <c r="K2621" s="74"/>
      <c r="L2621" s="74"/>
      <c r="N2621" s="7"/>
      <c r="O2621" s="74"/>
      <c r="P2621" s="74"/>
      <c r="R2621" s="7"/>
      <c r="S2621" s="7"/>
      <c r="T2621" s="66"/>
    </row>
    <row r="2622" spans="1:20" ht="13.2">
      <c r="A2622" s="7"/>
      <c r="B2622" s="7"/>
      <c r="C2622" s="74"/>
      <c r="D2622" s="74"/>
      <c r="F2622" s="7"/>
      <c r="G2622" s="74"/>
      <c r="H2622" s="74"/>
      <c r="J2622" s="7"/>
      <c r="K2622" s="74"/>
      <c r="L2622" s="74"/>
      <c r="N2622" s="7"/>
      <c r="O2622" s="74"/>
      <c r="P2622" s="74"/>
      <c r="R2622" s="7"/>
      <c r="S2622" s="7"/>
      <c r="T2622" s="66"/>
    </row>
    <row r="2623" spans="1:20" ht="13.2">
      <c r="A2623" s="7"/>
      <c r="B2623" s="7"/>
      <c r="C2623" s="74"/>
      <c r="D2623" s="74"/>
      <c r="F2623" s="7"/>
      <c r="G2623" s="74"/>
      <c r="H2623" s="74"/>
      <c r="J2623" s="7"/>
      <c r="K2623" s="74"/>
      <c r="L2623" s="74"/>
      <c r="N2623" s="7"/>
      <c r="O2623" s="74"/>
      <c r="P2623" s="74"/>
      <c r="R2623" s="7"/>
      <c r="S2623" s="7"/>
      <c r="T2623" s="66"/>
    </row>
    <row r="2624" spans="1:20" ht="13.2">
      <c r="A2624" s="7"/>
      <c r="B2624" s="7"/>
      <c r="C2624" s="74"/>
      <c r="D2624" s="74"/>
      <c r="F2624" s="7"/>
      <c r="G2624" s="74"/>
      <c r="H2624" s="74"/>
      <c r="J2624" s="7"/>
      <c r="K2624" s="74"/>
      <c r="L2624" s="74"/>
      <c r="N2624" s="7"/>
      <c r="O2624" s="74"/>
      <c r="P2624" s="74"/>
      <c r="R2624" s="7"/>
      <c r="S2624" s="7"/>
      <c r="T2624" s="66"/>
    </row>
    <row r="2625" spans="1:20" ht="13.2">
      <c r="A2625" s="7"/>
      <c r="B2625" s="7"/>
      <c r="C2625" s="74"/>
      <c r="D2625" s="74"/>
      <c r="F2625" s="7"/>
      <c r="G2625" s="74"/>
      <c r="H2625" s="74"/>
      <c r="J2625" s="7"/>
      <c r="K2625" s="74"/>
      <c r="L2625" s="74"/>
      <c r="N2625" s="7"/>
      <c r="O2625" s="74"/>
      <c r="P2625" s="74"/>
      <c r="R2625" s="7"/>
      <c r="S2625" s="7"/>
      <c r="T2625" s="66"/>
    </row>
    <row r="2626" spans="1:20" ht="13.2">
      <c r="A2626" s="7"/>
      <c r="B2626" s="7"/>
      <c r="C2626" s="74"/>
      <c r="D2626" s="74"/>
      <c r="F2626" s="7"/>
      <c r="G2626" s="74"/>
      <c r="H2626" s="74"/>
      <c r="J2626" s="7"/>
      <c r="K2626" s="74"/>
      <c r="L2626" s="74"/>
      <c r="N2626" s="7"/>
      <c r="O2626" s="74"/>
      <c r="P2626" s="74"/>
      <c r="R2626" s="7"/>
      <c r="S2626" s="7"/>
      <c r="T2626" s="66"/>
    </row>
    <row r="2627" spans="1:20" ht="13.2">
      <c r="A2627" s="7"/>
      <c r="B2627" s="7"/>
      <c r="C2627" s="74"/>
      <c r="D2627" s="74"/>
      <c r="F2627" s="7"/>
      <c r="G2627" s="74"/>
      <c r="H2627" s="74"/>
      <c r="J2627" s="7"/>
      <c r="K2627" s="74"/>
      <c r="L2627" s="74"/>
      <c r="N2627" s="7"/>
      <c r="O2627" s="74"/>
      <c r="P2627" s="74"/>
      <c r="R2627" s="7"/>
      <c r="S2627" s="7"/>
      <c r="T2627" s="66"/>
    </row>
    <row r="2628" spans="1:20" ht="13.2">
      <c r="A2628" s="7"/>
      <c r="B2628" s="7"/>
      <c r="C2628" s="74"/>
      <c r="D2628" s="74"/>
      <c r="F2628" s="7"/>
      <c r="G2628" s="74"/>
      <c r="H2628" s="74"/>
      <c r="J2628" s="7"/>
      <c r="K2628" s="74"/>
      <c r="L2628" s="74"/>
      <c r="N2628" s="7"/>
      <c r="O2628" s="74"/>
      <c r="P2628" s="74"/>
      <c r="R2628" s="7"/>
      <c r="S2628" s="7"/>
      <c r="T2628" s="66"/>
    </row>
    <row r="2629" spans="1:20" ht="13.2">
      <c r="A2629" s="7"/>
      <c r="B2629" s="7"/>
      <c r="C2629" s="74"/>
      <c r="D2629" s="74"/>
      <c r="F2629" s="7"/>
      <c r="G2629" s="74"/>
      <c r="H2629" s="74"/>
      <c r="J2629" s="7"/>
      <c r="K2629" s="74"/>
      <c r="L2629" s="74"/>
      <c r="N2629" s="7"/>
      <c r="O2629" s="74"/>
      <c r="P2629" s="74"/>
      <c r="R2629" s="7"/>
      <c r="S2629" s="7"/>
      <c r="T2629" s="66"/>
    </row>
    <row r="2630" spans="1:20" ht="13.2">
      <c r="A2630" s="7"/>
      <c r="B2630" s="7"/>
      <c r="C2630" s="74"/>
      <c r="D2630" s="74"/>
      <c r="F2630" s="7"/>
      <c r="G2630" s="74"/>
      <c r="H2630" s="74"/>
      <c r="J2630" s="7"/>
      <c r="K2630" s="74"/>
      <c r="L2630" s="74"/>
      <c r="N2630" s="7"/>
      <c r="O2630" s="74"/>
      <c r="P2630" s="74"/>
      <c r="R2630" s="7"/>
      <c r="S2630" s="7"/>
      <c r="T2630" s="66"/>
    </row>
    <row r="2631" spans="1:20" ht="13.2">
      <c r="A2631" s="7"/>
      <c r="B2631" s="7"/>
      <c r="C2631" s="74"/>
      <c r="D2631" s="74"/>
      <c r="F2631" s="7"/>
      <c r="G2631" s="74"/>
      <c r="H2631" s="74"/>
      <c r="J2631" s="7"/>
      <c r="K2631" s="74"/>
      <c r="L2631" s="74"/>
      <c r="N2631" s="7"/>
      <c r="O2631" s="74"/>
      <c r="P2631" s="74"/>
      <c r="R2631" s="7"/>
      <c r="S2631" s="7"/>
      <c r="T2631" s="66"/>
    </row>
    <row r="2632" spans="1:20" ht="13.2">
      <c r="A2632" s="7"/>
      <c r="B2632" s="7"/>
      <c r="C2632" s="74"/>
      <c r="D2632" s="74"/>
      <c r="F2632" s="7"/>
      <c r="G2632" s="74"/>
      <c r="H2632" s="74"/>
      <c r="J2632" s="7"/>
      <c r="K2632" s="74"/>
      <c r="L2632" s="74"/>
      <c r="N2632" s="7"/>
      <c r="O2632" s="74"/>
      <c r="P2632" s="74"/>
      <c r="R2632" s="7"/>
      <c r="S2632" s="7"/>
      <c r="T2632" s="66"/>
    </row>
    <row r="2633" spans="1:20" ht="13.2">
      <c r="A2633" s="7"/>
      <c r="B2633" s="7"/>
      <c r="C2633" s="74"/>
      <c r="D2633" s="74"/>
      <c r="F2633" s="7"/>
      <c r="G2633" s="74"/>
      <c r="H2633" s="74"/>
      <c r="J2633" s="7"/>
      <c r="K2633" s="74"/>
      <c r="L2633" s="74"/>
      <c r="N2633" s="7"/>
      <c r="O2633" s="74"/>
      <c r="P2633" s="74"/>
      <c r="R2633" s="7"/>
      <c r="S2633" s="7"/>
      <c r="T2633" s="66"/>
    </row>
    <row r="2634" spans="1:20" ht="13.2">
      <c r="A2634" s="7"/>
      <c r="B2634" s="7"/>
      <c r="C2634" s="74"/>
      <c r="D2634" s="74"/>
      <c r="F2634" s="7"/>
      <c r="G2634" s="74"/>
      <c r="H2634" s="74"/>
      <c r="J2634" s="7"/>
      <c r="K2634" s="74"/>
      <c r="L2634" s="74"/>
      <c r="N2634" s="7"/>
      <c r="O2634" s="74"/>
      <c r="P2634" s="74"/>
      <c r="R2634" s="7"/>
      <c r="S2634" s="7"/>
      <c r="T2634" s="66"/>
    </row>
    <row r="2635" spans="1:20" ht="13.2">
      <c r="A2635" s="7"/>
      <c r="B2635" s="7"/>
      <c r="C2635" s="74"/>
      <c r="D2635" s="74"/>
      <c r="F2635" s="7"/>
      <c r="G2635" s="74"/>
      <c r="H2635" s="74"/>
      <c r="J2635" s="7"/>
      <c r="K2635" s="74"/>
      <c r="L2635" s="74"/>
      <c r="N2635" s="7"/>
      <c r="O2635" s="74"/>
      <c r="P2635" s="74"/>
      <c r="R2635" s="7"/>
      <c r="S2635" s="7"/>
      <c r="T2635" s="66"/>
    </row>
    <row r="2636" spans="1:20" ht="13.2">
      <c r="A2636" s="7"/>
      <c r="B2636" s="7"/>
      <c r="C2636" s="74"/>
      <c r="D2636" s="74"/>
      <c r="F2636" s="7"/>
      <c r="G2636" s="74"/>
      <c r="H2636" s="74"/>
      <c r="J2636" s="7"/>
      <c r="K2636" s="74"/>
      <c r="L2636" s="74"/>
      <c r="N2636" s="7"/>
      <c r="O2636" s="74"/>
      <c r="P2636" s="74"/>
      <c r="R2636" s="7"/>
      <c r="S2636" s="7"/>
      <c r="T2636" s="66"/>
    </row>
    <row r="2637" spans="1:20" ht="13.2">
      <c r="A2637" s="7"/>
      <c r="B2637" s="7"/>
      <c r="C2637" s="74"/>
      <c r="D2637" s="74"/>
      <c r="F2637" s="7"/>
      <c r="G2637" s="74"/>
      <c r="H2637" s="74"/>
      <c r="J2637" s="7"/>
      <c r="K2637" s="74"/>
      <c r="L2637" s="74"/>
      <c r="N2637" s="7"/>
      <c r="O2637" s="74"/>
      <c r="P2637" s="74"/>
      <c r="R2637" s="7"/>
      <c r="S2637" s="7"/>
      <c r="T2637" s="66"/>
    </row>
    <row r="2638" spans="1:20" ht="13.2">
      <c r="A2638" s="7"/>
      <c r="B2638" s="7"/>
      <c r="C2638" s="74"/>
      <c r="D2638" s="74"/>
      <c r="F2638" s="7"/>
      <c r="G2638" s="74"/>
      <c r="H2638" s="74"/>
      <c r="J2638" s="7"/>
      <c r="K2638" s="74"/>
      <c r="L2638" s="74"/>
      <c r="N2638" s="7"/>
      <c r="O2638" s="74"/>
      <c r="P2638" s="74"/>
      <c r="R2638" s="7"/>
      <c r="S2638" s="7"/>
      <c r="T2638" s="66"/>
    </row>
    <row r="2639" spans="1:20" ht="13.2">
      <c r="A2639" s="7"/>
      <c r="B2639" s="7"/>
      <c r="C2639" s="74"/>
      <c r="D2639" s="74"/>
      <c r="F2639" s="7"/>
      <c r="G2639" s="74"/>
      <c r="H2639" s="74"/>
      <c r="J2639" s="7"/>
      <c r="K2639" s="74"/>
      <c r="L2639" s="74"/>
      <c r="N2639" s="7"/>
      <c r="O2639" s="74"/>
      <c r="P2639" s="74"/>
      <c r="R2639" s="7"/>
      <c r="S2639" s="7"/>
      <c r="T2639" s="66"/>
    </row>
    <row r="2640" spans="1:20" ht="13.2">
      <c r="A2640" s="7"/>
      <c r="B2640" s="7"/>
      <c r="C2640" s="74"/>
      <c r="D2640" s="74"/>
      <c r="F2640" s="7"/>
      <c r="G2640" s="74"/>
      <c r="H2640" s="74"/>
      <c r="J2640" s="7"/>
      <c r="K2640" s="74"/>
      <c r="L2640" s="74"/>
      <c r="N2640" s="7"/>
      <c r="O2640" s="74"/>
      <c r="P2640" s="74"/>
      <c r="R2640" s="7"/>
      <c r="S2640" s="7"/>
      <c r="T2640" s="66"/>
    </row>
    <row r="2641" spans="1:20" ht="13.2">
      <c r="A2641" s="7"/>
      <c r="B2641" s="7"/>
      <c r="C2641" s="74"/>
      <c r="D2641" s="74"/>
      <c r="F2641" s="7"/>
      <c r="G2641" s="74"/>
      <c r="H2641" s="74"/>
      <c r="J2641" s="7"/>
      <c r="K2641" s="74"/>
      <c r="L2641" s="74"/>
      <c r="N2641" s="7"/>
      <c r="O2641" s="74"/>
      <c r="P2641" s="74"/>
      <c r="R2641" s="7"/>
      <c r="S2641" s="7"/>
      <c r="T2641" s="66"/>
    </row>
    <row r="2642" spans="1:20" ht="13.2">
      <c r="A2642" s="7"/>
      <c r="B2642" s="7"/>
      <c r="C2642" s="74"/>
      <c r="D2642" s="74"/>
      <c r="F2642" s="7"/>
      <c r="G2642" s="74"/>
      <c r="H2642" s="74"/>
      <c r="J2642" s="7"/>
      <c r="K2642" s="74"/>
      <c r="L2642" s="74"/>
      <c r="N2642" s="7"/>
      <c r="O2642" s="74"/>
      <c r="P2642" s="74"/>
      <c r="R2642" s="7"/>
      <c r="S2642" s="7"/>
      <c r="T2642" s="66"/>
    </row>
    <row r="2643" spans="1:20" ht="13.2">
      <c r="A2643" s="7"/>
      <c r="B2643" s="7"/>
      <c r="C2643" s="74"/>
      <c r="D2643" s="74"/>
      <c r="F2643" s="7"/>
      <c r="G2643" s="74"/>
      <c r="H2643" s="74"/>
      <c r="J2643" s="7"/>
      <c r="K2643" s="74"/>
      <c r="L2643" s="74"/>
      <c r="N2643" s="7"/>
      <c r="O2643" s="74"/>
      <c r="P2643" s="74"/>
      <c r="R2643" s="7"/>
      <c r="S2643" s="7"/>
      <c r="T2643" s="66"/>
    </row>
    <row r="2644" spans="1:20" ht="13.2">
      <c r="A2644" s="7"/>
      <c r="B2644" s="7"/>
      <c r="C2644" s="74"/>
      <c r="D2644" s="74"/>
      <c r="F2644" s="7"/>
      <c r="G2644" s="74"/>
      <c r="H2644" s="74"/>
      <c r="J2644" s="7"/>
      <c r="K2644" s="74"/>
      <c r="L2644" s="74"/>
      <c r="N2644" s="7"/>
      <c r="O2644" s="74"/>
      <c r="P2644" s="74"/>
      <c r="R2644" s="7"/>
      <c r="S2644" s="7"/>
      <c r="T2644" s="66"/>
    </row>
    <row r="2645" spans="1:20" ht="13.2">
      <c r="A2645" s="7"/>
      <c r="B2645" s="7"/>
      <c r="C2645" s="74"/>
      <c r="D2645" s="74"/>
      <c r="F2645" s="7"/>
      <c r="G2645" s="74"/>
      <c r="H2645" s="74"/>
      <c r="J2645" s="7"/>
      <c r="K2645" s="74"/>
      <c r="L2645" s="74"/>
      <c r="N2645" s="7"/>
      <c r="O2645" s="74"/>
      <c r="P2645" s="74"/>
      <c r="R2645" s="7"/>
      <c r="S2645" s="7"/>
      <c r="T2645" s="66"/>
    </row>
    <row r="2646" spans="1:20" ht="13.2">
      <c r="A2646" s="7"/>
      <c r="B2646" s="7"/>
      <c r="C2646" s="74"/>
      <c r="D2646" s="74"/>
      <c r="F2646" s="7"/>
      <c r="G2646" s="74"/>
      <c r="H2646" s="74"/>
      <c r="J2646" s="7"/>
      <c r="K2646" s="74"/>
      <c r="L2646" s="74"/>
      <c r="N2646" s="7"/>
      <c r="O2646" s="74"/>
      <c r="P2646" s="74"/>
      <c r="R2646" s="7"/>
      <c r="S2646" s="7"/>
      <c r="T2646" s="66"/>
    </row>
    <row r="2647" spans="1:20" ht="13.2">
      <c r="A2647" s="7"/>
      <c r="B2647" s="7"/>
      <c r="C2647" s="74"/>
      <c r="D2647" s="74"/>
      <c r="F2647" s="7"/>
      <c r="G2647" s="74"/>
      <c r="H2647" s="74"/>
      <c r="J2647" s="7"/>
      <c r="K2647" s="74"/>
      <c r="L2647" s="74"/>
      <c r="N2647" s="7"/>
      <c r="O2647" s="74"/>
      <c r="P2647" s="74"/>
      <c r="R2647" s="7"/>
      <c r="S2647" s="7"/>
      <c r="T2647" s="66"/>
    </row>
    <row r="2648" spans="1:20" ht="13.2">
      <c r="A2648" s="7"/>
      <c r="B2648" s="7"/>
      <c r="C2648" s="74"/>
      <c r="D2648" s="74"/>
      <c r="F2648" s="7"/>
      <c r="G2648" s="74"/>
      <c r="H2648" s="74"/>
      <c r="J2648" s="7"/>
      <c r="K2648" s="74"/>
      <c r="L2648" s="74"/>
      <c r="N2648" s="7"/>
      <c r="O2648" s="74"/>
      <c r="P2648" s="74"/>
      <c r="R2648" s="7"/>
      <c r="S2648" s="7"/>
      <c r="T2648" s="66"/>
    </row>
    <row r="2649" spans="1:20" ht="13.2">
      <c r="A2649" s="7"/>
      <c r="B2649" s="7"/>
      <c r="C2649" s="74"/>
      <c r="D2649" s="74"/>
      <c r="F2649" s="7"/>
      <c r="G2649" s="74"/>
      <c r="H2649" s="74"/>
      <c r="J2649" s="7"/>
      <c r="K2649" s="74"/>
      <c r="L2649" s="74"/>
      <c r="N2649" s="7"/>
      <c r="O2649" s="74"/>
      <c r="P2649" s="74"/>
      <c r="R2649" s="7"/>
      <c r="S2649" s="7"/>
      <c r="T2649" s="66"/>
    </row>
    <row r="2650" spans="1:20" ht="13.2">
      <c r="A2650" s="7"/>
      <c r="B2650" s="7"/>
      <c r="C2650" s="74"/>
      <c r="D2650" s="74"/>
      <c r="F2650" s="7"/>
      <c r="G2650" s="74"/>
      <c r="H2650" s="74"/>
      <c r="J2650" s="7"/>
      <c r="K2650" s="74"/>
      <c r="L2650" s="74"/>
      <c r="N2650" s="7"/>
      <c r="O2650" s="74"/>
      <c r="P2650" s="74"/>
      <c r="R2650" s="7"/>
      <c r="S2650" s="7"/>
      <c r="T2650" s="66"/>
    </row>
    <row r="2651" spans="1:20" ht="13.2">
      <c r="A2651" s="7"/>
      <c r="B2651" s="7"/>
      <c r="C2651" s="74"/>
      <c r="D2651" s="74"/>
      <c r="F2651" s="7"/>
      <c r="G2651" s="74"/>
      <c r="H2651" s="74"/>
      <c r="J2651" s="7"/>
      <c r="K2651" s="74"/>
      <c r="L2651" s="74"/>
      <c r="N2651" s="7"/>
      <c r="O2651" s="74"/>
      <c r="P2651" s="74"/>
      <c r="R2651" s="7"/>
      <c r="S2651" s="7"/>
      <c r="T2651" s="66"/>
    </row>
    <row r="2652" spans="1:20" ht="13.2">
      <c r="A2652" s="7"/>
      <c r="B2652" s="7"/>
      <c r="C2652" s="74"/>
      <c r="D2652" s="74"/>
      <c r="F2652" s="7"/>
      <c r="G2652" s="74"/>
      <c r="H2652" s="74"/>
      <c r="J2652" s="7"/>
      <c r="K2652" s="74"/>
      <c r="L2652" s="74"/>
      <c r="N2652" s="7"/>
      <c r="O2652" s="74"/>
      <c r="P2652" s="74"/>
      <c r="R2652" s="7"/>
      <c r="S2652" s="7"/>
      <c r="T2652" s="66"/>
    </row>
    <row r="2653" spans="1:20" ht="13.2">
      <c r="A2653" s="7"/>
      <c r="B2653" s="7"/>
      <c r="C2653" s="74"/>
      <c r="D2653" s="74"/>
      <c r="F2653" s="7"/>
      <c r="G2653" s="74"/>
      <c r="H2653" s="74"/>
      <c r="J2653" s="7"/>
      <c r="K2653" s="74"/>
      <c r="L2653" s="74"/>
      <c r="N2653" s="7"/>
      <c r="O2653" s="74"/>
      <c r="P2653" s="74"/>
      <c r="R2653" s="7"/>
      <c r="S2653" s="7"/>
      <c r="T2653" s="66"/>
    </row>
    <row r="2654" spans="1:20" ht="13.2">
      <c r="A2654" s="7"/>
      <c r="B2654" s="7"/>
      <c r="C2654" s="74"/>
      <c r="D2654" s="74"/>
      <c r="F2654" s="7"/>
      <c r="G2654" s="74"/>
      <c r="H2654" s="74"/>
      <c r="J2654" s="7"/>
      <c r="K2654" s="74"/>
      <c r="L2654" s="74"/>
      <c r="N2654" s="7"/>
      <c r="O2654" s="74"/>
      <c r="P2654" s="74"/>
      <c r="R2654" s="7"/>
      <c r="S2654" s="7"/>
      <c r="T2654" s="66"/>
    </row>
    <row r="2655" spans="1:20" ht="13.2">
      <c r="A2655" s="7"/>
      <c r="B2655" s="7"/>
      <c r="C2655" s="74"/>
      <c r="D2655" s="74"/>
      <c r="F2655" s="7"/>
      <c r="G2655" s="74"/>
      <c r="H2655" s="74"/>
      <c r="J2655" s="7"/>
      <c r="K2655" s="74"/>
      <c r="L2655" s="74"/>
      <c r="N2655" s="7"/>
      <c r="O2655" s="74"/>
      <c r="P2655" s="74"/>
      <c r="R2655" s="7"/>
      <c r="S2655" s="7"/>
      <c r="T2655" s="66"/>
    </row>
    <row r="2656" spans="1:20" ht="13.2">
      <c r="A2656" s="7"/>
      <c r="B2656" s="7"/>
      <c r="C2656" s="74"/>
      <c r="D2656" s="74"/>
      <c r="F2656" s="7"/>
      <c r="G2656" s="74"/>
      <c r="H2656" s="74"/>
      <c r="J2656" s="7"/>
      <c r="K2656" s="74"/>
      <c r="L2656" s="74"/>
      <c r="N2656" s="7"/>
      <c r="O2656" s="74"/>
      <c r="P2656" s="74"/>
      <c r="R2656" s="7"/>
      <c r="S2656" s="7"/>
      <c r="T2656" s="66"/>
    </row>
    <row r="2657" spans="1:20" ht="13.2">
      <c r="A2657" s="7"/>
      <c r="B2657" s="7"/>
      <c r="C2657" s="74"/>
      <c r="D2657" s="74"/>
      <c r="F2657" s="7"/>
      <c r="G2657" s="74"/>
      <c r="H2657" s="74"/>
      <c r="J2657" s="7"/>
      <c r="K2657" s="74"/>
      <c r="L2657" s="74"/>
      <c r="N2657" s="7"/>
      <c r="O2657" s="74"/>
      <c r="P2657" s="74"/>
      <c r="R2657" s="7"/>
      <c r="S2657" s="7"/>
      <c r="T2657" s="66"/>
    </row>
    <row r="2658" spans="1:20" ht="13.2">
      <c r="A2658" s="7"/>
      <c r="B2658" s="7"/>
      <c r="C2658" s="74"/>
      <c r="D2658" s="74"/>
      <c r="F2658" s="7"/>
      <c r="G2658" s="74"/>
      <c r="H2658" s="74"/>
      <c r="J2658" s="7"/>
      <c r="K2658" s="74"/>
      <c r="L2658" s="74"/>
      <c r="N2658" s="7"/>
      <c r="O2658" s="74"/>
      <c r="P2658" s="74"/>
      <c r="R2658" s="7"/>
      <c r="S2658" s="7"/>
      <c r="T2658" s="66"/>
    </row>
    <row r="2659" spans="1:20" ht="13.2">
      <c r="A2659" s="7"/>
      <c r="B2659" s="7"/>
      <c r="C2659" s="74"/>
      <c r="D2659" s="74"/>
      <c r="F2659" s="7"/>
      <c r="G2659" s="74"/>
      <c r="H2659" s="74"/>
      <c r="J2659" s="7"/>
      <c r="K2659" s="74"/>
      <c r="L2659" s="74"/>
      <c r="N2659" s="7"/>
      <c r="O2659" s="74"/>
      <c r="P2659" s="74"/>
      <c r="R2659" s="7"/>
      <c r="S2659" s="7"/>
      <c r="T2659" s="66"/>
    </row>
    <row r="2660" spans="1:20" ht="13.2">
      <c r="A2660" s="7"/>
      <c r="B2660" s="7"/>
      <c r="C2660" s="74"/>
      <c r="D2660" s="74"/>
      <c r="F2660" s="7"/>
      <c r="G2660" s="74"/>
      <c r="H2660" s="74"/>
      <c r="J2660" s="7"/>
      <c r="K2660" s="74"/>
      <c r="L2660" s="74"/>
      <c r="N2660" s="7"/>
      <c r="O2660" s="74"/>
      <c r="P2660" s="74"/>
      <c r="R2660" s="7"/>
      <c r="S2660" s="7"/>
      <c r="T2660" s="66"/>
    </row>
    <row r="2661" spans="1:20" ht="13.2">
      <c r="A2661" s="7"/>
      <c r="B2661" s="7"/>
      <c r="C2661" s="74"/>
      <c r="D2661" s="74"/>
      <c r="F2661" s="7"/>
      <c r="G2661" s="74"/>
      <c r="H2661" s="74"/>
      <c r="J2661" s="7"/>
      <c r="K2661" s="74"/>
      <c r="L2661" s="74"/>
      <c r="N2661" s="7"/>
      <c r="O2661" s="74"/>
      <c r="P2661" s="74"/>
      <c r="R2661" s="7"/>
      <c r="S2661" s="7"/>
      <c r="T2661" s="66"/>
    </row>
    <row r="2662" spans="1:20" ht="13.2">
      <c r="A2662" s="7"/>
      <c r="B2662" s="7"/>
      <c r="C2662" s="74"/>
      <c r="D2662" s="74"/>
      <c r="F2662" s="7"/>
      <c r="G2662" s="74"/>
      <c r="H2662" s="74"/>
      <c r="J2662" s="7"/>
      <c r="K2662" s="74"/>
      <c r="L2662" s="74"/>
      <c r="N2662" s="7"/>
      <c r="O2662" s="74"/>
      <c r="P2662" s="74"/>
      <c r="R2662" s="7"/>
      <c r="S2662" s="7"/>
      <c r="T2662" s="66"/>
    </row>
    <row r="2663" spans="1:20" ht="13.2">
      <c r="A2663" s="7"/>
      <c r="B2663" s="7"/>
      <c r="C2663" s="74"/>
      <c r="D2663" s="74"/>
      <c r="F2663" s="7"/>
      <c r="G2663" s="74"/>
      <c r="H2663" s="74"/>
      <c r="J2663" s="7"/>
      <c r="K2663" s="74"/>
      <c r="L2663" s="74"/>
      <c r="N2663" s="7"/>
      <c r="O2663" s="74"/>
      <c r="P2663" s="74"/>
      <c r="R2663" s="7"/>
      <c r="S2663" s="7"/>
      <c r="T2663" s="66"/>
    </row>
    <row r="2664" spans="1:20" ht="13.2">
      <c r="A2664" s="7"/>
      <c r="B2664" s="7"/>
      <c r="C2664" s="74"/>
      <c r="D2664" s="74"/>
      <c r="F2664" s="7"/>
      <c r="G2664" s="74"/>
      <c r="H2664" s="74"/>
      <c r="J2664" s="7"/>
      <c r="K2664" s="74"/>
      <c r="L2664" s="74"/>
      <c r="N2664" s="7"/>
      <c r="O2664" s="74"/>
      <c r="P2664" s="74"/>
      <c r="R2664" s="7"/>
      <c r="S2664" s="7"/>
      <c r="T2664" s="66"/>
    </row>
    <row r="2665" spans="1:20" ht="13.2">
      <c r="A2665" s="7"/>
      <c r="B2665" s="7"/>
      <c r="C2665" s="74"/>
      <c r="D2665" s="74"/>
      <c r="F2665" s="7"/>
      <c r="G2665" s="74"/>
      <c r="H2665" s="74"/>
      <c r="J2665" s="7"/>
      <c r="K2665" s="74"/>
      <c r="L2665" s="74"/>
      <c r="N2665" s="7"/>
      <c r="O2665" s="74"/>
      <c r="P2665" s="74"/>
      <c r="R2665" s="7"/>
      <c r="S2665" s="7"/>
      <c r="T2665" s="66"/>
    </row>
    <row r="2666" spans="1:20" ht="13.2">
      <c r="A2666" s="7"/>
      <c r="B2666" s="7"/>
      <c r="C2666" s="74"/>
      <c r="D2666" s="74"/>
      <c r="F2666" s="7"/>
      <c r="G2666" s="74"/>
      <c r="H2666" s="74"/>
      <c r="J2666" s="7"/>
      <c r="K2666" s="74"/>
      <c r="L2666" s="74"/>
      <c r="N2666" s="7"/>
      <c r="O2666" s="74"/>
      <c r="P2666" s="74"/>
      <c r="R2666" s="7"/>
      <c r="S2666" s="7"/>
      <c r="T2666" s="66"/>
    </row>
    <row r="2667" spans="1:20" ht="13.2">
      <c r="A2667" s="7"/>
      <c r="B2667" s="7"/>
      <c r="C2667" s="74"/>
      <c r="D2667" s="74"/>
      <c r="F2667" s="7"/>
      <c r="G2667" s="74"/>
      <c r="H2667" s="74"/>
      <c r="J2667" s="7"/>
      <c r="K2667" s="74"/>
      <c r="L2667" s="74"/>
      <c r="N2667" s="7"/>
      <c r="O2667" s="74"/>
      <c r="P2667" s="74"/>
      <c r="R2667" s="7"/>
      <c r="S2667" s="7"/>
      <c r="T2667" s="66"/>
    </row>
    <row r="2668" spans="1:20" ht="13.2">
      <c r="A2668" s="7"/>
      <c r="B2668" s="7"/>
      <c r="C2668" s="74"/>
      <c r="D2668" s="74"/>
      <c r="F2668" s="7"/>
      <c r="G2668" s="74"/>
      <c r="H2668" s="74"/>
      <c r="J2668" s="7"/>
      <c r="K2668" s="74"/>
      <c r="L2668" s="74"/>
      <c r="N2668" s="7"/>
      <c r="O2668" s="74"/>
      <c r="P2668" s="74"/>
      <c r="R2668" s="7"/>
      <c r="S2668" s="7"/>
      <c r="T2668" s="66"/>
    </row>
    <row r="2669" spans="1:20" ht="13.2">
      <c r="A2669" s="7"/>
      <c r="B2669" s="7"/>
      <c r="C2669" s="74"/>
      <c r="D2669" s="74"/>
      <c r="F2669" s="7"/>
      <c r="G2669" s="74"/>
      <c r="H2669" s="74"/>
      <c r="J2669" s="7"/>
      <c r="K2669" s="74"/>
      <c r="L2669" s="74"/>
      <c r="N2669" s="7"/>
      <c r="O2669" s="74"/>
      <c r="P2669" s="74"/>
      <c r="R2669" s="7"/>
      <c r="S2669" s="7"/>
      <c r="T2669" s="66"/>
    </row>
    <row r="2670" spans="1:20" ht="13.2">
      <c r="A2670" s="7"/>
      <c r="B2670" s="7"/>
      <c r="C2670" s="74"/>
      <c r="D2670" s="74"/>
      <c r="F2670" s="7"/>
      <c r="G2670" s="74"/>
      <c r="H2670" s="74"/>
      <c r="J2670" s="7"/>
      <c r="K2670" s="74"/>
      <c r="L2670" s="74"/>
      <c r="N2670" s="7"/>
      <c r="O2670" s="74"/>
      <c r="P2670" s="74"/>
      <c r="R2670" s="7"/>
      <c r="S2670" s="7"/>
      <c r="T2670" s="66"/>
    </row>
    <row r="2671" spans="1:20" ht="13.2">
      <c r="A2671" s="7"/>
      <c r="B2671" s="7"/>
      <c r="C2671" s="74"/>
      <c r="D2671" s="74"/>
      <c r="F2671" s="7"/>
      <c r="G2671" s="74"/>
      <c r="H2671" s="74"/>
      <c r="J2671" s="7"/>
      <c r="K2671" s="74"/>
      <c r="L2671" s="74"/>
      <c r="N2671" s="7"/>
      <c r="O2671" s="74"/>
      <c r="P2671" s="74"/>
      <c r="R2671" s="7"/>
      <c r="S2671" s="7"/>
      <c r="T2671" s="66"/>
    </row>
    <row r="2672" spans="1:20" ht="13.2">
      <c r="A2672" s="7"/>
      <c r="B2672" s="7"/>
      <c r="C2672" s="74"/>
      <c r="D2672" s="74"/>
      <c r="F2672" s="7"/>
      <c r="G2672" s="74"/>
      <c r="H2672" s="74"/>
      <c r="J2672" s="7"/>
      <c r="K2672" s="74"/>
      <c r="L2672" s="74"/>
      <c r="N2672" s="7"/>
      <c r="O2672" s="74"/>
      <c r="P2672" s="74"/>
      <c r="R2672" s="7"/>
      <c r="S2672" s="7"/>
      <c r="T2672" s="66"/>
    </row>
    <row r="2673" spans="1:20" ht="13.2">
      <c r="A2673" s="7"/>
      <c r="B2673" s="7"/>
      <c r="C2673" s="74"/>
      <c r="D2673" s="74"/>
      <c r="F2673" s="7"/>
      <c r="G2673" s="74"/>
      <c r="H2673" s="74"/>
      <c r="J2673" s="7"/>
      <c r="K2673" s="74"/>
      <c r="L2673" s="74"/>
      <c r="N2673" s="7"/>
      <c r="O2673" s="74"/>
      <c r="P2673" s="74"/>
      <c r="R2673" s="7"/>
      <c r="S2673" s="7"/>
      <c r="T2673" s="66"/>
    </row>
    <row r="2674" spans="1:20" ht="13.2">
      <c r="A2674" s="7"/>
      <c r="B2674" s="7"/>
      <c r="C2674" s="74"/>
      <c r="D2674" s="74"/>
      <c r="F2674" s="7"/>
      <c r="G2674" s="74"/>
      <c r="H2674" s="74"/>
      <c r="J2674" s="7"/>
      <c r="K2674" s="74"/>
      <c r="L2674" s="74"/>
      <c r="N2674" s="7"/>
      <c r="O2674" s="74"/>
      <c r="P2674" s="74"/>
      <c r="R2674" s="7"/>
      <c r="S2674" s="7"/>
      <c r="T2674" s="66"/>
    </row>
    <row r="2675" spans="1:20" ht="13.2">
      <c r="A2675" s="7"/>
      <c r="B2675" s="7"/>
      <c r="C2675" s="74"/>
      <c r="D2675" s="74"/>
      <c r="F2675" s="7"/>
      <c r="G2675" s="74"/>
      <c r="H2675" s="74"/>
      <c r="J2675" s="7"/>
      <c r="K2675" s="74"/>
      <c r="L2675" s="74"/>
      <c r="N2675" s="7"/>
      <c r="O2675" s="74"/>
      <c r="P2675" s="74"/>
      <c r="R2675" s="7"/>
      <c r="S2675" s="7"/>
      <c r="T2675" s="66"/>
    </row>
    <row r="2676" spans="1:20" ht="13.2">
      <c r="A2676" s="7"/>
      <c r="B2676" s="7"/>
      <c r="C2676" s="74"/>
      <c r="D2676" s="74"/>
      <c r="F2676" s="7"/>
      <c r="G2676" s="74"/>
      <c r="H2676" s="74"/>
      <c r="J2676" s="7"/>
      <c r="K2676" s="74"/>
      <c r="L2676" s="74"/>
      <c r="N2676" s="7"/>
      <c r="O2676" s="74"/>
      <c r="P2676" s="74"/>
      <c r="R2676" s="7"/>
      <c r="S2676" s="7"/>
      <c r="T2676" s="66"/>
    </row>
    <row r="2677" spans="1:20" ht="13.2">
      <c r="A2677" s="7"/>
      <c r="B2677" s="7"/>
      <c r="C2677" s="74"/>
      <c r="D2677" s="74"/>
      <c r="F2677" s="7"/>
      <c r="G2677" s="74"/>
      <c r="H2677" s="74"/>
      <c r="J2677" s="7"/>
      <c r="K2677" s="74"/>
      <c r="L2677" s="74"/>
      <c r="N2677" s="7"/>
      <c r="O2677" s="74"/>
      <c r="P2677" s="74"/>
      <c r="R2677" s="7"/>
      <c r="S2677" s="7"/>
      <c r="T2677" s="66"/>
    </row>
    <row r="2678" spans="1:20" ht="13.2">
      <c r="A2678" s="7"/>
      <c r="B2678" s="7"/>
      <c r="C2678" s="74"/>
      <c r="D2678" s="74"/>
      <c r="F2678" s="7"/>
      <c r="G2678" s="74"/>
      <c r="H2678" s="74"/>
      <c r="J2678" s="7"/>
      <c r="K2678" s="74"/>
      <c r="L2678" s="74"/>
      <c r="N2678" s="7"/>
      <c r="O2678" s="74"/>
      <c r="P2678" s="74"/>
      <c r="R2678" s="7"/>
      <c r="S2678" s="7"/>
      <c r="T2678" s="66"/>
    </row>
    <row r="2679" spans="1:20" ht="13.2">
      <c r="A2679" s="7"/>
      <c r="B2679" s="7"/>
      <c r="C2679" s="74"/>
      <c r="D2679" s="74"/>
      <c r="F2679" s="7"/>
      <c r="G2679" s="74"/>
      <c r="H2679" s="74"/>
      <c r="J2679" s="7"/>
      <c r="K2679" s="74"/>
      <c r="L2679" s="74"/>
      <c r="N2679" s="7"/>
      <c r="O2679" s="74"/>
      <c r="P2679" s="74"/>
      <c r="R2679" s="7"/>
      <c r="S2679" s="7"/>
      <c r="T2679" s="66"/>
    </row>
    <row r="2680" spans="1:20" ht="13.2">
      <c r="A2680" s="7"/>
      <c r="B2680" s="7"/>
      <c r="C2680" s="74"/>
      <c r="D2680" s="74"/>
      <c r="F2680" s="7"/>
      <c r="G2680" s="74"/>
      <c r="H2680" s="74"/>
      <c r="J2680" s="7"/>
      <c r="K2680" s="74"/>
      <c r="L2680" s="74"/>
      <c r="N2680" s="7"/>
      <c r="O2680" s="74"/>
      <c r="P2680" s="74"/>
      <c r="R2680" s="7"/>
      <c r="S2680" s="7"/>
      <c r="T2680" s="66"/>
    </row>
    <row r="2681" spans="1:20" ht="13.2">
      <c r="A2681" s="7"/>
      <c r="B2681" s="7"/>
      <c r="C2681" s="74"/>
      <c r="D2681" s="74"/>
      <c r="F2681" s="7"/>
      <c r="G2681" s="74"/>
      <c r="H2681" s="74"/>
      <c r="J2681" s="7"/>
      <c r="K2681" s="74"/>
      <c r="L2681" s="74"/>
      <c r="N2681" s="7"/>
      <c r="O2681" s="74"/>
      <c r="P2681" s="74"/>
      <c r="R2681" s="7"/>
      <c r="S2681" s="7"/>
      <c r="T2681" s="66"/>
    </row>
    <row r="2682" spans="1:20" ht="13.2">
      <c r="A2682" s="7"/>
      <c r="B2682" s="7"/>
      <c r="C2682" s="74"/>
      <c r="D2682" s="74"/>
      <c r="F2682" s="7"/>
      <c r="G2682" s="74"/>
      <c r="H2682" s="74"/>
      <c r="J2682" s="7"/>
      <c r="K2682" s="74"/>
      <c r="L2682" s="74"/>
      <c r="N2682" s="7"/>
      <c r="O2682" s="74"/>
      <c r="P2682" s="74"/>
      <c r="R2682" s="7"/>
      <c r="S2682" s="7"/>
      <c r="T2682" s="66"/>
    </row>
    <row r="2683" spans="1:20" ht="13.2">
      <c r="A2683" s="7"/>
      <c r="B2683" s="7"/>
      <c r="C2683" s="74"/>
      <c r="D2683" s="74"/>
      <c r="F2683" s="7"/>
      <c r="G2683" s="74"/>
      <c r="H2683" s="74"/>
      <c r="J2683" s="7"/>
      <c r="K2683" s="74"/>
      <c r="L2683" s="74"/>
      <c r="N2683" s="7"/>
      <c r="O2683" s="74"/>
      <c r="P2683" s="74"/>
      <c r="R2683" s="7"/>
      <c r="S2683" s="7"/>
      <c r="T2683" s="66"/>
    </row>
    <row r="2684" spans="1:20" ht="13.2">
      <c r="A2684" s="7"/>
      <c r="B2684" s="7"/>
      <c r="C2684" s="74"/>
      <c r="D2684" s="74"/>
      <c r="F2684" s="7"/>
      <c r="G2684" s="74"/>
      <c r="H2684" s="74"/>
      <c r="J2684" s="7"/>
      <c r="K2684" s="74"/>
      <c r="L2684" s="74"/>
      <c r="N2684" s="7"/>
      <c r="O2684" s="74"/>
      <c r="P2684" s="74"/>
      <c r="R2684" s="7"/>
      <c r="S2684" s="7"/>
      <c r="T2684" s="66"/>
    </row>
    <row r="2685" spans="1:20" ht="13.2">
      <c r="A2685" s="7"/>
      <c r="B2685" s="7"/>
      <c r="C2685" s="74"/>
      <c r="D2685" s="74"/>
      <c r="F2685" s="7"/>
      <c r="G2685" s="74"/>
      <c r="H2685" s="74"/>
      <c r="J2685" s="7"/>
      <c r="K2685" s="74"/>
      <c r="L2685" s="74"/>
      <c r="N2685" s="7"/>
      <c r="O2685" s="74"/>
      <c r="P2685" s="74"/>
      <c r="R2685" s="7"/>
      <c r="S2685" s="7"/>
      <c r="T2685" s="66"/>
    </row>
    <row r="2686" spans="1:20" ht="13.2">
      <c r="A2686" s="7"/>
      <c r="B2686" s="7"/>
      <c r="C2686" s="74"/>
      <c r="D2686" s="74"/>
      <c r="F2686" s="7"/>
      <c r="G2686" s="74"/>
      <c r="H2686" s="74"/>
      <c r="J2686" s="7"/>
      <c r="K2686" s="74"/>
      <c r="L2686" s="74"/>
      <c r="N2686" s="7"/>
      <c r="O2686" s="74"/>
      <c r="P2686" s="74"/>
      <c r="R2686" s="7"/>
      <c r="S2686" s="7"/>
      <c r="T2686" s="66"/>
    </row>
    <row r="2687" spans="1:20" ht="13.2">
      <c r="A2687" s="7"/>
      <c r="B2687" s="7"/>
      <c r="C2687" s="74"/>
      <c r="D2687" s="74"/>
      <c r="F2687" s="7"/>
      <c r="G2687" s="74"/>
      <c r="H2687" s="74"/>
      <c r="J2687" s="7"/>
      <c r="K2687" s="74"/>
      <c r="L2687" s="74"/>
      <c r="N2687" s="7"/>
      <c r="O2687" s="74"/>
      <c r="P2687" s="74"/>
      <c r="R2687" s="7"/>
      <c r="S2687" s="7"/>
      <c r="T2687" s="66"/>
    </row>
    <row r="2688" spans="1:20" ht="13.2">
      <c r="A2688" s="7"/>
      <c r="B2688" s="7"/>
      <c r="C2688" s="74"/>
      <c r="D2688" s="74"/>
      <c r="F2688" s="7"/>
      <c r="G2688" s="74"/>
      <c r="H2688" s="74"/>
      <c r="J2688" s="7"/>
      <c r="K2688" s="74"/>
      <c r="L2688" s="74"/>
      <c r="N2688" s="7"/>
      <c r="O2688" s="74"/>
      <c r="P2688" s="74"/>
      <c r="R2688" s="7"/>
      <c r="S2688" s="7"/>
      <c r="T2688" s="66"/>
    </row>
    <row r="2689" spans="1:20" ht="13.2">
      <c r="A2689" s="7"/>
      <c r="B2689" s="7"/>
      <c r="C2689" s="74"/>
      <c r="D2689" s="74"/>
      <c r="F2689" s="7"/>
      <c r="G2689" s="74"/>
      <c r="H2689" s="74"/>
      <c r="J2689" s="7"/>
      <c r="K2689" s="74"/>
      <c r="L2689" s="74"/>
      <c r="N2689" s="7"/>
      <c r="O2689" s="74"/>
      <c r="P2689" s="74"/>
      <c r="R2689" s="7"/>
      <c r="S2689" s="7"/>
      <c r="T2689" s="66"/>
    </row>
    <row r="2690" spans="1:20" ht="13.2">
      <c r="A2690" s="7"/>
      <c r="B2690" s="7"/>
      <c r="C2690" s="74"/>
      <c r="D2690" s="74"/>
      <c r="F2690" s="7"/>
      <c r="G2690" s="74"/>
      <c r="H2690" s="74"/>
      <c r="J2690" s="7"/>
      <c r="K2690" s="74"/>
      <c r="L2690" s="74"/>
      <c r="N2690" s="7"/>
      <c r="O2690" s="74"/>
      <c r="P2690" s="74"/>
      <c r="R2690" s="7"/>
      <c r="S2690" s="7"/>
      <c r="T2690" s="66"/>
    </row>
    <row r="2691" spans="1:20" ht="13.2">
      <c r="A2691" s="7"/>
      <c r="B2691" s="7"/>
      <c r="C2691" s="74"/>
      <c r="D2691" s="74"/>
      <c r="F2691" s="7"/>
      <c r="G2691" s="74"/>
      <c r="H2691" s="74"/>
      <c r="J2691" s="7"/>
      <c r="K2691" s="74"/>
      <c r="L2691" s="74"/>
      <c r="N2691" s="7"/>
      <c r="O2691" s="74"/>
      <c r="P2691" s="74"/>
      <c r="R2691" s="7"/>
      <c r="S2691" s="7"/>
      <c r="T2691" s="66"/>
    </row>
    <row r="2692" spans="1:20" ht="13.2">
      <c r="A2692" s="7"/>
      <c r="B2692" s="7"/>
      <c r="C2692" s="74"/>
      <c r="D2692" s="74"/>
      <c r="F2692" s="7"/>
      <c r="G2692" s="74"/>
      <c r="H2692" s="74"/>
      <c r="J2692" s="7"/>
      <c r="K2692" s="74"/>
      <c r="L2692" s="74"/>
      <c r="N2692" s="7"/>
      <c r="O2692" s="74"/>
      <c r="P2692" s="74"/>
      <c r="R2692" s="7"/>
      <c r="S2692" s="7"/>
      <c r="T2692" s="66"/>
    </row>
    <row r="2693" spans="1:20" ht="13.2">
      <c r="A2693" s="7"/>
      <c r="B2693" s="7"/>
      <c r="C2693" s="74"/>
      <c r="D2693" s="74"/>
      <c r="F2693" s="7"/>
      <c r="G2693" s="74"/>
      <c r="H2693" s="74"/>
      <c r="J2693" s="7"/>
      <c r="K2693" s="74"/>
      <c r="L2693" s="74"/>
      <c r="N2693" s="7"/>
      <c r="O2693" s="74"/>
      <c r="P2693" s="74"/>
      <c r="R2693" s="7"/>
      <c r="S2693" s="7"/>
      <c r="T2693" s="66"/>
    </row>
    <row r="2694" spans="1:20" ht="13.2">
      <c r="A2694" s="7"/>
      <c r="B2694" s="7"/>
      <c r="C2694" s="74"/>
      <c r="D2694" s="74"/>
      <c r="F2694" s="7"/>
      <c r="G2694" s="74"/>
      <c r="H2694" s="74"/>
      <c r="J2694" s="7"/>
      <c r="K2694" s="74"/>
      <c r="L2694" s="74"/>
      <c r="N2694" s="7"/>
      <c r="O2694" s="74"/>
      <c r="P2694" s="74"/>
      <c r="R2694" s="7"/>
      <c r="S2694" s="7"/>
      <c r="T2694" s="66"/>
    </row>
    <row r="2695" spans="1:20" ht="13.2">
      <c r="A2695" s="7"/>
      <c r="B2695" s="7"/>
      <c r="C2695" s="74"/>
      <c r="D2695" s="74"/>
      <c r="F2695" s="7"/>
      <c r="G2695" s="74"/>
      <c r="H2695" s="74"/>
      <c r="J2695" s="7"/>
      <c r="K2695" s="74"/>
      <c r="L2695" s="74"/>
      <c r="N2695" s="7"/>
      <c r="O2695" s="74"/>
      <c r="P2695" s="74"/>
      <c r="R2695" s="7"/>
      <c r="S2695" s="7"/>
      <c r="T2695" s="66"/>
    </row>
    <row r="2696" spans="1:20" ht="13.2">
      <c r="A2696" s="7"/>
      <c r="B2696" s="7"/>
      <c r="C2696" s="74"/>
      <c r="D2696" s="74"/>
      <c r="F2696" s="7"/>
      <c r="G2696" s="74"/>
      <c r="H2696" s="74"/>
      <c r="J2696" s="7"/>
      <c r="K2696" s="74"/>
      <c r="L2696" s="74"/>
      <c r="N2696" s="7"/>
      <c r="O2696" s="74"/>
      <c r="P2696" s="74"/>
      <c r="R2696" s="7"/>
      <c r="S2696" s="7"/>
      <c r="T2696" s="66"/>
    </row>
    <row r="2697" spans="1:20" ht="13.2">
      <c r="A2697" s="7"/>
      <c r="B2697" s="7"/>
      <c r="C2697" s="74"/>
      <c r="D2697" s="74"/>
      <c r="F2697" s="7"/>
      <c r="G2697" s="74"/>
      <c r="H2697" s="74"/>
      <c r="J2697" s="7"/>
      <c r="K2697" s="74"/>
      <c r="L2697" s="74"/>
      <c r="N2697" s="7"/>
      <c r="O2697" s="74"/>
      <c r="P2697" s="74"/>
      <c r="R2697" s="7"/>
      <c r="S2697" s="7"/>
      <c r="T2697" s="66"/>
    </row>
    <row r="2698" spans="1:20" ht="13.2">
      <c r="A2698" s="7"/>
      <c r="B2698" s="7"/>
      <c r="C2698" s="74"/>
      <c r="D2698" s="74"/>
      <c r="F2698" s="7"/>
      <c r="G2698" s="74"/>
      <c r="H2698" s="74"/>
      <c r="J2698" s="7"/>
      <c r="K2698" s="74"/>
      <c r="L2698" s="74"/>
      <c r="N2698" s="7"/>
      <c r="O2698" s="74"/>
      <c r="P2698" s="74"/>
      <c r="R2698" s="7"/>
      <c r="S2698" s="7"/>
      <c r="T2698" s="66"/>
    </row>
    <row r="2699" spans="1:20" ht="13.2">
      <c r="A2699" s="7"/>
      <c r="B2699" s="7"/>
      <c r="C2699" s="74"/>
      <c r="D2699" s="74"/>
      <c r="F2699" s="7"/>
      <c r="G2699" s="74"/>
      <c r="H2699" s="74"/>
      <c r="J2699" s="7"/>
      <c r="K2699" s="74"/>
      <c r="L2699" s="74"/>
      <c r="N2699" s="7"/>
      <c r="O2699" s="74"/>
      <c r="P2699" s="74"/>
      <c r="R2699" s="7"/>
      <c r="S2699" s="7"/>
      <c r="T2699" s="66"/>
    </row>
    <row r="2700" spans="1:20" ht="13.2">
      <c r="A2700" s="7"/>
      <c r="B2700" s="7"/>
      <c r="C2700" s="74"/>
      <c r="D2700" s="74"/>
      <c r="F2700" s="7"/>
      <c r="G2700" s="74"/>
      <c r="H2700" s="74"/>
      <c r="J2700" s="7"/>
      <c r="K2700" s="74"/>
      <c r="L2700" s="74"/>
      <c r="N2700" s="7"/>
      <c r="O2700" s="74"/>
      <c r="P2700" s="74"/>
      <c r="R2700" s="7"/>
      <c r="S2700" s="7"/>
      <c r="T2700" s="66"/>
    </row>
    <row r="2701" spans="1:20" ht="13.2">
      <c r="A2701" s="7"/>
      <c r="B2701" s="7"/>
      <c r="C2701" s="74"/>
      <c r="D2701" s="74"/>
      <c r="F2701" s="7"/>
      <c r="G2701" s="74"/>
      <c r="H2701" s="74"/>
      <c r="J2701" s="7"/>
      <c r="K2701" s="74"/>
      <c r="L2701" s="74"/>
      <c r="N2701" s="7"/>
      <c r="O2701" s="74"/>
      <c r="P2701" s="74"/>
      <c r="R2701" s="7"/>
      <c r="S2701" s="7"/>
      <c r="T2701" s="66"/>
    </row>
    <row r="2702" spans="1:20" ht="13.2">
      <c r="A2702" s="7"/>
      <c r="B2702" s="7"/>
      <c r="C2702" s="74"/>
      <c r="D2702" s="74"/>
      <c r="F2702" s="7"/>
      <c r="G2702" s="74"/>
      <c r="H2702" s="74"/>
      <c r="J2702" s="7"/>
      <c r="K2702" s="74"/>
      <c r="L2702" s="74"/>
      <c r="N2702" s="7"/>
      <c r="O2702" s="74"/>
      <c r="P2702" s="74"/>
      <c r="R2702" s="7"/>
      <c r="S2702" s="7"/>
      <c r="T2702" s="66"/>
    </row>
    <row r="2703" spans="1:20" ht="13.2">
      <c r="A2703" s="7"/>
      <c r="B2703" s="7"/>
      <c r="C2703" s="74"/>
      <c r="D2703" s="74"/>
      <c r="F2703" s="7"/>
      <c r="G2703" s="74"/>
      <c r="H2703" s="74"/>
      <c r="J2703" s="7"/>
      <c r="K2703" s="74"/>
      <c r="L2703" s="74"/>
      <c r="N2703" s="7"/>
      <c r="O2703" s="74"/>
      <c r="P2703" s="74"/>
      <c r="R2703" s="7"/>
      <c r="S2703" s="7"/>
      <c r="T2703" s="66"/>
    </row>
    <row r="2704" spans="1:20" ht="13.2">
      <c r="A2704" s="7"/>
      <c r="B2704" s="7"/>
      <c r="C2704" s="74"/>
      <c r="D2704" s="74"/>
      <c r="F2704" s="7"/>
      <c r="G2704" s="74"/>
      <c r="H2704" s="74"/>
      <c r="J2704" s="7"/>
      <c r="K2704" s="74"/>
      <c r="L2704" s="74"/>
      <c r="N2704" s="7"/>
      <c r="O2704" s="74"/>
      <c r="P2704" s="74"/>
      <c r="R2704" s="7"/>
      <c r="S2704" s="7"/>
      <c r="T2704" s="66"/>
    </row>
    <row r="2705" spans="1:20" ht="13.2">
      <c r="A2705" s="7"/>
      <c r="B2705" s="7"/>
      <c r="C2705" s="74"/>
      <c r="D2705" s="74"/>
      <c r="F2705" s="7"/>
      <c r="G2705" s="74"/>
      <c r="H2705" s="74"/>
      <c r="J2705" s="7"/>
      <c r="K2705" s="74"/>
      <c r="L2705" s="74"/>
      <c r="N2705" s="7"/>
      <c r="O2705" s="74"/>
      <c r="P2705" s="74"/>
      <c r="R2705" s="7"/>
      <c r="S2705" s="7"/>
      <c r="T2705" s="66"/>
    </row>
    <row r="2706" spans="1:20" ht="13.2">
      <c r="A2706" s="7"/>
      <c r="B2706" s="7"/>
      <c r="C2706" s="74"/>
      <c r="D2706" s="74"/>
      <c r="F2706" s="7"/>
      <c r="G2706" s="74"/>
      <c r="H2706" s="74"/>
      <c r="J2706" s="7"/>
      <c r="K2706" s="74"/>
      <c r="L2706" s="74"/>
      <c r="N2706" s="7"/>
      <c r="O2706" s="74"/>
      <c r="P2706" s="74"/>
      <c r="R2706" s="7"/>
      <c r="S2706" s="7"/>
      <c r="T2706" s="66"/>
    </row>
    <row r="2707" spans="1:20" ht="13.2">
      <c r="A2707" s="7"/>
      <c r="B2707" s="7"/>
      <c r="C2707" s="74"/>
      <c r="D2707" s="74"/>
      <c r="F2707" s="7"/>
      <c r="G2707" s="74"/>
      <c r="H2707" s="74"/>
      <c r="J2707" s="7"/>
      <c r="K2707" s="74"/>
      <c r="L2707" s="74"/>
      <c r="N2707" s="7"/>
      <c r="O2707" s="74"/>
      <c r="P2707" s="74"/>
      <c r="R2707" s="7"/>
      <c r="S2707" s="7"/>
      <c r="T2707" s="66"/>
    </row>
    <row r="2708" spans="1:20" ht="13.2">
      <c r="A2708" s="7"/>
      <c r="B2708" s="7"/>
      <c r="C2708" s="74"/>
      <c r="D2708" s="74"/>
      <c r="F2708" s="7"/>
      <c r="G2708" s="74"/>
      <c r="H2708" s="74"/>
      <c r="J2708" s="7"/>
      <c r="K2708" s="74"/>
      <c r="L2708" s="74"/>
      <c r="N2708" s="7"/>
      <c r="O2708" s="74"/>
      <c r="P2708" s="74"/>
      <c r="R2708" s="7"/>
      <c r="S2708" s="7"/>
      <c r="T2708" s="66"/>
    </row>
    <row r="2709" spans="1:20" ht="13.2">
      <c r="A2709" s="7"/>
      <c r="B2709" s="7"/>
      <c r="C2709" s="74"/>
      <c r="D2709" s="74"/>
      <c r="F2709" s="7"/>
      <c r="G2709" s="74"/>
      <c r="H2709" s="74"/>
      <c r="J2709" s="7"/>
      <c r="K2709" s="74"/>
      <c r="L2709" s="74"/>
      <c r="N2709" s="7"/>
      <c r="O2709" s="74"/>
      <c r="P2709" s="74"/>
      <c r="R2709" s="7"/>
      <c r="S2709" s="7"/>
      <c r="T2709" s="66"/>
    </row>
    <row r="2710" spans="1:20" ht="13.2">
      <c r="A2710" s="7"/>
      <c r="B2710" s="7"/>
      <c r="C2710" s="74"/>
      <c r="D2710" s="74"/>
      <c r="F2710" s="7"/>
      <c r="G2710" s="74"/>
      <c r="H2710" s="74"/>
      <c r="J2710" s="7"/>
      <c r="K2710" s="74"/>
      <c r="L2710" s="74"/>
      <c r="N2710" s="7"/>
      <c r="O2710" s="74"/>
      <c r="P2710" s="74"/>
      <c r="R2710" s="7"/>
      <c r="S2710" s="7"/>
      <c r="T2710" s="66"/>
    </row>
    <row r="2711" spans="1:20" ht="13.2">
      <c r="A2711" s="7"/>
      <c r="B2711" s="7"/>
      <c r="C2711" s="74"/>
      <c r="D2711" s="74"/>
      <c r="F2711" s="7"/>
      <c r="G2711" s="74"/>
      <c r="H2711" s="74"/>
      <c r="J2711" s="7"/>
      <c r="K2711" s="74"/>
      <c r="L2711" s="74"/>
      <c r="N2711" s="7"/>
      <c r="O2711" s="74"/>
      <c r="P2711" s="74"/>
      <c r="R2711" s="7"/>
      <c r="S2711" s="7"/>
      <c r="T2711" s="66"/>
    </row>
    <row r="2712" spans="1:20" ht="13.2">
      <c r="A2712" s="7"/>
      <c r="B2712" s="7"/>
      <c r="C2712" s="74"/>
      <c r="D2712" s="74"/>
      <c r="F2712" s="7"/>
      <c r="G2712" s="74"/>
      <c r="H2712" s="74"/>
      <c r="J2712" s="7"/>
      <c r="K2712" s="74"/>
      <c r="L2712" s="74"/>
      <c r="N2712" s="7"/>
      <c r="O2712" s="74"/>
      <c r="P2712" s="74"/>
      <c r="R2712" s="7"/>
      <c r="S2712" s="7"/>
      <c r="T2712" s="66"/>
    </row>
    <row r="2713" spans="1:20" ht="13.2">
      <c r="A2713" s="7"/>
      <c r="B2713" s="7"/>
      <c r="C2713" s="74"/>
      <c r="D2713" s="74"/>
      <c r="F2713" s="7"/>
      <c r="G2713" s="74"/>
      <c r="H2713" s="74"/>
      <c r="J2713" s="7"/>
      <c r="K2713" s="74"/>
      <c r="L2713" s="74"/>
      <c r="N2713" s="7"/>
      <c r="O2713" s="74"/>
      <c r="P2713" s="74"/>
      <c r="R2713" s="7"/>
      <c r="S2713" s="7"/>
      <c r="T2713" s="66"/>
    </row>
    <row r="2714" spans="1:20" ht="13.2">
      <c r="A2714" s="7"/>
      <c r="B2714" s="7"/>
      <c r="C2714" s="74"/>
      <c r="D2714" s="74"/>
      <c r="F2714" s="7"/>
      <c r="G2714" s="74"/>
      <c r="H2714" s="74"/>
      <c r="J2714" s="7"/>
      <c r="K2714" s="74"/>
      <c r="L2714" s="74"/>
      <c r="N2714" s="7"/>
      <c r="O2714" s="74"/>
      <c r="P2714" s="74"/>
      <c r="R2714" s="7"/>
      <c r="S2714" s="7"/>
      <c r="T2714" s="66"/>
    </row>
    <row r="2715" spans="1:20" ht="13.2">
      <c r="A2715" s="7"/>
      <c r="B2715" s="7"/>
      <c r="C2715" s="74"/>
      <c r="D2715" s="74"/>
      <c r="F2715" s="7"/>
      <c r="G2715" s="74"/>
      <c r="H2715" s="74"/>
      <c r="J2715" s="7"/>
      <c r="K2715" s="74"/>
      <c r="L2715" s="74"/>
      <c r="N2715" s="7"/>
      <c r="O2715" s="74"/>
      <c r="P2715" s="74"/>
      <c r="R2715" s="7"/>
      <c r="S2715" s="7"/>
      <c r="T2715" s="66"/>
    </row>
    <row r="2716" spans="1:20" ht="13.2">
      <c r="A2716" s="7"/>
      <c r="B2716" s="7"/>
      <c r="C2716" s="74"/>
      <c r="D2716" s="74"/>
      <c r="F2716" s="7"/>
      <c r="G2716" s="74"/>
      <c r="H2716" s="74"/>
      <c r="J2716" s="7"/>
      <c r="K2716" s="74"/>
      <c r="L2716" s="74"/>
      <c r="N2716" s="7"/>
      <c r="O2716" s="74"/>
      <c r="P2716" s="74"/>
      <c r="R2716" s="7"/>
      <c r="S2716" s="7"/>
      <c r="T2716" s="66"/>
    </row>
    <row r="2717" spans="1:20" ht="13.2">
      <c r="A2717" s="7"/>
      <c r="B2717" s="7"/>
      <c r="C2717" s="74"/>
      <c r="D2717" s="74"/>
      <c r="F2717" s="7"/>
      <c r="G2717" s="74"/>
      <c r="H2717" s="74"/>
      <c r="J2717" s="7"/>
      <c r="K2717" s="74"/>
      <c r="L2717" s="74"/>
      <c r="N2717" s="7"/>
      <c r="O2717" s="74"/>
      <c r="P2717" s="74"/>
      <c r="R2717" s="7"/>
      <c r="S2717" s="7"/>
      <c r="T2717" s="66"/>
    </row>
    <row r="2718" spans="1:20" ht="13.2">
      <c r="A2718" s="7"/>
      <c r="B2718" s="7"/>
      <c r="C2718" s="74"/>
      <c r="D2718" s="74"/>
      <c r="F2718" s="7"/>
      <c r="G2718" s="74"/>
      <c r="H2718" s="74"/>
      <c r="J2718" s="7"/>
      <c r="K2718" s="74"/>
      <c r="L2718" s="74"/>
      <c r="N2718" s="7"/>
      <c r="O2718" s="74"/>
      <c r="P2718" s="74"/>
      <c r="R2718" s="7"/>
      <c r="S2718" s="7"/>
      <c r="T2718" s="66"/>
    </row>
    <row r="2719" spans="1:20" ht="13.2">
      <c r="A2719" s="7"/>
      <c r="B2719" s="7"/>
      <c r="C2719" s="74"/>
      <c r="D2719" s="74"/>
      <c r="F2719" s="7"/>
      <c r="G2719" s="74"/>
      <c r="H2719" s="74"/>
      <c r="J2719" s="7"/>
      <c r="K2719" s="74"/>
      <c r="L2719" s="74"/>
      <c r="N2719" s="7"/>
      <c r="O2719" s="74"/>
      <c r="P2719" s="74"/>
      <c r="R2719" s="7"/>
      <c r="S2719" s="7"/>
      <c r="T2719" s="66"/>
    </row>
    <row r="2720" spans="1:20" ht="13.2">
      <c r="A2720" s="7"/>
      <c r="B2720" s="7"/>
      <c r="C2720" s="74"/>
      <c r="D2720" s="74"/>
      <c r="F2720" s="7"/>
      <c r="G2720" s="74"/>
      <c r="H2720" s="74"/>
      <c r="J2720" s="7"/>
      <c r="K2720" s="74"/>
      <c r="L2720" s="74"/>
      <c r="N2720" s="7"/>
      <c r="O2720" s="74"/>
      <c r="P2720" s="74"/>
      <c r="R2720" s="7"/>
      <c r="S2720" s="7"/>
      <c r="T2720" s="66"/>
    </row>
    <row r="2721" spans="1:20" ht="13.2">
      <c r="A2721" s="7"/>
      <c r="B2721" s="7"/>
      <c r="C2721" s="74"/>
      <c r="D2721" s="74"/>
      <c r="F2721" s="7"/>
      <c r="G2721" s="74"/>
      <c r="H2721" s="74"/>
      <c r="J2721" s="7"/>
      <c r="K2721" s="74"/>
      <c r="L2721" s="74"/>
      <c r="N2721" s="7"/>
      <c r="O2721" s="74"/>
      <c r="P2721" s="74"/>
      <c r="R2721" s="7"/>
      <c r="S2721" s="7"/>
      <c r="T2721" s="66"/>
    </row>
    <row r="2722" spans="1:20" ht="13.2">
      <c r="A2722" s="7"/>
      <c r="B2722" s="7"/>
      <c r="C2722" s="74"/>
      <c r="D2722" s="74"/>
      <c r="F2722" s="7"/>
      <c r="G2722" s="74"/>
      <c r="H2722" s="74"/>
      <c r="J2722" s="7"/>
      <c r="K2722" s="74"/>
      <c r="L2722" s="74"/>
      <c r="N2722" s="7"/>
      <c r="O2722" s="74"/>
      <c r="P2722" s="74"/>
      <c r="R2722" s="7"/>
      <c r="S2722" s="7"/>
      <c r="T2722" s="66"/>
    </row>
    <row r="2723" spans="1:20" ht="13.2">
      <c r="A2723" s="7"/>
      <c r="B2723" s="7"/>
      <c r="C2723" s="74"/>
      <c r="D2723" s="74"/>
      <c r="F2723" s="7"/>
      <c r="G2723" s="74"/>
      <c r="H2723" s="74"/>
      <c r="J2723" s="7"/>
      <c r="K2723" s="74"/>
      <c r="L2723" s="74"/>
      <c r="N2723" s="7"/>
      <c r="O2723" s="74"/>
      <c r="P2723" s="74"/>
      <c r="R2723" s="7"/>
      <c r="S2723" s="7"/>
      <c r="T2723" s="66"/>
    </row>
    <row r="2724" spans="1:20" ht="13.2">
      <c r="A2724" s="7"/>
      <c r="B2724" s="7"/>
      <c r="C2724" s="74"/>
      <c r="D2724" s="74"/>
      <c r="F2724" s="7"/>
      <c r="G2724" s="74"/>
      <c r="H2724" s="74"/>
      <c r="J2724" s="7"/>
      <c r="K2724" s="74"/>
      <c r="L2724" s="74"/>
      <c r="N2724" s="7"/>
      <c r="O2724" s="74"/>
      <c r="P2724" s="74"/>
      <c r="R2724" s="7"/>
      <c r="S2724" s="7"/>
      <c r="T2724" s="66"/>
    </row>
    <row r="2725" spans="1:20" ht="13.2">
      <c r="A2725" s="7"/>
      <c r="B2725" s="7"/>
      <c r="C2725" s="74"/>
      <c r="D2725" s="74"/>
      <c r="F2725" s="7"/>
      <c r="G2725" s="74"/>
      <c r="H2725" s="74"/>
      <c r="J2725" s="7"/>
      <c r="K2725" s="74"/>
      <c r="L2725" s="74"/>
      <c r="N2725" s="7"/>
      <c r="O2725" s="74"/>
      <c r="P2725" s="74"/>
      <c r="R2725" s="7"/>
      <c r="S2725" s="7"/>
      <c r="T2725" s="66"/>
    </row>
    <row r="2726" spans="1:20" ht="13.2">
      <c r="A2726" s="7"/>
      <c r="B2726" s="7"/>
      <c r="C2726" s="74"/>
      <c r="D2726" s="74"/>
      <c r="F2726" s="7"/>
      <c r="G2726" s="74"/>
      <c r="H2726" s="74"/>
      <c r="J2726" s="7"/>
      <c r="K2726" s="74"/>
      <c r="L2726" s="74"/>
      <c r="N2726" s="7"/>
      <c r="O2726" s="74"/>
      <c r="P2726" s="74"/>
      <c r="R2726" s="7"/>
      <c r="S2726" s="7"/>
      <c r="T2726" s="66"/>
    </row>
    <row r="2727" spans="1:20" ht="13.2">
      <c r="A2727" s="7"/>
      <c r="B2727" s="7"/>
      <c r="C2727" s="74"/>
      <c r="D2727" s="74"/>
      <c r="F2727" s="7"/>
      <c r="G2727" s="74"/>
      <c r="H2727" s="74"/>
      <c r="J2727" s="7"/>
      <c r="K2727" s="74"/>
      <c r="L2727" s="74"/>
      <c r="N2727" s="7"/>
      <c r="O2727" s="74"/>
      <c r="P2727" s="74"/>
      <c r="R2727" s="7"/>
      <c r="S2727" s="7"/>
      <c r="T2727" s="66"/>
    </row>
    <row r="2728" spans="1:20" ht="13.2">
      <c r="A2728" s="7"/>
      <c r="B2728" s="7"/>
      <c r="C2728" s="74"/>
      <c r="D2728" s="74"/>
      <c r="F2728" s="7"/>
      <c r="G2728" s="74"/>
      <c r="H2728" s="74"/>
      <c r="J2728" s="7"/>
      <c r="K2728" s="74"/>
      <c r="L2728" s="74"/>
      <c r="N2728" s="7"/>
      <c r="O2728" s="74"/>
      <c r="P2728" s="74"/>
      <c r="R2728" s="7"/>
      <c r="S2728" s="7"/>
      <c r="T2728" s="66"/>
    </row>
    <row r="2729" spans="1:20" ht="13.2">
      <c r="A2729" s="7"/>
      <c r="B2729" s="7"/>
      <c r="C2729" s="74"/>
      <c r="D2729" s="74"/>
      <c r="F2729" s="7"/>
      <c r="G2729" s="74"/>
      <c r="H2729" s="74"/>
      <c r="J2729" s="7"/>
      <c r="K2729" s="74"/>
      <c r="L2729" s="74"/>
      <c r="N2729" s="7"/>
      <c r="O2729" s="74"/>
      <c r="P2729" s="74"/>
      <c r="R2729" s="7"/>
      <c r="S2729" s="7"/>
      <c r="T2729" s="66"/>
    </row>
    <row r="2730" spans="1:20" ht="13.2">
      <c r="A2730" s="7"/>
      <c r="B2730" s="7"/>
      <c r="C2730" s="74"/>
      <c r="D2730" s="74"/>
      <c r="F2730" s="7"/>
      <c r="G2730" s="74"/>
      <c r="H2730" s="74"/>
      <c r="J2730" s="7"/>
      <c r="K2730" s="74"/>
      <c r="L2730" s="74"/>
      <c r="N2730" s="7"/>
      <c r="O2730" s="74"/>
      <c r="P2730" s="74"/>
      <c r="R2730" s="7"/>
      <c r="S2730" s="7"/>
      <c r="T2730" s="66"/>
    </row>
    <row r="2731" spans="1:20" ht="13.2">
      <c r="A2731" s="7"/>
      <c r="B2731" s="7"/>
      <c r="C2731" s="74"/>
      <c r="D2731" s="74"/>
      <c r="F2731" s="7"/>
      <c r="G2731" s="74"/>
      <c r="H2731" s="74"/>
      <c r="J2731" s="7"/>
      <c r="K2731" s="74"/>
      <c r="L2731" s="74"/>
      <c r="N2731" s="7"/>
      <c r="O2731" s="74"/>
      <c r="P2731" s="74"/>
      <c r="R2731" s="7"/>
      <c r="S2731" s="7"/>
      <c r="T2731" s="66"/>
    </row>
    <row r="2732" spans="1:20" ht="13.2">
      <c r="A2732" s="7"/>
      <c r="B2732" s="7"/>
      <c r="C2732" s="74"/>
      <c r="D2732" s="74"/>
      <c r="F2732" s="7"/>
      <c r="G2732" s="74"/>
      <c r="H2732" s="74"/>
      <c r="J2732" s="7"/>
      <c r="K2732" s="74"/>
      <c r="L2732" s="74"/>
      <c r="N2732" s="7"/>
      <c r="O2732" s="74"/>
      <c r="P2732" s="74"/>
      <c r="R2732" s="7"/>
      <c r="S2732" s="7"/>
      <c r="T2732" s="66"/>
    </row>
    <row r="2733" spans="1:20" ht="13.2">
      <c r="A2733" s="7"/>
      <c r="B2733" s="7"/>
      <c r="C2733" s="74"/>
      <c r="D2733" s="74"/>
      <c r="F2733" s="7"/>
      <c r="G2733" s="74"/>
      <c r="H2733" s="74"/>
      <c r="J2733" s="7"/>
      <c r="K2733" s="74"/>
      <c r="L2733" s="74"/>
      <c r="N2733" s="7"/>
      <c r="O2733" s="74"/>
      <c r="P2733" s="74"/>
      <c r="R2733" s="7"/>
      <c r="S2733" s="7"/>
      <c r="T2733" s="66"/>
    </row>
    <row r="2734" spans="1:20" ht="13.2">
      <c r="A2734" s="7"/>
      <c r="B2734" s="7"/>
      <c r="C2734" s="74"/>
      <c r="D2734" s="74"/>
      <c r="F2734" s="7"/>
      <c r="G2734" s="74"/>
      <c r="H2734" s="74"/>
      <c r="J2734" s="7"/>
      <c r="K2734" s="74"/>
      <c r="L2734" s="74"/>
      <c r="N2734" s="7"/>
      <c r="O2734" s="74"/>
      <c r="P2734" s="74"/>
      <c r="R2734" s="7"/>
      <c r="S2734" s="7"/>
      <c r="T2734" s="66"/>
    </row>
    <row r="2735" spans="1:20" ht="13.2">
      <c r="A2735" s="7"/>
      <c r="B2735" s="7"/>
      <c r="C2735" s="74"/>
      <c r="D2735" s="74"/>
      <c r="F2735" s="7"/>
      <c r="G2735" s="74"/>
      <c r="H2735" s="74"/>
      <c r="J2735" s="7"/>
      <c r="K2735" s="74"/>
      <c r="L2735" s="74"/>
      <c r="N2735" s="7"/>
      <c r="O2735" s="74"/>
      <c r="P2735" s="74"/>
      <c r="R2735" s="7"/>
      <c r="S2735" s="7"/>
      <c r="T2735" s="66"/>
    </row>
    <row r="2736" spans="1:20" ht="13.2">
      <c r="A2736" s="7"/>
      <c r="B2736" s="7"/>
      <c r="C2736" s="74"/>
      <c r="D2736" s="74"/>
      <c r="F2736" s="7"/>
      <c r="G2736" s="74"/>
      <c r="H2736" s="74"/>
      <c r="J2736" s="7"/>
      <c r="K2736" s="74"/>
      <c r="L2736" s="74"/>
      <c r="N2736" s="7"/>
      <c r="O2736" s="74"/>
      <c r="P2736" s="74"/>
      <c r="R2736" s="7"/>
      <c r="S2736" s="7"/>
      <c r="T2736" s="66"/>
    </row>
    <row r="2737" spans="1:20" ht="13.2">
      <c r="A2737" s="7"/>
      <c r="B2737" s="7"/>
      <c r="C2737" s="74"/>
      <c r="D2737" s="74"/>
      <c r="F2737" s="7"/>
      <c r="G2737" s="74"/>
      <c r="H2737" s="74"/>
      <c r="J2737" s="7"/>
      <c r="K2737" s="74"/>
      <c r="L2737" s="74"/>
      <c r="N2737" s="7"/>
      <c r="O2737" s="74"/>
      <c r="P2737" s="74"/>
      <c r="R2737" s="7"/>
      <c r="S2737" s="7"/>
      <c r="T2737" s="66"/>
    </row>
    <row r="2738" spans="1:20" ht="13.2">
      <c r="A2738" s="7"/>
      <c r="B2738" s="7"/>
      <c r="C2738" s="74"/>
      <c r="D2738" s="74"/>
      <c r="F2738" s="7"/>
      <c r="G2738" s="74"/>
      <c r="H2738" s="74"/>
      <c r="J2738" s="7"/>
      <c r="K2738" s="74"/>
      <c r="L2738" s="74"/>
      <c r="N2738" s="7"/>
      <c r="O2738" s="74"/>
      <c r="P2738" s="74"/>
      <c r="R2738" s="7"/>
      <c r="S2738" s="7"/>
      <c r="T2738" s="66"/>
    </row>
    <row r="2739" spans="1:20" ht="13.2">
      <c r="A2739" s="7"/>
      <c r="B2739" s="7"/>
      <c r="C2739" s="74"/>
      <c r="D2739" s="74"/>
      <c r="F2739" s="7"/>
      <c r="G2739" s="74"/>
      <c r="H2739" s="74"/>
      <c r="J2739" s="7"/>
      <c r="K2739" s="74"/>
      <c r="L2739" s="74"/>
      <c r="N2739" s="7"/>
      <c r="O2739" s="74"/>
      <c r="P2739" s="74"/>
      <c r="R2739" s="7"/>
      <c r="S2739" s="7"/>
      <c r="T2739" s="66"/>
    </row>
    <row r="2740" spans="1:20" ht="13.2">
      <c r="A2740" s="7"/>
      <c r="B2740" s="7"/>
      <c r="C2740" s="74"/>
      <c r="D2740" s="74"/>
      <c r="F2740" s="7"/>
      <c r="G2740" s="74"/>
      <c r="H2740" s="74"/>
      <c r="J2740" s="7"/>
      <c r="K2740" s="74"/>
      <c r="L2740" s="74"/>
      <c r="N2740" s="7"/>
      <c r="O2740" s="74"/>
      <c r="P2740" s="74"/>
      <c r="R2740" s="7"/>
      <c r="S2740" s="7"/>
      <c r="T2740" s="66"/>
    </row>
    <row r="2741" spans="1:20" ht="13.2">
      <c r="A2741" s="7"/>
      <c r="B2741" s="7"/>
      <c r="C2741" s="74"/>
      <c r="D2741" s="74"/>
      <c r="F2741" s="7"/>
      <c r="G2741" s="74"/>
      <c r="H2741" s="74"/>
      <c r="J2741" s="7"/>
      <c r="K2741" s="74"/>
      <c r="L2741" s="74"/>
      <c r="N2741" s="7"/>
      <c r="O2741" s="74"/>
      <c r="P2741" s="74"/>
      <c r="R2741" s="7"/>
      <c r="S2741" s="7"/>
      <c r="T2741" s="66"/>
    </row>
    <row r="2742" spans="1:20" ht="13.2">
      <c r="A2742" s="7"/>
      <c r="B2742" s="7"/>
      <c r="C2742" s="74"/>
      <c r="D2742" s="74"/>
      <c r="F2742" s="7"/>
      <c r="G2742" s="74"/>
      <c r="H2742" s="74"/>
      <c r="J2742" s="7"/>
      <c r="K2742" s="74"/>
      <c r="L2742" s="74"/>
      <c r="N2742" s="7"/>
      <c r="O2742" s="74"/>
      <c r="P2742" s="74"/>
      <c r="R2742" s="7"/>
      <c r="S2742" s="7"/>
      <c r="T2742" s="66"/>
    </row>
    <row r="2743" spans="1:20" ht="13.2">
      <c r="A2743" s="7"/>
      <c r="B2743" s="7"/>
      <c r="C2743" s="74"/>
      <c r="D2743" s="74"/>
      <c r="F2743" s="7"/>
      <c r="G2743" s="74"/>
      <c r="H2743" s="74"/>
      <c r="J2743" s="7"/>
      <c r="K2743" s="74"/>
      <c r="L2743" s="74"/>
      <c r="N2743" s="7"/>
      <c r="O2743" s="74"/>
      <c r="P2743" s="74"/>
      <c r="R2743" s="7"/>
      <c r="S2743" s="7"/>
      <c r="T2743" s="66"/>
    </row>
    <row r="2744" spans="1:20" ht="13.2">
      <c r="A2744" s="7"/>
      <c r="B2744" s="7"/>
      <c r="C2744" s="74"/>
      <c r="D2744" s="74"/>
      <c r="F2744" s="7"/>
      <c r="G2744" s="74"/>
      <c r="H2744" s="74"/>
      <c r="J2744" s="7"/>
      <c r="K2744" s="74"/>
      <c r="L2744" s="74"/>
      <c r="N2744" s="7"/>
      <c r="O2744" s="74"/>
      <c r="P2744" s="74"/>
      <c r="R2744" s="7"/>
      <c r="S2744" s="7"/>
      <c r="T2744" s="66"/>
    </row>
    <row r="2745" spans="1:20" ht="13.2">
      <c r="A2745" s="7"/>
      <c r="B2745" s="7"/>
      <c r="C2745" s="74"/>
      <c r="D2745" s="74"/>
      <c r="F2745" s="7"/>
      <c r="G2745" s="74"/>
      <c r="H2745" s="74"/>
      <c r="J2745" s="7"/>
      <c r="K2745" s="74"/>
      <c r="L2745" s="74"/>
      <c r="N2745" s="7"/>
      <c r="O2745" s="74"/>
      <c r="P2745" s="74"/>
      <c r="R2745" s="7"/>
      <c r="S2745" s="7"/>
      <c r="T2745" s="66"/>
    </row>
    <row r="2746" spans="1:20" ht="13.2">
      <c r="A2746" s="7"/>
      <c r="B2746" s="7"/>
      <c r="C2746" s="74"/>
      <c r="D2746" s="74"/>
      <c r="F2746" s="7"/>
      <c r="G2746" s="74"/>
      <c r="H2746" s="74"/>
      <c r="J2746" s="7"/>
      <c r="K2746" s="74"/>
      <c r="L2746" s="74"/>
      <c r="N2746" s="7"/>
      <c r="O2746" s="74"/>
      <c r="P2746" s="74"/>
      <c r="R2746" s="7"/>
      <c r="S2746" s="7"/>
      <c r="T2746" s="66"/>
    </row>
    <row r="2747" spans="1:20" ht="13.2">
      <c r="A2747" s="7"/>
      <c r="B2747" s="7"/>
      <c r="C2747" s="74"/>
      <c r="D2747" s="74"/>
      <c r="F2747" s="7"/>
      <c r="G2747" s="74"/>
      <c r="H2747" s="74"/>
      <c r="J2747" s="7"/>
      <c r="K2747" s="74"/>
      <c r="L2747" s="74"/>
      <c r="N2747" s="7"/>
      <c r="O2747" s="74"/>
      <c r="P2747" s="74"/>
      <c r="R2747" s="7"/>
      <c r="S2747" s="7"/>
      <c r="T2747" s="66"/>
    </row>
    <row r="2748" spans="1:20" ht="13.2">
      <c r="A2748" s="7"/>
      <c r="B2748" s="7"/>
      <c r="C2748" s="74"/>
      <c r="D2748" s="74"/>
      <c r="F2748" s="7"/>
      <c r="G2748" s="74"/>
      <c r="H2748" s="74"/>
      <c r="J2748" s="7"/>
      <c r="K2748" s="74"/>
      <c r="L2748" s="74"/>
      <c r="N2748" s="7"/>
      <c r="O2748" s="74"/>
      <c r="P2748" s="74"/>
      <c r="R2748" s="7"/>
      <c r="S2748" s="7"/>
      <c r="T2748" s="66"/>
    </row>
    <row r="2749" spans="1:20" ht="13.2">
      <c r="A2749" s="7"/>
      <c r="B2749" s="7"/>
      <c r="C2749" s="74"/>
      <c r="D2749" s="74"/>
      <c r="F2749" s="7"/>
      <c r="G2749" s="74"/>
      <c r="H2749" s="74"/>
      <c r="J2749" s="7"/>
      <c r="K2749" s="74"/>
      <c r="L2749" s="74"/>
      <c r="N2749" s="7"/>
      <c r="O2749" s="74"/>
      <c r="P2749" s="74"/>
      <c r="R2749" s="7"/>
      <c r="S2749" s="7"/>
      <c r="T2749" s="66"/>
    </row>
    <row r="2750" spans="1:20" ht="13.2">
      <c r="A2750" s="7"/>
      <c r="B2750" s="7"/>
      <c r="C2750" s="74"/>
      <c r="D2750" s="74"/>
      <c r="F2750" s="7"/>
      <c r="G2750" s="74"/>
      <c r="H2750" s="74"/>
      <c r="J2750" s="7"/>
      <c r="K2750" s="74"/>
      <c r="L2750" s="74"/>
      <c r="N2750" s="7"/>
      <c r="O2750" s="74"/>
      <c r="P2750" s="74"/>
      <c r="R2750" s="7"/>
      <c r="S2750" s="7"/>
      <c r="T2750" s="66"/>
    </row>
    <row r="2751" spans="1:20" ht="13.2">
      <c r="A2751" s="7"/>
      <c r="B2751" s="7"/>
      <c r="C2751" s="74"/>
      <c r="D2751" s="74"/>
      <c r="F2751" s="7"/>
      <c r="G2751" s="74"/>
      <c r="H2751" s="74"/>
      <c r="J2751" s="7"/>
      <c r="K2751" s="74"/>
      <c r="L2751" s="74"/>
      <c r="N2751" s="7"/>
      <c r="O2751" s="74"/>
      <c r="P2751" s="74"/>
      <c r="R2751" s="7"/>
      <c r="S2751" s="7"/>
      <c r="T2751" s="66"/>
    </row>
    <row r="2752" spans="1:20" ht="13.2">
      <c r="A2752" s="7"/>
      <c r="B2752" s="7"/>
      <c r="C2752" s="74"/>
      <c r="D2752" s="74"/>
      <c r="F2752" s="7"/>
      <c r="G2752" s="74"/>
      <c r="H2752" s="74"/>
      <c r="J2752" s="7"/>
      <c r="K2752" s="74"/>
      <c r="L2752" s="74"/>
      <c r="N2752" s="7"/>
      <c r="O2752" s="74"/>
      <c r="P2752" s="74"/>
      <c r="R2752" s="7"/>
      <c r="S2752" s="7"/>
      <c r="T2752" s="66"/>
    </row>
    <row r="2753" spans="1:20" ht="13.2">
      <c r="A2753" s="7"/>
      <c r="B2753" s="7"/>
      <c r="C2753" s="74"/>
      <c r="D2753" s="74"/>
      <c r="F2753" s="7"/>
      <c r="G2753" s="74"/>
      <c r="H2753" s="74"/>
      <c r="J2753" s="7"/>
      <c r="K2753" s="74"/>
      <c r="L2753" s="74"/>
      <c r="N2753" s="7"/>
      <c r="O2753" s="74"/>
      <c r="P2753" s="74"/>
      <c r="R2753" s="7"/>
      <c r="S2753" s="7"/>
      <c r="T2753" s="66"/>
    </row>
    <row r="2754" spans="1:20" ht="13.2">
      <c r="A2754" s="7"/>
      <c r="B2754" s="7"/>
      <c r="C2754" s="74"/>
      <c r="D2754" s="74"/>
      <c r="F2754" s="7"/>
      <c r="G2754" s="74"/>
      <c r="H2754" s="74"/>
      <c r="J2754" s="7"/>
      <c r="K2754" s="74"/>
      <c r="L2754" s="74"/>
      <c r="N2754" s="7"/>
      <c r="O2754" s="74"/>
      <c r="P2754" s="74"/>
      <c r="R2754" s="7"/>
      <c r="S2754" s="7"/>
      <c r="T2754" s="66"/>
    </row>
    <row r="2755" spans="1:20" ht="13.2">
      <c r="A2755" s="7"/>
      <c r="B2755" s="7"/>
      <c r="C2755" s="74"/>
      <c r="D2755" s="74"/>
      <c r="F2755" s="7"/>
      <c r="G2755" s="74"/>
      <c r="H2755" s="74"/>
      <c r="J2755" s="7"/>
      <c r="K2755" s="74"/>
      <c r="L2755" s="74"/>
      <c r="N2755" s="7"/>
      <c r="O2755" s="74"/>
      <c r="P2755" s="74"/>
      <c r="R2755" s="7"/>
      <c r="S2755" s="7"/>
      <c r="T2755" s="66"/>
    </row>
    <row r="2756" spans="1:20" ht="13.2">
      <c r="A2756" s="7"/>
      <c r="B2756" s="7"/>
      <c r="C2756" s="74"/>
      <c r="D2756" s="74"/>
      <c r="F2756" s="7"/>
      <c r="G2756" s="74"/>
      <c r="H2756" s="74"/>
      <c r="J2756" s="7"/>
      <c r="K2756" s="74"/>
      <c r="L2756" s="74"/>
      <c r="N2756" s="7"/>
      <c r="O2756" s="74"/>
      <c r="P2756" s="74"/>
      <c r="R2756" s="7"/>
      <c r="S2756" s="7"/>
      <c r="T2756" s="66"/>
    </row>
    <row r="2757" spans="1:20" ht="13.2">
      <c r="A2757" s="7"/>
      <c r="B2757" s="7"/>
      <c r="C2757" s="74"/>
      <c r="D2757" s="74"/>
      <c r="F2757" s="7"/>
      <c r="G2757" s="74"/>
      <c r="H2757" s="74"/>
      <c r="J2757" s="7"/>
      <c r="K2757" s="74"/>
      <c r="L2757" s="74"/>
      <c r="N2757" s="7"/>
      <c r="O2757" s="74"/>
      <c r="P2757" s="74"/>
      <c r="R2757" s="7"/>
      <c r="S2757" s="7"/>
      <c r="T2757" s="66"/>
    </row>
    <row r="2758" spans="1:20" ht="13.2">
      <c r="A2758" s="7"/>
      <c r="B2758" s="7"/>
      <c r="C2758" s="74"/>
      <c r="D2758" s="74"/>
      <c r="F2758" s="7"/>
      <c r="G2758" s="74"/>
      <c r="H2758" s="74"/>
      <c r="J2758" s="7"/>
      <c r="K2758" s="74"/>
      <c r="L2758" s="74"/>
      <c r="N2758" s="7"/>
      <c r="O2758" s="74"/>
      <c r="P2758" s="74"/>
      <c r="R2758" s="7"/>
      <c r="S2758" s="7"/>
      <c r="T2758" s="66"/>
    </row>
    <row r="2759" spans="1:20" ht="13.2">
      <c r="A2759" s="7"/>
      <c r="B2759" s="7"/>
      <c r="C2759" s="74"/>
      <c r="D2759" s="74"/>
      <c r="F2759" s="7"/>
      <c r="G2759" s="74"/>
      <c r="H2759" s="74"/>
      <c r="J2759" s="7"/>
      <c r="K2759" s="74"/>
      <c r="L2759" s="74"/>
      <c r="N2759" s="7"/>
      <c r="O2759" s="74"/>
      <c r="P2759" s="74"/>
      <c r="R2759" s="7"/>
      <c r="S2759" s="7"/>
      <c r="T2759" s="66"/>
    </row>
    <row r="2760" spans="1:20" ht="13.2">
      <c r="A2760" s="7"/>
      <c r="B2760" s="7"/>
      <c r="C2760" s="74"/>
      <c r="D2760" s="74"/>
      <c r="F2760" s="7"/>
      <c r="G2760" s="74"/>
      <c r="H2760" s="74"/>
      <c r="J2760" s="7"/>
      <c r="K2760" s="74"/>
      <c r="L2760" s="74"/>
      <c r="N2760" s="7"/>
      <c r="O2760" s="74"/>
      <c r="P2760" s="74"/>
      <c r="R2760" s="7"/>
      <c r="S2760" s="7"/>
      <c r="T2760" s="66"/>
    </row>
    <row r="2761" spans="1:20" ht="13.2">
      <c r="A2761" s="7"/>
      <c r="B2761" s="7"/>
      <c r="C2761" s="74"/>
      <c r="D2761" s="74"/>
      <c r="F2761" s="7"/>
      <c r="G2761" s="74"/>
      <c r="H2761" s="74"/>
      <c r="J2761" s="7"/>
      <c r="K2761" s="74"/>
      <c r="L2761" s="74"/>
      <c r="N2761" s="7"/>
      <c r="O2761" s="74"/>
      <c r="P2761" s="74"/>
      <c r="R2761" s="7"/>
      <c r="S2761" s="7"/>
      <c r="T2761" s="66"/>
    </row>
    <row r="2762" spans="1:20" ht="13.2">
      <c r="A2762" s="7"/>
      <c r="B2762" s="7"/>
      <c r="C2762" s="74"/>
      <c r="D2762" s="74"/>
      <c r="F2762" s="7"/>
      <c r="G2762" s="74"/>
      <c r="H2762" s="74"/>
      <c r="J2762" s="7"/>
      <c r="K2762" s="74"/>
      <c r="L2762" s="74"/>
      <c r="N2762" s="7"/>
      <c r="O2762" s="74"/>
      <c r="P2762" s="74"/>
      <c r="R2762" s="7"/>
      <c r="S2762" s="7"/>
      <c r="T2762" s="66"/>
    </row>
    <row r="2763" spans="1:20" ht="13.2">
      <c r="A2763" s="7"/>
      <c r="B2763" s="7"/>
      <c r="C2763" s="74"/>
      <c r="D2763" s="74"/>
      <c r="F2763" s="7"/>
      <c r="G2763" s="74"/>
      <c r="H2763" s="74"/>
      <c r="J2763" s="7"/>
      <c r="K2763" s="74"/>
      <c r="L2763" s="74"/>
      <c r="N2763" s="7"/>
      <c r="O2763" s="74"/>
      <c r="P2763" s="74"/>
      <c r="R2763" s="7"/>
      <c r="S2763" s="7"/>
      <c r="T2763" s="66"/>
    </row>
    <row r="2764" spans="1:20" ht="13.2">
      <c r="A2764" s="7"/>
      <c r="B2764" s="7"/>
      <c r="C2764" s="74"/>
      <c r="D2764" s="74"/>
      <c r="F2764" s="7"/>
      <c r="G2764" s="74"/>
      <c r="H2764" s="74"/>
      <c r="J2764" s="7"/>
      <c r="K2764" s="74"/>
      <c r="L2764" s="74"/>
      <c r="N2764" s="7"/>
      <c r="O2764" s="74"/>
      <c r="P2764" s="74"/>
      <c r="R2764" s="7"/>
      <c r="S2764" s="7"/>
      <c r="T2764" s="66"/>
    </row>
    <row r="2765" spans="1:20" ht="13.2">
      <c r="A2765" s="7"/>
      <c r="B2765" s="7"/>
      <c r="C2765" s="74"/>
      <c r="D2765" s="74"/>
      <c r="F2765" s="7"/>
      <c r="G2765" s="74"/>
      <c r="H2765" s="74"/>
      <c r="J2765" s="7"/>
      <c r="K2765" s="74"/>
      <c r="L2765" s="74"/>
      <c r="N2765" s="7"/>
      <c r="O2765" s="74"/>
      <c r="P2765" s="74"/>
      <c r="R2765" s="7"/>
      <c r="S2765" s="7"/>
      <c r="T2765" s="66"/>
    </row>
    <row r="2766" spans="1:20" ht="13.2">
      <c r="A2766" s="7"/>
      <c r="B2766" s="7"/>
      <c r="C2766" s="74"/>
      <c r="D2766" s="74"/>
      <c r="F2766" s="7"/>
      <c r="G2766" s="74"/>
      <c r="H2766" s="74"/>
      <c r="J2766" s="7"/>
      <c r="K2766" s="74"/>
      <c r="L2766" s="74"/>
      <c r="N2766" s="7"/>
      <c r="O2766" s="74"/>
      <c r="P2766" s="74"/>
      <c r="R2766" s="7"/>
      <c r="S2766" s="7"/>
      <c r="T2766" s="66"/>
    </row>
    <row r="2767" spans="1:20" ht="13.2">
      <c r="A2767" s="7"/>
      <c r="B2767" s="7"/>
      <c r="C2767" s="74"/>
      <c r="D2767" s="74"/>
      <c r="F2767" s="7"/>
      <c r="G2767" s="74"/>
      <c r="H2767" s="74"/>
      <c r="J2767" s="7"/>
      <c r="K2767" s="74"/>
      <c r="L2767" s="74"/>
      <c r="N2767" s="7"/>
      <c r="O2767" s="74"/>
      <c r="P2767" s="74"/>
      <c r="R2767" s="7"/>
      <c r="S2767" s="7"/>
      <c r="T2767" s="66"/>
    </row>
    <row r="2768" spans="1:20" ht="13.2">
      <c r="A2768" s="7"/>
      <c r="B2768" s="7"/>
      <c r="C2768" s="74"/>
      <c r="D2768" s="74"/>
      <c r="F2768" s="7"/>
      <c r="G2768" s="74"/>
      <c r="H2768" s="74"/>
      <c r="J2768" s="7"/>
      <c r="K2768" s="74"/>
      <c r="L2768" s="74"/>
      <c r="N2768" s="7"/>
      <c r="O2768" s="74"/>
      <c r="P2768" s="74"/>
      <c r="R2768" s="7"/>
      <c r="S2768" s="7"/>
      <c r="T2768" s="66"/>
    </row>
    <row r="2769" spans="1:20" ht="13.2">
      <c r="A2769" s="7"/>
      <c r="B2769" s="7"/>
      <c r="C2769" s="74"/>
      <c r="D2769" s="74"/>
      <c r="F2769" s="7"/>
      <c r="G2769" s="74"/>
      <c r="H2769" s="74"/>
      <c r="J2769" s="7"/>
      <c r="K2769" s="74"/>
      <c r="L2769" s="74"/>
      <c r="N2769" s="7"/>
      <c r="O2769" s="74"/>
      <c r="P2769" s="74"/>
      <c r="R2769" s="7"/>
      <c r="S2769" s="7"/>
      <c r="T2769" s="66"/>
    </row>
    <row r="2770" spans="1:20" ht="13.2">
      <c r="A2770" s="7"/>
      <c r="B2770" s="7"/>
      <c r="C2770" s="74"/>
      <c r="D2770" s="74"/>
      <c r="F2770" s="7"/>
      <c r="G2770" s="74"/>
      <c r="H2770" s="74"/>
      <c r="J2770" s="7"/>
      <c r="K2770" s="74"/>
      <c r="L2770" s="74"/>
      <c r="N2770" s="7"/>
      <c r="O2770" s="74"/>
      <c r="P2770" s="74"/>
      <c r="R2770" s="7"/>
      <c r="S2770" s="7"/>
      <c r="T2770" s="66"/>
    </row>
    <row r="2771" spans="1:20" ht="13.2">
      <c r="A2771" s="7"/>
      <c r="B2771" s="7"/>
      <c r="C2771" s="74"/>
      <c r="D2771" s="74"/>
      <c r="F2771" s="7"/>
      <c r="G2771" s="74"/>
      <c r="H2771" s="74"/>
      <c r="J2771" s="7"/>
      <c r="K2771" s="74"/>
      <c r="L2771" s="74"/>
      <c r="N2771" s="7"/>
      <c r="O2771" s="74"/>
      <c r="P2771" s="74"/>
      <c r="R2771" s="7"/>
      <c r="S2771" s="7"/>
      <c r="T2771" s="66"/>
    </row>
    <row r="2772" spans="1:20" ht="13.2">
      <c r="A2772" s="7"/>
      <c r="B2772" s="7"/>
      <c r="C2772" s="74"/>
      <c r="D2772" s="74"/>
      <c r="F2772" s="7"/>
      <c r="G2772" s="74"/>
      <c r="H2772" s="74"/>
      <c r="J2772" s="7"/>
      <c r="K2772" s="74"/>
      <c r="L2772" s="74"/>
      <c r="N2772" s="7"/>
      <c r="O2772" s="74"/>
      <c r="P2772" s="74"/>
      <c r="R2772" s="7"/>
      <c r="S2772" s="7"/>
      <c r="T2772" s="66"/>
    </row>
    <row r="2773" spans="1:20" ht="13.2">
      <c r="A2773" s="7"/>
      <c r="B2773" s="7"/>
      <c r="C2773" s="74"/>
      <c r="D2773" s="74"/>
      <c r="F2773" s="7"/>
      <c r="G2773" s="74"/>
      <c r="H2773" s="74"/>
      <c r="J2773" s="7"/>
      <c r="K2773" s="74"/>
      <c r="L2773" s="74"/>
      <c r="N2773" s="7"/>
      <c r="O2773" s="74"/>
      <c r="P2773" s="74"/>
      <c r="R2773" s="7"/>
      <c r="S2773" s="7"/>
      <c r="T2773" s="66"/>
    </row>
    <row r="2774" spans="1:20" ht="13.2">
      <c r="A2774" s="7"/>
      <c r="B2774" s="7"/>
      <c r="C2774" s="74"/>
      <c r="D2774" s="74"/>
      <c r="F2774" s="7"/>
      <c r="G2774" s="74"/>
      <c r="H2774" s="74"/>
      <c r="J2774" s="7"/>
      <c r="K2774" s="74"/>
      <c r="L2774" s="74"/>
      <c r="N2774" s="7"/>
      <c r="O2774" s="74"/>
      <c r="P2774" s="74"/>
      <c r="R2774" s="7"/>
      <c r="S2774" s="7"/>
      <c r="T2774" s="66"/>
    </row>
    <row r="2775" spans="1:20" ht="13.2">
      <c r="A2775" s="7"/>
      <c r="B2775" s="7"/>
      <c r="C2775" s="74"/>
      <c r="D2775" s="74"/>
      <c r="F2775" s="7"/>
      <c r="G2775" s="74"/>
      <c r="H2775" s="74"/>
      <c r="J2775" s="7"/>
      <c r="K2775" s="74"/>
      <c r="L2775" s="74"/>
      <c r="N2775" s="7"/>
      <c r="O2775" s="74"/>
      <c r="P2775" s="74"/>
      <c r="R2775" s="7"/>
      <c r="S2775" s="7"/>
      <c r="T2775" s="66"/>
    </row>
    <row r="2776" spans="1:20" ht="13.2">
      <c r="A2776" s="7"/>
      <c r="B2776" s="7"/>
      <c r="C2776" s="74"/>
      <c r="D2776" s="74"/>
      <c r="F2776" s="7"/>
      <c r="G2776" s="74"/>
      <c r="H2776" s="74"/>
      <c r="J2776" s="7"/>
      <c r="K2776" s="74"/>
      <c r="L2776" s="74"/>
      <c r="N2776" s="7"/>
      <c r="O2776" s="74"/>
      <c r="P2776" s="74"/>
      <c r="R2776" s="7"/>
      <c r="S2776" s="7"/>
      <c r="T2776" s="66"/>
    </row>
    <row r="2777" spans="1:20" ht="13.2">
      <c r="A2777" s="7"/>
      <c r="B2777" s="7"/>
      <c r="C2777" s="74"/>
      <c r="D2777" s="74"/>
      <c r="F2777" s="7"/>
      <c r="G2777" s="74"/>
      <c r="H2777" s="74"/>
      <c r="J2777" s="7"/>
      <c r="K2777" s="74"/>
      <c r="L2777" s="74"/>
      <c r="N2777" s="7"/>
      <c r="O2777" s="74"/>
      <c r="P2777" s="74"/>
      <c r="R2777" s="7"/>
      <c r="S2777" s="7"/>
      <c r="T2777" s="66"/>
    </row>
    <row r="2778" spans="1:20" ht="13.2">
      <c r="A2778" s="7"/>
      <c r="B2778" s="7"/>
      <c r="C2778" s="74"/>
      <c r="D2778" s="74"/>
      <c r="F2778" s="7"/>
      <c r="G2778" s="74"/>
      <c r="H2778" s="74"/>
      <c r="J2778" s="7"/>
      <c r="K2778" s="74"/>
      <c r="L2778" s="74"/>
      <c r="N2778" s="7"/>
      <c r="O2778" s="74"/>
      <c r="P2778" s="74"/>
      <c r="R2778" s="7"/>
      <c r="S2778" s="7"/>
      <c r="T2778" s="66"/>
    </row>
    <row r="2779" spans="1:20" ht="13.2">
      <c r="A2779" s="7"/>
      <c r="B2779" s="7"/>
      <c r="C2779" s="74"/>
      <c r="D2779" s="74"/>
      <c r="F2779" s="7"/>
      <c r="G2779" s="74"/>
      <c r="H2779" s="74"/>
      <c r="J2779" s="7"/>
      <c r="K2779" s="74"/>
      <c r="L2779" s="74"/>
      <c r="N2779" s="7"/>
      <c r="O2779" s="74"/>
      <c r="P2779" s="74"/>
      <c r="R2779" s="7"/>
      <c r="S2779" s="7"/>
      <c r="T2779" s="66"/>
    </row>
    <row r="2780" spans="1:20" ht="13.2">
      <c r="A2780" s="7"/>
      <c r="B2780" s="7"/>
      <c r="C2780" s="74"/>
      <c r="D2780" s="74"/>
      <c r="F2780" s="7"/>
      <c r="G2780" s="74"/>
      <c r="H2780" s="74"/>
      <c r="J2780" s="7"/>
      <c r="K2780" s="74"/>
      <c r="L2780" s="74"/>
      <c r="N2780" s="7"/>
      <c r="O2780" s="74"/>
      <c r="P2780" s="74"/>
      <c r="R2780" s="7"/>
      <c r="S2780" s="7"/>
      <c r="T2780" s="66"/>
    </row>
    <row r="2781" spans="1:20" ht="13.2">
      <c r="A2781" s="7"/>
      <c r="B2781" s="7"/>
      <c r="C2781" s="74"/>
      <c r="D2781" s="74"/>
      <c r="F2781" s="7"/>
      <c r="G2781" s="74"/>
      <c r="H2781" s="74"/>
      <c r="J2781" s="7"/>
      <c r="K2781" s="74"/>
      <c r="L2781" s="74"/>
      <c r="N2781" s="7"/>
      <c r="O2781" s="74"/>
      <c r="P2781" s="74"/>
      <c r="R2781" s="7"/>
      <c r="S2781" s="7"/>
      <c r="T2781" s="66"/>
    </row>
    <row r="2782" spans="1:20" ht="13.2">
      <c r="A2782" s="7"/>
      <c r="B2782" s="7"/>
      <c r="C2782" s="74"/>
      <c r="D2782" s="74"/>
      <c r="F2782" s="7"/>
      <c r="G2782" s="74"/>
      <c r="H2782" s="74"/>
      <c r="J2782" s="7"/>
      <c r="K2782" s="74"/>
      <c r="L2782" s="74"/>
      <c r="N2782" s="7"/>
      <c r="O2782" s="74"/>
      <c r="P2782" s="74"/>
      <c r="R2782" s="7"/>
      <c r="S2782" s="7"/>
      <c r="T2782" s="66"/>
    </row>
    <row r="2783" spans="1:20" ht="13.2">
      <c r="A2783" s="7"/>
      <c r="B2783" s="7"/>
      <c r="C2783" s="74"/>
      <c r="D2783" s="74"/>
      <c r="F2783" s="7"/>
      <c r="G2783" s="74"/>
      <c r="H2783" s="74"/>
      <c r="J2783" s="7"/>
      <c r="K2783" s="74"/>
      <c r="L2783" s="74"/>
      <c r="N2783" s="7"/>
      <c r="O2783" s="74"/>
      <c r="P2783" s="74"/>
      <c r="R2783" s="7"/>
      <c r="S2783" s="7"/>
      <c r="T2783" s="66"/>
    </row>
    <row r="2784" spans="1:20" ht="13.2">
      <c r="A2784" s="7"/>
      <c r="B2784" s="7"/>
      <c r="C2784" s="74"/>
      <c r="D2784" s="74"/>
      <c r="F2784" s="7"/>
      <c r="G2784" s="74"/>
      <c r="H2784" s="74"/>
      <c r="J2784" s="7"/>
      <c r="K2784" s="74"/>
      <c r="L2784" s="74"/>
      <c r="N2784" s="7"/>
      <c r="O2784" s="74"/>
      <c r="P2784" s="74"/>
      <c r="R2784" s="7"/>
      <c r="S2784" s="7"/>
      <c r="T2784" s="66"/>
    </row>
    <row r="2785" spans="1:20" ht="13.2">
      <c r="A2785" s="7"/>
      <c r="B2785" s="7"/>
      <c r="C2785" s="74"/>
      <c r="D2785" s="74"/>
      <c r="F2785" s="7"/>
      <c r="G2785" s="74"/>
      <c r="H2785" s="74"/>
      <c r="J2785" s="7"/>
      <c r="K2785" s="74"/>
      <c r="L2785" s="74"/>
      <c r="N2785" s="7"/>
      <c r="O2785" s="74"/>
      <c r="P2785" s="74"/>
      <c r="R2785" s="7"/>
      <c r="S2785" s="7"/>
      <c r="T2785" s="66"/>
    </row>
    <row r="2786" spans="1:20" ht="13.2">
      <c r="A2786" s="7"/>
      <c r="B2786" s="7"/>
      <c r="C2786" s="74"/>
      <c r="D2786" s="74"/>
      <c r="F2786" s="7"/>
      <c r="G2786" s="74"/>
      <c r="H2786" s="74"/>
      <c r="J2786" s="7"/>
      <c r="K2786" s="74"/>
      <c r="L2786" s="74"/>
      <c r="N2786" s="7"/>
      <c r="O2786" s="74"/>
      <c r="P2786" s="74"/>
      <c r="R2786" s="7"/>
      <c r="S2786" s="7"/>
      <c r="T2786" s="66"/>
    </row>
    <row r="2787" spans="1:20" ht="13.2">
      <c r="A2787" s="7"/>
      <c r="B2787" s="7"/>
      <c r="C2787" s="74"/>
      <c r="D2787" s="74"/>
      <c r="F2787" s="7"/>
      <c r="G2787" s="74"/>
      <c r="H2787" s="74"/>
      <c r="J2787" s="7"/>
      <c r="K2787" s="74"/>
      <c r="L2787" s="74"/>
      <c r="N2787" s="7"/>
      <c r="O2787" s="74"/>
      <c r="P2787" s="74"/>
      <c r="R2787" s="7"/>
      <c r="S2787" s="7"/>
      <c r="T2787" s="66"/>
    </row>
    <row r="2788" spans="1:20" ht="13.2">
      <c r="A2788" s="7"/>
      <c r="B2788" s="7"/>
      <c r="C2788" s="74"/>
      <c r="D2788" s="74"/>
      <c r="F2788" s="7"/>
      <c r="G2788" s="74"/>
      <c r="H2788" s="74"/>
      <c r="J2788" s="7"/>
      <c r="K2788" s="74"/>
      <c r="L2788" s="74"/>
      <c r="N2788" s="7"/>
      <c r="O2788" s="74"/>
      <c r="P2788" s="74"/>
      <c r="R2788" s="7"/>
      <c r="S2788" s="7"/>
      <c r="T2788" s="66"/>
    </row>
    <row r="2789" spans="1:20" ht="13.2">
      <c r="A2789" s="7"/>
      <c r="B2789" s="7"/>
      <c r="C2789" s="74"/>
      <c r="D2789" s="74"/>
      <c r="F2789" s="7"/>
      <c r="G2789" s="74"/>
      <c r="H2789" s="74"/>
      <c r="J2789" s="7"/>
      <c r="K2789" s="74"/>
      <c r="L2789" s="74"/>
      <c r="N2789" s="7"/>
      <c r="O2789" s="74"/>
      <c r="P2789" s="74"/>
      <c r="R2789" s="7"/>
      <c r="S2789" s="7"/>
      <c r="T2789" s="66"/>
    </row>
    <row r="2790" spans="1:20" ht="13.2">
      <c r="A2790" s="7"/>
      <c r="B2790" s="7"/>
      <c r="C2790" s="74"/>
      <c r="D2790" s="74"/>
      <c r="F2790" s="7"/>
      <c r="G2790" s="74"/>
      <c r="H2790" s="74"/>
      <c r="J2790" s="7"/>
      <c r="K2790" s="74"/>
      <c r="L2790" s="74"/>
      <c r="N2790" s="7"/>
      <c r="O2790" s="74"/>
      <c r="P2790" s="74"/>
      <c r="R2790" s="7"/>
      <c r="S2790" s="7"/>
      <c r="T2790" s="66"/>
    </row>
    <row r="2791" spans="1:20" ht="13.2">
      <c r="A2791" s="7"/>
      <c r="B2791" s="7"/>
      <c r="C2791" s="74"/>
      <c r="D2791" s="74"/>
      <c r="F2791" s="7"/>
      <c r="G2791" s="74"/>
      <c r="H2791" s="74"/>
      <c r="J2791" s="7"/>
      <c r="K2791" s="74"/>
      <c r="L2791" s="74"/>
      <c r="N2791" s="7"/>
      <c r="O2791" s="74"/>
      <c r="P2791" s="74"/>
      <c r="R2791" s="7"/>
      <c r="S2791" s="7"/>
      <c r="T2791" s="66"/>
    </row>
    <row r="2792" spans="1:20" ht="13.2">
      <c r="A2792" s="7"/>
      <c r="B2792" s="7"/>
      <c r="C2792" s="74"/>
      <c r="D2792" s="74"/>
      <c r="F2792" s="7"/>
      <c r="G2792" s="74"/>
      <c r="H2792" s="74"/>
      <c r="J2792" s="7"/>
      <c r="K2792" s="74"/>
      <c r="L2792" s="74"/>
      <c r="N2792" s="7"/>
      <c r="O2792" s="74"/>
      <c r="P2792" s="74"/>
      <c r="R2792" s="7"/>
      <c r="S2792" s="7"/>
      <c r="T2792" s="66"/>
    </row>
    <row r="2793" spans="1:20" ht="13.2">
      <c r="A2793" s="7"/>
      <c r="B2793" s="7"/>
      <c r="C2793" s="74"/>
      <c r="D2793" s="74"/>
      <c r="F2793" s="7"/>
      <c r="G2793" s="74"/>
      <c r="H2793" s="74"/>
      <c r="J2793" s="7"/>
      <c r="K2793" s="74"/>
      <c r="L2793" s="74"/>
      <c r="N2793" s="7"/>
      <c r="O2793" s="74"/>
      <c r="P2793" s="74"/>
      <c r="R2793" s="7"/>
      <c r="S2793" s="7"/>
      <c r="T2793" s="66"/>
    </row>
    <row r="2794" spans="1:20" ht="13.2">
      <c r="A2794" s="7"/>
      <c r="B2794" s="7"/>
      <c r="C2794" s="74"/>
      <c r="D2794" s="74"/>
      <c r="F2794" s="7"/>
      <c r="G2794" s="74"/>
      <c r="H2794" s="74"/>
      <c r="J2794" s="7"/>
      <c r="K2794" s="74"/>
      <c r="L2794" s="74"/>
      <c r="N2794" s="7"/>
      <c r="O2794" s="74"/>
      <c r="P2794" s="74"/>
      <c r="R2794" s="7"/>
      <c r="S2794" s="7"/>
      <c r="T2794" s="66"/>
    </row>
    <row r="2795" spans="1:20" ht="13.2">
      <c r="A2795" s="7"/>
      <c r="B2795" s="7"/>
      <c r="C2795" s="74"/>
      <c r="D2795" s="74"/>
      <c r="F2795" s="7"/>
      <c r="G2795" s="74"/>
      <c r="H2795" s="74"/>
      <c r="J2795" s="7"/>
      <c r="K2795" s="74"/>
      <c r="L2795" s="74"/>
      <c r="N2795" s="7"/>
      <c r="O2795" s="74"/>
      <c r="P2795" s="74"/>
      <c r="R2795" s="7"/>
      <c r="S2795" s="7"/>
      <c r="T2795" s="66"/>
    </row>
    <row r="2796" spans="1:20" ht="13.2">
      <c r="A2796" s="7"/>
      <c r="B2796" s="7"/>
      <c r="C2796" s="74"/>
      <c r="D2796" s="74"/>
      <c r="F2796" s="7"/>
      <c r="G2796" s="74"/>
      <c r="H2796" s="74"/>
      <c r="J2796" s="7"/>
      <c r="K2796" s="74"/>
      <c r="L2796" s="74"/>
      <c r="N2796" s="7"/>
      <c r="O2796" s="74"/>
      <c r="P2796" s="74"/>
      <c r="R2796" s="7"/>
      <c r="S2796" s="7"/>
      <c r="T2796" s="66"/>
    </row>
    <row r="2797" spans="1:20" ht="13.2">
      <c r="A2797" s="7"/>
      <c r="B2797" s="7"/>
      <c r="C2797" s="74"/>
      <c r="D2797" s="74"/>
      <c r="F2797" s="7"/>
      <c r="G2797" s="74"/>
      <c r="H2797" s="74"/>
      <c r="J2797" s="7"/>
      <c r="K2797" s="74"/>
      <c r="L2797" s="74"/>
      <c r="N2797" s="7"/>
      <c r="O2797" s="74"/>
      <c r="P2797" s="74"/>
      <c r="R2797" s="7"/>
      <c r="S2797" s="7"/>
      <c r="T2797" s="66"/>
    </row>
    <row r="2798" spans="1:20" ht="13.2">
      <c r="A2798" s="7"/>
      <c r="B2798" s="7"/>
      <c r="C2798" s="74"/>
      <c r="D2798" s="74"/>
      <c r="F2798" s="7"/>
      <c r="G2798" s="74"/>
      <c r="H2798" s="74"/>
      <c r="J2798" s="7"/>
      <c r="K2798" s="74"/>
      <c r="L2798" s="74"/>
      <c r="N2798" s="7"/>
      <c r="O2798" s="74"/>
      <c r="P2798" s="74"/>
      <c r="R2798" s="7"/>
      <c r="S2798" s="7"/>
      <c r="T2798" s="66"/>
    </row>
    <row r="2799" spans="1:20" ht="13.2">
      <c r="A2799" s="7"/>
      <c r="B2799" s="7"/>
      <c r="C2799" s="74"/>
      <c r="D2799" s="74"/>
      <c r="F2799" s="7"/>
      <c r="G2799" s="74"/>
      <c r="H2799" s="74"/>
      <c r="J2799" s="7"/>
      <c r="K2799" s="74"/>
      <c r="L2799" s="74"/>
      <c r="N2799" s="7"/>
      <c r="O2799" s="74"/>
      <c r="P2799" s="74"/>
      <c r="R2799" s="7"/>
      <c r="S2799" s="7"/>
      <c r="T2799" s="66"/>
    </row>
    <row r="2800" spans="1:20" ht="13.2">
      <c r="A2800" s="7"/>
      <c r="B2800" s="7"/>
      <c r="C2800" s="74"/>
      <c r="D2800" s="74"/>
      <c r="F2800" s="7"/>
      <c r="G2800" s="74"/>
      <c r="H2800" s="74"/>
      <c r="J2800" s="7"/>
      <c r="K2800" s="74"/>
      <c r="L2800" s="74"/>
      <c r="N2800" s="7"/>
      <c r="O2800" s="74"/>
      <c r="P2800" s="74"/>
      <c r="R2800" s="7"/>
      <c r="S2800" s="7"/>
      <c r="T2800" s="66"/>
    </row>
    <row r="2801" spans="1:20" ht="13.2">
      <c r="A2801" s="7"/>
      <c r="B2801" s="7"/>
      <c r="C2801" s="74"/>
      <c r="D2801" s="74"/>
      <c r="F2801" s="7"/>
      <c r="G2801" s="74"/>
      <c r="H2801" s="74"/>
      <c r="J2801" s="7"/>
      <c r="K2801" s="74"/>
      <c r="L2801" s="74"/>
      <c r="N2801" s="7"/>
      <c r="O2801" s="74"/>
      <c r="P2801" s="74"/>
      <c r="R2801" s="7"/>
      <c r="S2801" s="7"/>
      <c r="T2801" s="66"/>
    </row>
    <row r="2802" spans="1:20" ht="13.2">
      <c r="A2802" s="7"/>
      <c r="B2802" s="7"/>
      <c r="C2802" s="74"/>
      <c r="D2802" s="74"/>
      <c r="F2802" s="7"/>
      <c r="G2802" s="74"/>
      <c r="H2802" s="74"/>
      <c r="J2802" s="7"/>
      <c r="K2802" s="74"/>
      <c r="L2802" s="74"/>
      <c r="N2802" s="7"/>
      <c r="O2802" s="74"/>
      <c r="P2802" s="74"/>
      <c r="R2802" s="7"/>
      <c r="S2802" s="7"/>
      <c r="T2802" s="66"/>
    </row>
    <row r="2803" spans="1:20" ht="13.2">
      <c r="A2803" s="7"/>
      <c r="B2803" s="7"/>
      <c r="C2803" s="74"/>
      <c r="D2803" s="74"/>
      <c r="F2803" s="7"/>
      <c r="G2803" s="74"/>
      <c r="H2803" s="74"/>
      <c r="J2803" s="7"/>
      <c r="K2803" s="74"/>
      <c r="L2803" s="74"/>
      <c r="N2803" s="7"/>
      <c r="O2803" s="74"/>
      <c r="P2803" s="74"/>
      <c r="R2803" s="7"/>
      <c r="S2803" s="7"/>
      <c r="T2803" s="66"/>
    </row>
    <row r="2804" spans="1:20" ht="13.2">
      <c r="A2804" s="7"/>
      <c r="B2804" s="7"/>
      <c r="C2804" s="74"/>
      <c r="D2804" s="74"/>
      <c r="F2804" s="7"/>
      <c r="G2804" s="74"/>
      <c r="H2804" s="74"/>
      <c r="J2804" s="7"/>
      <c r="K2804" s="74"/>
      <c r="L2804" s="74"/>
      <c r="N2804" s="7"/>
      <c r="O2804" s="74"/>
      <c r="P2804" s="74"/>
      <c r="R2804" s="7"/>
      <c r="S2804" s="7"/>
      <c r="T2804" s="66"/>
    </row>
    <row r="2805" spans="1:20" ht="13.2">
      <c r="A2805" s="7"/>
      <c r="B2805" s="7"/>
      <c r="C2805" s="74"/>
      <c r="D2805" s="74"/>
      <c r="F2805" s="7"/>
      <c r="G2805" s="74"/>
      <c r="H2805" s="74"/>
      <c r="J2805" s="7"/>
      <c r="K2805" s="74"/>
      <c r="L2805" s="74"/>
      <c r="N2805" s="7"/>
      <c r="O2805" s="74"/>
      <c r="P2805" s="74"/>
      <c r="R2805" s="7"/>
      <c r="S2805" s="7"/>
      <c r="T2805" s="66"/>
    </row>
    <row r="2806" spans="1:20" ht="13.2">
      <c r="A2806" s="7"/>
      <c r="B2806" s="7"/>
      <c r="C2806" s="74"/>
      <c r="D2806" s="74"/>
      <c r="F2806" s="7"/>
      <c r="G2806" s="74"/>
      <c r="H2806" s="74"/>
      <c r="J2806" s="7"/>
      <c r="K2806" s="74"/>
      <c r="L2806" s="74"/>
      <c r="N2806" s="7"/>
      <c r="O2806" s="74"/>
      <c r="P2806" s="74"/>
      <c r="R2806" s="7"/>
      <c r="S2806" s="7"/>
      <c r="T2806" s="66"/>
    </row>
    <row r="2807" spans="1:20" ht="13.2">
      <c r="A2807" s="7"/>
      <c r="B2807" s="7"/>
      <c r="C2807" s="74"/>
      <c r="D2807" s="74"/>
      <c r="F2807" s="7"/>
      <c r="G2807" s="74"/>
      <c r="H2807" s="74"/>
      <c r="J2807" s="7"/>
      <c r="K2807" s="74"/>
      <c r="L2807" s="74"/>
      <c r="N2807" s="7"/>
      <c r="O2807" s="74"/>
      <c r="P2807" s="74"/>
      <c r="R2807" s="7"/>
      <c r="S2807" s="7"/>
      <c r="T2807" s="66"/>
    </row>
    <row r="2808" spans="1:20" ht="13.2">
      <c r="A2808" s="7"/>
      <c r="B2808" s="7"/>
      <c r="C2808" s="74"/>
      <c r="D2808" s="74"/>
      <c r="F2808" s="7"/>
      <c r="G2808" s="74"/>
      <c r="H2808" s="74"/>
      <c r="J2808" s="7"/>
      <c r="K2808" s="74"/>
      <c r="L2808" s="74"/>
      <c r="N2808" s="7"/>
      <c r="O2808" s="74"/>
      <c r="P2808" s="74"/>
      <c r="R2808" s="7"/>
      <c r="S2808" s="7"/>
      <c r="T2808" s="66"/>
    </row>
    <row r="2809" spans="1:20" ht="13.2">
      <c r="A2809" s="7"/>
      <c r="B2809" s="7"/>
      <c r="C2809" s="74"/>
      <c r="D2809" s="74"/>
      <c r="F2809" s="7"/>
      <c r="G2809" s="74"/>
      <c r="H2809" s="74"/>
      <c r="J2809" s="7"/>
      <c r="K2809" s="74"/>
      <c r="L2809" s="74"/>
      <c r="N2809" s="7"/>
      <c r="O2809" s="74"/>
      <c r="P2809" s="74"/>
      <c r="R2809" s="7"/>
      <c r="S2809" s="7"/>
      <c r="T2809" s="66"/>
    </row>
    <row r="2810" spans="1:20" ht="13.2">
      <c r="A2810" s="7"/>
      <c r="B2810" s="7"/>
      <c r="C2810" s="74"/>
      <c r="D2810" s="74"/>
      <c r="F2810" s="7"/>
      <c r="G2810" s="74"/>
      <c r="H2810" s="74"/>
      <c r="J2810" s="7"/>
      <c r="K2810" s="74"/>
      <c r="L2810" s="74"/>
      <c r="N2810" s="7"/>
      <c r="O2810" s="74"/>
      <c r="P2810" s="74"/>
      <c r="R2810" s="7"/>
      <c r="S2810" s="7"/>
      <c r="T2810" s="66"/>
    </row>
    <row r="2811" spans="1:20" ht="13.2">
      <c r="A2811" s="7"/>
      <c r="B2811" s="7"/>
      <c r="C2811" s="74"/>
      <c r="D2811" s="74"/>
      <c r="F2811" s="7"/>
      <c r="G2811" s="74"/>
      <c r="H2811" s="74"/>
      <c r="J2811" s="7"/>
      <c r="K2811" s="74"/>
      <c r="L2811" s="74"/>
      <c r="N2811" s="7"/>
      <c r="O2811" s="74"/>
      <c r="P2811" s="74"/>
      <c r="R2811" s="7"/>
      <c r="S2811" s="7"/>
      <c r="T2811" s="66"/>
    </row>
    <row r="2812" spans="1:20" ht="13.2">
      <c r="A2812" s="7"/>
      <c r="B2812" s="7"/>
      <c r="C2812" s="74"/>
      <c r="D2812" s="74"/>
      <c r="F2812" s="7"/>
      <c r="G2812" s="74"/>
      <c r="H2812" s="74"/>
      <c r="J2812" s="7"/>
      <c r="K2812" s="74"/>
      <c r="L2812" s="74"/>
      <c r="N2812" s="7"/>
      <c r="O2812" s="74"/>
      <c r="P2812" s="74"/>
      <c r="R2812" s="7"/>
      <c r="S2812" s="7"/>
      <c r="T2812" s="66"/>
    </row>
    <row r="2813" spans="1:20" ht="13.2">
      <c r="A2813" s="7"/>
      <c r="B2813" s="7"/>
      <c r="C2813" s="74"/>
      <c r="D2813" s="74"/>
      <c r="F2813" s="7"/>
      <c r="G2813" s="74"/>
      <c r="H2813" s="74"/>
      <c r="J2813" s="7"/>
      <c r="K2813" s="74"/>
      <c r="L2813" s="74"/>
      <c r="N2813" s="7"/>
      <c r="O2813" s="74"/>
      <c r="P2813" s="74"/>
      <c r="R2813" s="7"/>
      <c r="S2813" s="7"/>
      <c r="T2813" s="66"/>
    </row>
    <row r="2814" spans="1:20" ht="13.2">
      <c r="A2814" s="7"/>
      <c r="B2814" s="7"/>
      <c r="C2814" s="74"/>
      <c r="D2814" s="74"/>
      <c r="F2814" s="7"/>
      <c r="G2814" s="74"/>
      <c r="H2814" s="74"/>
      <c r="J2814" s="7"/>
      <c r="K2814" s="74"/>
      <c r="L2814" s="74"/>
      <c r="N2814" s="7"/>
      <c r="O2814" s="74"/>
      <c r="P2814" s="74"/>
      <c r="R2814" s="7"/>
      <c r="S2814" s="7"/>
      <c r="T2814" s="66"/>
    </row>
    <row r="2815" spans="1:20" ht="13.2">
      <c r="A2815" s="7"/>
      <c r="B2815" s="7"/>
      <c r="C2815" s="74"/>
      <c r="D2815" s="74"/>
      <c r="F2815" s="7"/>
      <c r="G2815" s="74"/>
      <c r="H2815" s="74"/>
      <c r="J2815" s="7"/>
      <c r="K2815" s="74"/>
      <c r="L2815" s="74"/>
      <c r="N2815" s="7"/>
      <c r="O2815" s="74"/>
      <c r="P2815" s="74"/>
      <c r="R2815" s="7"/>
      <c r="S2815" s="7"/>
      <c r="T2815" s="66"/>
    </row>
    <row r="2816" spans="1:20" ht="13.2">
      <c r="A2816" s="7"/>
      <c r="B2816" s="7"/>
      <c r="C2816" s="74"/>
      <c r="D2816" s="74"/>
      <c r="F2816" s="7"/>
      <c r="G2816" s="74"/>
      <c r="H2816" s="74"/>
      <c r="J2816" s="7"/>
      <c r="K2816" s="74"/>
      <c r="L2816" s="74"/>
      <c r="N2816" s="7"/>
      <c r="O2816" s="74"/>
      <c r="P2816" s="74"/>
      <c r="R2816" s="7"/>
      <c r="S2816" s="7"/>
      <c r="T2816" s="66"/>
    </row>
    <row r="2817" spans="1:20" ht="13.2">
      <c r="A2817" s="7"/>
      <c r="B2817" s="7"/>
      <c r="C2817" s="74"/>
      <c r="D2817" s="74"/>
      <c r="F2817" s="7"/>
      <c r="G2817" s="74"/>
      <c r="H2817" s="74"/>
      <c r="J2817" s="7"/>
      <c r="K2817" s="74"/>
      <c r="L2817" s="74"/>
      <c r="N2817" s="7"/>
      <c r="O2817" s="74"/>
      <c r="P2817" s="74"/>
      <c r="R2817" s="7"/>
      <c r="S2817" s="7"/>
      <c r="T2817" s="66"/>
    </row>
    <row r="2818" spans="1:20" ht="13.2">
      <c r="A2818" s="7"/>
      <c r="B2818" s="7"/>
      <c r="C2818" s="74"/>
      <c r="D2818" s="74"/>
      <c r="F2818" s="7"/>
      <c r="G2818" s="74"/>
      <c r="H2818" s="74"/>
      <c r="J2818" s="7"/>
      <c r="K2818" s="74"/>
      <c r="L2818" s="74"/>
      <c r="N2818" s="7"/>
      <c r="O2818" s="74"/>
      <c r="P2818" s="74"/>
      <c r="R2818" s="7"/>
      <c r="S2818" s="7"/>
      <c r="T2818" s="66"/>
    </row>
    <row r="2819" spans="1:20" ht="13.2">
      <c r="A2819" s="7"/>
      <c r="B2819" s="7"/>
      <c r="C2819" s="74"/>
      <c r="D2819" s="74"/>
      <c r="F2819" s="7"/>
      <c r="G2819" s="74"/>
      <c r="H2819" s="74"/>
      <c r="J2819" s="7"/>
      <c r="K2819" s="74"/>
      <c r="L2819" s="74"/>
      <c r="N2819" s="7"/>
      <c r="O2819" s="74"/>
      <c r="P2819" s="74"/>
      <c r="R2819" s="7"/>
      <c r="S2819" s="7"/>
      <c r="T2819" s="66"/>
    </row>
    <row r="2820" spans="1:20" ht="13.2">
      <c r="A2820" s="7"/>
      <c r="B2820" s="7"/>
      <c r="C2820" s="74"/>
      <c r="D2820" s="74"/>
      <c r="F2820" s="7"/>
      <c r="G2820" s="74"/>
      <c r="H2820" s="74"/>
      <c r="J2820" s="7"/>
      <c r="K2820" s="74"/>
      <c r="L2820" s="74"/>
      <c r="N2820" s="7"/>
      <c r="O2820" s="74"/>
      <c r="P2820" s="74"/>
      <c r="R2820" s="7"/>
      <c r="S2820" s="7"/>
      <c r="T2820" s="66"/>
    </row>
    <row r="2821" spans="1:20" ht="13.2">
      <c r="A2821" s="7"/>
      <c r="B2821" s="7"/>
      <c r="C2821" s="74"/>
      <c r="D2821" s="74"/>
      <c r="F2821" s="7"/>
      <c r="G2821" s="74"/>
      <c r="H2821" s="74"/>
      <c r="J2821" s="7"/>
      <c r="K2821" s="74"/>
      <c r="L2821" s="74"/>
      <c r="N2821" s="7"/>
      <c r="O2821" s="74"/>
      <c r="P2821" s="74"/>
      <c r="R2821" s="7"/>
      <c r="S2821" s="7"/>
      <c r="T2821" s="66"/>
    </row>
    <row r="2822" spans="1:20" ht="13.2">
      <c r="A2822" s="7"/>
      <c r="B2822" s="7"/>
      <c r="C2822" s="74"/>
      <c r="D2822" s="74"/>
      <c r="F2822" s="7"/>
      <c r="G2822" s="74"/>
      <c r="H2822" s="74"/>
      <c r="J2822" s="7"/>
      <c r="K2822" s="74"/>
      <c r="L2822" s="74"/>
      <c r="N2822" s="7"/>
      <c r="O2822" s="74"/>
      <c r="P2822" s="74"/>
      <c r="R2822" s="7"/>
      <c r="S2822" s="7"/>
      <c r="T2822" s="66"/>
    </row>
    <row r="2823" spans="1:20" ht="13.2">
      <c r="A2823" s="7"/>
      <c r="B2823" s="7"/>
      <c r="C2823" s="74"/>
      <c r="D2823" s="74"/>
      <c r="F2823" s="7"/>
      <c r="G2823" s="74"/>
      <c r="H2823" s="74"/>
      <c r="J2823" s="7"/>
      <c r="K2823" s="74"/>
      <c r="L2823" s="74"/>
      <c r="N2823" s="7"/>
      <c r="O2823" s="74"/>
      <c r="P2823" s="74"/>
      <c r="R2823" s="7"/>
      <c r="S2823" s="7"/>
      <c r="T2823" s="66"/>
    </row>
    <row r="2824" spans="1:20" ht="13.2">
      <c r="A2824" s="7"/>
      <c r="B2824" s="7"/>
      <c r="C2824" s="74"/>
      <c r="D2824" s="74"/>
      <c r="F2824" s="7"/>
      <c r="G2824" s="74"/>
      <c r="H2824" s="74"/>
      <c r="J2824" s="7"/>
      <c r="K2824" s="74"/>
      <c r="L2824" s="74"/>
      <c r="N2824" s="7"/>
      <c r="O2824" s="74"/>
      <c r="P2824" s="74"/>
      <c r="R2824" s="7"/>
      <c r="S2824" s="7"/>
      <c r="T2824" s="66"/>
    </row>
    <row r="2825" spans="1:20" ht="13.2">
      <c r="A2825" s="7"/>
      <c r="B2825" s="7"/>
      <c r="C2825" s="74"/>
      <c r="D2825" s="74"/>
      <c r="F2825" s="7"/>
      <c r="G2825" s="74"/>
      <c r="H2825" s="74"/>
      <c r="J2825" s="7"/>
      <c r="K2825" s="74"/>
      <c r="L2825" s="74"/>
      <c r="N2825" s="7"/>
      <c r="O2825" s="74"/>
      <c r="P2825" s="74"/>
      <c r="R2825" s="7"/>
      <c r="S2825" s="7"/>
      <c r="T2825" s="66"/>
    </row>
    <row r="2826" spans="1:20" ht="13.2">
      <c r="A2826" s="7"/>
      <c r="B2826" s="7"/>
      <c r="C2826" s="74"/>
      <c r="D2826" s="74"/>
      <c r="F2826" s="7"/>
      <c r="G2826" s="74"/>
      <c r="H2826" s="74"/>
      <c r="J2826" s="7"/>
      <c r="K2826" s="74"/>
      <c r="L2826" s="74"/>
      <c r="N2826" s="7"/>
      <c r="O2826" s="74"/>
      <c r="P2826" s="74"/>
      <c r="R2826" s="7"/>
      <c r="S2826" s="7"/>
      <c r="T2826" s="66"/>
    </row>
    <row r="2827" spans="1:20" ht="13.2">
      <c r="A2827" s="7"/>
      <c r="B2827" s="7"/>
      <c r="C2827" s="74"/>
      <c r="D2827" s="74"/>
      <c r="F2827" s="7"/>
      <c r="G2827" s="74"/>
      <c r="H2827" s="74"/>
      <c r="J2827" s="7"/>
      <c r="K2827" s="74"/>
      <c r="L2827" s="74"/>
      <c r="N2827" s="7"/>
      <c r="O2827" s="74"/>
      <c r="P2827" s="74"/>
      <c r="R2827" s="7"/>
      <c r="S2827" s="7"/>
      <c r="T2827" s="66"/>
    </row>
    <row r="2828" spans="1:20" ht="13.2">
      <c r="A2828" s="7"/>
      <c r="B2828" s="7"/>
      <c r="C2828" s="74"/>
      <c r="D2828" s="74"/>
      <c r="F2828" s="7"/>
      <c r="G2828" s="74"/>
      <c r="H2828" s="74"/>
      <c r="J2828" s="7"/>
      <c r="K2828" s="74"/>
      <c r="L2828" s="74"/>
      <c r="N2828" s="7"/>
      <c r="O2828" s="74"/>
      <c r="P2828" s="74"/>
      <c r="R2828" s="7"/>
      <c r="S2828" s="7"/>
      <c r="T2828" s="66"/>
    </row>
    <row r="2829" spans="1:20" ht="13.2">
      <c r="A2829" s="7"/>
      <c r="B2829" s="7"/>
      <c r="C2829" s="74"/>
      <c r="D2829" s="74"/>
      <c r="F2829" s="7"/>
      <c r="G2829" s="74"/>
      <c r="H2829" s="74"/>
      <c r="J2829" s="7"/>
      <c r="K2829" s="74"/>
      <c r="L2829" s="74"/>
      <c r="N2829" s="7"/>
      <c r="O2829" s="74"/>
      <c r="P2829" s="74"/>
      <c r="R2829" s="7"/>
      <c r="S2829" s="7"/>
      <c r="T2829" s="66"/>
    </row>
    <row r="2830" spans="1:20" ht="13.2">
      <c r="A2830" s="7"/>
      <c r="B2830" s="7"/>
      <c r="C2830" s="74"/>
      <c r="D2830" s="74"/>
      <c r="F2830" s="7"/>
      <c r="G2830" s="74"/>
      <c r="H2830" s="74"/>
      <c r="J2830" s="7"/>
      <c r="K2830" s="74"/>
      <c r="L2830" s="74"/>
      <c r="N2830" s="7"/>
      <c r="O2830" s="74"/>
      <c r="P2830" s="74"/>
      <c r="R2830" s="7"/>
      <c r="S2830" s="7"/>
      <c r="T2830" s="66"/>
    </row>
    <row r="2831" spans="1:20" ht="13.2">
      <c r="A2831" s="7"/>
      <c r="B2831" s="7"/>
      <c r="C2831" s="74"/>
      <c r="D2831" s="74"/>
      <c r="F2831" s="7"/>
      <c r="G2831" s="74"/>
      <c r="H2831" s="74"/>
      <c r="J2831" s="7"/>
      <c r="K2831" s="74"/>
      <c r="L2831" s="74"/>
      <c r="N2831" s="7"/>
      <c r="O2831" s="74"/>
      <c r="P2831" s="74"/>
      <c r="R2831" s="7"/>
      <c r="S2831" s="7"/>
      <c r="T2831" s="66"/>
    </row>
    <row r="2832" spans="1:20" ht="13.2">
      <c r="A2832" s="7"/>
      <c r="B2832" s="7"/>
      <c r="C2832" s="74"/>
      <c r="D2832" s="74"/>
      <c r="F2832" s="7"/>
      <c r="G2832" s="74"/>
      <c r="H2832" s="74"/>
      <c r="J2832" s="7"/>
      <c r="K2832" s="74"/>
      <c r="L2832" s="74"/>
      <c r="N2832" s="7"/>
      <c r="O2832" s="74"/>
      <c r="P2832" s="74"/>
      <c r="R2832" s="7"/>
      <c r="S2832" s="7"/>
      <c r="T2832" s="66"/>
    </row>
    <row r="2833" spans="1:20" ht="13.2">
      <c r="A2833" s="7"/>
      <c r="B2833" s="7"/>
      <c r="C2833" s="74"/>
      <c r="D2833" s="74"/>
      <c r="F2833" s="7"/>
      <c r="G2833" s="74"/>
      <c r="H2833" s="74"/>
      <c r="J2833" s="7"/>
      <c r="K2833" s="74"/>
      <c r="L2833" s="74"/>
      <c r="N2833" s="7"/>
      <c r="O2833" s="74"/>
      <c r="P2833" s="74"/>
      <c r="R2833" s="7"/>
      <c r="S2833" s="7"/>
      <c r="T2833" s="66"/>
    </row>
    <row r="2834" spans="1:20" ht="13.2">
      <c r="A2834" s="7"/>
      <c r="B2834" s="7"/>
      <c r="C2834" s="74"/>
      <c r="D2834" s="74"/>
      <c r="F2834" s="7"/>
      <c r="G2834" s="74"/>
      <c r="H2834" s="74"/>
      <c r="J2834" s="7"/>
      <c r="K2834" s="74"/>
      <c r="L2834" s="74"/>
      <c r="N2834" s="7"/>
      <c r="O2834" s="74"/>
      <c r="P2834" s="74"/>
      <c r="R2834" s="7"/>
      <c r="S2834" s="7"/>
      <c r="T2834" s="66"/>
    </row>
    <row r="2835" spans="1:20" ht="13.2">
      <c r="A2835" s="7"/>
      <c r="B2835" s="7"/>
      <c r="C2835" s="74"/>
      <c r="D2835" s="74"/>
      <c r="F2835" s="7"/>
      <c r="G2835" s="74"/>
      <c r="H2835" s="74"/>
      <c r="J2835" s="7"/>
      <c r="K2835" s="74"/>
      <c r="L2835" s="74"/>
      <c r="N2835" s="7"/>
      <c r="O2835" s="74"/>
      <c r="P2835" s="74"/>
      <c r="R2835" s="7"/>
      <c r="S2835" s="7"/>
      <c r="T2835" s="66"/>
    </row>
    <row r="2836" spans="1:20" ht="13.2">
      <c r="A2836" s="7"/>
      <c r="B2836" s="7"/>
      <c r="C2836" s="74"/>
      <c r="D2836" s="74"/>
      <c r="F2836" s="7"/>
      <c r="G2836" s="74"/>
      <c r="H2836" s="74"/>
      <c r="J2836" s="7"/>
      <c r="K2836" s="74"/>
      <c r="L2836" s="74"/>
      <c r="N2836" s="7"/>
      <c r="O2836" s="74"/>
      <c r="P2836" s="74"/>
      <c r="R2836" s="7"/>
      <c r="S2836" s="7"/>
      <c r="T2836" s="66"/>
    </row>
    <row r="2837" spans="1:20" ht="13.2">
      <c r="A2837" s="7"/>
      <c r="B2837" s="7"/>
      <c r="C2837" s="74"/>
      <c r="D2837" s="74"/>
      <c r="F2837" s="7"/>
      <c r="G2837" s="74"/>
      <c r="H2837" s="74"/>
      <c r="J2837" s="7"/>
      <c r="K2837" s="74"/>
      <c r="L2837" s="74"/>
      <c r="N2837" s="7"/>
      <c r="O2837" s="74"/>
      <c r="P2837" s="74"/>
      <c r="R2837" s="7"/>
      <c r="S2837" s="7"/>
      <c r="T2837" s="66"/>
    </row>
    <row r="2838" spans="1:20" ht="13.2">
      <c r="A2838" s="7"/>
      <c r="B2838" s="7"/>
      <c r="C2838" s="74"/>
      <c r="D2838" s="74"/>
      <c r="F2838" s="7"/>
      <c r="G2838" s="74"/>
      <c r="H2838" s="74"/>
      <c r="J2838" s="7"/>
      <c r="K2838" s="74"/>
      <c r="L2838" s="74"/>
      <c r="N2838" s="7"/>
      <c r="O2838" s="74"/>
      <c r="P2838" s="74"/>
      <c r="R2838" s="7"/>
      <c r="S2838" s="7"/>
      <c r="T2838" s="66"/>
    </row>
    <row r="2839" spans="1:20" ht="13.2">
      <c r="A2839" s="7"/>
      <c r="B2839" s="7"/>
      <c r="C2839" s="74"/>
      <c r="D2839" s="74"/>
      <c r="F2839" s="7"/>
      <c r="G2839" s="74"/>
      <c r="H2839" s="74"/>
      <c r="J2839" s="7"/>
      <c r="K2839" s="74"/>
      <c r="L2839" s="74"/>
      <c r="N2839" s="7"/>
      <c r="O2839" s="74"/>
      <c r="P2839" s="74"/>
      <c r="R2839" s="7"/>
      <c r="S2839" s="7"/>
      <c r="T2839" s="66"/>
    </row>
    <row r="2840" spans="1:20" ht="13.2">
      <c r="A2840" s="7"/>
      <c r="B2840" s="7"/>
      <c r="C2840" s="74"/>
      <c r="D2840" s="74"/>
      <c r="F2840" s="7"/>
      <c r="G2840" s="74"/>
      <c r="H2840" s="74"/>
      <c r="J2840" s="7"/>
      <c r="K2840" s="74"/>
      <c r="L2840" s="74"/>
      <c r="N2840" s="7"/>
      <c r="O2840" s="74"/>
      <c r="P2840" s="74"/>
      <c r="R2840" s="7"/>
      <c r="S2840" s="7"/>
      <c r="T2840" s="66"/>
    </row>
    <row r="2841" spans="1:20" ht="13.2">
      <c r="A2841" s="7"/>
      <c r="B2841" s="7"/>
      <c r="C2841" s="74"/>
      <c r="D2841" s="74"/>
      <c r="F2841" s="7"/>
      <c r="G2841" s="74"/>
      <c r="H2841" s="74"/>
      <c r="J2841" s="7"/>
      <c r="K2841" s="74"/>
      <c r="L2841" s="74"/>
      <c r="N2841" s="7"/>
      <c r="O2841" s="74"/>
      <c r="P2841" s="74"/>
      <c r="R2841" s="7"/>
      <c r="S2841" s="7"/>
      <c r="T2841" s="66"/>
    </row>
    <row r="2842" spans="1:20" ht="13.2">
      <c r="A2842" s="7"/>
      <c r="B2842" s="7"/>
      <c r="C2842" s="74"/>
      <c r="D2842" s="74"/>
      <c r="F2842" s="7"/>
      <c r="G2842" s="74"/>
      <c r="H2842" s="74"/>
      <c r="J2842" s="7"/>
      <c r="K2842" s="74"/>
      <c r="L2842" s="74"/>
      <c r="N2842" s="7"/>
      <c r="O2842" s="74"/>
      <c r="P2842" s="74"/>
      <c r="R2842" s="7"/>
      <c r="S2842" s="7"/>
      <c r="T2842" s="66"/>
    </row>
    <row r="2843" spans="1:20" ht="13.2">
      <c r="A2843" s="7"/>
      <c r="B2843" s="7"/>
      <c r="C2843" s="74"/>
      <c r="D2843" s="74"/>
      <c r="F2843" s="7"/>
      <c r="G2843" s="74"/>
      <c r="H2843" s="74"/>
      <c r="J2843" s="7"/>
      <c r="K2843" s="74"/>
      <c r="L2843" s="74"/>
      <c r="N2843" s="7"/>
      <c r="O2843" s="74"/>
      <c r="P2843" s="74"/>
      <c r="R2843" s="7"/>
      <c r="S2843" s="7"/>
      <c r="T2843" s="66"/>
    </row>
    <row r="2844" spans="1:20" ht="13.2">
      <c r="A2844" s="7"/>
      <c r="B2844" s="7"/>
      <c r="C2844" s="74"/>
      <c r="D2844" s="74"/>
      <c r="F2844" s="7"/>
      <c r="G2844" s="74"/>
      <c r="H2844" s="74"/>
      <c r="J2844" s="7"/>
      <c r="K2844" s="74"/>
      <c r="L2844" s="74"/>
      <c r="N2844" s="7"/>
      <c r="O2844" s="74"/>
      <c r="P2844" s="74"/>
      <c r="R2844" s="7"/>
      <c r="S2844" s="7"/>
      <c r="T2844" s="66"/>
    </row>
    <row r="2845" spans="1:20" ht="13.2">
      <c r="A2845" s="7"/>
      <c r="B2845" s="7"/>
      <c r="C2845" s="74"/>
      <c r="D2845" s="74"/>
      <c r="F2845" s="7"/>
      <c r="G2845" s="74"/>
      <c r="H2845" s="74"/>
      <c r="J2845" s="7"/>
      <c r="K2845" s="74"/>
      <c r="L2845" s="74"/>
      <c r="N2845" s="7"/>
      <c r="O2845" s="74"/>
      <c r="P2845" s="74"/>
      <c r="R2845" s="7"/>
      <c r="S2845" s="7"/>
      <c r="T2845" s="66"/>
    </row>
    <row r="2846" spans="1:20" ht="13.2">
      <c r="A2846" s="7"/>
      <c r="B2846" s="7"/>
      <c r="C2846" s="74"/>
      <c r="D2846" s="74"/>
      <c r="F2846" s="7"/>
      <c r="G2846" s="74"/>
      <c r="H2846" s="74"/>
      <c r="J2846" s="7"/>
      <c r="K2846" s="74"/>
      <c r="L2846" s="74"/>
      <c r="N2846" s="7"/>
      <c r="O2846" s="74"/>
      <c r="P2846" s="74"/>
      <c r="R2846" s="7"/>
      <c r="S2846" s="7"/>
      <c r="T2846" s="66"/>
    </row>
    <row r="2847" spans="1:20" ht="13.2">
      <c r="A2847" s="7"/>
      <c r="B2847" s="7"/>
      <c r="C2847" s="74"/>
      <c r="D2847" s="74"/>
      <c r="F2847" s="7"/>
      <c r="G2847" s="74"/>
      <c r="H2847" s="74"/>
      <c r="J2847" s="7"/>
      <c r="K2847" s="74"/>
      <c r="L2847" s="74"/>
      <c r="N2847" s="7"/>
      <c r="O2847" s="74"/>
      <c r="P2847" s="74"/>
      <c r="R2847" s="7"/>
      <c r="S2847" s="7"/>
      <c r="T2847" s="66"/>
    </row>
    <row r="2848" spans="1:20" ht="13.2">
      <c r="A2848" s="7"/>
      <c r="B2848" s="7"/>
      <c r="C2848" s="74"/>
      <c r="D2848" s="74"/>
      <c r="F2848" s="7"/>
      <c r="G2848" s="74"/>
      <c r="H2848" s="74"/>
      <c r="J2848" s="7"/>
      <c r="K2848" s="74"/>
      <c r="L2848" s="74"/>
      <c r="N2848" s="7"/>
      <c r="O2848" s="74"/>
      <c r="P2848" s="74"/>
      <c r="R2848" s="7"/>
      <c r="S2848" s="7"/>
      <c r="T2848" s="66"/>
    </row>
    <row r="2849" spans="1:20" ht="13.2">
      <c r="A2849" s="7"/>
      <c r="B2849" s="7"/>
      <c r="C2849" s="74"/>
      <c r="D2849" s="74"/>
      <c r="F2849" s="7"/>
      <c r="G2849" s="74"/>
      <c r="H2849" s="74"/>
      <c r="J2849" s="7"/>
      <c r="K2849" s="74"/>
      <c r="L2849" s="74"/>
      <c r="N2849" s="7"/>
      <c r="O2849" s="74"/>
      <c r="P2849" s="74"/>
      <c r="R2849" s="7"/>
      <c r="S2849" s="7"/>
      <c r="T2849" s="66"/>
    </row>
    <row r="2850" spans="1:20" ht="13.2">
      <c r="A2850" s="7"/>
      <c r="B2850" s="7"/>
      <c r="C2850" s="74"/>
      <c r="D2850" s="74"/>
      <c r="F2850" s="7"/>
      <c r="G2850" s="74"/>
      <c r="H2850" s="74"/>
      <c r="J2850" s="7"/>
      <c r="K2850" s="74"/>
      <c r="L2850" s="74"/>
      <c r="N2850" s="7"/>
      <c r="O2850" s="74"/>
      <c r="P2850" s="74"/>
      <c r="R2850" s="7"/>
      <c r="S2850" s="7"/>
      <c r="T2850" s="66"/>
    </row>
    <row r="2851" spans="1:20" ht="13.2">
      <c r="A2851" s="7"/>
      <c r="B2851" s="7"/>
      <c r="C2851" s="74"/>
      <c r="D2851" s="74"/>
      <c r="F2851" s="7"/>
      <c r="G2851" s="74"/>
      <c r="H2851" s="74"/>
      <c r="J2851" s="7"/>
      <c r="K2851" s="74"/>
      <c r="L2851" s="74"/>
      <c r="N2851" s="7"/>
      <c r="O2851" s="74"/>
      <c r="P2851" s="74"/>
      <c r="R2851" s="7"/>
      <c r="S2851" s="7"/>
      <c r="T2851" s="66"/>
    </row>
    <row r="2852" spans="1:20" ht="13.2">
      <c r="A2852" s="7"/>
      <c r="B2852" s="7"/>
      <c r="C2852" s="74"/>
      <c r="D2852" s="74"/>
      <c r="F2852" s="7"/>
      <c r="G2852" s="74"/>
      <c r="H2852" s="74"/>
      <c r="J2852" s="7"/>
      <c r="K2852" s="74"/>
      <c r="L2852" s="74"/>
      <c r="N2852" s="7"/>
      <c r="O2852" s="74"/>
      <c r="P2852" s="74"/>
      <c r="R2852" s="7"/>
      <c r="S2852" s="7"/>
      <c r="T2852" s="66"/>
    </row>
    <row r="2853" spans="1:20" ht="13.2">
      <c r="A2853" s="7"/>
      <c r="B2853" s="7"/>
      <c r="C2853" s="74"/>
      <c r="D2853" s="74"/>
      <c r="F2853" s="7"/>
      <c r="G2853" s="74"/>
      <c r="H2853" s="74"/>
      <c r="J2853" s="7"/>
      <c r="K2853" s="74"/>
      <c r="L2853" s="74"/>
      <c r="N2853" s="7"/>
      <c r="O2853" s="74"/>
      <c r="P2853" s="74"/>
      <c r="R2853" s="7"/>
      <c r="S2853" s="7"/>
      <c r="T2853" s="66"/>
    </row>
    <row r="2854" spans="1:20" ht="13.2">
      <c r="A2854" s="7"/>
      <c r="B2854" s="7"/>
      <c r="C2854" s="74"/>
      <c r="D2854" s="74"/>
      <c r="F2854" s="7"/>
      <c r="G2854" s="74"/>
      <c r="H2854" s="74"/>
      <c r="J2854" s="7"/>
      <c r="K2854" s="74"/>
      <c r="L2854" s="74"/>
      <c r="N2854" s="7"/>
      <c r="O2854" s="74"/>
      <c r="P2854" s="74"/>
      <c r="R2854" s="7"/>
      <c r="S2854" s="7"/>
      <c r="T2854" s="66"/>
    </row>
    <row r="2855" spans="1:20" ht="13.2">
      <c r="A2855" s="7"/>
      <c r="B2855" s="7"/>
      <c r="C2855" s="74"/>
      <c r="D2855" s="74"/>
      <c r="F2855" s="7"/>
      <c r="G2855" s="74"/>
      <c r="H2855" s="74"/>
      <c r="J2855" s="7"/>
      <c r="K2855" s="74"/>
      <c r="L2855" s="74"/>
      <c r="N2855" s="7"/>
      <c r="O2855" s="74"/>
      <c r="P2855" s="74"/>
      <c r="R2855" s="7"/>
      <c r="S2855" s="7"/>
      <c r="T2855" s="66"/>
    </row>
    <row r="2856" spans="1:20" ht="13.2">
      <c r="A2856" s="7"/>
      <c r="B2856" s="7"/>
      <c r="C2856" s="74"/>
      <c r="D2856" s="74"/>
      <c r="F2856" s="7"/>
      <c r="G2856" s="74"/>
      <c r="H2856" s="74"/>
      <c r="J2856" s="7"/>
      <c r="K2856" s="74"/>
      <c r="L2856" s="74"/>
      <c r="N2856" s="7"/>
      <c r="O2856" s="74"/>
      <c r="P2856" s="74"/>
      <c r="R2856" s="7"/>
      <c r="S2856" s="7"/>
      <c r="T2856" s="66"/>
    </row>
    <row r="2857" spans="1:20" ht="13.2">
      <c r="A2857" s="7"/>
      <c r="B2857" s="7"/>
      <c r="C2857" s="74"/>
      <c r="D2857" s="74"/>
      <c r="F2857" s="7"/>
      <c r="G2857" s="74"/>
      <c r="H2857" s="74"/>
      <c r="J2857" s="7"/>
      <c r="K2857" s="74"/>
      <c r="L2857" s="74"/>
      <c r="N2857" s="7"/>
      <c r="O2857" s="74"/>
      <c r="P2857" s="74"/>
      <c r="R2857" s="7"/>
      <c r="S2857" s="7"/>
      <c r="T2857" s="66"/>
    </row>
    <row r="2858" spans="1:20" ht="13.2">
      <c r="A2858" s="7"/>
      <c r="B2858" s="7"/>
      <c r="C2858" s="74"/>
      <c r="D2858" s="74"/>
      <c r="F2858" s="7"/>
      <c r="G2858" s="74"/>
      <c r="H2858" s="74"/>
      <c r="J2858" s="7"/>
      <c r="K2858" s="74"/>
      <c r="L2858" s="74"/>
      <c r="N2858" s="7"/>
      <c r="O2858" s="74"/>
      <c r="P2858" s="74"/>
      <c r="R2858" s="7"/>
      <c r="S2858" s="7"/>
      <c r="T2858" s="66"/>
    </row>
    <row r="2859" spans="1:20" ht="13.2">
      <c r="A2859" s="7"/>
      <c r="B2859" s="7"/>
      <c r="C2859" s="74"/>
      <c r="D2859" s="74"/>
      <c r="F2859" s="7"/>
      <c r="G2859" s="74"/>
      <c r="H2859" s="74"/>
      <c r="J2859" s="7"/>
      <c r="K2859" s="74"/>
      <c r="L2859" s="74"/>
      <c r="N2859" s="7"/>
      <c r="O2859" s="74"/>
      <c r="P2859" s="74"/>
      <c r="R2859" s="7"/>
      <c r="S2859" s="7"/>
      <c r="T2859" s="66"/>
    </row>
    <row r="2860" spans="1:20" ht="13.2">
      <c r="A2860" s="7"/>
      <c r="B2860" s="7"/>
      <c r="C2860" s="74"/>
      <c r="D2860" s="74"/>
      <c r="F2860" s="7"/>
      <c r="G2860" s="74"/>
      <c r="H2860" s="74"/>
      <c r="J2860" s="7"/>
      <c r="K2860" s="74"/>
      <c r="L2860" s="74"/>
      <c r="N2860" s="7"/>
      <c r="O2860" s="74"/>
      <c r="P2860" s="74"/>
      <c r="R2860" s="7"/>
      <c r="S2860" s="7"/>
      <c r="T2860" s="66"/>
    </row>
    <row r="2861" spans="1:20" ht="13.2">
      <c r="A2861" s="7"/>
      <c r="B2861" s="7"/>
      <c r="C2861" s="74"/>
      <c r="D2861" s="74"/>
      <c r="F2861" s="7"/>
      <c r="G2861" s="74"/>
      <c r="H2861" s="74"/>
      <c r="J2861" s="7"/>
      <c r="K2861" s="74"/>
      <c r="L2861" s="74"/>
      <c r="N2861" s="7"/>
      <c r="O2861" s="74"/>
      <c r="P2861" s="74"/>
      <c r="R2861" s="7"/>
      <c r="S2861" s="7"/>
      <c r="T2861" s="66"/>
    </row>
    <row r="2862" spans="1:20" ht="13.2">
      <c r="A2862" s="7"/>
      <c r="B2862" s="7"/>
      <c r="C2862" s="74"/>
      <c r="D2862" s="74"/>
      <c r="F2862" s="7"/>
      <c r="G2862" s="74"/>
      <c r="H2862" s="74"/>
      <c r="J2862" s="7"/>
      <c r="K2862" s="74"/>
      <c r="L2862" s="74"/>
      <c r="N2862" s="7"/>
      <c r="O2862" s="74"/>
      <c r="P2862" s="74"/>
      <c r="R2862" s="7"/>
      <c r="S2862" s="7"/>
      <c r="T2862" s="66"/>
    </row>
    <row r="2863" spans="1:20" ht="13.2">
      <c r="A2863" s="7"/>
      <c r="B2863" s="7"/>
      <c r="C2863" s="74"/>
      <c r="D2863" s="74"/>
      <c r="F2863" s="7"/>
      <c r="G2863" s="74"/>
      <c r="H2863" s="74"/>
      <c r="J2863" s="7"/>
      <c r="K2863" s="74"/>
      <c r="L2863" s="74"/>
      <c r="N2863" s="7"/>
      <c r="O2863" s="74"/>
      <c r="P2863" s="74"/>
      <c r="R2863" s="7"/>
      <c r="S2863" s="7"/>
      <c r="T2863" s="66"/>
    </row>
    <row r="2864" spans="1:20" ht="13.2">
      <c r="A2864" s="7"/>
      <c r="B2864" s="7"/>
      <c r="C2864" s="74"/>
      <c r="D2864" s="74"/>
      <c r="F2864" s="7"/>
      <c r="G2864" s="74"/>
      <c r="H2864" s="74"/>
      <c r="J2864" s="7"/>
      <c r="K2864" s="74"/>
      <c r="L2864" s="74"/>
      <c r="N2864" s="7"/>
      <c r="O2864" s="74"/>
      <c r="P2864" s="74"/>
      <c r="R2864" s="7"/>
      <c r="S2864" s="7"/>
      <c r="T2864" s="66"/>
    </row>
    <row r="2865" spans="1:20" ht="13.2">
      <c r="A2865" s="7"/>
      <c r="B2865" s="7"/>
      <c r="C2865" s="74"/>
      <c r="D2865" s="74"/>
      <c r="F2865" s="7"/>
      <c r="G2865" s="74"/>
      <c r="H2865" s="74"/>
      <c r="J2865" s="7"/>
      <c r="K2865" s="74"/>
      <c r="L2865" s="74"/>
      <c r="N2865" s="7"/>
      <c r="O2865" s="74"/>
      <c r="P2865" s="74"/>
      <c r="R2865" s="7"/>
      <c r="S2865" s="7"/>
      <c r="T2865" s="66"/>
    </row>
    <row r="2866" spans="1:20" ht="13.2">
      <c r="A2866" s="7"/>
      <c r="B2866" s="7"/>
      <c r="C2866" s="74"/>
      <c r="D2866" s="74"/>
      <c r="F2866" s="7"/>
      <c r="G2866" s="74"/>
      <c r="H2866" s="74"/>
      <c r="J2866" s="7"/>
      <c r="K2866" s="74"/>
      <c r="L2866" s="74"/>
      <c r="N2866" s="7"/>
      <c r="O2866" s="74"/>
      <c r="P2866" s="74"/>
      <c r="R2866" s="7"/>
      <c r="S2866" s="7"/>
      <c r="T2866" s="66"/>
    </row>
    <row r="2867" spans="1:20" ht="13.2">
      <c r="A2867" s="7"/>
      <c r="B2867" s="7"/>
      <c r="C2867" s="74"/>
      <c r="D2867" s="74"/>
      <c r="F2867" s="7"/>
      <c r="G2867" s="74"/>
      <c r="H2867" s="74"/>
      <c r="J2867" s="7"/>
      <c r="K2867" s="74"/>
      <c r="L2867" s="74"/>
      <c r="N2867" s="7"/>
      <c r="O2867" s="74"/>
      <c r="P2867" s="74"/>
      <c r="R2867" s="7"/>
      <c r="S2867" s="7"/>
      <c r="T2867" s="66"/>
    </row>
    <row r="2868" spans="1:20" ht="13.2">
      <c r="A2868" s="7"/>
      <c r="B2868" s="7"/>
      <c r="C2868" s="74"/>
      <c r="D2868" s="74"/>
      <c r="F2868" s="7"/>
      <c r="G2868" s="74"/>
      <c r="H2868" s="74"/>
      <c r="J2868" s="7"/>
      <c r="K2868" s="74"/>
      <c r="L2868" s="74"/>
      <c r="N2868" s="7"/>
      <c r="O2868" s="74"/>
      <c r="P2868" s="74"/>
      <c r="R2868" s="7"/>
      <c r="S2868" s="7"/>
      <c r="T2868" s="66"/>
    </row>
    <row r="2869" spans="1:20" ht="13.2">
      <c r="A2869" s="7"/>
      <c r="B2869" s="7"/>
      <c r="C2869" s="74"/>
      <c r="D2869" s="74"/>
      <c r="F2869" s="7"/>
      <c r="G2869" s="74"/>
      <c r="H2869" s="74"/>
      <c r="J2869" s="7"/>
      <c r="K2869" s="74"/>
      <c r="L2869" s="74"/>
      <c r="N2869" s="7"/>
      <c r="O2869" s="74"/>
      <c r="P2869" s="74"/>
      <c r="R2869" s="7"/>
      <c r="S2869" s="7"/>
      <c r="T2869" s="66"/>
    </row>
    <row r="2870" spans="1:20" ht="13.2">
      <c r="A2870" s="7"/>
      <c r="B2870" s="7"/>
      <c r="C2870" s="74"/>
      <c r="D2870" s="74"/>
      <c r="F2870" s="7"/>
      <c r="G2870" s="74"/>
      <c r="H2870" s="74"/>
      <c r="J2870" s="7"/>
      <c r="K2870" s="74"/>
      <c r="L2870" s="74"/>
      <c r="N2870" s="7"/>
      <c r="O2870" s="74"/>
      <c r="P2870" s="74"/>
      <c r="R2870" s="7"/>
      <c r="S2870" s="7"/>
      <c r="T2870" s="66"/>
    </row>
    <row r="2871" spans="1:20" ht="13.2">
      <c r="A2871" s="7"/>
      <c r="B2871" s="7"/>
      <c r="C2871" s="74"/>
      <c r="D2871" s="74"/>
      <c r="F2871" s="7"/>
      <c r="G2871" s="74"/>
      <c r="H2871" s="74"/>
      <c r="J2871" s="7"/>
      <c r="K2871" s="74"/>
      <c r="L2871" s="74"/>
      <c r="N2871" s="7"/>
      <c r="O2871" s="74"/>
      <c r="P2871" s="74"/>
      <c r="R2871" s="7"/>
      <c r="S2871" s="7"/>
      <c r="T2871" s="66"/>
    </row>
    <row r="2872" spans="1:20" ht="13.2">
      <c r="A2872" s="7"/>
      <c r="B2872" s="7"/>
      <c r="C2872" s="74"/>
      <c r="D2872" s="74"/>
      <c r="F2872" s="7"/>
      <c r="G2872" s="74"/>
      <c r="H2872" s="74"/>
      <c r="J2872" s="7"/>
      <c r="K2872" s="74"/>
      <c r="L2872" s="74"/>
      <c r="N2872" s="7"/>
      <c r="O2872" s="74"/>
      <c r="P2872" s="74"/>
      <c r="R2872" s="7"/>
      <c r="S2872" s="7"/>
      <c r="T2872" s="66"/>
    </row>
    <row r="2873" spans="1:20" ht="13.2">
      <c r="A2873" s="7"/>
      <c r="B2873" s="7"/>
      <c r="C2873" s="74"/>
      <c r="D2873" s="74"/>
      <c r="F2873" s="7"/>
      <c r="G2873" s="74"/>
      <c r="H2873" s="74"/>
      <c r="J2873" s="7"/>
      <c r="K2873" s="74"/>
      <c r="L2873" s="74"/>
      <c r="N2873" s="7"/>
      <c r="O2873" s="74"/>
      <c r="P2873" s="74"/>
      <c r="R2873" s="7"/>
      <c r="S2873" s="7"/>
      <c r="T2873" s="66"/>
    </row>
    <row r="2874" spans="1:20" ht="13.2">
      <c r="A2874" s="7"/>
      <c r="B2874" s="7"/>
      <c r="C2874" s="74"/>
      <c r="D2874" s="74"/>
      <c r="F2874" s="7"/>
      <c r="G2874" s="74"/>
      <c r="H2874" s="74"/>
      <c r="J2874" s="7"/>
      <c r="K2874" s="74"/>
      <c r="L2874" s="74"/>
      <c r="N2874" s="7"/>
      <c r="O2874" s="74"/>
      <c r="P2874" s="74"/>
      <c r="R2874" s="7"/>
      <c r="S2874" s="7"/>
      <c r="T2874" s="66"/>
    </row>
    <row r="2875" spans="1:20" ht="13.2">
      <c r="A2875" s="7"/>
      <c r="B2875" s="7"/>
      <c r="C2875" s="74"/>
      <c r="D2875" s="74"/>
      <c r="F2875" s="7"/>
      <c r="G2875" s="74"/>
      <c r="H2875" s="74"/>
      <c r="J2875" s="7"/>
      <c r="K2875" s="74"/>
      <c r="L2875" s="74"/>
      <c r="N2875" s="7"/>
      <c r="O2875" s="74"/>
      <c r="P2875" s="74"/>
      <c r="R2875" s="7"/>
      <c r="S2875" s="7"/>
      <c r="T2875" s="66"/>
    </row>
    <row r="2876" spans="1:20" ht="13.2">
      <c r="A2876" s="7"/>
      <c r="B2876" s="7"/>
      <c r="C2876" s="74"/>
      <c r="D2876" s="74"/>
      <c r="F2876" s="7"/>
      <c r="G2876" s="74"/>
      <c r="H2876" s="74"/>
      <c r="J2876" s="7"/>
      <c r="K2876" s="74"/>
      <c r="L2876" s="74"/>
      <c r="N2876" s="7"/>
      <c r="O2876" s="74"/>
      <c r="P2876" s="74"/>
      <c r="R2876" s="7"/>
      <c r="S2876" s="7"/>
      <c r="T2876" s="66"/>
    </row>
    <row r="2877" spans="1:20" ht="13.2">
      <c r="A2877" s="7"/>
      <c r="B2877" s="7"/>
      <c r="C2877" s="74"/>
      <c r="D2877" s="74"/>
      <c r="F2877" s="7"/>
      <c r="G2877" s="74"/>
      <c r="H2877" s="74"/>
      <c r="J2877" s="7"/>
      <c r="K2877" s="74"/>
      <c r="L2877" s="74"/>
      <c r="N2877" s="7"/>
      <c r="O2877" s="74"/>
      <c r="P2877" s="74"/>
      <c r="R2877" s="7"/>
      <c r="S2877" s="7"/>
      <c r="T2877" s="66"/>
    </row>
    <row r="2878" spans="1:20" ht="13.2">
      <c r="A2878" s="7"/>
      <c r="B2878" s="7"/>
      <c r="C2878" s="74"/>
      <c r="D2878" s="74"/>
      <c r="F2878" s="7"/>
      <c r="G2878" s="74"/>
      <c r="H2878" s="74"/>
      <c r="J2878" s="7"/>
      <c r="K2878" s="74"/>
      <c r="L2878" s="74"/>
      <c r="N2878" s="7"/>
      <c r="O2878" s="74"/>
      <c r="P2878" s="74"/>
      <c r="R2878" s="7"/>
      <c r="S2878" s="7"/>
      <c r="T2878" s="66"/>
    </row>
    <row r="2879" spans="1:20" ht="13.2">
      <c r="A2879" s="7"/>
      <c r="B2879" s="7"/>
      <c r="C2879" s="74"/>
      <c r="D2879" s="74"/>
      <c r="F2879" s="7"/>
      <c r="G2879" s="74"/>
      <c r="H2879" s="74"/>
      <c r="J2879" s="7"/>
      <c r="K2879" s="74"/>
      <c r="L2879" s="74"/>
      <c r="N2879" s="7"/>
      <c r="O2879" s="74"/>
      <c r="P2879" s="74"/>
      <c r="R2879" s="7"/>
      <c r="S2879" s="7"/>
      <c r="T2879" s="66"/>
    </row>
    <row r="2880" spans="1:20" ht="13.2">
      <c r="A2880" s="7"/>
      <c r="B2880" s="7"/>
      <c r="C2880" s="74"/>
      <c r="D2880" s="74"/>
      <c r="F2880" s="7"/>
      <c r="G2880" s="74"/>
      <c r="H2880" s="74"/>
      <c r="J2880" s="7"/>
      <c r="K2880" s="74"/>
      <c r="L2880" s="74"/>
      <c r="N2880" s="7"/>
      <c r="O2880" s="74"/>
      <c r="P2880" s="74"/>
      <c r="R2880" s="7"/>
      <c r="S2880" s="7"/>
      <c r="T2880" s="66"/>
    </row>
    <row r="2881" spans="1:20" ht="13.2">
      <c r="A2881" s="7"/>
      <c r="B2881" s="7"/>
      <c r="C2881" s="74"/>
      <c r="D2881" s="74"/>
      <c r="F2881" s="7"/>
      <c r="G2881" s="74"/>
      <c r="H2881" s="74"/>
      <c r="J2881" s="7"/>
      <c r="K2881" s="74"/>
      <c r="L2881" s="74"/>
      <c r="N2881" s="7"/>
      <c r="O2881" s="74"/>
      <c r="P2881" s="74"/>
      <c r="R2881" s="7"/>
      <c r="S2881" s="7"/>
      <c r="T2881" s="66"/>
    </row>
    <row r="2882" spans="1:20" ht="13.2">
      <c r="A2882" s="7"/>
      <c r="B2882" s="7"/>
      <c r="C2882" s="74"/>
      <c r="D2882" s="74"/>
      <c r="F2882" s="7"/>
      <c r="G2882" s="74"/>
      <c r="H2882" s="74"/>
      <c r="J2882" s="7"/>
      <c r="K2882" s="74"/>
      <c r="L2882" s="74"/>
      <c r="N2882" s="7"/>
      <c r="O2882" s="74"/>
      <c r="P2882" s="74"/>
      <c r="R2882" s="7"/>
      <c r="S2882" s="7"/>
      <c r="T2882" s="66"/>
    </row>
    <row r="2883" spans="1:20" ht="13.2">
      <c r="A2883" s="7"/>
      <c r="B2883" s="7"/>
      <c r="C2883" s="74"/>
      <c r="D2883" s="74"/>
      <c r="F2883" s="7"/>
      <c r="G2883" s="74"/>
      <c r="H2883" s="74"/>
      <c r="J2883" s="7"/>
      <c r="K2883" s="74"/>
      <c r="L2883" s="74"/>
      <c r="N2883" s="7"/>
      <c r="O2883" s="74"/>
      <c r="P2883" s="74"/>
      <c r="R2883" s="7"/>
      <c r="S2883" s="7"/>
      <c r="T2883" s="66"/>
    </row>
    <row r="2884" spans="1:20" ht="13.2">
      <c r="A2884" s="7"/>
      <c r="B2884" s="7"/>
      <c r="C2884" s="74"/>
      <c r="D2884" s="74"/>
      <c r="F2884" s="7"/>
      <c r="G2884" s="74"/>
      <c r="H2884" s="74"/>
      <c r="J2884" s="7"/>
      <c r="K2884" s="74"/>
      <c r="L2884" s="74"/>
      <c r="N2884" s="7"/>
      <c r="O2884" s="74"/>
      <c r="P2884" s="74"/>
      <c r="R2884" s="7"/>
      <c r="S2884" s="7"/>
      <c r="T2884" s="66"/>
    </row>
    <row r="2885" spans="1:20" ht="13.2">
      <c r="A2885" s="7"/>
      <c r="B2885" s="7"/>
      <c r="C2885" s="74"/>
      <c r="D2885" s="74"/>
      <c r="F2885" s="7"/>
      <c r="G2885" s="74"/>
      <c r="H2885" s="74"/>
      <c r="J2885" s="7"/>
      <c r="K2885" s="74"/>
      <c r="L2885" s="74"/>
      <c r="N2885" s="7"/>
      <c r="O2885" s="74"/>
      <c r="P2885" s="74"/>
      <c r="R2885" s="7"/>
      <c r="S2885" s="7"/>
      <c r="T2885" s="66"/>
    </row>
    <row r="2886" spans="1:20" ht="13.2">
      <c r="A2886" s="7"/>
      <c r="B2886" s="7"/>
      <c r="C2886" s="74"/>
      <c r="D2886" s="74"/>
      <c r="F2886" s="7"/>
      <c r="G2886" s="74"/>
      <c r="H2886" s="74"/>
      <c r="J2886" s="7"/>
      <c r="K2886" s="74"/>
      <c r="L2886" s="74"/>
      <c r="N2886" s="7"/>
      <c r="O2886" s="74"/>
      <c r="P2886" s="74"/>
      <c r="R2886" s="7"/>
      <c r="S2886" s="7"/>
      <c r="T2886" s="66"/>
    </row>
    <row r="2887" spans="1:20" ht="13.2">
      <c r="A2887" s="7"/>
      <c r="B2887" s="7"/>
      <c r="C2887" s="74"/>
      <c r="D2887" s="74"/>
      <c r="F2887" s="7"/>
      <c r="G2887" s="74"/>
      <c r="H2887" s="74"/>
      <c r="J2887" s="7"/>
      <c r="K2887" s="74"/>
      <c r="L2887" s="74"/>
      <c r="N2887" s="7"/>
      <c r="O2887" s="74"/>
      <c r="P2887" s="74"/>
      <c r="R2887" s="7"/>
      <c r="S2887" s="7"/>
      <c r="T2887" s="66"/>
    </row>
    <row r="2888" spans="1:20" ht="13.2">
      <c r="A2888" s="7"/>
      <c r="B2888" s="7"/>
      <c r="C2888" s="74"/>
      <c r="D2888" s="74"/>
      <c r="F2888" s="7"/>
      <c r="G2888" s="74"/>
      <c r="H2888" s="74"/>
      <c r="J2888" s="7"/>
      <c r="K2888" s="74"/>
      <c r="L2888" s="74"/>
      <c r="N2888" s="7"/>
      <c r="O2888" s="74"/>
      <c r="P2888" s="74"/>
      <c r="R2888" s="7"/>
      <c r="S2888" s="7"/>
      <c r="T2888" s="66"/>
    </row>
    <row r="2889" spans="1:20" ht="13.2">
      <c r="A2889" s="7"/>
      <c r="B2889" s="7"/>
      <c r="C2889" s="74"/>
      <c r="D2889" s="74"/>
      <c r="F2889" s="7"/>
      <c r="G2889" s="74"/>
      <c r="H2889" s="74"/>
      <c r="J2889" s="7"/>
      <c r="K2889" s="74"/>
      <c r="L2889" s="74"/>
      <c r="N2889" s="7"/>
      <c r="O2889" s="74"/>
      <c r="P2889" s="74"/>
      <c r="R2889" s="7"/>
      <c r="S2889" s="7"/>
      <c r="T2889" s="66"/>
    </row>
    <row r="2890" spans="1:20" ht="13.2">
      <c r="A2890" s="7"/>
      <c r="B2890" s="7"/>
      <c r="C2890" s="74"/>
      <c r="D2890" s="74"/>
      <c r="F2890" s="7"/>
      <c r="G2890" s="74"/>
      <c r="H2890" s="74"/>
      <c r="J2890" s="7"/>
      <c r="K2890" s="74"/>
      <c r="L2890" s="74"/>
      <c r="N2890" s="7"/>
      <c r="O2890" s="74"/>
      <c r="P2890" s="74"/>
      <c r="R2890" s="7"/>
      <c r="S2890" s="7"/>
      <c r="T2890" s="66"/>
    </row>
    <row r="2891" spans="1:20" ht="13.2">
      <c r="A2891" s="7"/>
      <c r="B2891" s="7"/>
      <c r="C2891" s="74"/>
      <c r="D2891" s="74"/>
      <c r="F2891" s="7"/>
      <c r="G2891" s="74"/>
      <c r="H2891" s="74"/>
      <c r="J2891" s="7"/>
      <c r="K2891" s="74"/>
      <c r="L2891" s="74"/>
      <c r="N2891" s="7"/>
      <c r="O2891" s="74"/>
      <c r="P2891" s="74"/>
      <c r="R2891" s="7"/>
      <c r="S2891" s="7"/>
      <c r="T2891" s="66"/>
    </row>
    <row r="2892" spans="1:20" ht="13.2">
      <c r="A2892" s="7"/>
      <c r="B2892" s="7"/>
      <c r="C2892" s="74"/>
      <c r="D2892" s="74"/>
      <c r="F2892" s="7"/>
      <c r="G2892" s="74"/>
      <c r="H2892" s="74"/>
      <c r="J2892" s="7"/>
      <c r="K2892" s="74"/>
      <c r="L2892" s="74"/>
      <c r="N2892" s="7"/>
      <c r="O2892" s="74"/>
      <c r="P2892" s="74"/>
      <c r="R2892" s="7"/>
      <c r="S2892" s="7"/>
      <c r="T2892" s="66"/>
    </row>
    <row r="2893" spans="1:20" ht="13.2">
      <c r="A2893" s="7"/>
      <c r="B2893" s="7"/>
      <c r="C2893" s="74"/>
      <c r="D2893" s="74"/>
      <c r="F2893" s="7"/>
      <c r="G2893" s="74"/>
      <c r="H2893" s="74"/>
      <c r="J2893" s="7"/>
      <c r="K2893" s="74"/>
      <c r="L2893" s="74"/>
      <c r="N2893" s="7"/>
      <c r="O2893" s="74"/>
      <c r="P2893" s="74"/>
      <c r="R2893" s="7"/>
      <c r="S2893" s="7"/>
      <c r="T2893" s="66"/>
    </row>
    <row r="2894" spans="1:20" ht="13.2">
      <c r="A2894" s="7"/>
      <c r="B2894" s="7"/>
      <c r="C2894" s="74"/>
      <c r="D2894" s="74"/>
      <c r="F2894" s="7"/>
      <c r="G2894" s="74"/>
      <c r="H2894" s="74"/>
      <c r="J2894" s="7"/>
      <c r="K2894" s="74"/>
      <c r="L2894" s="74"/>
      <c r="N2894" s="7"/>
      <c r="O2894" s="74"/>
      <c r="P2894" s="74"/>
      <c r="R2894" s="7"/>
      <c r="S2894" s="7"/>
      <c r="T2894" s="66"/>
    </row>
    <row r="2895" spans="1:20" ht="13.2">
      <c r="A2895" s="7"/>
      <c r="B2895" s="7"/>
      <c r="C2895" s="74"/>
      <c r="D2895" s="74"/>
      <c r="F2895" s="7"/>
      <c r="G2895" s="74"/>
      <c r="H2895" s="74"/>
      <c r="J2895" s="7"/>
      <c r="K2895" s="74"/>
      <c r="L2895" s="74"/>
      <c r="N2895" s="7"/>
      <c r="O2895" s="74"/>
      <c r="P2895" s="74"/>
      <c r="R2895" s="7"/>
      <c r="S2895" s="7"/>
      <c r="T2895" s="66"/>
    </row>
    <row r="2896" spans="1:20" ht="13.2">
      <c r="A2896" s="7"/>
      <c r="B2896" s="7"/>
      <c r="C2896" s="74"/>
      <c r="D2896" s="74"/>
      <c r="F2896" s="7"/>
      <c r="G2896" s="74"/>
      <c r="H2896" s="74"/>
      <c r="J2896" s="7"/>
      <c r="K2896" s="74"/>
      <c r="L2896" s="74"/>
      <c r="N2896" s="7"/>
      <c r="O2896" s="74"/>
      <c r="P2896" s="74"/>
      <c r="R2896" s="7"/>
      <c r="S2896" s="7"/>
      <c r="T2896" s="66"/>
    </row>
    <row r="2897" spans="1:20" ht="13.2">
      <c r="A2897" s="7"/>
      <c r="B2897" s="7"/>
      <c r="C2897" s="74"/>
      <c r="D2897" s="74"/>
      <c r="F2897" s="7"/>
      <c r="G2897" s="74"/>
      <c r="H2897" s="74"/>
      <c r="J2897" s="7"/>
      <c r="K2897" s="74"/>
      <c r="L2897" s="74"/>
      <c r="N2897" s="7"/>
      <c r="O2897" s="74"/>
      <c r="P2897" s="74"/>
      <c r="R2897" s="7"/>
      <c r="S2897" s="7"/>
      <c r="T2897" s="66"/>
    </row>
    <row r="2898" spans="1:20" ht="13.2">
      <c r="A2898" s="7"/>
      <c r="B2898" s="7"/>
      <c r="C2898" s="74"/>
      <c r="D2898" s="74"/>
      <c r="F2898" s="7"/>
      <c r="G2898" s="74"/>
      <c r="H2898" s="74"/>
      <c r="J2898" s="7"/>
      <c r="K2898" s="74"/>
      <c r="L2898" s="74"/>
      <c r="N2898" s="7"/>
      <c r="O2898" s="74"/>
      <c r="P2898" s="74"/>
      <c r="R2898" s="7"/>
      <c r="S2898" s="7"/>
      <c r="T2898" s="66"/>
    </row>
    <row r="2899" spans="1:20" ht="13.2">
      <c r="A2899" s="7"/>
      <c r="B2899" s="7"/>
      <c r="C2899" s="74"/>
      <c r="D2899" s="74"/>
      <c r="F2899" s="7"/>
      <c r="G2899" s="74"/>
      <c r="H2899" s="74"/>
      <c r="J2899" s="7"/>
      <c r="K2899" s="74"/>
      <c r="L2899" s="74"/>
      <c r="N2899" s="7"/>
      <c r="O2899" s="74"/>
      <c r="P2899" s="74"/>
      <c r="R2899" s="7"/>
      <c r="S2899" s="7"/>
      <c r="T2899" s="66"/>
    </row>
    <row r="2900" spans="1:20" ht="13.2">
      <c r="A2900" s="7"/>
      <c r="B2900" s="7"/>
      <c r="C2900" s="74"/>
      <c r="D2900" s="74"/>
      <c r="F2900" s="7"/>
      <c r="G2900" s="74"/>
      <c r="H2900" s="74"/>
      <c r="J2900" s="7"/>
      <c r="K2900" s="74"/>
      <c r="L2900" s="74"/>
      <c r="N2900" s="7"/>
      <c r="O2900" s="74"/>
      <c r="P2900" s="74"/>
      <c r="R2900" s="7"/>
      <c r="S2900" s="7"/>
      <c r="T2900" s="66"/>
    </row>
    <row r="2901" spans="1:20" ht="13.2">
      <c r="A2901" s="7"/>
      <c r="B2901" s="7"/>
      <c r="C2901" s="74"/>
      <c r="D2901" s="74"/>
      <c r="F2901" s="7"/>
      <c r="G2901" s="74"/>
      <c r="H2901" s="74"/>
      <c r="J2901" s="7"/>
      <c r="K2901" s="74"/>
      <c r="L2901" s="74"/>
      <c r="N2901" s="7"/>
      <c r="O2901" s="74"/>
      <c r="P2901" s="74"/>
      <c r="R2901" s="7"/>
      <c r="S2901" s="7"/>
      <c r="T2901" s="66"/>
    </row>
    <row r="2902" spans="1:20" ht="13.2">
      <c r="A2902" s="7"/>
      <c r="B2902" s="7"/>
      <c r="C2902" s="74"/>
      <c r="D2902" s="74"/>
      <c r="F2902" s="7"/>
      <c r="G2902" s="74"/>
      <c r="H2902" s="74"/>
      <c r="J2902" s="7"/>
      <c r="K2902" s="74"/>
      <c r="L2902" s="74"/>
      <c r="N2902" s="7"/>
      <c r="O2902" s="74"/>
      <c r="P2902" s="74"/>
      <c r="R2902" s="7"/>
      <c r="S2902" s="7"/>
      <c r="T2902" s="66"/>
    </row>
    <row r="2903" spans="1:20" ht="13.2">
      <c r="A2903" s="7"/>
      <c r="B2903" s="7"/>
      <c r="C2903" s="74"/>
      <c r="D2903" s="74"/>
      <c r="F2903" s="7"/>
      <c r="G2903" s="74"/>
      <c r="H2903" s="74"/>
      <c r="J2903" s="7"/>
      <c r="K2903" s="74"/>
      <c r="L2903" s="74"/>
      <c r="N2903" s="7"/>
      <c r="O2903" s="74"/>
      <c r="P2903" s="74"/>
      <c r="R2903" s="7"/>
      <c r="S2903" s="7"/>
      <c r="T2903" s="66"/>
    </row>
    <row r="2904" spans="1:20" ht="13.2">
      <c r="A2904" s="7"/>
      <c r="B2904" s="7"/>
      <c r="C2904" s="74"/>
      <c r="D2904" s="74"/>
      <c r="F2904" s="7"/>
      <c r="G2904" s="74"/>
      <c r="H2904" s="74"/>
      <c r="J2904" s="7"/>
      <c r="K2904" s="74"/>
      <c r="L2904" s="74"/>
      <c r="N2904" s="7"/>
      <c r="O2904" s="74"/>
      <c r="P2904" s="74"/>
      <c r="R2904" s="7"/>
      <c r="S2904" s="7"/>
      <c r="T2904" s="66"/>
    </row>
    <row r="2905" spans="1:20" ht="13.2">
      <c r="A2905" s="7"/>
      <c r="B2905" s="7"/>
      <c r="C2905" s="74"/>
      <c r="D2905" s="74"/>
      <c r="F2905" s="7"/>
      <c r="G2905" s="74"/>
      <c r="H2905" s="74"/>
      <c r="J2905" s="7"/>
      <c r="K2905" s="74"/>
      <c r="L2905" s="74"/>
      <c r="N2905" s="7"/>
      <c r="O2905" s="74"/>
      <c r="P2905" s="74"/>
      <c r="R2905" s="7"/>
      <c r="S2905" s="7"/>
      <c r="T2905" s="66"/>
    </row>
    <row r="2906" spans="1:20" ht="13.2">
      <c r="A2906" s="7"/>
      <c r="B2906" s="7"/>
      <c r="C2906" s="74"/>
      <c r="D2906" s="74"/>
      <c r="F2906" s="7"/>
      <c r="G2906" s="74"/>
      <c r="H2906" s="74"/>
      <c r="J2906" s="7"/>
      <c r="K2906" s="74"/>
      <c r="L2906" s="74"/>
      <c r="N2906" s="7"/>
      <c r="O2906" s="74"/>
      <c r="P2906" s="74"/>
      <c r="R2906" s="7"/>
      <c r="S2906" s="7"/>
      <c r="T2906" s="66"/>
    </row>
    <row r="2907" spans="1:20" ht="13.2">
      <c r="A2907" s="7"/>
      <c r="B2907" s="7"/>
      <c r="C2907" s="74"/>
      <c r="D2907" s="74"/>
      <c r="F2907" s="7"/>
      <c r="G2907" s="74"/>
      <c r="H2907" s="74"/>
      <c r="J2907" s="7"/>
      <c r="K2907" s="74"/>
      <c r="L2907" s="74"/>
      <c r="N2907" s="7"/>
      <c r="O2907" s="74"/>
      <c r="P2907" s="74"/>
      <c r="R2907" s="7"/>
      <c r="S2907" s="7"/>
      <c r="T2907" s="66"/>
    </row>
    <row r="2908" spans="1:20" ht="13.2">
      <c r="A2908" s="7"/>
      <c r="B2908" s="7"/>
      <c r="C2908" s="74"/>
      <c r="D2908" s="74"/>
      <c r="F2908" s="7"/>
      <c r="G2908" s="74"/>
      <c r="H2908" s="74"/>
      <c r="J2908" s="7"/>
      <c r="K2908" s="74"/>
      <c r="L2908" s="74"/>
      <c r="N2908" s="7"/>
      <c r="O2908" s="74"/>
      <c r="P2908" s="74"/>
      <c r="R2908" s="7"/>
      <c r="S2908" s="7"/>
      <c r="T2908" s="66"/>
    </row>
    <row r="2909" spans="1:20" ht="13.2">
      <c r="A2909" s="7"/>
      <c r="B2909" s="7"/>
      <c r="C2909" s="74"/>
      <c r="D2909" s="74"/>
      <c r="F2909" s="7"/>
      <c r="G2909" s="74"/>
      <c r="H2909" s="74"/>
      <c r="J2909" s="7"/>
      <c r="K2909" s="74"/>
      <c r="L2909" s="74"/>
      <c r="N2909" s="7"/>
      <c r="O2909" s="74"/>
      <c r="P2909" s="74"/>
      <c r="R2909" s="7"/>
      <c r="S2909" s="7"/>
      <c r="T2909" s="66"/>
    </row>
    <row r="2910" spans="1:20" ht="13.2">
      <c r="A2910" s="7"/>
      <c r="B2910" s="7"/>
      <c r="C2910" s="74"/>
      <c r="D2910" s="74"/>
      <c r="F2910" s="7"/>
      <c r="G2910" s="74"/>
      <c r="H2910" s="74"/>
      <c r="J2910" s="7"/>
      <c r="K2910" s="74"/>
      <c r="L2910" s="74"/>
      <c r="N2910" s="7"/>
      <c r="O2910" s="74"/>
      <c r="P2910" s="74"/>
      <c r="R2910" s="7"/>
      <c r="S2910" s="7"/>
      <c r="T2910" s="66"/>
    </row>
    <row r="2911" spans="1:20" ht="13.2">
      <c r="A2911" s="7"/>
      <c r="B2911" s="7"/>
      <c r="C2911" s="74"/>
      <c r="D2911" s="74"/>
      <c r="F2911" s="7"/>
      <c r="G2911" s="74"/>
      <c r="H2911" s="74"/>
      <c r="J2911" s="7"/>
      <c r="K2911" s="74"/>
      <c r="L2911" s="74"/>
      <c r="N2911" s="7"/>
      <c r="O2911" s="74"/>
      <c r="P2911" s="74"/>
      <c r="R2911" s="7"/>
      <c r="S2911" s="7"/>
      <c r="T2911" s="66"/>
    </row>
    <row r="2912" spans="1:20" ht="13.2">
      <c r="A2912" s="7"/>
      <c r="B2912" s="7"/>
      <c r="C2912" s="74"/>
      <c r="D2912" s="74"/>
      <c r="F2912" s="7"/>
      <c r="G2912" s="74"/>
      <c r="H2912" s="74"/>
      <c r="J2912" s="7"/>
      <c r="K2912" s="74"/>
      <c r="L2912" s="74"/>
      <c r="N2912" s="7"/>
      <c r="O2912" s="74"/>
      <c r="P2912" s="74"/>
      <c r="R2912" s="7"/>
      <c r="S2912" s="7"/>
      <c r="T2912" s="66"/>
    </row>
    <row r="2913" spans="1:20" ht="13.2">
      <c r="A2913" s="7"/>
      <c r="B2913" s="7"/>
      <c r="C2913" s="74"/>
      <c r="D2913" s="74"/>
      <c r="F2913" s="7"/>
      <c r="G2913" s="74"/>
      <c r="H2913" s="74"/>
      <c r="J2913" s="7"/>
      <c r="K2913" s="74"/>
      <c r="L2913" s="74"/>
      <c r="N2913" s="7"/>
      <c r="O2913" s="74"/>
      <c r="P2913" s="74"/>
      <c r="R2913" s="7"/>
      <c r="S2913" s="7"/>
      <c r="T2913" s="66"/>
    </row>
    <row r="2914" spans="1:20" ht="13.2">
      <c r="A2914" s="7"/>
      <c r="B2914" s="7"/>
      <c r="C2914" s="74"/>
      <c r="D2914" s="74"/>
      <c r="F2914" s="7"/>
      <c r="G2914" s="74"/>
      <c r="H2914" s="74"/>
      <c r="J2914" s="7"/>
      <c r="K2914" s="74"/>
      <c r="L2914" s="74"/>
      <c r="N2914" s="7"/>
      <c r="O2914" s="74"/>
      <c r="P2914" s="74"/>
      <c r="R2914" s="7"/>
      <c r="S2914" s="7"/>
      <c r="T2914" s="66"/>
    </row>
    <row r="2915" spans="1:20" ht="13.2">
      <c r="A2915" s="7"/>
      <c r="B2915" s="7"/>
      <c r="C2915" s="74"/>
      <c r="D2915" s="74"/>
      <c r="F2915" s="7"/>
      <c r="G2915" s="74"/>
      <c r="H2915" s="74"/>
      <c r="J2915" s="7"/>
      <c r="K2915" s="74"/>
      <c r="L2915" s="74"/>
      <c r="N2915" s="7"/>
      <c r="O2915" s="74"/>
      <c r="P2915" s="74"/>
      <c r="R2915" s="7"/>
      <c r="S2915" s="7"/>
      <c r="T2915" s="66"/>
    </row>
    <row r="2916" spans="1:20" ht="13.2">
      <c r="A2916" s="7"/>
      <c r="B2916" s="7"/>
      <c r="C2916" s="74"/>
      <c r="D2916" s="74"/>
      <c r="F2916" s="7"/>
      <c r="G2916" s="74"/>
      <c r="H2916" s="74"/>
      <c r="J2916" s="7"/>
      <c r="K2916" s="74"/>
      <c r="L2916" s="74"/>
      <c r="N2916" s="7"/>
      <c r="O2916" s="74"/>
      <c r="P2916" s="74"/>
      <c r="R2916" s="7"/>
      <c r="S2916" s="7"/>
      <c r="T2916" s="66"/>
    </row>
    <row r="2917" spans="1:20" ht="13.2">
      <c r="A2917" s="7"/>
      <c r="B2917" s="7"/>
      <c r="C2917" s="74"/>
      <c r="D2917" s="74"/>
      <c r="F2917" s="7"/>
      <c r="G2917" s="74"/>
      <c r="H2917" s="74"/>
      <c r="J2917" s="7"/>
      <c r="K2917" s="74"/>
      <c r="L2917" s="74"/>
      <c r="N2917" s="7"/>
      <c r="O2917" s="74"/>
      <c r="P2917" s="74"/>
      <c r="R2917" s="7"/>
      <c r="S2917" s="7"/>
      <c r="T2917" s="66"/>
    </row>
    <row r="2918" spans="1:20" ht="13.2">
      <c r="A2918" s="7"/>
      <c r="B2918" s="7"/>
      <c r="C2918" s="74"/>
      <c r="D2918" s="74"/>
      <c r="F2918" s="7"/>
      <c r="G2918" s="74"/>
      <c r="H2918" s="74"/>
      <c r="J2918" s="7"/>
      <c r="K2918" s="74"/>
      <c r="L2918" s="74"/>
      <c r="N2918" s="7"/>
      <c r="O2918" s="74"/>
      <c r="P2918" s="74"/>
      <c r="R2918" s="7"/>
      <c r="S2918" s="7"/>
      <c r="T2918" s="66"/>
    </row>
    <row r="2919" spans="1:20" ht="13.2">
      <c r="A2919" s="7"/>
      <c r="B2919" s="7"/>
      <c r="C2919" s="74"/>
      <c r="D2919" s="74"/>
      <c r="F2919" s="7"/>
      <c r="G2919" s="74"/>
      <c r="H2919" s="74"/>
      <c r="J2919" s="7"/>
      <c r="K2919" s="74"/>
      <c r="L2919" s="74"/>
      <c r="N2919" s="7"/>
      <c r="O2919" s="74"/>
      <c r="P2919" s="74"/>
      <c r="R2919" s="7"/>
      <c r="S2919" s="7"/>
      <c r="T2919" s="66"/>
    </row>
    <row r="2920" spans="1:20" ht="13.2">
      <c r="A2920" s="7"/>
      <c r="B2920" s="7"/>
      <c r="C2920" s="74"/>
      <c r="D2920" s="74"/>
      <c r="F2920" s="7"/>
      <c r="G2920" s="74"/>
      <c r="H2920" s="74"/>
      <c r="J2920" s="7"/>
      <c r="K2920" s="74"/>
      <c r="L2920" s="74"/>
      <c r="N2920" s="7"/>
      <c r="O2920" s="74"/>
      <c r="P2920" s="74"/>
      <c r="R2920" s="7"/>
      <c r="S2920" s="7"/>
      <c r="T2920" s="66"/>
    </row>
    <row r="2921" spans="1:20" ht="13.2">
      <c r="A2921" s="7"/>
      <c r="B2921" s="7"/>
      <c r="C2921" s="74"/>
      <c r="D2921" s="74"/>
      <c r="F2921" s="7"/>
      <c r="G2921" s="74"/>
      <c r="H2921" s="74"/>
      <c r="J2921" s="7"/>
      <c r="K2921" s="74"/>
      <c r="L2921" s="74"/>
      <c r="N2921" s="7"/>
      <c r="O2921" s="74"/>
      <c r="P2921" s="74"/>
      <c r="R2921" s="7"/>
      <c r="S2921" s="7"/>
      <c r="T2921" s="66"/>
    </row>
    <row r="2922" spans="1:20" ht="13.2">
      <c r="A2922" s="7"/>
      <c r="B2922" s="7"/>
      <c r="C2922" s="74"/>
      <c r="D2922" s="74"/>
      <c r="F2922" s="7"/>
      <c r="G2922" s="74"/>
      <c r="H2922" s="74"/>
      <c r="J2922" s="7"/>
      <c r="K2922" s="74"/>
      <c r="L2922" s="74"/>
      <c r="N2922" s="7"/>
      <c r="O2922" s="74"/>
      <c r="P2922" s="74"/>
      <c r="R2922" s="7"/>
      <c r="S2922" s="7"/>
      <c r="T2922" s="66"/>
    </row>
    <row r="2923" spans="1:20" ht="13.2">
      <c r="A2923" s="7"/>
      <c r="B2923" s="7"/>
      <c r="C2923" s="74"/>
      <c r="D2923" s="74"/>
      <c r="F2923" s="7"/>
      <c r="G2923" s="74"/>
      <c r="H2923" s="74"/>
      <c r="J2923" s="7"/>
      <c r="K2923" s="74"/>
      <c r="L2923" s="74"/>
      <c r="N2923" s="7"/>
      <c r="O2923" s="74"/>
      <c r="P2923" s="74"/>
      <c r="R2923" s="7"/>
      <c r="S2923" s="7"/>
      <c r="T2923" s="66"/>
    </row>
    <row r="2924" spans="1:20" ht="13.2">
      <c r="A2924" s="7"/>
      <c r="B2924" s="7"/>
      <c r="C2924" s="74"/>
      <c r="D2924" s="74"/>
      <c r="F2924" s="7"/>
      <c r="G2924" s="74"/>
      <c r="H2924" s="74"/>
      <c r="J2924" s="7"/>
      <c r="K2924" s="74"/>
      <c r="L2924" s="74"/>
      <c r="N2924" s="7"/>
      <c r="O2924" s="74"/>
      <c r="P2924" s="74"/>
      <c r="R2924" s="7"/>
      <c r="S2924" s="7"/>
      <c r="T2924" s="66"/>
    </row>
    <row r="2925" spans="1:20" ht="13.2">
      <c r="A2925" s="7"/>
      <c r="B2925" s="7"/>
      <c r="C2925" s="74"/>
      <c r="D2925" s="74"/>
      <c r="F2925" s="7"/>
      <c r="G2925" s="74"/>
      <c r="H2925" s="74"/>
      <c r="J2925" s="7"/>
      <c r="K2925" s="74"/>
      <c r="L2925" s="74"/>
      <c r="N2925" s="7"/>
      <c r="O2925" s="74"/>
      <c r="P2925" s="74"/>
      <c r="R2925" s="7"/>
      <c r="S2925" s="7"/>
      <c r="T2925" s="66"/>
    </row>
    <row r="2926" spans="1:20" ht="13.2">
      <c r="A2926" s="7"/>
      <c r="B2926" s="7"/>
      <c r="C2926" s="74"/>
      <c r="D2926" s="74"/>
      <c r="F2926" s="7"/>
      <c r="G2926" s="74"/>
      <c r="H2926" s="74"/>
      <c r="J2926" s="7"/>
      <c r="K2926" s="74"/>
      <c r="L2926" s="74"/>
      <c r="N2926" s="7"/>
      <c r="O2926" s="74"/>
      <c r="P2926" s="74"/>
      <c r="R2926" s="7"/>
      <c r="S2926" s="7"/>
      <c r="T2926" s="66"/>
    </row>
    <row r="2927" spans="1:20" ht="13.2">
      <c r="A2927" s="7"/>
      <c r="B2927" s="7"/>
      <c r="C2927" s="74"/>
      <c r="D2927" s="74"/>
      <c r="F2927" s="7"/>
      <c r="G2927" s="74"/>
      <c r="H2927" s="74"/>
      <c r="J2927" s="7"/>
      <c r="K2927" s="74"/>
      <c r="L2927" s="74"/>
      <c r="N2927" s="7"/>
      <c r="O2927" s="74"/>
      <c r="P2927" s="74"/>
      <c r="R2927" s="7"/>
      <c r="S2927" s="7"/>
      <c r="T2927" s="66"/>
    </row>
    <row r="2928" spans="1:20" ht="13.2">
      <c r="A2928" s="7"/>
      <c r="B2928" s="7"/>
      <c r="C2928" s="74"/>
      <c r="D2928" s="74"/>
      <c r="F2928" s="7"/>
      <c r="G2928" s="74"/>
      <c r="H2928" s="74"/>
      <c r="J2928" s="7"/>
      <c r="K2928" s="74"/>
      <c r="L2928" s="74"/>
      <c r="N2928" s="7"/>
      <c r="O2928" s="74"/>
      <c r="P2928" s="74"/>
      <c r="R2928" s="7"/>
      <c r="S2928" s="7"/>
      <c r="T2928" s="66"/>
    </row>
    <row r="2929" spans="1:20" ht="13.2">
      <c r="A2929" s="7"/>
      <c r="B2929" s="7"/>
      <c r="C2929" s="74"/>
      <c r="D2929" s="74"/>
      <c r="F2929" s="7"/>
      <c r="G2929" s="74"/>
      <c r="H2929" s="74"/>
      <c r="J2929" s="7"/>
      <c r="K2929" s="74"/>
      <c r="L2929" s="74"/>
      <c r="N2929" s="7"/>
      <c r="O2929" s="74"/>
      <c r="P2929" s="74"/>
      <c r="R2929" s="7"/>
      <c r="S2929" s="7"/>
      <c r="T2929" s="66"/>
    </row>
    <row r="2930" spans="1:20" ht="13.2">
      <c r="A2930" s="7"/>
      <c r="B2930" s="7"/>
      <c r="C2930" s="74"/>
      <c r="D2930" s="74"/>
      <c r="F2930" s="7"/>
      <c r="G2930" s="74"/>
      <c r="H2930" s="74"/>
      <c r="J2930" s="7"/>
      <c r="K2930" s="74"/>
      <c r="L2930" s="74"/>
      <c r="N2930" s="7"/>
      <c r="O2930" s="74"/>
      <c r="P2930" s="74"/>
      <c r="R2930" s="7"/>
      <c r="S2930" s="7"/>
      <c r="T2930" s="66"/>
    </row>
    <row r="2931" spans="1:20" ht="13.2">
      <c r="A2931" s="7"/>
      <c r="B2931" s="7"/>
      <c r="C2931" s="74"/>
      <c r="D2931" s="74"/>
      <c r="F2931" s="7"/>
      <c r="G2931" s="74"/>
      <c r="H2931" s="74"/>
      <c r="J2931" s="7"/>
      <c r="K2931" s="74"/>
      <c r="L2931" s="74"/>
      <c r="N2931" s="7"/>
      <c r="O2931" s="74"/>
      <c r="P2931" s="74"/>
      <c r="R2931" s="7"/>
      <c r="S2931" s="7"/>
      <c r="T2931" s="66"/>
    </row>
    <row r="2932" spans="1:20" ht="13.2">
      <c r="A2932" s="7"/>
      <c r="B2932" s="7"/>
      <c r="C2932" s="74"/>
      <c r="D2932" s="74"/>
      <c r="F2932" s="7"/>
      <c r="G2932" s="74"/>
      <c r="H2932" s="74"/>
      <c r="J2932" s="7"/>
      <c r="K2932" s="74"/>
      <c r="L2932" s="74"/>
      <c r="N2932" s="7"/>
      <c r="O2932" s="74"/>
      <c r="P2932" s="74"/>
      <c r="R2932" s="7"/>
      <c r="S2932" s="7"/>
      <c r="T2932" s="66"/>
    </row>
    <row r="2933" spans="1:20" ht="13.2">
      <c r="A2933" s="7"/>
      <c r="B2933" s="7"/>
      <c r="C2933" s="74"/>
      <c r="D2933" s="74"/>
      <c r="F2933" s="7"/>
      <c r="G2933" s="74"/>
      <c r="H2933" s="74"/>
      <c r="J2933" s="7"/>
      <c r="K2933" s="74"/>
      <c r="L2933" s="74"/>
      <c r="N2933" s="7"/>
      <c r="O2933" s="74"/>
      <c r="P2933" s="74"/>
      <c r="R2933" s="7"/>
      <c r="S2933" s="7"/>
      <c r="T2933" s="66"/>
    </row>
    <row r="2934" spans="1:20" ht="13.2">
      <c r="A2934" s="7"/>
      <c r="B2934" s="7"/>
      <c r="C2934" s="74"/>
      <c r="D2934" s="74"/>
      <c r="F2934" s="7"/>
      <c r="G2934" s="74"/>
      <c r="H2934" s="74"/>
      <c r="J2934" s="7"/>
      <c r="K2934" s="74"/>
      <c r="L2934" s="74"/>
      <c r="N2934" s="7"/>
      <c r="O2934" s="74"/>
      <c r="P2934" s="74"/>
      <c r="R2934" s="7"/>
      <c r="S2934" s="7"/>
      <c r="T2934" s="66"/>
    </row>
    <row r="2935" spans="1:20" ht="13.2">
      <c r="A2935" s="7"/>
      <c r="B2935" s="7"/>
      <c r="C2935" s="74"/>
      <c r="D2935" s="74"/>
      <c r="F2935" s="7"/>
      <c r="G2935" s="74"/>
      <c r="H2935" s="74"/>
      <c r="J2935" s="7"/>
      <c r="K2935" s="74"/>
      <c r="L2935" s="74"/>
      <c r="N2935" s="7"/>
      <c r="O2935" s="74"/>
      <c r="P2935" s="74"/>
      <c r="R2935" s="7"/>
      <c r="S2935" s="7"/>
      <c r="T2935" s="66"/>
    </row>
    <row r="2936" spans="1:20" ht="13.2">
      <c r="A2936" s="7"/>
      <c r="B2936" s="7"/>
      <c r="C2936" s="74"/>
      <c r="D2936" s="74"/>
      <c r="F2936" s="7"/>
      <c r="G2936" s="74"/>
      <c r="H2936" s="74"/>
      <c r="J2936" s="7"/>
      <c r="K2936" s="74"/>
      <c r="L2936" s="74"/>
      <c r="N2936" s="7"/>
      <c r="O2936" s="74"/>
      <c r="P2936" s="74"/>
      <c r="R2936" s="7"/>
      <c r="S2936" s="7"/>
      <c r="T2936" s="66"/>
    </row>
    <row r="2937" spans="1:20" ht="13.2">
      <c r="A2937" s="7"/>
      <c r="B2937" s="7"/>
      <c r="C2937" s="74"/>
      <c r="D2937" s="74"/>
      <c r="F2937" s="7"/>
      <c r="G2937" s="74"/>
      <c r="H2937" s="74"/>
      <c r="J2937" s="7"/>
      <c r="K2937" s="74"/>
      <c r="L2937" s="74"/>
      <c r="N2937" s="7"/>
      <c r="O2937" s="74"/>
      <c r="P2937" s="74"/>
      <c r="R2937" s="7"/>
      <c r="S2937" s="7"/>
      <c r="T2937" s="66"/>
    </row>
    <row r="2938" spans="1:20" ht="13.2">
      <c r="A2938" s="7"/>
      <c r="B2938" s="7"/>
      <c r="C2938" s="74"/>
      <c r="D2938" s="74"/>
      <c r="F2938" s="7"/>
      <c r="G2938" s="74"/>
      <c r="H2938" s="74"/>
      <c r="J2938" s="7"/>
      <c r="K2938" s="74"/>
      <c r="L2938" s="74"/>
      <c r="N2938" s="7"/>
      <c r="O2938" s="74"/>
      <c r="P2938" s="74"/>
      <c r="R2938" s="7"/>
      <c r="S2938" s="7"/>
      <c r="T2938" s="66"/>
    </row>
    <row r="2939" spans="1:20" ht="13.2">
      <c r="A2939" s="7"/>
      <c r="B2939" s="7"/>
      <c r="C2939" s="74"/>
      <c r="D2939" s="74"/>
      <c r="F2939" s="7"/>
      <c r="G2939" s="74"/>
      <c r="H2939" s="74"/>
      <c r="J2939" s="7"/>
      <c r="K2939" s="74"/>
      <c r="L2939" s="74"/>
      <c r="N2939" s="7"/>
      <c r="O2939" s="74"/>
      <c r="P2939" s="74"/>
      <c r="R2939" s="7"/>
      <c r="S2939" s="7"/>
      <c r="T2939" s="66"/>
    </row>
    <row r="2940" spans="1:20" ht="13.2">
      <c r="A2940" s="7"/>
      <c r="B2940" s="7"/>
      <c r="C2940" s="74"/>
      <c r="D2940" s="74"/>
      <c r="F2940" s="7"/>
      <c r="G2940" s="74"/>
      <c r="H2940" s="74"/>
      <c r="J2940" s="7"/>
      <c r="K2940" s="74"/>
      <c r="L2940" s="74"/>
      <c r="N2940" s="7"/>
      <c r="O2940" s="74"/>
      <c r="P2940" s="74"/>
      <c r="R2940" s="7"/>
      <c r="S2940" s="7"/>
      <c r="T2940" s="66"/>
    </row>
    <row r="2941" spans="1:20" ht="13.2">
      <c r="A2941" s="7"/>
      <c r="B2941" s="7"/>
      <c r="C2941" s="74"/>
      <c r="D2941" s="74"/>
      <c r="F2941" s="7"/>
      <c r="G2941" s="74"/>
      <c r="H2941" s="74"/>
      <c r="J2941" s="7"/>
      <c r="K2941" s="74"/>
      <c r="L2941" s="74"/>
      <c r="N2941" s="7"/>
      <c r="O2941" s="74"/>
      <c r="P2941" s="74"/>
      <c r="R2941" s="7"/>
      <c r="S2941" s="7"/>
      <c r="T2941" s="66"/>
    </row>
    <row r="2942" spans="1:20" ht="13.2">
      <c r="A2942" s="7"/>
      <c r="B2942" s="7"/>
      <c r="C2942" s="74"/>
      <c r="D2942" s="74"/>
      <c r="F2942" s="7"/>
      <c r="G2942" s="74"/>
      <c r="H2942" s="74"/>
      <c r="J2942" s="7"/>
      <c r="K2942" s="74"/>
      <c r="L2942" s="74"/>
      <c r="N2942" s="7"/>
      <c r="O2942" s="74"/>
      <c r="P2942" s="74"/>
      <c r="R2942" s="7"/>
      <c r="S2942" s="7"/>
      <c r="T2942" s="66"/>
    </row>
    <row r="2943" spans="1:20" ht="13.2">
      <c r="A2943" s="7"/>
      <c r="B2943" s="7"/>
      <c r="C2943" s="74"/>
      <c r="D2943" s="74"/>
      <c r="F2943" s="7"/>
      <c r="G2943" s="74"/>
      <c r="H2943" s="74"/>
      <c r="J2943" s="7"/>
      <c r="K2943" s="74"/>
      <c r="L2943" s="74"/>
      <c r="N2943" s="7"/>
      <c r="O2943" s="74"/>
      <c r="P2943" s="74"/>
      <c r="R2943" s="7"/>
      <c r="S2943" s="7"/>
      <c r="T2943" s="66"/>
    </row>
    <row r="2944" spans="1:20" ht="13.2">
      <c r="A2944" s="7"/>
      <c r="B2944" s="7"/>
      <c r="C2944" s="74"/>
      <c r="D2944" s="74"/>
      <c r="F2944" s="7"/>
      <c r="G2944" s="74"/>
      <c r="H2944" s="74"/>
      <c r="J2944" s="7"/>
      <c r="K2944" s="74"/>
      <c r="L2944" s="74"/>
      <c r="N2944" s="7"/>
      <c r="O2944" s="74"/>
      <c r="P2944" s="74"/>
      <c r="R2944" s="7"/>
      <c r="S2944" s="7"/>
      <c r="T2944" s="66"/>
    </row>
    <row r="2945" spans="1:20" ht="13.2">
      <c r="A2945" s="7"/>
      <c r="B2945" s="7"/>
      <c r="C2945" s="74"/>
      <c r="D2945" s="74"/>
      <c r="F2945" s="7"/>
      <c r="G2945" s="74"/>
      <c r="H2945" s="74"/>
      <c r="J2945" s="7"/>
      <c r="K2945" s="74"/>
      <c r="L2945" s="74"/>
      <c r="N2945" s="7"/>
      <c r="O2945" s="74"/>
      <c r="P2945" s="74"/>
      <c r="R2945" s="7"/>
      <c r="S2945" s="7"/>
      <c r="T2945" s="66"/>
    </row>
    <row r="2946" spans="1:20" ht="13.2">
      <c r="A2946" s="7"/>
      <c r="B2946" s="7"/>
      <c r="C2946" s="74"/>
      <c r="D2946" s="74"/>
      <c r="F2946" s="7"/>
      <c r="G2946" s="74"/>
      <c r="H2946" s="74"/>
      <c r="J2946" s="7"/>
      <c r="K2946" s="74"/>
      <c r="L2946" s="74"/>
      <c r="N2946" s="7"/>
      <c r="O2946" s="74"/>
      <c r="P2946" s="74"/>
      <c r="R2946" s="7"/>
      <c r="S2946" s="7"/>
      <c r="T2946" s="66"/>
    </row>
    <row r="2947" spans="1:20" ht="13.2">
      <c r="A2947" s="7"/>
      <c r="B2947" s="7"/>
      <c r="C2947" s="74"/>
      <c r="D2947" s="74"/>
      <c r="F2947" s="7"/>
      <c r="G2947" s="74"/>
      <c r="H2947" s="74"/>
      <c r="J2947" s="7"/>
      <c r="K2947" s="74"/>
      <c r="L2947" s="74"/>
      <c r="N2947" s="7"/>
      <c r="O2947" s="74"/>
      <c r="P2947" s="74"/>
      <c r="R2947" s="7"/>
      <c r="S2947" s="7"/>
      <c r="T2947" s="66"/>
    </row>
    <row r="2948" spans="1:20" ht="13.2">
      <c r="A2948" s="7"/>
      <c r="B2948" s="7"/>
      <c r="C2948" s="74"/>
      <c r="D2948" s="74"/>
      <c r="F2948" s="7"/>
      <c r="G2948" s="74"/>
      <c r="H2948" s="74"/>
      <c r="J2948" s="7"/>
      <c r="K2948" s="74"/>
      <c r="L2948" s="74"/>
      <c r="N2948" s="7"/>
      <c r="O2948" s="74"/>
      <c r="P2948" s="74"/>
      <c r="R2948" s="7"/>
      <c r="S2948" s="7"/>
      <c r="T2948" s="66"/>
    </row>
    <row r="2949" spans="1:20" ht="13.2">
      <c r="A2949" s="7"/>
      <c r="B2949" s="7"/>
      <c r="C2949" s="74"/>
      <c r="D2949" s="74"/>
      <c r="F2949" s="7"/>
      <c r="G2949" s="74"/>
      <c r="H2949" s="74"/>
      <c r="J2949" s="7"/>
      <c r="K2949" s="74"/>
      <c r="L2949" s="74"/>
      <c r="N2949" s="7"/>
      <c r="O2949" s="74"/>
      <c r="P2949" s="74"/>
      <c r="R2949" s="7"/>
      <c r="S2949" s="7"/>
      <c r="T2949" s="66"/>
    </row>
    <row r="2950" spans="1:20" ht="13.2">
      <c r="A2950" s="7"/>
      <c r="B2950" s="7"/>
      <c r="C2950" s="74"/>
      <c r="D2950" s="74"/>
      <c r="F2950" s="7"/>
      <c r="G2950" s="74"/>
      <c r="H2950" s="74"/>
      <c r="J2950" s="7"/>
      <c r="K2950" s="74"/>
      <c r="L2950" s="74"/>
      <c r="N2950" s="7"/>
      <c r="O2950" s="74"/>
      <c r="P2950" s="74"/>
      <c r="R2950" s="7"/>
      <c r="S2950" s="7"/>
      <c r="T2950" s="66"/>
    </row>
    <row r="2951" spans="1:20" ht="13.2">
      <c r="A2951" s="7"/>
      <c r="B2951" s="7"/>
      <c r="C2951" s="74"/>
      <c r="D2951" s="74"/>
      <c r="F2951" s="7"/>
      <c r="G2951" s="74"/>
      <c r="H2951" s="74"/>
      <c r="J2951" s="7"/>
      <c r="K2951" s="74"/>
      <c r="L2951" s="74"/>
      <c r="N2951" s="7"/>
      <c r="O2951" s="74"/>
      <c r="P2951" s="74"/>
      <c r="R2951" s="7"/>
      <c r="S2951" s="7"/>
      <c r="T2951" s="66"/>
    </row>
    <row r="2952" spans="1:20" ht="13.2">
      <c r="A2952" s="7"/>
      <c r="B2952" s="7"/>
      <c r="C2952" s="74"/>
      <c r="D2952" s="74"/>
      <c r="F2952" s="7"/>
      <c r="G2952" s="74"/>
      <c r="H2952" s="74"/>
      <c r="J2952" s="7"/>
      <c r="K2952" s="74"/>
      <c r="L2952" s="74"/>
      <c r="N2952" s="7"/>
      <c r="O2952" s="74"/>
      <c r="P2952" s="74"/>
      <c r="R2952" s="7"/>
      <c r="S2952" s="7"/>
      <c r="T2952" s="66"/>
    </row>
    <row r="2953" spans="1:20" ht="13.2">
      <c r="A2953" s="7"/>
      <c r="B2953" s="7"/>
      <c r="C2953" s="74"/>
      <c r="D2953" s="74"/>
      <c r="F2953" s="7"/>
      <c r="G2953" s="74"/>
      <c r="H2953" s="74"/>
      <c r="J2953" s="7"/>
      <c r="K2953" s="74"/>
      <c r="L2953" s="74"/>
      <c r="N2953" s="7"/>
      <c r="O2953" s="74"/>
      <c r="P2953" s="74"/>
      <c r="R2953" s="7"/>
      <c r="S2953" s="7"/>
      <c r="T2953" s="66"/>
    </row>
    <row r="2954" spans="1:20" ht="13.2">
      <c r="A2954" s="7"/>
      <c r="B2954" s="7"/>
      <c r="C2954" s="74"/>
      <c r="D2954" s="74"/>
      <c r="F2954" s="7"/>
      <c r="G2954" s="74"/>
      <c r="H2954" s="74"/>
      <c r="J2954" s="7"/>
      <c r="K2954" s="74"/>
      <c r="L2954" s="74"/>
      <c r="N2954" s="7"/>
      <c r="O2954" s="74"/>
      <c r="P2954" s="74"/>
      <c r="R2954" s="7"/>
      <c r="S2954" s="7"/>
      <c r="T2954" s="66"/>
    </row>
    <row r="2955" spans="1:20" ht="13.2">
      <c r="A2955" s="7"/>
      <c r="B2955" s="7"/>
      <c r="C2955" s="74"/>
      <c r="D2955" s="74"/>
      <c r="F2955" s="7"/>
      <c r="G2955" s="74"/>
      <c r="H2955" s="74"/>
      <c r="J2955" s="7"/>
      <c r="K2955" s="74"/>
      <c r="L2955" s="74"/>
      <c r="N2955" s="7"/>
      <c r="O2955" s="74"/>
      <c r="P2955" s="74"/>
      <c r="R2955" s="7"/>
      <c r="S2955" s="7"/>
      <c r="T2955" s="66"/>
    </row>
    <row r="2956" spans="1:20" ht="13.2">
      <c r="A2956" s="7"/>
      <c r="B2956" s="7"/>
      <c r="C2956" s="74"/>
      <c r="D2956" s="74"/>
      <c r="F2956" s="7"/>
      <c r="G2956" s="74"/>
      <c r="H2956" s="74"/>
      <c r="J2956" s="7"/>
      <c r="K2956" s="74"/>
      <c r="L2956" s="74"/>
      <c r="N2956" s="7"/>
      <c r="O2956" s="74"/>
      <c r="P2956" s="74"/>
      <c r="R2956" s="7"/>
      <c r="S2956" s="7"/>
      <c r="T2956" s="66"/>
    </row>
    <row r="2957" spans="1:20" ht="13.2">
      <c r="A2957" s="7"/>
      <c r="B2957" s="7"/>
      <c r="C2957" s="74"/>
      <c r="D2957" s="74"/>
      <c r="F2957" s="7"/>
      <c r="G2957" s="74"/>
      <c r="H2957" s="74"/>
      <c r="J2957" s="7"/>
      <c r="K2957" s="74"/>
      <c r="L2957" s="74"/>
      <c r="N2957" s="7"/>
      <c r="O2957" s="74"/>
      <c r="P2957" s="74"/>
      <c r="R2957" s="7"/>
      <c r="S2957" s="7"/>
      <c r="T2957" s="66"/>
    </row>
    <row r="2958" spans="1:20" ht="13.2">
      <c r="A2958" s="7"/>
      <c r="B2958" s="7"/>
      <c r="C2958" s="74"/>
      <c r="D2958" s="74"/>
      <c r="F2958" s="7"/>
      <c r="G2958" s="74"/>
      <c r="H2958" s="74"/>
      <c r="J2958" s="7"/>
      <c r="K2958" s="74"/>
      <c r="L2958" s="74"/>
      <c r="N2958" s="7"/>
      <c r="O2958" s="74"/>
      <c r="P2958" s="74"/>
      <c r="R2958" s="7"/>
      <c r="S2958" s="7"/>
      <c r="T2958" s="66"/>
    </row>
    <row r="2959" spans="1:20" ht="13.2">
      <c r="A2959" s="7"/>
      <c r="B2959" s="7"/>
      <c r="C2959" s="74"/>
      <c r="D2959" s="74"/>
      <c r="F2959" s="7"/>
      <c r="G2959" s="74"/>
      <c r="H2959" s="74"/>
      <c r="J2959" s="7"/>
      <c r="K2959" s="74"/>
      <c r="L2959" s="74"/>
      <c r="N2959" s="7"/>
      <c r="O2959" s="74"/>
      <c r="P2959" s="74"/>
      <c r="R2959" s="7"/>
      <c r="S2959" s="7"/>
      <c r="T2959" s="66"/>
    </row>
    <row r="2960" spans="1:20" ht="13.2">
      <c r="A2960" s="7"/>
      <c r="B2960" s="7"/>
      <c r="C2960" s="74"/>
      <c r="D2960" s="74"/>
      <c r="F2960" s="7"/>
      <c r="G2960" s="74"/>
      <c r="H2960" s="74"/>
      <c r="J2960" s="7"/>
      <c r="K2960" s="74"/>
      <c r="L2960" s="74"/>
      <c r="N2960" s="7"/>
      <c r="O2960" s="74"/>
      <c r="P2960" s="74"/>
      <c r="R2960" s="7"/>
      <c r="S2960" s="7"/>
      <c r="T2960" s="66"/>
    </row>
    <row r="2961" spans="1:20" ht="13.2">
      <c r="A2961" s="7"/>
      <c r="B2961" s="7"/>
      <c r="C2961" s="74"/>
      <c r="D2961" s="74"/>
      <c r="F2961" s="7"/>
      <c r="G2961" s="74"/>
      <c r="H2961" s="74"/>
      <c r="J2961" s="7"/>
      <c r="K2961" s="74"/>
      <c r="L2961" s="74"/>
      <c r="N2961" s="7"/>
      <c r="O2961" s="74"/>
      <c r="P2961" s="74"/>
      <c r="R2961" s="7"/>
      <c r="S2961" s="7"/>
      <c r="T2961" s="66"/>
    </row>
    <row r="2962" spans="1:20" ht="13.2">
      <c r="A2962" s="7"/>
      <c r="B2962" s="7"/>
      <c r="C2962" s="74"/>
      <c r="D2962" s="74"/>
      <c r="F2962" s="7"/>
      <c r="G2962" s="74"/>
      <c r="H2962" s="74"/>
      <c r="J2962" s="7"/>
      <c r="K2962" s="74"/>
      <c r="L2962" s="74"/>
      <c r="N2962" s="7"/>
      <c r="O2962" s="74"/>
      <c r="P2962" s="74"/>
      <c r="R2962" s="7"/>
      <c r="S2962" s="7"/>
      <c r="T2962" s="66"/>
    </row>
    <row r="2963" spans="1:20" ht="13.2">
      <c r="A2963" s="7"/>
      <c r="B2963" s="7"/>
      <c r="C2963" s="74"/>
      <c r="D2963" s="74"/>
      <c r="F2963" s="7"/>
      <c r="G2963" s="74"/>
      <c r="H2963" s="74"/>
      <c r="J2963" s="7"/>
      <c r="K2963" s="74"/>
      <c r="L2963" s="74"/>
      <c r="N2963" s="7"/>
      <c r="O2963" s="74"/>
      <c r="P2963" s="74"/>
      <c r="R2963" s="7"/>
      <c r="S2963" s="7"/>
      <c r="T2963" s="66"/>
    </row>
    <row r="2964" spans="1:20" ht="13.2">
      <c r="A2964" s="7"/>
      <c r="B2964" s="7"/>
      <c r="C2964" s="74"/>
      <c r="D2964" s="74"/>
      <c r="F2964" s="7"/>
      <c r="G2964" s="74"/>
      <c r="H2964" s="74"/>
      <c r="J2964" s="7"/>
      <c r="K2964" s="74"/>
      <c r="L2964" s="74"/>
      <c r="N2964" s="7"/>
      <c r="O2964" s="74"/>
      <c r="P2964" s="74"/>
      <c r="R2964" s="7"/>
      <c r="S2964" s="7"/>
      <c r="T2964" s="66"/>
    </row>
    <row r="2965" spans="1:20" ht="13.2">
      <c r="A2965" s="7"/>
      <c r="B2965" s="7"/>
      <c r="C2965" s="74"/>
      <c r="D2965" s="74"/>
      <c r="F2965" s="7"/>
      <c r="G2965" s="74"/>
      <c r="H2965" s="74"/>
      <c r="J2965" s="7"/>
      <c r="K2965" s="74"/>
      <c r="L2965" s="74"/>
      <c r="N2965" s="7"/>
      <c r="O2965" s="74"/>
      <c r="P2965" s="74"/>
      <c r="R2965" s="7"/>
      <c r="S2965" s="7"/>
      <c r="T2965" s="66"/>
    </row>
    <row r="2966" spans="1:20" ht="13.2">
      <c r="A2966" s="7"/>
      <c r="B2966" s="7"/>
      <c r="C2966" s="74"/>
      <c r="D2966" s="74"/>
      <c r="F2966" s="7"/>
      <c r="G2966" s="74"/>
      <c r="H2966" s="74"/>
      <c r="J2966" s="7"/>
      <c r="K2966" s="74"/>
      <c r="L2966" s="74"/>
      <c r="N2966" s="7"/>
      <c r="O2966" s="74"/>
      <c r="P2966" s="74"/>
      <c r="R2966" s="7"/>
      <c r="S2966" s="7"/>
      <c r="T2966" s="66"/>
    </row>
    <row r="2967" spans="1:20" ht="13.2">
      <c r="A2967" s="7"/>
      <c r="B2967" s="7"/>
      <c r="C2967" s="74"/>
      <c r="D2967" s="74"/>
      <c r="F2967" s="7"/>
      <c r="G2967" s="74"/>
      <c r="H2967" s="74"/>
      <c r="J2967" s="7"/>
      <c r="K2967" s="74"/>
      <c r="L2967" s="74"/>
      <c r="N2967" s="7"/>
      <c r="O2967" s="74"/>
      <c r="P2967" s="74"/>
      <c r="R2967" s="7"/>
      <c r="S2967" s="7"/>
      <c r="T2967" s="66"/>
    </row>
    <row r="2968" spans="1:20" ht="13.2">
      <c r="A2968" s="7"/>
      <c r="B2968" s="7"/>
      <c r="C2968" s="74"/>
      <c r="D2968" s="74"/>
      <c r="F2968" s="7"/>
      <c r="G2968" s="74"/>
      <c r="H2968" s="74"/>
      <c r="J2968" s="7"/>
      <c r="K2968" s="74"/>
      <c r="L2968" s="74"/>
      <c r="N2968" s="7"/>
      <c r="O2968" s="74"/>
      <c r="P2968" s="74"/>
      <c r="R2968" s="7"/>
      <c r="S2968" s="7"/>
      <c r="T2968" s="66"/>
    </row>
    <row r="2969" spans="1:20" ht="13.2">
      <c r="A2969" s="7"/>
      <c r="B2969" s="7"/>
      <c r="C2969" s="74"/>
      <c r="D2969" s="74"/>
      <c r="F2969" s="7"/>
      <c r="G2969" s="74"/>
      <c r="H2969" s="74"/>
      <c r="J2969" s="7"/>
      <c r="K2969" s="74"/>
      <c r="L2969" s="74"/>
      <c r="N2969" s="7"/>
      <c r="O2969" s="74"/>
      <c r="P2969" s="74"/>
      <c r="R2969" s="7"/>
      <c r="S2969" s="7"/>
      <c r="T2969" s="66"/>
    </row>
    <row r="2970" spans="1:20" ht="13.2">
      <c r="A2970" s="7"/>
      <c r="B2970" s="7"/>
      <c r="C2970" s="74"/>
      <c r="D2970" s="74"/>
      <c r="F2970" s="7"/>
      <c r="G2970" s="74"/>
      <c r="H2970" s="74"/>
      <c r="J2970" s="7"/>
      <c r="K2970" s="74"/>
      <c r="L2970" s="74"/>
      <c r="N2970" s="7"/>
      <c r="O2970" s="74"/>
      <c r="P2970" s="74"/>
      <c r="R2970" s="7"/>
      <c r="S2970" s="7"/>
      <c r="T2970" s="66"/>
    </row>
    <row r="2971" spans="1:20" ht="13.2">
      <c r="A2971" s="7"/>
      <c r="B2971" s="7"/>
      <c r="C2971" s="74"/>
      <c r="D2971" s="74"/>
      <c r="F2971" s="7"/>
      <c r="G2971" s="74"/>
      <c r="H2971" s="74"/>
      <c r="J2971" s="7"/>
      <c r="K2971" s="74"/>
      <c r="L2971" s="74"/>
      <c r="N2971" s="7"/>
      <c r="O2971" s="74"/>
      <c r="P2971" s="74"/>
      <c r="R2971" s="7"/>
      <c r="S2971" s="7"/>
      <c r="T2971" s="66"/>
    </row>
    <row r="2972" spans="1:20" ht="13.2">
      <c r="A2972" s="7"/>
      <c r="B2972" s="7"/>
      <c r="C2972" s="74"/>
      <c r="D2972" s="74"/>
      <c r="F2972" s="7"/>
      <c r="G2972" s="74"/>
      <c r="H2972" s="74"/>
      <c r="J2972" s="7"/>
      <c r="K2972" s="74"/>
      <c r="L2972" s="74"/>
      <c r="N2972" s="7"/>
      <c r="O2972" s="74"/>
      <c r="P2972" s="74"/>
      <c r="R2972" s="7"/>
      <c r="S2972" s="7"/>
      <c r="T2972" s="66"/>
    </row>
    <row r="2973" spans="1:20" ht="13.2">
      <c r="A2973" s="7"/>
      <c r="B2973" s="7"/>
      <c r="C2973" s="74"/>
      <c r="D2973" s="74"/>
      <c r="F2973" s="7"/>
      <c r="G2973" s="74"/>
      <c r="H2973" s="74"/>
      <c r="J2973" s="7"/>
      <c r="K2973" s="74"/>
      <c r="L2973" s="74"/>
      <c r="N2973" s="7"/>
      <c r="O2973" s="74"/>
      <c r="P2973" s="74"/>
      <c r="R2973" s="7"/>
      <c r="S2973" s="7"/>
      <c r="T2973" s="66"/>
    </row>
    <row r="2974" spans="1:20" ht="13.2">
      <c r="A2974" s="7"/>
      <c r="B2974" s="7"/>
      <c r="C2974" s="74"/>
      <c r="D2974" s="74"/>
      <c r="F2974" s="7"/>
      <c r="G2974" s="74"/>
      <c r="H2974" s="74"/>
      <c r="J2974" s="7"/>
      <c r="K2974" s="74"/>
      <c r="L2974" s="74"/>
      <c r="N2974" s="7"/>
      <c r="O2974" s="74"/>
      <c r="P2974" s="74"/>
      <c r="R2974" s="7"/>
      <c r="S2974" s="7"/>
      <c r="T2974" s="66"/>
    </row>
    <row r="2975" spans="1:20" ht="13.2">
      <c r="A2975" s="7"/>
      <c r="B2975" s="7"/>
      <c r="C2975" s="74"/>
      <c r="D2975" s="74"/>
      <c r="F2975" s="7"/>
      <c r="G2975" s="74"/>
      <c r="H2975" s="74"/>
      <c r="J2975" s="7"/>
      <c r="K2975" s="74"/>
      <c r="L2975" s="74"/>
      <c r="N2975" s="7"/>
      <c r="O2975" s="74"/>
      <c r="P2975" s="74"/>
      <c r="R2975" s="7"/>
      <c r="S2975" s="7"/>
      <c r="T2975" s="66"/>
    </row>
    <row r="2976" spans="1:20" ht="13.2">
      <c r="A2976" s="7"/>
      <c r="B2976" s="7"/>
      <c r="C2976" s="74"/>
      <c r="D2976" s="74"/>
      <c r="F2976" s="7"/>
      <c r="G2976" s="74"/>
      <c r="H2976" s="74"/>
      <c r="J2976" s="7"/>
      <c r="K2976" s="74"/>
      <c r="L2976" s="74"/>
      <c r="N2976" s="7"/>
      <c r="O2976" s="74"/>
      <c r="P2976" s="74"/>
      <c r="R2976" s="7"/>
      <c r="S2976" s="7"/>
      <c r="T2976" s="66"/>
    </row>
    <row r="2977" spans="1:20" ht="13.2">
      <c r="A2977" s="7"/>
      <c r="B2977" s="7"/>
      <c r="C2977" s="74"/>
      <c r="D2977" s="74"/>
      <c r="F2977" s="7"/>
      <c r="G2977" s="74"/>
      <c r="H2977" s="74"/>
      <c r="J2977" s="7"/>
      <c r="K2977" s="74"/>
      <c r="L2977" s="74"/>
      <c r="N2977" s="7"/>
      <c r="O2977" s="74"/>
      <c r="P2977" s="74"/>
      <c r="R2977" s="7"/>
      <c r="S2977" s="7"/>
      <c r="T2977" s="66"/>
    </row>
    <row r="2978" spans="1:20" ht="13.2">
      <c r="A2978" s="7"/>
      <c r="B2978" s="7"/>
      <c r="C2978" s="74"/>
      <c r="D2978" s="74"/>
      <c r="F2978" s="7"/>
      <c r="G2978" s="74"/>
      <c r="H2978" s="74"/>
      <c r="J2978" s="7"/>
      <c r="K2978" s="74"/>
      <c r="L2978" s="74"/>
      <c r="N2978" s="7"/>
      <c r="O2978" s="74"/>
      <c r="P2978" s="74"/>
      <c r="R2978" s="7"/>
      <c r="S2978" s="7"/>
      <c r="T2978" s="66"/>
    </row>
    <row r="2979" spans="1:20" ht="13.2">
      <c r="A2979" s="7"/>
      <c r="B2979" s="7"/>
      <c r="C2979" s="74"/>
      <c r="D2979" s="74"/>
      <c r="F2979" s="7"/>
      <c r="G2979" s="74"/>
      <c r="H2979" s="74"/>
      <c r="J2979" s="7"/>
      <c r="K2979" s="74"/>
      <c r="L2979" s="74"/>
      <c r="N2979" s="7"/>
      <c r="O2979" s="74"/>
      <c r="P2979" s="74"/>
      <c r="R2979" s="7"/>
      <c r="S2979" s="7"/>
      <c r="T2979" s="66"/>
    </row>
    <row r="2980" spans="1:20" ht="13.2">
      <c r="A2980" s="7"/>
      <c r="B2980" s="7"/>
      <c r="C2980" s="74"/>
      <c r="D2980" s="74"/>
      <c r="F2980" s="7"/>
      <c r="G2980" s="74"/>
      <c r="H2980" s="74"/>
      <c r="J2980" s="7"/>
      <c r="K2980" s="74"/>
      <c r="L2980" s="74"/>
      <c r="N2980" s="7"/>
      <c r="O2980" s="74"/>
      <c r="P2980" s="74"/>
      <c r="R2980" s="7"/>
      <c r="S2980" s="7"/>
      <c r="T2980" s="66"/>
    </row>
    <row r="2981" spans="1:20" ht="13.2">
      <c r="A2981" s="7"/>
      <c r="B2981" s="7"/>
      <c r="C2981" s="74"/>
      <c r="D2981" s="74"/>
      <c r="F2981" s="7"/>
      <c r="G2981" s="74"/>
      <c r="H2981" s="74"/>
      <c r="J2981" s="7"/>
      <c r="K2981" s="74"/>
      <c r="L2981" s="74"/>
      <c r="N2981" s="7"/>
      <c r="O2981" s="74"/>
      <c r="P2981" s="74"/>
      <c r="R2981" s="7"/>
      <c r="S2981" s="7"/>
      <c r="T2981" s="66"/>
    </row>
    <row r="2982" spans="1:20" ht="13.2">
      <c r="A2982" s="7"/>
      <c r="B2982" s="7"/>
      <c r="C2982" s="74"/>
      <c r="D2982" s="74"/>
      <c r="F2982" s="7"/>
      <c r="G2982" s="74"/>
      <c r="H2982" s="74"/>
      <c r="J2982" s="7"/>
      <c r="K2982" s="74"/>
      <c r="L2982" s="74"/>
      <c r="N2982" s="7"/>
      <c r="O2982" s="74"/>
      <c r="P2982" s="74"/>
      <c r="R2982" s="7"/>
      <c r="S2982" s="7"/>
      <c r="T2982" s="66"/>
    </row>
    <row r="2983" spans="1:20" ht="13.2">
      <c r="A2983" s="7"/>
      <c r="B2983" s="7"/>
      <c r="C2983" s="74"/>
      <c r="D2983" s="74"/>
      <c r="F2983" s="7"/>
      <c r="G2983" s="74"/>
      <c r="H2983" s="74"/>
      <c r="J2983" s="7"/>
      <c r="K2983" s="74"/>
      <c r="L2983" s="74"/>
      <c r="N2983" s="7"/>
      <c r="O2983" s="74"/>
      <c r="P2983" s="74"/>
      <c r="R2983" s="7"/>
      <c r="S2983" s="7"/>
      <c r="T2983" s="66"/>
    </row>
    <row r="2984" spans="1:20" ht="13.2">
      <c r="A2984" s="7"/>
      <c r="B2984" s="7"/>
      <c r="C2984" s="74"/>
      <c r="D2984" s="74"/>
      <c r="F2984" s="7"/>
      <c r="G2984" s="74"/>
      <c r="H2984" s="74"/>
      <c r="J2984" s="7"/>
      <c r="K2984" s="74"/>
      <c r="L2984" s="74"/>
      <c r="N2984" s="7"/>
      <c r="O2984" s="74"/>
      <c r="P2984" s="74"/>
      <c r="R2984" s="7"/>
      <c r="S2984" s="7"/>
      <c r="T2984" s="66"/>
    </row>
    <row r="2985" spans="1:20" ht="13.2">
      <c r="A2985" s="7"/>
      <c r="B2985" s="7"/>
      <c r="C2985" s="74"/>
      <c r="D2985" s="74"/>
      <c r="F2985" s="7"/>
      <c r="G2985" s="74"/>
      <c r="H2985" s="74"/>
      <c r="J2985" s="7"/>
      <c r="K2985" s="74"/>
      <c r="L2985" s="74"/>
      <c r="N2985" s="7"/>
      <c r="O2985" s="74"/>
      <c r="P2985" s="74"/>
      <c r="R2985" s="7"/>
      <c r="S2985" s="7"/>
      <c r="T2985" s="66"/>
    </row>
    <row r="2986" spans="1:20" ht="13.2">
      <c r="A2986" s="7"/>
      <c r="B2986" s="7"/>
      <c r="C2986" s="74"/>
      <c r="D2986" s="74"/>
      <c r="F2986" s="7"/>
      <c r="G2986" s="74"/>
      <c r="H2986" s="74"/>
      <c r="J2986" s="7"/>
      <c r="K2986" s="74"/>
      <c r="L2986" s="74"/>
      <c r="N2986" s="7"/>
      <c r="O2986" s="74"/>
      <c r="P2986" s="74"/>
      <c r="R2986" s="7"/>
      <c r="S2986" s="7"/>
      <c r="T2986" s="66"/>
    </row>
    <row r="2987" spans="1:20" ht="13.2">
      <c r="A2987" s="7"/>
      <c r="B2987" s="7"/>
      <c r="C2987" s="74"/>
      <c r="D2987" s="74"/>
      <c r="F2987" s="7"/>
      <c r="G2987" s="74"/>
      <c r="H2987" s="74"/>
      <c r="J2987" s="7"/>
      <c r="K2987" s="74"/>
      <c r="L2987" s="74"/>
      <c r="N2987" s="7"/>
      <c r="O2987" s="74"/>
      <c r="P2987" s="74"/>
      <c r="R2987" s="7"/>
      <c r="S2987" s="7"/>
      <c r="T2987" s="66"/>
    </row>
    <row r="2988" spans="1:20" ht="13.2">
      <c r="A2988" s="7"/>
      <c r="B2988" s="7"/>
      <c r="C2988" s="74"/>
      <c r="D2988" s="74"/>
      <c r="F2988" s="7"/>
      <c r="G2988" s="74"/>
      <c r="H2988" s="74"/>
      <c r="J2988" s="7"/>
      <c r="K2988" s="74"/>
      <c r="L2988" s="74"/>
      <c r="N2988" s="7"/>
      <c r="O2988" s="74"/>
      <c r="P2988" s="74"/>
      <c r="R2988" s="7"/>
      <c r="S2988" s="7"/>
      <c r="T2988" s="66"/>
    </row>
    <row r="2989" spans="1:20" ht="13.2">
      <c r="A2989" s="7"/>
      <c r="B2989" s="7"/>
      <c r="C2989" s="74"/>
      <c r="D2989" s="74"/>
      <c r="F2989" s="7"/>
      <c r="G2989" s="74"/>
      <c r="H2989" s="74"/>
      <c r="J2989" s="7"/>
      <c r="K2989" s="74"/>
      <c r="L2989" s="74"/>
      <c r="N2989" s="7"/>
      <c r="O2989" s="74"/>
      <c r="P2989" s="74"/>
      <c r="R2989" s="7"/>
      <c r="S2989" s="7"/>
      <c r="T2989" s="66"/>
    </row>
    <row r="2990" spans="1:20" ht="13.2">
      <c r="A2990" s="7"/>
      <c r="B2990" s="7"/>
      <c r="C2990" s="74"/>
      <c r="D2990" s="74"/>
      <c r="F2990" s="7"/>
      <c r="G2990" s="74"/>
      <c r="H2990" s="74"/>
      <c r="J2990" s="7"/>
      <c r="K2990" s="74"/>
      <c r="L2990" s="74"/>
      <c r="N2990" s="7"/>
      <c r="O2990" s="74"/>
      <c r="P2990" s="74"/>
      <c r="R2990" s="7"/>
      <c r="S2990" s="7"/>
      <c r="T2990" s="66"/>
    </row>
    <row r="2991" spans="1:20" ht="13.2">
      <c r="A2991" s="7"/>
      <c r="B2991" s="7"/>
      <c r="C2991" s="74"/>
      <c r="D2991" s="74"/>
      <c r="F2991" s="7"/>
      <c r="G2991" s="74"/>
      <c r="H2991" s="74"/>
      <c r="J2991" s="7"/>
      <c r="K2991" s="74"/>
      <c r="L2991" s="74"/>
      <c r="N2991" s="7"/>
      <c r="O2991" s="74"/>
      <c r="P2991" s="74"/>
      <c r="R2991" s="7"/>
      <c r="S2991" s="7"/>
      <c r="T2991" s="66"/>
    </row>
    <row r="2992" spans="1:20" ht="13.2">
      <c r="A2992" s="7"/>
      <c r="B2992" s="7"/>
      <c r="C2992" s="74"/>
      <c r="D2992" s="74"/>
      <c r="F2992" s="7"/>
      <c r="G2992" s="74"/>
      <c r="H2992" s="74"/>
      <c r="J2992" s="7"/>
      <c r="K2992" s="74"/>
      <c r="L2992" s="74"/>
      <c r="N2992" s="7"/>
      <c r="O2992" s="74"/>
      <c r="P2992" s="74"/>
      <c r="R2992" s="7"/>
      <c r="S2992" s="7"/>
      <c r="T2992" s="66"/>
    </row>
    <row r="2993" spans="1:20" ht="13.2">
      <c r="A2993" s="7"/>
      <c r="B2993" s="7"/>
      <c r="C2993" s="74"/>
      <c r="D2993" s="74"/>
      <c r="F2993" s="7"/>
      <c r="G2993" s="74"/>
      <c r="H2993" s="74"/>
      <c r="J2993" s="7"/>
      <c r="K2993" s="74"/>
      <c r="L2993" s="74"/>
      <c r="N2993" s="7"/>
      <c r="O2993" s="74"/>
      <c r="P2993" s="74"/>
      <c r="R2993" s="7"/>
      <c r="S2993" s="7"/>
      <c r="T2993" s="66"/>
    </row>
    <row r="2994" spans="1:20" ht="13.2">
      <c r="A2994" s="7"/>
      <c r="B2994" s="7"/>
      <c r="C2994" s="74"/>
      <c r="D2994" s="74"/>
      <c r="F2994" s="7"/>
      <c r="G2994" s="74"/>
      <c r="H2994" s="74"/>
      <c r="J2994" s="7"/>
      <c r="K2994" s="74"/>
      <c r="L2994" s="74"/>
      <c r="N2994" s="7"/>
      <c r="O2994" s="74"/>
      <c r="P2994" s="74"/>
      <c r="R2994" s="7"/>
      <c r="S2994" s="7"/>
      <c r="T2994" s="66"/>
    </row>
    <row r="2995" spans="1:20" ht="13.2">
      <c r="A2995" s="7"/>
      <c r="B2995" s="7"/>
      <c r="C2995" s="74"/>
      <c r="D2995" s="74"/>
      <c r="F2995" s="7"/>
      <c r="G2995" s="74"/>
      <c r="H2995" s="74"/>
      <c r="J2995" s="7"/>
      <c r="K2995" s="74"/>
      <c r="L2995" s="74"/>
      <c r="N2995" s="7"/>
      <c r="O2995" s="74"/>
      <c r="P2995" s="74"/>
      <c r="R2995" s="7"/>
      <c r="S2995" s="7"/>
      <c r="T2995" s="66"/>
    </row>
    <row r="2996" spans="1:20" ht="13.2">
      <c r="A2996" s="7" t="s">
        <v>699</v>
      </c>
      <c r="B2996" s="7">
        <v>3</v>
      </c>
      <c r="C2996" s="74"/>
      <c r="D2996" s="74"/>
      <c r="F2996" s="7"/>
      <c r="G2996" s="74"/>
      <c r="H2996" s="74"/>
      <c r="J2996" s="7"/>
      <c r="K2996" s="74"/>
      <c r="L2996" s="74"/>
      <c r="N2996" s="7"/>
      <c r="O2996" s="74"/>
      <c r="P2996" s="74"/>
      <c r="R2996" s="7"/>
      <c r="S2996" s="7"/>
      <c r="T2996" s="66"/>
    </row>
    <row r="2997" spans="1:20" ht="13.2">
      <c r="A2997" s="7" t="s">
        <v>699</v>
      </c>
      <c r="B2997" s="7">
        <v>3</v>
      </c>
      <c r="C2997" s="74"/>
      <c r="D2997" s="74"/>
      <c r="F2997" s="7"/>
      <c r="G2997" s="74"/>
      <c r="H2997" s="74"/>
      <c r="J2997" s="7"/>
      <c r="K2997" s="74"/>
      <c r="L2997" s="74"/>
      <c r="N2997" s="7"/>
      <c r="O2997" s="74"/>
      <c r="P2997" s="74"/>
      <c r="R2997" s="7"/>
      <c r="S2997" s="7"/>
      <c r="T2997" s="66"/>
    </row>
    <row r="2998" spans="1:20" ht="13.2">
      <c r="A2998" s="7" t="s">
        <v>699</v>
      </c>
      <c r="B2998" s="7">
        <v>3</v>
      </c>
      <c r="C2998" s="74"/>
      <c r="D2998" s="74"/>
      <c r="F2998" s="7"/>
      <c r="G2998" s="74"/>
      <c r="H2998" s="74"/>
      <c r="J2998" s="7"/>
      <c r="K2998" s="74"/>
      <c r="L2998" s="74"/>
      <c r="N2998" s="7"/>
      <c r="O2998" s="74"/>
      <c r="P2998" s="74"/>
      <c r="R2998" s="7"/>
      <c r="S2998" s="7"/>
      <c r="T2998" s="66"/>
    </row>
    <row r="2999" spans="1:20" ht="13.2">
      <c r="A2999" s="7"/>
      <c r="B2999" s="7"/>
      <c r="C2999" s="74"/>
      <c r="D2999" s="74"/>
      <c r="F2999" s="7"/>
      <c r="G2999" s="74"/>
      <c r="H2999" s="74"/>
      <c r="J2999" s="7"/>
      <c r="K2999" s="74"/>
      <c r="L2999" s="74"/>
      <c r="N2999" s="7"/>
      <c r="O2999" s="74"/>
      <c r="P2999" s="74"/>
      <c r="R2999" s="7"/>
      <c r="S2999" s="7"/>
      <c r="T2999" s="66"/>
    </row>
    <row r="3000" spans="1:20" ht="13.2">
      <c r="A3000" s="7"/>
      <c r="B3000" s="7"/>
      <c r="C3000" s="74"/>
      <c r="D3000" s="74"/>
      <c r="F3000" s="7"/>
      <c r="G3000" s="74"/>
      <c r="H3000" s="74"/>
      <c r="J3000" s="7"/>
      <c r="K3000" s="74"/>
      <c r="L3000" s="74"/>
      <c r="N3000" s="7"/>
      <c r="O3000" s="74"/>
      <c r="P3000" s="74"/>
      <c r="R3000" s="7"/>
      <c r="S3000" s="7"/>
      <c r="T3000" s="66"/>
    </row>
    <row r="3001" spans="1:20" ht="13.2">
      <c r="A3001" s="7"/>
      <c r="B3001" s="7"/>
      <c r="C3001" s="74"/>
      <c r="D3001" s="74"/>
      <c r="F3001" s="7"/>
      <c r="G3001" s="74"/>
      <c r="H3001" s="74"/>
      <c r="J3001" s="7"/>
      <c r="K3001" s="74"/>
      <c r="L3001" s="74"/>
      <c r="N3001" s="7"/>
      <c r="O3001" s="74"/>
      <c r="P3001" s="74"/>
      <c r="R3001" s="7"/>
      <c r="S3001" s="7"/>
      <c r="T3001" s="66"/>
    </row>
    <row r="3002" spans="1:20" ht="13.2">
      <c r="A3002" s="7"/>
      <c r="B3002" s="7"/>
      <c r="C3002" s="74"/>
      <c r="D3002" s="74"/>
      <c r="F3002" s="7"/>
      <c r="G3002" s="74"/>
      <c r="H3002" s="74"/>
      <c r="J3002" s="7"/>
      <c r="K3002" s="74"/>
      <c r="L3002" s="74"/>
      <c r="N3002" s="7"/>
      <c r="O3002" s="74"/>
      <c r="P3002" s="74"/>
      <c r="R3002" s="7"/>
      <c r="S3002" s="7"/>
      <c r="T3002" s="66"/>
    </row>
    <row r="3003" spans="1:20" ht="13.2">
      <c r="A3003" s="7"/>
      <c r="B3003" s="7"/>
      <c r="C3003" s="74"/>
      <c r="D3003" s="74"/>
      <c r="F3003" s="7"/>
      <c r="G3003" s="74"/>
      <c r="H3003" s="74"/>
      <c r="J3003" s="7"/>
      <c r="K3003" s="74"/>
      <c r="L3003" s="74"/>
      <c r="N3003" s="7"/>
      <c r="O3003" s="74"/>
      <c r="P3003" s="74"/>
      <c r="R3003" s="7"/>
      <c r="S3003" s="7"/>
      <c r="T3003" s="66"/>
    </row>
    <row r="3004" spans="1:20" ht="13.2">
      <c r="A3004" s="7"/>
      <c r="B3004" s="7"/>
      <c r="C3004" s="74"/>
      <c r="D3004" s="74"/>
      <c r="F3004" s="7"/>
      <c r="G3004" s="74"/>
      <c r="H3004" s="74"/>
      <c r="J3004" s="7"/>
      <c r="K3004" s="74"/>
      <c r="L3004" s="74"/>
      <c r="N3004" s="7"/>
      <c r="O3004" s="74"/>
      <c r="P3004" s="74"/>
      <c r="R3004" s="7"/>
      <c r="S3004" s="7"/>
      <c r="T3004" s="66"/>
    </row>
    <row r="3005" spans="1:20" ht="13.2">
      <c r="A3005" s="7"/>
      <c r="B3005" s="7"/>
      <c r="C3005" s="74"/>
      <c r="D3005" s="74"/>
      <c r="F3005" s="7"/>
      <c r="G3005" s="74"/>
      <c r="H3005" s="74"/>
      <c r="J3005" s="7"/>
      <c r="K3005" s="74"/>
      <c r="L3005" s="74"/>
      <c r="N3005" s="7"/>
      <c r="O3005" s="74"/>
      <c r="P3005" s="74"/>
      <c r="R3005" s="7"/>
      <c r="S3005" s="7"/>
      <c r="T3005" s="66"/>
    </row>
    <row r="3006" spans="1:20" ht="13.2">
      <c r="A3006" s="7"/>
      <c r="B3006" s="7"/>
      <c r="C3006" s="74"/>
      <c r="D3006" s="74"/>
      <c r="F3006" s="7"/>
      <c r="G3006" s="74"/>
      <c r="H3006" s="74"/>
      <c r="J3006" s="7"/>
      <c r="K3006" s="74"/>
      <c r="L3006" s="74"/>
      <c r="N3006" s="7"/>
      <c r="O3006" s="74"/>
      <c r="P3006" s="74"/>
      <c r="R3006" s="7"/>
      <c r="S3006" s="7"/>
      <c r="T3006" s="66"/>
    </row>
    <row r="3007" spans="1:20" ht="13.2">
      <c r="A3007" s="7"/>
      <c r="B3007" s="7"/>
      <c r="C3007" s="74"/>
      <c r="D3007" s="74"/>
      <c r="F3007" s="7"/>
      <c r="G3007" s="74"/>
      <c r="H3007" s="74"/>
      <c r="J3007" s="7"/>
      <c r="K3007" s="74"/>
      <c r="L3007" s="74"/>
      <c r="N3007" s="7"/>
      <c r="O3007" s="74"/>
      <c r="P3007" s="74"/>
      <c r="R3007" s="7"/>
      <c r="S3007" s="7"/>
      <c r="T3007" s="66"/>
    </row>
    <row r="3008" spans="1:20" ht="13.2">
      <c r="A3008" s="7"/>
      <c r="B3008" s="7"/>
      <c r="C3008" s="74"/>
      <c r="D3008" s="74"/>
      <c r="F3008" s="7"/>
      <c r="G3008" s="74"/>
      <c r="H3008" s="74"/>
      <c r="J3008" s="7"/>
      <c r="K3008" s="74"/>
      <c r="L3008" s="74"/>
      <c r="N3008" s="7"/>
      <c r="O3008" s="74"/>
      <c r="P3008" s="74"/>
      <c r="R3008" s="7"/>
      <c r="S3008" s="7"/>
      <c r="T3008" s="66"/>
    </row>
    <row r="3009" spans="1:20" ht="13.2">
      <c r="A3009" s="7"/>
      <c r="B3009" s="7"/>
      <c r="C3009" s="74"/>
      <c r="D3009" s="74"/>
      <c r="F3009" s="7"/>
      <c r="G3009" s="74"/>
      <c r="H3009" s="74"/>
      <c r="J3009" s="7"/>
      <c r="K3009" s="74"/>
      <c r="L3009" s="74"/>
      <c r="N3009" s="7"/>
      <c r="O3009" s="74"/>
      <c r="P3009" s="74"/>
      <c r="R3009" s="7"/>
      <c r="S3009" s="7"/>
      <c r="T3009" s="66"/>
    </row>
    <row r="3010" spans="1:20" ht="13.2">
      <c r="A3010" s="7"/>
      <c r="B3010" s="7"/>
      <c r="C3010" s="74"/>
      <c r="D3010" s="74"/>
      <c r="F3010" s="7"/>
      <c r="G3010" s="74"/>
      <c r="H3010" s="74"/>
      <c r="J3010" s="7"/>
      <c r="K3010" s="74"/>
      <c r="L3010" s="74"/>
      <c r="N3010" s="7"/>
      <c r="O3010" s="74"/>
      <c r="P3010" s="74"/>
      <c r="R3010" s="7"/>
      <c r="S3010" s="7"/>
      <c r="T3010" s="66"/>
    </row>
    <row r="3011" spans="1:20" ht="13.2">
      <c r="A3011" s="7"/>
      <c r="B3011" s="7"/>
      <c r="C3011" s="74"/>
      <c r="D3011" s="74"/>
      <c r="F3011" s="7"/>
      <c r="G3011" s="74"/>
      <c r="H3011" s="74"/>
      <c r="J3011" s="7"/>
      <c r="K3011" s="74"/>
      <c r="L3011" s="74"/>
      <c r="N3011" s="7"/>
      <c r="O3011" s="74"/>
      <c r="P3011" s="74"/>
      <c r="R3011" s="7"/>
      <c r="S3011" s="7"/>
      <c r="T3011" s="66"/>
    </row>
    <row r="3012" spans="1:20" ht="13.2">
      <c r="A3012" s="7"/>
      <c r="B3012" s="7"/>
      <c r="C3012" s="74"/>
      <c r="D3012" s="74"/>
      <c r="F3012" s="7"/>
      <c r="G3012" s="74"/>
      <c r="H3012" s="74"/>
      <c r="J3012" s="7"/>
      <c r="K3012" s="74"/>
      <c r="L3012" s="74"/>
      <c r="N3012" s="7"/>
      <c r="O3012" s="74"/>
      <c r="P3012" s="74"/>
      <c r="R3012" s="7"/>
      <c r="S3012" s="7"/>
      <c r="T3012" s="66"/>
    </row>
    <row r="3013" spans="1:20" ht="13.2">
      <c r="A3013" s="7" t="e">
        <v>#N/A</v>
      </c>
      <c r="B3013" s="7"/>
      <c r="C3013" s="74"/>
      <c r="D3013" s="74"/>
      <c r="F3013" s="7"/>
      <c r="G3013" s="74"/>
      <c r="H3013" s="74"/>
      <c r="J3013" s="7"/>
      <c r="K3013" s="74"/>
      <c r="L3013" s="74"/>
      <c r="N3013" s="7"/>
      <c r="O3013" s="74"/>
      <c r="P3013" s="74"/>
      <c r="R3013" s="7"/>
      <c r="S3013" s="7"/>
      <c r="T3013" s="66"/>
    </row>
    <row r="3014" spans="1:20" ht="13.2">
      <c r="A3014" s="7"/>
      <c r="B3014" s="7"/>
      <c r="C3014" s="74"/>
      <c r="D3014" s="74"/>
      <c r="F3014" s="7"/>
      <c r="G3014" s="74"/>
      <c r="H3014" s="74"/>
      <c r="J3014" s="7"/>
      <c r="K3014" s="74"/>
      <c r="L3014" s="74"/>
      <c r="N3014" s="7"/>
      <c r="O3014" s="74"/>
      <c r="P3014" s="74"/>
      <c r="R3014" s="7"/>
      <c r="S3014" s="7"/>
      <c r="T3014" s="66"/>
    </row>
    <row r="3015" spans="1:20" ht="13.2">
      <c r="A3015" s="7" t="s">
        <v>708</v>
      </c>
      <c r="B3015" s="7"/>
      <c r="C3015" s="74"/>
      <c r="D3015" s="74"/>
      <c r="F3015" s="7"/>
      <c r="G3015" s="74"/>
      <c r="H3015" s="74"/>
      <c r="J3015" s="7"/>
      <c r="K3015" s="74"/>
      <c r="L3015" s="74"/>
      <c r="N3015" s="7"/>
      <c r="O3015" s="74"/>
      <c r="P3015" s="74"/>
      <c r="R3015" s="7"/>
      <c r="S3015" s="7"/>
      <c r="T3015" s="66"/>
    </row>
    <row r="3016" spans="1:20" ht="13.2">
      <c r="A3016" s="7"/>
      <c r="B3016" s="7"/>
      <c r="C3016" s="74"/>
      <c r="D3016" s="74"/>
      <c r="F3016" s="7"/>
      <c r="G3016" s="74"/>
      <c r="H3016" s="74"/>
      <c r="J3016" s="7"/>
      <c r="K3016" s="74"/>
      <c r="L3016" s="74"/>
      <c r="N3016" s="7"/>
      <c r="O3016" s="74"/>
      <c r="P3016" s="74"/>
      <c r="R3016" s="7"/>
      <c r="S3016" s="7"/>
      <c r="T3016" s="66"/>
    </row>
    <row r="3017" spans="1:20" ht="13.2">
      <c r="A3017" s="7" t="s">
        <v>713</v>
      </c>
      <c r="B3017" s="7"/>
      <c r="C3017" s="74"/>
      <c r="D3017" s="74"/>
      <c r="F3017" s="7"/>
      <c r="G3017" s="74"/>
      <c r="H3017" s="74"/>
      <c r="J3017" s="7"/>
      <c r="K3017" s="74"/>
      <c r="L3017" s="74"/>
      <c r="N3017" s="7"/>
      <c r="O3017" s="74"/>
      <c r="P3017" s="74"/>
      <c r="R3017" s="7"/>
      <c r="S3017" s="7"/>
      <c r="T3017" s="66"/>
    </row>
    <row r="3018" spans="1:20" ht="13.2">
      <c r="A3018" s="7"/>
      <c r="B3018" s="7"/>
      <c r="C3018" s="74"/>
      <c r="D3018" s="74"/>
      <c r="F3018" s="7"/>
      <c r="G3018" s="74"/>
      <c r="H3018" s="74"/>
      <c r="J3018" s="7"/>
      <c r="K3018" s="74"/>
      <c r="L3018" s="74"/>
      <c r="N3018" s="7"/>
      <c r="O3018" s="74"/>
      <c r="P3018" s="74"/>
      <c r="R3018" s="7"/>
      <c r="S3018" s="7"/>
      <c r="T3018" s="66"/>
    </row>
    <row r="3019" spans="1:20" ht="13.2">
      <c r="A3019" s="7" t="s">
        <v>711</v>
      </c>
      <c r="B3019" s="7"/>
      <c r="C3019" s="74"/>
      <c r="D3019" s="74"/>
      <c r="F3019" s="7"/>
      <c r="G3019" s="74"/>
      <c r="H3019" s="74"/>
      <c r="J3019" s="7"/>
      <c r="K3019" s="74"/>
      <c r="L3019" s="74"/>
      <c r="N3019" s="7"/>
      <c r="O3019" s="74"/>
      <c r="P3019" s="74"/>
      <c r="R3019" s="7"/>
      <c r="S3019" s="7"/>
      <c r="T3019" s="66"/>
    </row>
    <row r="3020" spans="1:20" ht="13.2">
      <c r="A3020" s="7"/>
      <c r="B3020" s="7"/>
      <c r="C3020" s="74"/>
      <c r="D3020" s="74"/>
      <c r="F3020" s="7"/>
      <c r="G3020" s="74"/>
      <c r="H3020" s="74"/>
      <c r="J3020" s="7"/>
      <c r="K3020" s="74"/>
      <c r="L3020" s="74"/>
      <c r="N3020" s="7"/>
      <c r="O3020" s="74"/>
      <c r="P3020" s="74"/>
      <c r="R3020" s="7"/>
      <c r="S3020" s="7"/>
      <c r="T3020" s="66"/>
    </row>
    <row r="3021" spans="1:20" ht="13.2">
      <c r="A3021" s="7" t="s">
        <v>712</v>
      </c>
      <c r="B3021" s="7"/>
      <c r="C3021" s="74"/>
      <c r="D3021" s="74"/>
      <c r="F3021" s="7"/>
      <c r="G3021" s="74"/>
      <c r="H3021" s="74"/>
      <c r="J3021" s="7"/>
      <c r="K3021" s="74"/>
      <c r="L3021" s="74"/>
      <c r="N3021" s="7"/>
      <c r="O3021" s="74"/>
      <c r="P3021" s="74"/>
      <c r="R3021" s="7"/>
      <c r="S3021" s="7"/>
      <c r="T3021" s="66"/>
    </row>
    <row r="3022" spans="1:20" ht="13.2">
      <c r="A3022" s="7"/>
      <c r="B3022" s="7"/>
      <c r="C3022" s="74"/>
      <c r="D3022" s="74"/>
      <c r="F3022" s="7"/>
      <c r="G3022" s="74"/>
      <c r="H3022" s="74"/>
      <c r="J3022" s="7"/>
      <c r="K3022" s="74"/>
      <c r="L3022" s="74"/>
      <c r="N3022" s="7"/>
      <c r="O3022" s="74"/>
      <c r="P3022" s="74"/>
      <c r="R3022" s="7"/>
      <c r="S3022" s="7"/>
      <c r="T3022" s="66"/>
    </row>
    <row r="3023" spans="1:20" ht="13.2">
      <c r="A3023" s="7" t="s">
        <v>711</v>
      </c>
      <c r="B3023" s="7"/>
      <c r="C3023" s="74"/>
      <c r="D3023" s="74"/>
      <c r="F3023" s="7"/>
      <c r="G3023" s="74"/>
      <c r="H3023" s="74"/>
      <c r="J3023" s="7"/>
      <c r="K3023" s="74"/>
      <c r="L3023" s="74"/>
      <c r="N3023" s="7"/>
      <c r="O3023" s="74"/>
      <c r="P3023" s="74"/>
      <c r="R3023" s="7"/>
      <c r="S3023" s="7"/>
      <c r="T3023" s="66"/>
    </row>
    <row r="3024" spans="1:20" ht="13.2">
      <c r="A3024" s="7"/>
      <c r="B3024" s="7"/>
      <c r="C3024" s="74"/>
      <c r="D3024" s="74"/>
      <c r="F3024" s="7"/>
      <c r="G3024" s="74"/>
      <c r="H3024" s="74"/>
      <c r="J3024" s="7"/>
      <c r="K3024" s="74"/>
      <c r="L3024" s="74"/>
      <c r="N3024" s="7"/>
      <c r="O3024" s="74"/>
      <c r="P3024" s="74"/>
      <c r="R3024" s="7"/>
      <c r="S3024" s="7"/>
      <c r="T3024" s="66"/>
    </row>
    <row r="3025" spans="1:20" ht="13.2">
      <c r="A3025" s="7" t="s">
        <v>706</v>
      </c>
      <c r="B3025" s="7"/>
      <c r="C3025" s="74"/>
      <c r="D3025" s="74"/>
      <c r="F3025" s="7"/>
      <c r="G3025" s="74"/>
      <c r="H3025" s="74"/>
      <c r="J3025" s="7"/>
      <c r="K3025" s="74"/>
      <c r="L3025" s="74"/>
      <c r="N3025" s="7"/>
      <c r="O3025" s="74"/>
      <c r="P3025" s="74"/>
      <c r="R3025" s="7"/>
      <c r="S3025" s="7"/>
      <c r="T3025" s="66"/>
    </row>
    <row r="3026" spans="1:20" ht="13.2">
      <c r="A3026" s="7"/>
      <c r="B3026" s="7"/>
      <c r="C3026" s="74"/>
      <c r="D3026" s="74"/>
      <c r="F3026" s="7"/>
      <c r="G3026" s="74"/>
      <c r="H3026" s="74"/>
      <c r="J3026" s="7"/>
      <c r="K3026" s="74"/>
      <c r="L3026" s="74"/>
      <c r="N3026" s="7"/>
      <c r="O3026" s="74"/>
      <c r="P3026" s="74"/>
      <c r="R3026" s="7"/>
      <c r="S3026" s="7"/>
      <c r="T3026" s="66"/>
    </row>
    <row r="3027" spans="1:20" ht="13.2">
      <c r="A3027" s="7" t="s">
        <v>713</v>
      </c>
      <c r="B3027" s="7"/>
      <c r="C3027" s="74"/>
      <c r="D3027" s="74"/>
      <c r="F3027" s="7"/>
      <c r="G3027" s="74"/>
      <c r="H3027" s="74"/>
      <c r="J3027" s="7"/>
      <c r="K3027" s="74"/>
      <c r="L3027" s="74"/>
      <c r="N3027" s="7"/>
      <c r="O3027" s="74"/>
      <c r="P3027" s="74"/>
      <c r="R3027" s="7"/>
      <c r="S3027" s="7"/>
      <c r="T3027" s="66"/>
    </row>
    <row r="3028" spans="1:20" ht="13.2">
      <c r="A3028" s="7"/>
      <c r="B3028" s="7"/>
      <c r="C3028" s="74"/>
      <c r="D3028" s="74"/>
      <c r="F3028" s="7"/>
      <c r="G3028" s="74"/>
      <c r="H3028" s="74"/>
      <c r="J3028" s="7"/>
      <c r="K3028" s="74"/>
      <c r="L3028" s="74"/>
      <c r="N3028" s="7"/>
      <c r="O3028" s="74"/>
      <c r="P3028" s="74"/>
      <c r="R3028" s="7"/>
      <c r="S3028" s="7"/>
      <c r="T3028" s="66"/>
    </row>
    <row r="3029" spans="1:20" ht="13.2">
      <c r="A3029" s="7" t="s">
        <v>713</v>
      </c>
      <c r="B3029" s="7"/>
      <c r="C3029" s="74"/>
      <c r="D3029" s="74"/>
      <c r="F3029" s="7"/>
      <c r="G3029" s="74"/>
      <c r="H3029" s="74"/>
      <c r="J3029" s="7"/>
      <c r="K3029" s="74"/>
      <c r="L3029" s="74"/>
      <c r="N3029" s="7"/>
      <c r="O3029" s="74"/>
      <c r="P3029" s="74"/>
      <c r="R3029" s="7"/>
      <c r="S3029" s="7"/>
      <c r="T3029" s="66"/>
    </row>
    <row r="3030" spans="1:20" ht="13.2">
      <c r="A3030" s="7"/>
      <c r="B3030" s="7"/>
      <c r="C3030" s="74"/>
      <c r="D3030" s="74"/>
      <c r="F3030" s="7"/>
      <c r="G3030" s="74"/>
      <c r="H3030" s="74"/>
      <c r="J3030" s="7"/>
      <c r="K3030" s="74"/>
      <c r="L3030" s="74"/>
      <c r="N3030" s="7"/>
      <c r="O3030" s="74"/>
      <c r="P3030" s="74"/>
      <c r="R3030" s="7"/>
      <c r="S3030" s="7"/>
      <c r="T3030" s="66"/>
    </row>
    <row r="3031" spans="1:20" ht="13.2">
      <c r="A3031" s="7"/>
      <c r="B3031" s="7"/>
      <c r="C3031" s="74"/>
      <c r="D3031" s="74"/>
      <c r="F3031" s="7"/>
      <c r="G3031" s="74"/>
      <c r="H3031" s="74"/>
      <c r="J3031" s="7"/>
      <c r="K3031" s="74"/>
      <c r="L3031" s="74"/>
      <c r="N3031" s="7"/>
      <c r="O3031" s="74"/>
      <c r="P3031" s="74"/>
      <c r="R3031" s="7"/>
      <c r="S3031" s="7"/>
      <c r="T3031" s="66"/>
    </row>
    <row r="3032" spans="1:20" ht="13.2">
      <c r="A3032" s="7"/>
      <c r="B3032" s="7"/>
      <c r="C3032" s="74"/>
      <c r="D3032" s="74"/>
      <c r="F3032" s="7"/>
      <c r="G3032" s="74"/>
      <c r="H3032" s="74"/>
      <c r="J3032" s="7"/>
      <c r="K3032" s="74"/>
      <c r="L3032" s="74"/>
      <c r="N3032" s="7"/>
      <c r="O3032" s="74"/>
      <c r="P3032" s="74"/>
      <c r="R3032" s="7"/>
      <c r="S3032" s="7"/>
      <c r="T3032" s="66"/>
    </row>
    <row r="3033" spans="1:20" ht="13.2">
      <c r="A3033" s="7"/>
      <c r="B3033" s="7"/>
      <c r="C3033" s="74"/>
      <c r="D3033" s="74"/>
      <c r="F3033" s="7"/>
      <c r="G3033" s="74"/>
      <c r="H3033" s="74"/>
      <c r="J3033" s="7"/>
      <c r="K3033" s="74"/>
      <c r="L3033" s="74"/>
      <c r="N3033" s="7"/>
      <c r="O3033" s="74"/>
      <c r="P3033" s="74"/>
      <c r="R3033" s="7"/>
      <c r="S3033" s="7"/>
      <c r="T3033" s="66"/>
    </row>
    <row r="3034" spans="1:20" ht="13.2">
      <c r="A3034" s="7"/>
      <c r="B3034" s="7"/>
      <c r="C3034" s="74"/>
      <c r="D3034" s="74"/>
      <c r="F3034" s="7"/>
      <c r="G3034" s="74"/>
      <c r="H3034" s="74"/>
      <c r="J3034" s="7"/>
      <c r="K3034" s="74"/>
      <c r="L3034" s="74"/>
      <c r="N3034" s="7"/>
      <c r="O3034" s="74"/>
      <c r="P3034" s="74"/>
      <c r="R3034" s="7"/>
      <c r="S3034" s="7"/>
      <c r="T3034" s="66"/>
    </row>
    <row r="3035" spans="1:20" ht="13.2">
      <c r="A3035" s="7"/>
      <c r="B3035" s="7"/>
      <c r="C3035" s="74"/>
      <c r="D3035" s="74"/>
      <c r="F3035" s="7"/>
      <c r="G3035" s="74"/>
      <c r="H3035" s="74"/>
      <c r="J3035" s="7"/>
      <c r="K3035" s="74"/>
      <c r="L3035" s="74"/>
      <c r="N3035" s="7"/>
      <c r="O3035" s="74"/>
      <c r="P3035" s="74"/>
      <c r="R3035" s="7"/>
      <c r="S3035" s="7"/>
      <c r="T3035" s="66"/>
    </row>
    <row r="3036" spans="1:20" ht="13.2">
      <c r="A3036" s="7"/>
      <c r="B3036" s="7"/>
      <c r="C3036" s="74"/>
      <c r="D3036" s="74"/>
      <c r="F3036" s="7"/>
      <c r="G3036" s="74"/>
      <c r="H3036" s="74"/>
      <c r="J3036" s="7"/>
      <c r="K3036" s="74"/>
      <c r="L3036" s="74"/>
      <c r="N3036" s="7"/>
      <c r="O3036" s="74"/>
      <c r="P3036" s="74"/>
      <c r="R3036" s="7"/>
      <c r="S3036" s="7"/>
      <c r="T3036" s="66"/>
    </row>
    <row r="3037" spans="1:20" ht="13.2">
      <c r="A3037" s="7"/>
      <c r="B3037" s="7"/>
      <c r="C3037" s="74"/>
      <c r="D3037" s="74"/>
      <c r="F3037" s="7"/>
      <c r="G3037" s="74"/>
      <c r="H3037" s="74"/>
      <c r="J3037" s="7"/>
      <c r="K3037" s="74"/>
      <c r="L3037" s="74"/>
      <c r="N3037" s="7"/>
      <c r="O3037" s="74"/>
      <c r="P3037" s="74"/>
      <c r="R3037" s="7"/>
      <c r="S3037" s="7"/>
      <c r="T3037" s="66"/>
    </row>
    <row r="3038" spans="1:20" ht="13.2">
      <c r="A3038" s="7"/>
      <c r="B3038" s="7"/>
      <c r="C3038" s="74"/>
      <c r="D3038" s="74"/>
      <c r="F3038" s="7"/>
      <c r="G3038" s="74"/>
      <c r="H3038" s="74"/>
      <c r="J3038" s="7"/>
      <c r="K3038" s="74"/>
      <c r="L3038" s="74"/>
      <c r="N3038" s="7"/>
      <c r="O3038" s="74"/>
      <c r="P3038" s="74"/>
      <c r="R3038" s="7"/>
      <c r="S3038" s="7"/>
      <c r="T3038" s="66"/>
    </row>
    <row r="3039" spans="1:20" ht="13.2">
      <c r="A3039" s="7"/>
      <c r="B3039" s="7"/>
      <c r="C3039" s="74"/>
      <c r="D3039" s="74"/>
      <c r="F3039" s="7"/>
      <c r="G3039" s="74"/>
      <c r="H3039" s="74"/>
      <c r="J3039" s="7"/>
      <c r="K3039" s="74"/>
      <c r="L3039" s="74"/>
      <c r="N3039" s="7"/>
      <c r="O3039" s="74"/>
      <c r="P3039" s="74"/>
      <c r="R3039" s="7"/>
      <c r="S3039" s="7"/>
      <c r="T3039" s="66"/>
    </row>
    <row r="3040" spans="1:20" ht="13.2">
      <c r="A3040" s="7"/>
      <c r="B3040" s="7"/>
      <c r="C3040" s="74"/>
      <c r="D3040" s="74"/>
      <c r="F3040" s="7"/>
      <c r="G3040" s="74"/>
      <c r="H3040" s="74"/>
      <c r="J3040" s="7"/>
      <c r="K3040" s="74"/>
      <c r="L3040" s="74"/>
      <c r="N3040" s="7"/>
      <c r="O3040" s="74"/>
      <c r="P3040" s="74"/>
      <c r="R3040" s="7"/>
      <c r="S3040" s="7"/>
      <c r="T3040" s="66"/>
    </row>
    <row r="3041" spans="1:20" ht="13.2">
      <c r="A3041" s="7"/>
      <c r="B3041" s="7"/>
      <c r="C3041" s="74"/>
      <c r="D3041" s="74"/>
      <c r="F3041" s="7"/>
      <c r="G3041" s="74"/>
      <c r="H3041" s="74"/>
      <c r="J3041" s="7"/>
      <c r="K3041" s="74"/>
      <c r="L3041" s="74"/>
      <c r="N3041" s="7"/>
      <c r="O3041" s="74"/>
      <c r="P3041" s="74"/>
      <c r="R3041" s="7"/>
      <c r="S3041" s="7"/>
      <c r="T3041" s="66"/>
    </row>
    <row r="3042" spans="1:20" ht="13.2">
      <c r="A3042" s="7"/>
      <c r="B3042" s="7"/>
      <c r="C3042" s="74"/>
      <c r="D3042" s="74"/>
      <c r="F3042" s="7"/>
      <c r="G3042" s="74"/>
      <c r="H3042" s="74"/>
      <c r="J3042" s="7"/>
      <c r="K3042" s="74"/>
      <c r="L3042" s="74"/>
      <c r="N3042" s="7"/>
      <c r="O3042" s="74"/>
      <c r="P3042" s="74"/>
      <c r="R3042" s="7"/>
      <c r="S3042" s="7"/>
      <c r="T3042" s="66"/>
    </row>
    <row r="3043" spans="1:20" ht="13.2">
      <c r="A3043" s="7"/>
      <c r="B3043" s="7"/>
      <c r="C3043" s="74"/>
      <c r="D3043" s="74"/>
      <c r="F3043" s="7"/>
      <c r="G3043" s="74"/>
      <c r="H3043" s="74"/>
      <c r="J3043" s="7"/>
      <c r="K3043" s="74"/>
      <c r="L3043" s="74"/>
      <c r="N3043" s="7"/>
      <c r="O3043" s="74"/>
      <c r="P3043" s="74"/>
      <c r="R3043" s="7"/>
      <c r="S3043" s="7"/>
      <c r="T3043" s="66"/>
    </row>
    <row r="3044" spans="1:20" ht="13.2">
      <c r="A3044" s="7"/>
      <c r="B3044" s="7"/>
      <c r="C3044" s="74"/>
      <c r="D3044" s="74"/>
      <c r="F3044" s="7"/>
      <c r="G3044" s="74"/>
      <c r="H3044" s="74"/>
      <c r="J3044" s="7"/>
      <c r="K3044" s="74"/>
      <c r="L3044" s="74"/>
      <c r="N3044" s="7"/>
      <c r="O3044" s="74"/>
      <c r="P3044" s="74"/>
      <c r="R3044" s="7"/>
      <c r="S3044" s="7"/>
      <c r="T3044" s="66"/>
    </row>
    <row r="3045" spans="1:20" ht="13.2">
      <c r="A3045" s="7"/>
      <c r="B3045" s="7"/>
      <c r="C3045" s="74"/>
      <c r="D3045" s="74"/>
      <c r="F3045" s="7"/>
      <c r="G3045" s="74"/>
      <c r="H3045" s="74"/>
      <c r="J3045" s="7"/>
      <c r="K3045" s="74"/>
      <c r="L3045" s="74"/>
      <c r="N3045" s="7"/>
      <c r="O3045" s="74"/>
      <c r="P3045" s="74"/>
      <c r="R3045" s="7"/>
      <c r="S3045" s="7"/>
      <c r="T3045" s="66"/>
    </row>
    <row r="3046" spans="1:20" ht="13.2">
      <c r="A3046" s="7"/>
      <c r="B3046" s="7"/>
      <c r="C3046" s="74"/>
      <c r="D3046" s="74"/>
      <c r="F3046" s="7"/>
      <c r="G3046" s="74"/>
      <c r="H3046" s="74"/>
      <c r="J3046" s="7"/>
      <c r="K3046" s="74"/>
      <c r="L3046" s="74"/>
      <c r="N3046" s="7"/>
      <c r="O3046" s="74"/>
      <c r="P3046" s="74"/>
      <c r="R3046" s="7"/>
      <c r="S3046" s="7"/>
      <c r="T3046" s="66"/>
    </row>
    <row r="3047" spans="1:20" ht="13.2">
      <c r="A3047" s="7"/>
      <c r="B3047" s="7"/>
      <c r="C3047" s="74"/>
      <c r="D3047" s="74"/>
      <c r="F3047" s="7"/>
      <c r="G3047" s="74"/>
      <c r="H3047" s="74"/>
      <c r="J3047" s="7"/>
      <c r="K3047" s="74"/>
      <c r="L3047" s="74"/>
      <c r="N3047" s="7"/>
      <c r="O3047" s="74"/>
      <c r="P3047" s="74"/>
      <c r="R3047" s="7"/>
      <c r="S3047" s="7"/>
      <c r="T3047" s="66"/>
    </row>
    <row r="3048" spans="1:20" ht="13.2">
      <c r="A3048" s="7"/>
      <c r="B3048" s="7"/>
      <c r="C3048" s="74"/>
      <c r="D3048" s="74"/>
      <c r="F3048" s="7"/>
      <c r="G3048" s="74"/>
      <c r="H3048" s="74"/>
      <c r="J3048" s="7"/>
      <c r="K3048" s="74"/>
      <c r="L3048" s="74"/>
      <c r="N3048" s="7"/>
      <c r="O3048" s="74"/>
      <c r="P3048" s="74"/>
      <c r="R3048" s="7"/>
      <c r="S3048" s="7"/>
      <c r="T3048" s="66"/>
    </row>
    <row r="3049" spans="1:20" ht="13.2">
      <c r="A3049" s="7"/>
      <c r="B3049" s="7"/>
      <c r="C3049" s="74"/>
      <c r="D3049" s="74"/>
      <c r="F3049" s="7"/>
      <c r="G3049" s="74"/>
      <c r="H3049" s="74"/>
      <c r="J3049" s="7"/>
      <c r="K3049" s="74"/>
      <c r="L3049" s="74"/>
      <c r="N3049" s="7"/>
      <c r="O3049" s="74"/>
      <c r="P3049" s="74"/>
      <c r="R3049" s="7"/>
      <c r="S3049" s="7"/>
      <c r="T3049" s="66"/>
    </row>
    <row r="3050" spans="1:20" ht="13.2">
      <c r="A3050" s="7"/>
      <c r="B3050" s="7"/>
      <c r="C3050" s="74"/>
      <c r="D3050" s="74"/>
      <c r="F3050" s="7"/>
      <c r="G3050" s="74"/>
      <c r="H3050" s="74"/>
      <c r="J3050" s="7"/>
      <c r="K3050" s="74"/>
      <c r="L3050" s="74"/>
      <c r="N3050" s="7"/>
      <c r="O3050" s="74"/>
      <c r="P3050" s="74"/>
      <c r="R3050" s="7"/>
      <c r="S3050" s="7"/>
      <c r="T3050" s="66"/>
    </row>
    <row r="3051" spans="1:20" ht="13.2">
      <c r="A3051" s="7"/>
      <c r="B3051" s="7"/>
      <c r="C3051" s="74"/>
      <c r="D3051" s="74"/>
      <c r="F3051" s="7"/>
      <c r="G3051" s="74"/>
      <c r="H3051" s="74"/>
      <c r="J3051" s="7"/>
      <c r="K3051" s="74"/>
      <c r="L3051" s="74"/>
      <c r="N3051" s="7"/>
      <c r="O3051" s="74"/>
      <c r="P3051" s="74"/>
      <c r="R3051" s="7"/>
      <c r="S3051" s="7"/>
      <c r="T3051" s="66"/>
    </row>
    <row r="3052" spans="1:20" ht="13.2">
      <c r="A3052" s="7"/>
      <c r="B3052" s="7"/>
      <c r="C3052" s="74"/>
      <c r="D3052" s="74"/>
      <c r="F3052" s="7"/>
      <c r="G3052" s="74"/>
      <c r="H3052" s="74"/>
      <c r="J3052" s="7"/>
      <c r="K3052" s="74"/>
      <c r="L3052" s="74"/>
      <c r="N3052" s="7"/>
      <c r="O3052" s="74"/>
      <c r="P3052" s="74"/>
      <c r="R3052" s="7"/>
      <c r="S3052" s="7"/>
      <c r="T3052" s="66"/>
    </row>
    <row r="3053" spans="1:20" ht="13.2">
      <c r="A3053" s="7"/>
      <c r="B3053" s="7"/>
      <c r="C3053" s="74"/>
      <c r="D3053" s="74"/>
      <c r="F3053" s="7"/>
      <c r="G3053" s="74"/>
      <c r="H3053" s="74"/>
      <c r="J3053" s="7"/>
      <c r="K3053" s="74"/>
      <c r="L3053" s="74"/>
      <c r="N3053" s="7"/>
      <c r="O3053" s="74"/>
      <c r="P3053" s="74"/>
      <c r="R3053" s="7"/>
      <c r="S3053" s="7"/>
      <c r="T3053" s="66"/>
    </row>
    <row r="3054" spans="1:20" ht="13.2">
      <c r="A3054" s="7"/>
      <c r="B3054" s="7"/>
      <c r="C3054" s="74"/>
      <c r="D3054" s="74"/>
      <c r="F3054" s="7"/>
      <c r="G3054" s="74"/>
      <c r="H3054" s="74"/>
      <c r="J3054" s="7"/>
      <c r="K3054" s="74"/>
      <c r="L3054" s="74"/>
      <c r="N3054" s="7"/>
      <c r="O3054" s="74"/>
      <c r="P3054" s="74"/>
      <c r="R3054" s="7"/>
      <c r="S3054" s="7"/>
      <c r="T3054" s="66"/>
    </row>
    <row r="3055" spans="1:20" ht="13.2">
      <c r="A3055" s="7"/>
      <c r="B3055" s="7"/>
      <c r="C3055" s="74"/>
      <c r="D3055" s="74"/>
      <c r="F3055" s="7"/>
      <c r="G3055" s="74"/>
      <c r="H3055" s="74"/>
      <c r="J3055" s="7"/>
      <c r="K3055" s="74"/>
      <c r="L3055" s="74"/>
      <c r="N3055" s="7"/>
      <c r="O3055" s="74"/>
      <c r="P3055" s="74"/>
      <c r="R3055" s="7"/>
      <c r="S3055" s="7"/>
      <c r="T3055" s="66"/>
    </row>
    <row r="3056" spans="1:20" ht="13.2">
      <c r="A3056" s="7"/>
      <c r="B3056" s="7"/>
      <c r="C3056" s="74"/>
      <c r="D3056" s="74"/>
      <c r="F3056" s="7"/>
      <c r="G3056" s="74"/>
      <c r="H3056" s="74"/>
      <c r="J3056" s="7"/>
      <c r="K3056" s="74"/>
      <c r="L3056" s="74"/>
      <c r="N3056" s="7"/>
      <c r="O3056" s="74"/>
      <c r="P3056" s="74"/>
      <c r="R3056" s="7"/>
      <c r="S3056" s="7"/>
      <c r="T3056" s="66"/>
    </row>
    <row r="3057" spans="1:20" ht="13.2">
      <c r="A3057" s="7"/>
      <c r="B3057" s="7"/>
      <c r="C3057" s="74"/>
      <c r="D3057" s="74"/>
      <c r="F3057" s="7"/>
      <c r="G3057" s="74"/>
      <c r="H3057" s="74"/>
      <c r="J3057" s="7"/>
      <c r="K3057" s="74"/>
      <c r="L3057" s="74"/>
      <c r="N3057" s="7"/>
      <c r="O3057" s="74"/>
      <c r="P3057" s="74"/>
      <c r="R3057" s="7"/>
      <c r="S3057" s="7"/>
      <c r="T3057" s="66"/>
    </row>
    <row r="3058" spans="1:20" ht="13.2">
      <c r="A3058" s="7"/>
      <c r="B3058" s="7"/>
      <c r="C3058" s="74"/>
      <c r="D3058" s="74"/>
      <c r="F3058" s="7"/>
      <c r="G3058" s="74"/>
      <c r="H3058" s="74"/>
      <c r="J3058" s="7"/>
      <c r="K3058" s="74"/>
      <c r="L3058" s="74"/>
      <c r="N3058" s="7"/>
      <c r="O3058" s="74"/>
      <c r="P3058" s="74"/>
      <c r="R3058" s="7"/>
      <c r="S3058" s="7"/>
      <c r="T3058" s="66"/>
    </row>
    <row r="3059" spans="1:20" ht="13.2">
      <c r="A3059" s="7"/>
      <c r="B3059" s="7"/>
      <c r="C3059" s="74"/>
      <c r="D3059" s="74"/>
      <c r="F3059" s="7"/>
      <c r="G3059" s="74"/>
      <c r="H3059" s="74"/>
      <c r="J3059" s="7"/>
      <c r="K3059" s="74"/>
      <c r="L3059" s="74"/>
      <c r="N3059" s="7"/>
      <c r="O3059" s="74"/>
      <c r="P3059" s="74"/>
      <c r="R3059" s="7"/>
      <c r="S3059" s="7"/>
      <c r="T3059" s="66"/>
    </row>
    <row r="3060" spans="1:20" ht="13.2">
      <c r="A3060" s="7"/>
      <c r="B3060" s="7"/>
      <c r="C3060" s="74"/>
      <c r="D3060" s="74"/>
      <c r="F3060" s="7"/>
      <c r="G3060" s="74"/>
      <c r="H3060" s="74"/>
      <c r="J3060" s="7"/>
      <c r="K3060" s="74"/>
      <c r="L3060" s="74"/>
      <c r="N3060" s="7"/>
      <c r="O3060" s="74"/>
      <c r="P3060" s="74"/>
      <c r="R3060" s="7"/>
      <c r="S3060" s="7"/>
      <c r="T3060" s="66"/>
    </row>
    <row r="3061" spans="1:20" ht="13.2">
      <c r="A3061" s="7"/>
      <c r="B3061" s="7"/>
      <c r="C3061" s="74"/>
      <c r="D3061" s="74"/>
      <c r="F3061" s="7"/>
      <c r="G3061" s="74"/>
      <c r="H3061" s="74"/>
      <c r="J3061" s="7"/>
      <c r="K3061" s="74"/>
      <c r="L3061" s="74"/>
      <c r="N3061" s="7"/>
      <c r="O3061" s="74"/>
      <c r="P3061" s="74"/>
      <c r="R3061" s="7"/>
      <c r="S3061" s="7"/>
      <c r="T3061" s="66"/>
    </row>
    <row r="3062" spans="1:20" ht="13.2">
      <c r="A3062" s="7"/>
      <c r="B3062" s="7"/>
      <c r="C3062" s="74"/>
      <c r="D3062" s="74"/>
      <c r="F3062" s="7"/>
      <c r="G3062" s="74"/>
      <c r="H3062" s="74"/>
      <c r="J3062" s="7"/>
      <c r="K3062" s="74"/>
      <c r="L3062" s="74"/>
      <c r="N3062" s="7"/>
      <c r="O3062" s="74"/>
      <c r="P3062" s="74"/>
      <c r="R3062" s="7"/>
      <c r="S3062" s="7"/>
      <c r="T3062" s="66"/>
    </row>
    <row r="3063" spans="1:20" ht="13.2">
      <c r="A3063" s="7"/>
      <c r="B3063" s="7"/>
      <c r="C3063" s="74"/>
      <c r="D3063" s="74"/>
      <c r="F3063" s="7"/>
      <c r="G3063" s="74"/>
      <c r="H3063" s="74"/>
      <c r="J3063" s="7"/>
      <c r="K3063" s="74"/>
      <c r="L3063" s="74"/>
      <c r="N3063" s="7"/>
      <c r="O3063" s="74"/>
      <c r="P3063" s="74"/>
      <c r="R3063" s="7"/>
      <c r="S3063" s="7"/>
      <c r="T3063" s="66"/>
    </row>
    <row r="3064" spans="1:20" ht="13.2">
      <c r="A3064" s="7"/>
      <c r="B3064" s="7"/>
      <c r="C3064" s="74"/>
      <c r="D3064" s="74"/>
      <c r="F3064" s="7"/>
      <c r="G3064" s="74"/>
      <c r="H3064" s="74"/>
      <c r="J3064" s="7"/>
      <c r="K3064" s="74"/>
      <c r="L3064" s="74"/>
      <c r="N3064" s="7"/>
      <c r="O3064" s="74"/>
      <c r="P3064" s="74"/>
      <c r="R3064" s="7"/>
      <c r="S3064" s="7"/>
      <c r="T3064" s="66"/>
    </row>
    <row r="3065" spans="1:20" ht="13.2">
      <c r="A3065" s="7"/>
      <c r="B3065" s="7"/>
      <c r="C3065" s="74"/>
      <c r="D3065" s="74"/>
      <c r="F3065" s="7"/>
      <c r="G3065" s="74"/>
      <c r="H3065" s="74"/>
      <c r="J3065" s="7"/>
      <c r="K3065" s="74"/>
      <c r="L3065" s="74"/>
      <c r="N3065" s="7"/>
      <c r="O3065" s="74"/>
      <c r="P3065" s="74"/>
      <c r="R3065" s="7"/>
      <c r="S3065" s="7"/>
      <c r="T3065" s="66"/>
    </row>
    <row r="3066" spans="1:20" ht="13.2">
      <c r="A3066" s="7"/>
      <c r="B3066" s="7"/>
      <c r="C3066" s="74"/>
      <c r="D3066" s="74"/>
      <c r="F3066" s="7"/>
      <c r="G3066" s="74"/>
      <c r="H3066" s="74"/>
      <c r="J3066" s="7"/>
      <c r="K3066" s="74"/>
      <c r="L3066" s="74"/>
      <c r="N3066" s="7"/>
      <c r="O3066" s="74"/>
      <c r="P3066" s="74"/>
      <c r="R3066" s="7"/>
      <c r="S3066" s="7"/>
      <c r="T3066" s="66"/>
    </row>
    <row r="3067" spans="1:20" ht="13.2">
      <c r="A3067" s="7"/>
      <c r="B3067" s="7"/>
      <c r="C3067" s="74"/>
      <c r="D3067" s="74"/>
      <c r="F3067" s="7"/>
      <c r="G3067" s="74"/>
      <c r="H3067" s="74"/>
      <c r="J3067" s="7"/>
      <c r="K3067" s="74"/>
      <c r="L3067" s="74"/>
      <c r="N3067" s="7"/>
      <c r="O3067" s="74"/>
      <c r="P3067" s="74"/>
      <c r="R3067" s="7"/>
      <c r="S3067" s="7"/>
      <c r="T3067" s="66"/>
    </row>
    <row r="3068" spans="1:20" ht="13.2">
      <c r="A3068" s="7"/>
      <c r="B3068" s="7"/>
      <c r="C3068" s="74"/>
      <c r="D3068" s="74"/>
      <c r="F3068" s="7"/>
      <c r="G3068" s="74"/>
      <c r="H3068" s="74"/>
      <c r="J3068" s="7"/>
      <c r="K3068" s="74"/>
      <c r="L3068" s="74"/>
      <c r="N3068" s="7"/>
      <c r="O3068" s="74"/>
      <c r="P3068" s="74"/>
      <c r="R3068" s="7"/>
      <c r="S3068" s="7"/>
      <c r="T3068" s="66"/>
    </row>
    <row r="3069" spans="1:20" ht="13.2">
      <c r="A3069" s="7"/>
      <c r="B3069" s="7"/>
      <c r="C3069" s="74"/>
      <c r="D3069" s="74"/>
      <c r="F3069" s="7"/>
      <c r="G3069" s="74"/>
      <c r="H3069" s="74"/>
      <c r="J3069" s="7"/>
      <c r="K3069" s="74"/>
      <c r="L3069" s="74"/>
      <c r="N3069" s="7"/>
      <c r="O3069" s="74"/>
      <c r="P3069" s="74"/>
      <c r="R3069" s="7"/>
      <c r="S3069" s="7"/>
      <c r="T3069" s="66"/>
    </row>
    <row r="3070" spans="1:20" ht="13.2">
      <c r="A3070" s="7"/>
      <c r="B3070" s="7"/>
      <c r="C3070" s="74"/>
      <c r="D3070" s="74"/>
      <c r="F3070" s="7"/>
      <c r="G3070" s="74"/>
      <c r="H3070" s="74"/>
      <c r="J3070" s="7"/>
      <c r="K3070" s="74"/>
      <c r="L3070" s="74"/>
      <c r="N3070" s="7"/>
      <c r="O3070" s="74"/>
      <c r="P3070" s="74"/>
      <c r="R3070" s="7"/>
      <c r="S3070" s="7"/>
      <c r="T3070" s="66"/>
    </row>
    <row r="3071" spans="1:20" ht="13.2">
      <c r="A3071" s="7"/>
      <c r="B3071" s="7"/>
      <c r="C3071" s="74"/>
      <c r="D3071" s="74"/>
      <c r="F3071" s="7"/>
      <c r="G3071" s="74"/>
      <c r="H3071" s="74"/>
      <c r="J3071" s="7"/>
      <c r="K3071" s="74"/>
      <c r="L3071" s="74"/>
      <c r="N3071" s="7"/>
      <c r="O3071" s="74"/>
      <c r="P3071" s="74"/>
      <c r="R3071" s="7"/>
      <c r="S3071" s="7"/>
      <c r="T3071" s="66"/>
    </row>
    <row r="3072" spans="1:20" ht="13.2">
      <c r="A3072" s="7"/>
      <c r="B3072" s="7"/>
      <c r="C3072" s="74"/>
      <c r="D3072" s="74"/>
      <c r="F3072" s="7"/>
      <c r="G3072" s="74"/>
      <c r="H3072" s="74"/>
      <c r="J3072" s="7"/>
      <c r="K3072" s="74"/>
      <c r="L3072" s="74"/>
      <c r="N3072" s="7"/>
      <c r="O3072" s="74"/>
      <c r="P3072" s="74"/>
      <c r="R3072" s="7"/>
      <c r="S3072" s="7"/>
      <c r="T3072" s="66"/>
    </row>
    <row r="3073" spans="1:20" ht="13.2">
      <c r="A3073" s="7"/>
      <c r="B3073" s="7"/>
      <c r="C3073" s="74"/>
      <c r="D3073" s="74"/>
      <c r="F3073" s="7"/>
      <c r="G3073" s="74"/>
      <c r="H3073" s="74"/>
      <c r="J3073" s="7"/>
      <c r="K3073" s="74"/>
      <c r="L3073" s="74"/>
      <c r="N3073" s="7"/>
      <c r="O3073" s="74"/>
      <c r="P3073" s="74"/>
      <c r="R3073" s="7"/>
      <c r="S3073" s="7"/>
      <c r="T3073" s="66"/>
    </row>
    <row r="3074" spans="1:20" ht="13.2">
      <c r="A3074" s="7"/>
      <c r="B3074" s="7"/>
      <c r="C3074" s="74"/>
      <c r="D3074" s="74"/>
      <c r="F3074" s="7"/>
      <c r="G3074" s="74"/>
      <c r="H3074" s="74"/>
      <c r="J3074" s="7"/>
      <c r="K3074" s="74"/>
      <c r="L3074" s="74"/>
      <c r="N3074" s="7"/>
      <c r="O3074" s="74"/>
      <c r="P3074" s="74"/>
      <c r="R3074" s="7"/>
      <c r="S3074" s="7"/>
      <c r="T3074" s="66"/>
    </row>
    <row r="3075" spans="1:20" ht="13.2">
      <c r="A3075" s="7"/>
      <c r="B3075" s="7"/>
      <c r="C3075" s="74"/>
      <c r="D3075" s="74"/>
      <c r="F3075" s="7"/>
      <c r="G3075" s="74"/>
      <c r="H3075" s="74"/>
      <c r="J3075" s="7"/>
      <c r="K3075" s="74"/>
      <c r="L3075" s="74"/>
      <c r="N3075" s="7"/>
      <c r="O3075" s="74"/>
      <c r="P3075" s="74"/>
      <c r="R3075" s="7"/>
      <c r="S3075" s="7"/>
      <c r="T3075" s="66"/>
    </row>
    <row r="3076" spans="1:20" ht="13.2">
      <c r="A3076" s="7"/>
      <c r="B3076" s="7"/>
      <c r="C3076" s="74"/>
      <c r="D3076" s="74"/>
      <c r="F3076" s="7"/>
      <c r="G3076" s="74"/>
      <c r="H3076" s="74"/>
      <c r="J3076" s="7"/>
      <c r="K3076" s="74"/>
      <c r="L3076" s="74"/>
      <c r="N3076" s="7"/>
      <c r="O3076" s="74"/>
      <c r="P3076" s="74"/>
      <c r="R3076" s="7"/>
      <c r="S3076" s="7"/>
      <c r="T3076" s="66"/>
    </row>
    <row r="3077" spans="1:20" ht="13.2">
      <c r="A3077" s="7"/>
      <c r="B3077" s="7"/>
      <c r="C3077" s="74"/>
      <c r="D3077" s="74"/>
      <c r="F3077" s="7"/>
      <c r="G3077" s="74"/>
      <c r="H3077" s="74"/>
      <c r="J3077" s="7"/>
      <c r="K3077" s="74"/>
      <c r="L3077" s="74"/>
      <c r="N3077" s="7"/>
      <c r="O3077" s="74"/>
      <c r="P3077" s="74"/>
      <c r="R3077" s="7"/>
      <c r="S3077" s="7"/>
      <c r="T3077" s="66"/>
    </row>
    <row r="3078" spans="1:20" ht="13.2">
      <c r="A3078" s="7"/>
      <c r="B3078" s="7"/>
      <c r="C3078" s="74"/>
      <c r="D3078" s="74"/>
      <c r="F3078" s="7"/>
      <c r="G3078" s="74"/>
      <c r="H3078" s="74"/>
      <c r="J3078" s="7"/>
      <c r="K3078" s="74"/>
      <c r="L3078" s="74"/>
      <c r="N3078" s="7"/>
      <c r="O3078" s="74"/>
      <c r="P3078" s="74"/>
      <c r="R3078" s="7"/>
      <c r="S3078" s="7"/>
      <c r="T3078" s="66"/>
    </row>
    <row r="3079" spans="1:20" ht="13.2">
      <c r="A3079" s="7"/>
      <c r="B3079" s="7"/>
      <c r="C3079" s="74"/>
      <c r="D3079" s="74"/>
      <c r="F3079" s="7"/>
      <c r="G3079" s="74"/>
      <c r="H3079" s="74"/>
      <c r="J3079" s="7"/>
      <c r="K3079" s="74"/>
      <c r="L3079" s="74"/>
      <c r="N3079" s="7"/>
      <c r="O3079" s="74"/>
      <c r="P3079" s="74"/>
      <c r="R3079" s="7"/>
      <c r="S3079" s="7"/>
      <c r="T3079" s="66"/>
    </row>
    <row r="3080" spans="1:20" ht="13.2">
      <c r="A3080" s="7"/>
      <c r="B3080" s="7"/>
      <c r="C3080" s="74"/>
      <c r="D3080" s="74"/>
      <c r="F3080" s="7"/>
      <c r="G3080" s="74"/>
      <c r="H3080" s="74"/>
      <c r="J3080" s="7"/>
      <c r="K3080" s="74"/>
      <c r="L3080" s="74"/>
      <c r="N3080" s="7"/>
      <c r="O3080" s="74"/>
      <c r="P3080" s="74"/>
      <c r="R3080" s="7"/>
      <c r="S3080" s="7"/>
      <c r="T3080" s="66"/>
    </row>
    <row r="3081" spans="1:20" ht="13.2">
      <c r="A3081" s="7"/>
      <c r="B3081" s="7"/>
      <c r="C3081" s="74"/>
      <c r="D3081" s="74"/>
      <c r="F3081" s="7"/>
      <c r="G3081" s="74"/>
      <c r="H3081" s="74"/>
      <c r="J3081" s="7"/>
      <c r="K3081" s="74"/>
      <c r="L3081" s="74"/>
      <c r="N3081" s="7"/>
      <c r="O3081" s="74"/>
      <c r="P3081" s="74"/>
      <c r="R3081" s="7"/>
      <c r="S3081" s="7"/>
      <c r="T3081" s="66"/>
    </row>
    <row r="3082" spans="1:20" ht="13.2">
      <c r="A3082" s="7"/>
      <c r="B3082" s="7"/>
      <c r="C3082" s="74"/>
      <c r="D3082" s="74"/>
      <c r="F3082" s="7"/>
      <c r="G3082" s="74"/>
      <c r="H3082" s="74"/>
      <c r="J3082" s="7"/>
      <c r="K3082" s="74"/>
      <c r="L3082" s="74"/>
      <c r="N3082" s="7"/>
      <c r="O3082" s="74"/>
      <c r="P3082" s="74"/>
      <c r="R3082" s="7"/>
      <c r="S3082" s="7"/>
      <c r="T3082" s="66"/>
    </row>
    <row r="3083" spans="1:20" ht="13.2">
      <c r="A3083" s="7"/>
      <c r="B3083" s="7"/>
      <c r="C3083" s="74"/>
      <c r="D3083" s="74"/>
      <c r="F3083" s="7"/>
      <c r="G3083" s="74"/>
      <c r="H3083" s="74"/>
      <c r="J3083" s="7"/>
      <c r="K3083" s="74"/>
      <c r="L3083" s="74"/>
      <c r="N3083" s="7"/>
      <c r="O3083" s="74"/>
      <c r="P3083" s="74"/>
      <c r="R3083" s="7"/>
      <c r="S3083" s="7"/>
      <c r="T3083" s="66"/>
    </row>
    <row r="3084" spans="1:20" ht="13.2">
      <c r="A3084" s="7"/>
      <c r="B3084" s="7"/>
      <c r="C3084" s="74"/>
      <c r="D3084" s="74"/>
      <c r="F3084" s="7"/>
      <c r="G3084" s="74"/>
      <c r="H3084" s="74"/>
      <c r="J3084" s="7"/>
      <c r="K3084" s="74"/>
      <c r="L3084" s="74"/>
      <c r="N3084" s="7"/>
      <c r="O3084" s="74"/>
      <c r="P3084" s="74"/>
      <c r="R3084" s="7"/>
      <c r="S3084" s="7"/>
      <c r="T3084" s="66"/>
    </row>
    <row r="3085" spans="1:20" ht="13.2">
      <c r="A3085" s="7"/>
      <c r="B3085" s="7"/>
      <c r="C3085" s="74"/>
      <c r="D3085" s="74"/>
      <c r="F3085" s="7"/>
      <c r="G3085" s="74"/>
      <c r="H3085" s="74"/>
      <c r="J3085" s="7"/>
      <c r="K3085" s="74"/>
      <c r="L3085" s="74"/>
      <c r="N3085" s="7"/>
      <c r="O3085" s="74"/>
      <c r="P3085" s="74"/>
      <c r="R3085" s="7"/>
      <c r="S3085" s="7"/>
      <c r="T3085" s="66"/>
    </row>
    <row r="3086" spans="1:20" ht="13.2">
      <c r="A3086" s="7"/>
      <c r="B3086" s="7"/>
      <c r="C3086" s="74"/>
      <c r="D3086" s="74"/>
      <c r="F3086" s="7"/>
      <c r="G3086" s="74"/>
      <c r="H3086" s="74"/>
      <c r="J3086" s="7"/>
      <c r="K3086" s="74"/>
      <c r="L3086" s="74"/>
      <c r="N3086" s="7"/>
      <c r="O3086" s="74"/>
      <c r="P3086" s="74"/>
      <c r="R3086" s="7"/>
      <c r="S3086" s="7"/>
      <c r="T3086" s="66"/>
    </row>
    <row r="3087" spans="1:20" ht="13.2">
      <c r="A3087" s="7"/>
      <c r="B3087" s="7"/>
      <c r="C3087" s="74"/>
      <c r="D3087" s="74"/>
      <c r="F3087" s="7"/>
      <c r="G3087" s="74"/>
      <c r="H3087" s="74"/>
      <c r="J3087" s="7"/>
      <c r="K3087" s="74"/>
      <c r="L3087" s="74"/>
      <c r="N3087" s="7"/>
      <c r="O3087" s="74"/>
      <c r="P3087" s="74"/>
      <c r="R3087" s="7"/>
      <c r="S3087" s="7"/>
      <c r="T3087" s="66"/>
    </row>
    <row r="3088" spans="1:20" ht="13.2">
      <c r="A3088" s="7"/>
      <c r="B3088" s="7"/>
      <c r="C3088" s="74"/>
      <c r="D3088" s="74"/>
      <c r="F3088" s="7"/>
      <c r="G3088" s="74"/>
      <c r="H3088" s="74"/>
      <c r="J3088" s="7"/>
      <c r="K3088" s="74"/>
      <c r="L3088" s="74"/>
      <c r="N3088" s="7"/>
      <c r="O3088" s="74"/>
      <c r="P3088" s="74"/>
      <c r="R3088" s="7"/>
      <c r="S3088" s="7"/>
      <c r="T3088" s="66"/>
    </row>
    <row r="3089" spans="1:20" ht="13.2">
      <c r="A3089" s="7"/>
      <c r="B3089" s="7"/>
      <c r="C3089" s="74"/>
      <c r="D3089" s="74"/>
      <c r="F3089" s="7"/>
      <c r="G3089" s="74"/>
      <c r="H3089" s="74"/>
      <c r="J3089" s="7"/>
      <c r="K3089" s="74"/>
      <c r="L3089" s="74"/>
      <c r="N3089" s="7"/>
      <c r="O3089" s="74"/>
      <c r="P3089" s="74"/>
      <c r="R3089" s="7"/>
      <c r="S3089" s="7"/>
      <c r="T3089" s="66"/>
    </row>
    <row r="3090" spans="1:20" ht="13.2">
      <c r="A3090" s="7"/>
      <c r="B3090" s="7"/>
      <c r="C3090" s="74"/>
      <c r="D3090" s="74"/>
      <c r="F3090" s="7"/>
      <c r="G3090" s="74"/>
      <c r="H3090" s="74"/>
      <c r="J3090" s="7"/>
      <c r="K3090" s="74"/>
      <c r="L3090" s="74"/>
      <c r="N3090" s="7"/>
      <c r="O3090" s="74"/>
      <c r="P3090" s="74"/>
      <c r="R3090" s="7"/>
      <c r="S3090" s="7"/>
      <c r="T3090" s="66"/>
    </row>
    <row r="3091" spans="1:20" ht="13.2">
      <c r="A3091" s="7"/>
      <c r="B3091" s="7"/>
      <c r="C3091" s="74"/>
      <c r="D3091" s="74"/>
      <c r="F3091" s="7"/>
      <c r="G3091" s="74"/>
      <c r="H3091" s="74"/>
      <c r="J3091" s="7"/>
      <c r="K3091" s="74"/>
      <c r="L3091" s="74"/>
      <c r="N3091" s="7"/>
      <c r="O3091" s="74"/>
      <c r="P3091" s="74"/>
      <c r="R3091" s="7"/>
      <c r="S3091" s="7"/>
      <c r="T3091" s="66"/>
    </row>
    <row r="3092" spans="1:20" ht="13.2">
      <c r="A3092" s="7"/>
      <c r="B3092" s="7"/>
      <c r="C3092" s="74"/>
      <c r="D3092" s="74"/>
      <c r="F3092" s="7"/>
      <c r="G3092" s="74"/>
      <c r="H3092" s="74"/>
      <c r="J3092" s="7"/>
      <c r="K3092" s="74"/>
      <c r="L3092" s="74"/>
      <c r="N3092" s="7"/>
      <c r="O3092" s="74"/>
      <c r="P3092" s="74"/>
      <c r="R3092" s="7"/>
      <c r="S3092" s="7"/>
      <c r="T3092" s="66"/>
    </row>
    <row r="3093" spans="1:20" ht="13.2">
      <c r="A3093" s="7"/>
      <c r="B3093" s="7"/>
      <c r="C3093" s="74"/>
      <c r="D3093" s="74"/>
      <c r="F3093" s="7"/>
      <c r="G3093" s="74"/>
      <c r="H3093" s="74"/>
      <c r="J3093" s="7"/>
      <c r="K3093" s="74"/>
      <c r="L3093" s="74"/>
      <c r="N3093" s="7"/>
      <c r="O3093" s="74"/>
      <c r="P3093" s="74"/>
      <c r="R3093" s="7"/>
      <c r="S3093" s="7"/>
      <c r="T3093" s="66"/>
    </row>
    <row r="3094" spans="1:20" ht="13.2">
      <c r="A3094" s="7"/>
      <c r="B3094" s="7"/>
      <c r="C3094" s="74"/>
      <c r="D3094" s="74"/>
      <c r="F3094" s="7"/>
      <c r="G3094" s="74"/>
      <c r="H3094" s="74"/>
      <c r="J3094" s="7"/>
      <c r="K3094" s="74"/>
      <c r="L3094" s="74"/>
      <c r="N3094" s="7"/>
      <c r="O3094" s="74"/>
      <c r="P3094" s="74"/>
      <c r="R3094" s="7"/>
      <c r="S3094" s="7"/>
      <c r="T3094" s="66"/>
    </row>
    <row r="3095" spans="1:20" ht="13.2">
      <c r="A3095" s="7"/>
      <c r="B3095" s="7"/>
      <c r="C3095" s="74"/>
      <c r="D3095" s="74"/>
      <c r="F3095" s="7"/>
      <c r="G3095" s="74"/>
      <c r="H3095" s="74"/>
      <c r="J3095" s="7"/>
      <c r="K3095" s="74"/>
      <c r="L3095" s="74"/>
      <c r="N3095" s="7"/>
      <c r="O3095" s="74"/>
      <c r="P3095" s="74"/>
      <c r="R3095" s="7"/>
      <c r="S3095" s="7"/>
      <c r="T3095" s="66"/>
    </row>
    <row r="3096" spans="1:20" ht="13.2">
      <c r="A3096" s="7"/>
      <c r="B3096" s="7"/>
      <c r="C3096" s="74"/>
      <c r="D3096" s="74"/>
      <c r="F3096" s="7"/>
      <c r="G3096" s="74"/>
      <c r="H3096" s="74"/>
      <c r="J3096" s="7"/>
      <c r="K3096" s="74"/>
      <c r="L3096" s="74"/>
      <c r="N3096" s="7"/>
      <c r="O3096" s="74"/>
      <c r="P3096" s="74"/>
      <c r="R3096" s="7"/>
      <c r="S3096" s="7"/>
      <c r="T3096" s="66"/>
    </row>
    <row r="3097" spans="1:20" ht="13.2">
      <c r="A3097" s="7"/>
      <c r="B3097" s="7"/>
      <c r="C3097" s="74"/>
      <c r="D3097" s="74"/>
      <c r="F3097" s="7"/>
      <c r="G3097" s="74"/>
      <c r="H3097" s="74"/>
      <c r="J3097" s="7"/>
      <c r="K3097" s="74"/>
      <c r="L3097" s="74"/>
      <c r="N3097" s="7"/>
      <c r="O3097" s="74"/>
      <c r="P3097" s="74"/>
      <c r="R3097" s="7"/>
      <c r="S3097" s="7"/>
      <c r="T3097" s="66"/>
    </row>
    <row r="3098" spans="1:20" ht="13.2">
      <c r="A3098" s="7"/>
      <c r="B3098" s="7"/>
      <c r="C3098" s="74"/>
      <c r="D3098" s="74"/>
      <c r="F3098" s="7"/>
      <c r="G3098" s="74"/>
      <c r="H3098" s="74"/>
      <c r="J3098" s="7"/>
      <c r="K3098" s="74"/>
      <c r="L3098" s="74"/>
      <c r="N3098" s="7"/>
      <c r="O3098" s="74"/>
      <c r="P3098" s="74"/>
      <c r="R3098" s="7"/>
      <c r="S3098" s="7"/>
      <c r="T3098" s="66"/>
    </row>
    <row r="3099" spans="1:20" ht="13.2">
      <c r="A3099" s="7"/>
      <c r="B3099" s="7"/>
      <c r="C3099" s="74"/>
      <c r="D3099" s="74"/>
      <c r="F3099" s="7"/>
      <c r="G3099" s="74"/>
      <c r="H3099" s="74"/>
      <c r="J3099" s="7"/>
      <c r="K3099" s="74"/>
      <c r="L3099" s="74"/>
      <c r="N3099" s="7"/>
      <c r="O3099" s="74"/>
      <c r="P3099" s="74"/>
      <c r="R3099" s="7"/>
      <c r="S3099" s="7"/>
      <c r="T3099" s="66"/>
    </row>
    <row r="3100" spans="1:20" ht="13.2">
      <c r="A3100" s="7"/>
      <c r="B3100" s="7"/>
      <c r="C3100" s="74"/>
      <c r="D3100" s="74"/>
      <c r="F3100" s="7"/>
      <c r="G3100" s="74"/>
      <c r="H3100" s="74"/>
      <c r="J3100" s="7"/>
      <c r="K3100" s="74"/>
      <c r="L3100" s="74"/>
      <c r="N3100" s="7"/>
      <c r="O3100" s="74"/>
      <c r="P3100" s="74"/>
      <c r="R3100" s="7"/>
      <c r="S3100" s="7"/>
      <c r="T3100" s="66"/>
    </row>
    <row r="3101" spans="1:20" ht="13.2">
      <c r="A3101" s="7"/>
      <c r="B3101" s="7"/>
      <c r="C3101" s="74"/>
      <c r="D3101" s="74"/>
      <c r="F3101" s="7"/>
      <c r="G3101" s="74"/>
      <c r="H3101" s="74"/>
      <c r="J3101" s="7"/>
      <c r="K3101" s="74"/>
      <c r="L3101" s="74"/>
      <c r="N3101" s="7"/>
      <c r="O3101" s="74"/>
      <c r="P3101" s="74"/>
      <c r="R3101" s="7"/>
      <c r="S3101" s="7"/>
      <c r="T3101" s="66"/>
    </row>
    <row r="3102" spans="1:20" ht="13.2">
      <c r="A3102" s="7"/>
      <c r="B3102" s="7"/>
      <c r="C3102" s="74"/>
      <c r="D3102" s="74"/>
      <c r="F3102" s="7"/>
      <c r="G3102" s="74"/>
      <c r="H3102" s="74"/>
      <c r="J3102" s="7"/>
      <c r="K3102" s="74"/>
      <c r="L3102" s="74"/>
      <c r="N3102" s="7"/>
      <c r="O3102" s="74"/>
      <c r="P3102" s="74"/>
      <c r="R3102" s="7"/>
      <c r="S3102" s="7"/>
      <c r="T3102" s="66"/>
    </row>
    <row r="3103" spans="1:20" ht="13.2">
      <c r="A3103" s="7"/>
      <c r="B3103" s="7"/>
      <c r="C3103" s="74"/>
      <c r="D3103" s="74"/>
      <c r="F3103" s="7"/>
      <c r="G3103" s="74"/>
      <c r="H3103" s="74"/>
      <c r="J3103" s="7"/>
      <c r="K3103" s="74"/>
      <c r="L3103" s="74"/>
      <c r="N3103" s="7"/>
      <c r="O3103" s="74"/>
      <c r="P3103" s="74"/>
      <c r="R3103" s="7"/>
      <c r="S3103" s="7"/>
      <c r="T3103" s="66"/>
    </row>
    <row r="3104" spans="1:20" ht="13.2">
      <c r="A3104" s="7"/>
      <c r="B3104" s="7"/>
      <c r="C3104" s="74"/>
      <c r="D3104" s="74"/>
      <c r="F3104" s="7"/>
      <c r="G3104" s="74"/>
      <c r="H3104" s="74"/>
      <c r="J3104" s="7"/>
      <c r="K3104" s="74"/>
      <c r="L3104" s="74"/>
      <c r="N3104" s="7"/>
      <c r="O3104" s="74"/>
      <c r="P3104" s="74"/>
      <c r="R3104" s="7"/>
      <c r="S3104" s="7"/>
      <c r="T3104" s="66"/>
    </row>
    <row r="3105" spans="1:20" ht="13.2">
      <c r="A3105" s="7"/>
      <c r="B3105" s="7"/>
      <c r="C3105" s="74"/>
      <c r="D3105" s="74"/>
      <c r="F3105" s="7"/>
      <c r="G3105" s="74"/>
      <c r="H3105" s="74"/>
      <c r="J3105" s="7"/>
      <c r="K3105" s="74"/>
      <c r="L3105" s="74"/>
      <c r="N3105" s="7"/>
      <c r="O3105" s="74"/>
      <c r="P3105" s="74"/>
      <c r="R3105" s="7"/>
      <c r="S3105" s="7"/>
      <c r="T3105" s="66"/>
    </row>
    <row r="3106" spans="1:20" ht="13.2">
      <c r="A3106" s="7"/>
      <c r="B3106" s="7"/>
      <c r="C3106" s="74"/>
      <c r="D3106" s="74"/>
      <c r="F3106" s="7"/>
      <c r="G3106" s="74"/>
      <c r="H3106" s="74"/>
      <c r="J3106" s="7"/>
      <c r="K3106" s="74"/>
      <c r="L3106" s="74"/>
      <c r="N3106" s="7"/>
      <c r="O3106" s="74"/>
      <c r="P3106" s="74"/>
      <c r="R3106" s="7"/>
      <c r="S3106" s="7"/>
      <c r="T3106" s="66"/>
    </row>
    <row r="3107" spans="1:20" ht="13.2">
      <c r="A3107" s="7"/>
      <c r="B3107" s="7"/>
      <c r="C3107" s="74"/>
      <c r="D3107" s="74"/>
      <c r="F3107" s="7"/>
      <c r="G3107" s="74"/>
      <c r="H3107" s="74"/>
      <c r="J3107" s="7"/>
      <c r="K3107" s="74"/>
      <c r="L3107" s="74"/>
      <c r="N3107" s="7"/>
      <c r="O3107" s="74"/>
      <c r="P3107" s="74"/>
      <c r="R3107" s="7"/>
      <c r="S3107" s="7"/>
      <c r="T3107" s="66"/>
    </row>
    <row r="3108" spans="1:20" ht="13.2">
      <c r="A3108" s="7"/>
      <c r="B3108" s="7"/>
      <c r="C3108" s="74"/>
      <c r="D3108" s="74"/>
      <c r="F3108" s="7"/>
      <c r="G3108" s="74"/>
      <c r="H3108" s="74"/>
      <c r="J3108" s="7"/>
      <c r="K3108" s="74"/>
      <c r="L3108" s="74"/>
      <c r="N3108" s="7"/>
      <c r="O3108" s="74"/>
      <c r="P3108" s="74"/>
      <c r="R3108" s="7"/>
      <c r="S3108" s="7"/>
      <c r="T3108" s="66"/>
    </row>
    <row r="3109" spans="1:20" ht="13.2">
      <c r="A3109" s="7"/>
      <c r="B3109" s="7"/>
      <c r="C3109" s="74"/>
      <c r="D3109" s="74"/>
      <c r="F3109" s="7"/>
      <c r="G3109" s="74"/>
      <c r="H3109" s="74"/>
      <c r="J3109" s="7"/>
      <c r="K3109" s="74"/>
      <c r="L3109" s="74"/>
      <c r="N3109" s="7"/>
      <c r="O3109" s="74"/>
      <c r="P3109" s="74"/>
      <c r="R3109" s="7"/>
      <c r="S3109" s="7"/>
      <c r="T3109" s="66"/>
    </row>
    <row r="3110" spans="1:20" ht="13.2">
      <c r="A3110" s="7"/>
      <c r="B3110" s="7"/>
      <c r="C3110" s="74"/>
      <c r="D3110" s="74"/>
      <c r="F3110" s="7"/>
      <c r="G3110" s="74"/>
      <c r="H3110" s="74"/>
      <c r="J3110" s="7"/>
      <c r="K3110" s="74"/>
      <c r="L3110" s="74"/>
      <c r="N3110" s="7"/>
      <c r="O3110" s="74"/>
      <c r="P3110" s="74"/>
      <c r="R3110" s="7"/>
      <c r="S3110" s="7"/>
      <c r="T3110" s="66"/>
    </row>
    <row r="3111" spans="1:20" ht="13.2">
      <c r="A3111" s="7"/>
      <c r="B3111" s="7"/>
      <c r="C3111" s="74"/>
      <c r="D3111" s="74"/>
      <c r="F3111" s="7"/>
      <c r="G3111" s="74"/>
      <c r="H3111" s="74"/>
      <c r="J3111" s="7"/>
      <c r="K3111" s="74"/>
      <c r="L3111" s="74"/>
      <c r="N3111" s="7"/>
      <c r="O3111" s="74"/>
      <c r="P3111" s="74"/>
      <c r="R3111" s="7"/>
      <c r="S3111" s="7"/>
      <c r="T3111" s="66"/>
    </row>
    <row r="3112" spans="1:20" ht="13.2">
      <c r="A3112" s="7"/>
      <c r="B3112" s="7"/>
      <c r="C3112" s="74"/>
      <c r="D3112" s="74"/>
      <c r="F3112" s="7"/>
      <c r="G3112" s="74"/>
      <c r="H3112" s="74"/>
      <c r="J3112" s="7"/>
      <c r="K3112" s="74"/>
      <c r="L3112" s="74"/>
      <c r="N3112" s="7"/>
      <c r="O3112" s="74"/>
      <c r="P3112" s="74"/>
      <c r="R3112" s="7"/>
      <c r="S3112" s="7"/>
      <c r="T3112" s="66"/>
    </row>
    <row r="3113" spans="1:20" ht="13.2">
      <c r="A3113" s="7"/>
      <c r="B3113" s="7"/>
      <c r="C3113" s="74"/>
      <c r="D3113" s="74"/>
      <c r="F3113" s="7"/>
      <c r="G3113" s="74"/>
      <c r="H3113" s="74"/>
      <c r="J3113" s="7"/>
      <c r="K3113" s="74"/>
      <c r="L3113" s="74"/>
      <c r="N3113" s="7"/>
      <c r="O3113" s="74"/>
      <c r="P3113" s="74"/>
      <c r="R3113" s="7"/>
      <c r="S3113" s="7"/>
      <c r="T3113" s="66"/>
    </row>
    <row r="3114" spans="1:20" ht="13.2">
      <c r="A3114" s="7"/>
      <c r="B3114" s="7"/>
      <c r="C3114" s="74"/>
      <c r="D3114" s="74"/>
      <c r="F3114" s="7"/>
      <c r="G3114" s="74"/>
      <c r="H3114" s="74"/>
      <c r="J3114" s="7"/>
      <c r="K3114" s="74"/>
      <c r="L3114" s="74"/>
      <c r="N3114" s="7"/>
      <c r="O3114" s="74"/>
      <c r="P3114" s="74"/>
      <c r="R3114" s="7"/>
      <c r="S3114" s="7"/>
      <c r="T3114" s="66"/>
    </row>
    <row r="3115" spans="1:20" ht="13.2">
      <c r="A3115" s="7"/>
      <c r="B3115" s="7"/>
      <c r="C3115" s="74"/>
      <c r="D3115" s="74"/>
      <c r="F3115" s="7"/>
      <c r="G3115" s="74"/>
      <c r="H3115" s="74"/>
      <c r="J3115" s="7"/>
      <c r="K3115" s="74"/>
      <c r="L3115" s="74"/>
      <c r="N3115" s="7"/>
      <c r="O3115" s="74"/>
      <c r="P3115" s="74"/>
      <c r="R3115" s="7"/>
      <c r="S3115" s="7"/>
      <c r="T3115" s="66"/>
    </row>
    <row r="3116" spans="1:20" ht="13.2">
      <c r="A3116" s="7"/>
      <c r="B3116" s="7"/>
      <c r="C3116" s="74"/>
      <c r="D3116" s="74"/>
      <c r="F3116" s="7"/>
      <c r="G3116" s="74"/>
      <c r="H3116" s="74"/>
      <c r="J3116" s="7"/>
      <c r="K3116" s="74"/>
      <c r="L3116" s="74"/>
      <c r="N3116" s="7"/>
      <c r="O3116" s="74"/>
      <c r="P3116" s="74"/>
      <c r="R3116" s="7"/>
      <c r="S3116" s="7"/>
      <c r="T3116" s="66"/>
    </row>
    <row r="3117" spans="1:20" ht="13.2">
      <c r="A3117" s="7"/>
      <c r="B3117" s="7"/>
      <c r="C3117" s="74"/>
      <c r="D3117" s="74"/>
      <c r="F3117" s="7"/>
      <c r="G3117" s="74"/>
      <c r="H3117" s="74"/>
      <c r="J3117" s="7"/>
      <c r="K3117" s="74"/>
      <c r="L3117" s="74"/>
      <c r="N3117" s="7"/>
      <c r="O3117" s="74"/>
      <c r="P3117" s="74"/>
      <c r="R3117" s="7"/>
      <c r="S3117" s="7"/>
      <c r="T3117" s="66"/>
    </row>
    <row r="3118" spans="1:20" ht="13.2">
      <c r="A3118" s="7"/>
      <c r="B3118" s="7"/>
      <c r="C3118" s="74"/>
      <c r="D3118" s="74"/>
      <c r="F3118" s="7"/>
      <c r="G3118" s="74"/>
      <c r="H3118" s="74"/>
      <c r="J3118" s="7"/>
      <c r="K3118" s="74"/>
      <c r="L3118" s="74"/>
      <c r="N3118" s="7"/>
      <c r="O3118" s="74"/>
      <c r="P3118" s="74"/>
      <c r="R3118" s="7"/>
      <c r="S3118" s="7"/>
      <c r="T3118" s="66"/>
    </row>
    <row r="3119" spans="1:20" ht="13.2">
      <c r="A3119" s="7"/>
      <c r="B3119" s="7"/>
      <c r="C3119" s="74"/>
      <c r="D3119" s="74"/>
      <c r="F3119" s="7"/>
      <c r="G3119" s="74"/>
      <c r="H3119" s="74"/>
      <c r="J3119" s="7"/>
      <c r="K3119" s="74"/>
      <c r="L3119" s="74"/>
      <c r="N3119" s="7"/>
      <c r="O3119" s="74"/>
      <c r="P3119" s="74"/>
      <c r="R3119" s="7"/>
      <c r="S3119" s="7"/>
      <c r="T3119" s="66"/>
    </row>
    <row r="3120" spans="1:20" ht="13.2">
      <c r="A3120" s="7"/>
      <c r="B3120" s="7"/>
      <c r="C3120" s="74"/>
      <c r="D3120" s="74"/>
      <c r="F3120" s="7"/>
      <c r="G3120" s="74"/>
      <c r="H3120" s="74"/>
      <c r="J3120" s="7"/>
      <c r="K3120" s="74"/>
      <c r="L3120" s="74"/>
      <c r="N3120" s="7"/>
      <c r="O3120" s="74"/>
      <c r="P3120" s="74"/>
      <c r="R3120" s="7"/>
      <c r="S3120" s="7"/>
      <c r="T3120" s="66"/>
    </row>
    <row r="3121" spans="1:20" ht="13.2">
      <c r="A3121" s="7"/>
      <c r="B3121" s="7"/>
      <c r="C3121" s="74"/>
      <c r="D3121" s="74"/>
      <c r="F3121" s="7"/>
      <c r="G3121" s="74"/>
      <c r="H3121" s="74"/>
      <c r="J3121" s="7"/>
      <c r="K3121" s="74"/>
      <c r="L3121" s="74"/>
      <c r="N3121" s="7"/>
      <c r="O3121" s="74"/>
      <c r="P3121" s="74"/>
      <c r="R3121" s="7"/>
      <c r="S3121" s="7"/>
      <c r="T3121" s="66"/>
    </row>
    <row r="3122" spans="1:20" ht="13.2">
      <c r="A3122" s="7"/>
      <c r="B3122" s="7"/>
      <c r="C3122" s="74"/>
      <c r="D3122" s="74"/>
      <c r="F3122" s="7"/>
      <c r="G3122" s="74"/>
      <c r="H3122" s="74"/>
      <c r="J3122" s="7"/>
      <c r="K3122" s="74"/>
      <c r="L3122" s="74"/>
      <c r="N3122" s="7"/>
      <c r="O3122" s="74"/>
      <c r="P3122" s="74"/>
      <c r="R3122" s="7"/>
      <c r="S3122" s="7"/>
      <c r="T3122" s="66"/>
    </row>
    <row r="3123" spans="1:20" ht="13.2">
      <c r="A3123" s="7"/>
      <c r="B3123" s="7"/>
      <c r="C3123" s="74"/>
      <c r="D3123" s="74"/>
      <c r="F3123" s="7"/>
      <c r="G3123" s="74"/>
      <c r="H3123" s="74"/>
      <c r="J3123" s="7"/>
      <c r="K3123" s="74"/>
      <c r="L3123" s="74"/>
      <c r="N3123" s="7"/>
      <c r="O3123" s="74"/>
      <c r="P3123" s="74"/>
      <c r="R3123" s="7"/>
      <c r="S3123" s="7"/>
      <c r="T3123" s="66"/>
    </row>
    <row r="3124" spans="1:20" ht="13.2">
      <c r="A3124" s="7"/>
      <c r="B3124" s="7"/>
      <c r="C3124" s="74"/>
      <c r="D3124" s="74"/>
      <c r="F3124" s="7"/>
      <c r="G3124" s="74"/>
      <c r="H3124" s="74"/>
      <c r="J3124" s="7"/>
      <c r="K3124" s="74"/>
      <c r="L3124" s="74"/>
      <c r="N3124" s="7"/>
      <c r="O3124" s="74"/>
      <c r="P3124" s="74"/>
      <c r="R3124" s="7"/>
      <c r="S3124" s="7"/>
      <c r="T3124" s="66"/>
    </row>
    <row r="3125" spans="1:20" ht="13.2">
      <c r="A3125" s="7"/>
      <c r="B3125" s="7"/>
      <c r="C3125" s="74"/>
      <c r="D3125" s="74"/>
      <c r="F3125" s="7"/>
      <c r="G3125" s="74"/>
      <c r="H3125" s="74"/>
      <c r="J3125" s="7"/>
      <c r="K3125" s="74"/>
      <c r="L3125" s="74"/>
      <c r="N3125" s="7"/>
      <c r="O3125" s="74"/>
      <c r="P3125" s="74"/>
      <c r="R3125" s="7"/>
      <c r="S3125" s="7"/>
      <c r="T3125" s="66"/>
    </row>
    <row r="3126" spans="1:20" ht="13.2">
      <c r="A3126" s="7"/>
      <c r="B3126" s="7"/>
      <c r="C3126" s="74"/>
      <c r="D3126" s="74"/>
      <c r="F3126" s="7"/>
      <c r="G3126" s="74"/>
      <c r="H3126" s="74"/>
      <c r="J3126" s="7"/>
      <c r="K3126" s="74"/>
      <c r="L3126" s="74"/>
      <c r="N3126" s="7"/>
      <c r="O3126" s="74"/>
      <c r="P3126" s="74"/>
      <c r="R3126" s="7"/>
      <c r="S3126" s="7"/>
      <c r="T3126" s="66"/>
    </row>
    <row r="3127" spans="1:20" ht="13.2">
      <c r="A3127" s="7"/>
      <c r="B3127" s="7"/>
      <c r="C3127" s="74"/>
      <c r="D3127" s="74"/>
      <c r="F3127" s="7"/>
      <c r="G3127" s="74"/>
      <c r="H3127" s="74"/>
      <c r="J3127" s="7"/>
      <c r="K3127" s="74"/>
      <c r="L3127" s="74"/>
      <c r="N3127" s="7"/>
      <c r="O3127" s="74"/>
      <c r="P3127" s="74"/>
      <c r="R3127" s="7"/>
      <c r="S3127" s="7"/>
      <c r="T3127" s="66"/>
    </row>
    <row r="3128" spans="1:20" ht="13.2">
      <c r="A3128" s="7"/>
      <c r="B3128" s="7"/>
      <c r="C3128" s="74"/>
      <c r="D3128" s="74"/>
      <c r="F3128" s="7"/>
      <c r="G3128" s="74"/>
      <c r="H3128" s="74"/>
      <c r="J3128" s="7"/>
      <c r="K3128" s="74"/>
      <c r="L3128" s="74"/>
      <c r="N3128" s="7"/>
      <c r="O3128" s="74"/>
      <c r="P3128" s="74"/>
      <c r="R3128" s="7"/>
      <c r="S3128" s="7"/>
      <c r="T3128" s="66"/>
    </row>
    <row r="3129" spans="1:20" ht="13.2">
      <c r="A3129" s="7"/>
      <c r="B3129" s="7"/>
      <c r="C3129" s="74"/>
      <c r="D3129" s="74"/>
      <c r="F3129" s="7"/>
      <c r="G3129" s="74"/>
      <c r="H3129" s="74"/>
      <c r="J3129" s="7"/>
      <c r="K3129" s="74"/>
      <c r="L3129" s="74"/>
      <c r="N3129" s="7"/>
      <c r="O3129" s="74"/>
      <c r="P3129" s="74"/>
      <c r="R3129" s="7"/>
      <c r="S3129" s="7"/>
      <c r="T3129" s="66"/>
    </row>
    <row r="3130" spans="1:20" ht="13.2">
      <c r="A3130" s="7"/>
      <c r="B3130" s="7"/>
      <c r="C3130" s="74"/>
      <c r="D3130" s="74"/>
      <c r="F3130" s="7"/>
      <c r="G3130" s="74"/>
      <c r="H3130" s="74"/>
      <c r="J3130" s="7"/>
      <c r="K3130" s="74"/>
      <c r="L3130" s="74"/>
      <c r="N3130" s="7"/>
      <c r="O3130" s="74"/>
      <c r="P3130" s="74"/>
      <c r="R3130" s="7"/>
      <c r="S3130" s="7"/>
      <c r="T3130" s="66"/>
    </row>
    <row r="3131" spans="1:20" ht="13.2">
      <c r="A3131" s="7"/>
      <c r="B3131" s="7"/>
      <c r="C3131" s="74"/>
      <c r="D3131" s="74"/>
      <c r="F3131" s="7"/>
      <c r="G3131" s="74"/>
      <c r="H3131" s="74"/>
      <c r="J3131" s="7"/>
      <c r="K3131" s="74"/>
      <c r="L3131" s="74"/>
      <c r="N3131" s="7"/>
      <c r="O3131" s="74"/>
      <c r="P3131" s="74"/>
      <c r="R3131" s="7"/>
      <c r="S3131" s="7"/>
      <c r="T3131" s="66"/>
    </row>
    <row r="3132" spans="1:20" ht="13.2">
      <c r="A3132" s="7"/>
      <c r="B3132" s="7"/>
      <c r="C3132" s="74"/>
      <c r="D3132" s="74"/>
      <c r="F3132" s="7"/>
      <c r="G3132" s="74"/>
      <c r="H3132" s="74"/>
      <c r="J3132" s="7"/>
      <c r="K3132" s="74"/>
      <c r="L3132" s="74"/>
      <c r="N3132" s="7"/>
      <c r="O3132" s="74"/>
      <c r="P3132" s="74"/>
      <c r="R3132" s="7"/>
      <c r="S3132" s="7"/>
      <c r="T3132" s="66"/>
    </row>
    <row r="3133" spans="1:20" ht="13.2">
      <c r="A3133" s="7"/>
      <c r="B3133" s="7"/>
      <c r="C3133" s="74"/>
      <c r="D3133" s="74"/>
      <c r="F3133" s="7"/>
      <c r="G3133" s="74"/>
      <c r="H3133" s="74"/>
      <c r="J3133" s="7"/>
      <c r="K3133" s="74"/>
      <c r="L3133" s="74"/>
      <c r="N3133" s="7"/>
      <c r="O3133" s="74"/>
      <c r="P3133" s="74"/>
      <c r="R3133" s="7"/>
      <c r="S3133" s="7"/>
      <c r="T3133" s="66"/>
    </row>
    <row r="3134" spans="1:20" ht="13.2">
      <c r="A3134" s="7"/>
      <c r="B3134" s="7"/>
      <c r="C3134" s="74"/>
      <c r="D3134" s="74"/>
      <c r="F3134" s="7"/>
      <c r="G3134" s="74"/>
      <c r="H3134" s="74"/>
      <c r="J3134" s="7"/>
      <c r="K3134" s="74"/>
      <c r="L3134" s="74"/>
      <c r="N3134" s="7"/>
      <c r="O3134" s="74"/>
      <c r="P3134" s="74"/>
      <c r="R3134" s="7"/>
      <c r="S3134" s="7"/>
      <c r="T3134" s="66"/>
    </row>
    <row r="3135" spans="1:20" ht="13.2">
      <c r="A3135" s="7"/>
      <c r="B3135" s="7"/>
      <c r="C3135" s="74"/>
      <c r="D3135" s="74"/>
      <c r="F3135" s="7"/>
      <c r="G3135" s="74"/>
      <c r="H3135" s="74"/>
      <c r="J3135" s="7"/>
      <c r="K3135" s="74"/>
      <c r="L3135" s="74"/>
      <c r="N3135" s="7"/>
      <c r="O3135" s="74"/>
      <c r="P3135" s="74"/>
      <c r="R3135" s="7"/>
      <c r="S3135" s="7"/>
      <c r="T3135" s="66"/>
    </row>
    <row r="3136" spans="1:20" ht="13.2">
      <c r="A3136" s="7"/>
      <c r="B3136" s="7"/>
      <c r="C3136" s="74"/>
      <c r="D3136" s="74"/>
      <c r="F3136" s="7"/>
      <c r="G3136" s="74"/>
      <c r="H3136" s="74"/>
      <c r="J3136" s="7"/>
      <c r="K3136" s="74"/>
      <c r="L3136" s="74"/>
      <c r="N3136" s="7"/>
      <c r="O3136" s="74"/>
      <c r="P3136" s="74"/>
      <c r="R3136" s="7"/>
      <c r="S3136" s="7"/>
      <c r="T3136" s="66"/>
    </row>
    <row r="3137" spans="1:20" ht="13.2">
      <c r="A3137" s="7"/>
      <c r="B3137" s="7"/>
      <c r="C3137" s="74"/>
      <c r="D3137" s="74"/>
      <c r="F3137" s="7"/>
      <c r="G3137" s="74"/>
      <c r="H3137" s="74"/>
      <c r="J3137" s="7"/>
      <c r="K3137" s="74"/>
      <c r="L3137" s="74"/>
      <c r="N3137" s="7"/>
      <c r="O3137" s="74"/>
      <c r="P3137" s="74"/>
      <c r="R3137" s="7"/>
      <c r="S3137" s="7"/>
      <c r="T3137" s="66"/>
    </row>
    <row r="3138" spans="1:20" ht="13.2">
      <c r="A3138" s="7"/>
      <c r="B3138" s="7"/>
      <c r="C3138" s="74"/>
      <c r="D3138" s="74"/>
      <c r="F3138" s="7"/>
      <c r="G3138" s="74"/>
      <c r="H3138" s="74"/>
      <c r="J3138" s="7"/>
      <c r="K3138" s="74"/>
      <c r="L3138" s="74"/>
      <c r="N3138" s="7"/>
      <c r="O3138" s="74"/>
      <c r="P3138" s="74"/>
      <c r="R3138" s="7"/>
      <c r="S3138" s="7"/>
      <c r="T3138" s="66"/>
    </row>
    <row r="3139" spans="1:20" ht="13.2">
      <c r="A3139" s="7"/>
      <c r="B3139" s="7"/>
      <c r="C3139" s="74"/>
      <c r="D3139" s="74"/>
      <c r="F3139" s="7"/>
      <c r="G3139" s="74"/>
      <c r="H3139" s="74"/>
      <c r="J3139" s="7"/>
      <c r="K3139" s="74"/>
      <c r="L3139" s="74"/>
      <c r="N3139" s="7"/>
      <c r="O3139" s="74"/>
      <c r="P3139" s="74"/>
      <c r="R3139" s="7"/>
      <c r="S3139" s="7"/>
      <c r="T3139" s="66"/>
    </row>
    <row r="3140" spans="1:20" ht="13.2">
      <c r="A3140" s="7"/>
      <c r="B3140" s="7"/>
      <c r="C3140" s="74"/>
      <c r="D3140" s="74"/>
      <c r="F3140" s="7"/>
      <c r="G3140" s="74"/>
      <c r="H3140" s="74"/>
      <c r="J3140" s="7"/>
      <c r="K3140" s="74"/>
      <c r="L3140" s="74"/>
      <c r="N3140" s="7"/>
      <c r="O3140" s="74"/>
      <c r="P3140" s="74"/>
      <c r="R3140" s="7"/>
      <c r="S3140" s="7"/>
      <c r="T3140" s="66"/>
    </row>
    <row r="3141" spans="1:20" ht="13.2">
      <c r="A3141" s="7"/>
      <c r="B3141" s="7"/>
      <c r="C3141" s="74"/>
      <c r="D3141" s="74"/>
      <c r="F3141" s="7"/>
      <c r="G3141" s="74"/>
      <c r="H3141" s="74"/>
      <c r="J3141" s="7"/>
      <c r="K3141" s="74"/>
      <c r="L3141" s="74"/>
      <c r="N3141" s="7"/>
      <c r="O3141" s="74"/>
      <c r="P3141" s="74"/>
      <c r="R3141" s="7"/>
      <c r="S3141" s="7"/>
      <c r="T3141" s="66"/>
    </row>
    <row r="3142" spans="1:20" ht="13.2">
      <c r="A3142" s="7"/>
      <c r="B3142" s="7"/>
      <c r="C3142" s="74"/>
      <c r="D3142" s="74"/>
      <c r="F3142" s="7"/>
      <c r="G3142" s="74"/>
      <c r="H3142" s="74"/>
      <c r="J3142" s="7"/>
      <c r="K3142" s="74"/>
      <c r="L3142" s="74"/>
      <c r="N3142" s="7"/>
      <c r="O3142" s="74"/>
      <c r="P3142" s="74"/>
      <c r="R3142" s="7"/>
      <c r="S3142" s="7"/>
      <c r="T3142" s="66"/>
    </row>
    <row r="3143" spans="1:20" ht="13.2">
      <c r="A3143" s="7"/>
      <c r="B3143" s="7"/>
      <c r="C3143" s="74"/>
      <c r="D3143" s="74"/>
      <c r="F3143" s="7"/>
      <c r="G3143" s="74"/>
      <c r="H3143" s="74"/>
      <c r="J3143" s="7"/>
      <c r="K3143" s="74"/>
      <c r="L3143" s="74"/>
      <c r="N3143" s="7"/>
      <c r="O3143" s="74"/>
      <c r="P3143" s="74"/>
      <c r="R3143" s="7"/>
      <c r="S3143" s="7"/>
      <c r="T3143" s="66"/>
    </row>
    <row r="3144" spans="1:20" ht="13.2">
      <c r="A3144" s="7"/>
      <c r="B3144" s="7"/>
      <c r="C3144" s="74"/>
      <c r="D3144" s="74"/>
      <c r="F3144" s="7"/>
      <c r="G3144" s="74"/>
      <c r="H3144" s="74"/>
      <c r="J3144" s="7"/>
      <c r="K3144" s="74"/>
      <c r="L3144" s="74"/>
      <c r="N3144" s="7"/>
      <c r="O3144" s="74"/>
      <c r="P3144" s="74"/>
      <c r="R3144" s="7"/>
      <c r="S3144" s="7"/>
      <c r="T3144" s="66"/>
    </row>
    <row r="3145" spans="1:20" ht="13.2">
      <c r="A3145" s="7"/>
      <c r="B3145" s="7"/>
      <c r="C3145" s="74"/>
      <c r="D3145" s="74"/>
      <c r="F3145" s="7"/>
      <c r="G3145" s="74"/>
      <c r="H3145" s="74"/>
      <c r="J3145" s="7"/>
      <c r="K3145" s="74"/>
      <c r="L3145" s="74"/>
      <c r="N3145" s="7"/>
      <c r="O3145" s="74"/>
      <c r="P3145" s="74"/>
      <c r="R3145" s="7"/>
      <c r="S3145" s="7"/>
      <c r="T3145" s="66"/>
    </row>
    <row r="3146" spans="1:20" ht="13.2">
      <c r="A3146" s="7"/>
      <c r="B3146" s="7"/>
      <c r="C3146" s="74"/>
      <c r="D3146" s="74"/>
      <c r="F3146" s="7"/>
      <c r="G3146" s="74"/>
      <c r="H3146" s="74"/>
      <c r="J3146" s="7"/>
      <c r="K3146" s="74"/>
      <c r="L3146" s="74"/>
      <c r="N3146" s="7"/>
      <c r="O3146" s="74"/>
      <c r="P3146" s="74"/>
      <c r="R3146" s="7"/>
      <c r="S3146" s="7"/>
      <c r="T3146" s="66"/>
    </row>
    <row r="3147" spans="1:20" ht="13.2">
      <c r="A3147" s="7"/>
      <c r="B3147" s="7"/>
      <c r="C3147" s="74"/>
      <c r="D3147" s="74"/>
      <c r="F3147" s="7"/>
      <c r="G3147" s="74"/>
      <c r="H3147" s="74"/>
      <c r="J3147" s="7"/>
      <c r="K3147" s="74"/>
      <c r="L3147" s="74"/>
      <c r="N3147" s="7"/>
      <c r="O3147" s="74"/>
      <c r="P3147" s="74"/>
      <c r="R3147" s="7"/>
      <c r="S3147" s="7"/>
      <c r="T3147" s="66"/>
    </row>
    <row r="3148" spans="1:20" ht="13.2">
      <c r="A3148" s="7"/>
      <c r="B3148" s="7"/>
      <c r="C3148" s="74"/>
      <c r="D3148" s="74"/>
      <c r="F3148" s="7"/>
      <c r="G3148" s="74"/>
      <c r="H3148" s="74"/>
      <c r="J3148" s="7"/>
      <c r="K3148" s="74"/>
      <c r="L3148" s="74"/>
      <c r="N3148" s="7"/>
      <c r="O3148" s="74"/>
      <c r="P3148" s="74"/>
      <c r="R3148" s="7"/>
      <c r="S3148" s="7"/>
      <c r="T3148" s="66"/>
    </row>
    <row r="3149" spans="1:20" ht="13.2">
      <c r="A3149" s="7"/>
      <c r="B3149" s="7"/>
      <c r="C3149" s="74"/>
      <c r="D3149" s="74"/>
      <c r="F3149" s="7"/>
      <c r="G3149" s="74"/>
      <c r="H3149" s="74"/>
      <c r="J3149" s="7"/>
      <c r="K3149" s="74"/>
      <c r="L3149" s="74"/>
      <c r="N3149" s="7"/>
      <c r="O3149" s="74"/>
      <c r="P3149" s="74"/>
      <c r="R3149" s="7"/>
      <c r="S3149" s="7"/>
      <c r="T3149" s="66"/>
    </row>
    <row r="3150" spans="1:20" ht="13.2">
      <c r="A3150" s="7"/>
      <c r="B3150" s="7"/>
      <c r="C3150" s="74"/>
      <c r="D3150" s="74"/>
      <c r="F3150" s="7"/>
      <c r="G3150" s="74"/>
      <c r="H3150" s="74"/>
      <c r="J3150" s="7"/>
      <c r="K3150" s="74"/>
      <c r="L3150" s="74"/>
      <c r="N3150" s="7"/>
      <c r="O3150" s="74"/>
      <c r="P3150" s="74"/>
      <c r="R3150" s="7"/>
      <c r="S3150" s="7"/>
      <c r="T3150" s="66"/>
    </row>
    <row r="3151" spans="1:20" ht="13.2">
      <c r="A3151" s="7"/>
      <c r="B3151" s="7"/>
      <c r="C3151" s="74"/>
      <c r="D3151" s="74"/>
      <c r="F3151" s="7"/>
      <c r="G3151" s="74"/>
      <c r="H3151" s="74"/>
      <c r="J3151" s="7"/>
      <c r="K3151" s="74"/>
      <c r="L3151" s="74"/>
      <c r="N3151" s="7"/>
      <c r="O3151" s="74"/>
      <c r="P3151" s="74"/>
      <c r="R3151" s="7"/>
      <c r="S3151" s="7"/>
      <c r="T3151" s="66"/>
    </row>
    <row r="3152" spans="1:20" ht="13.2">
      <c r="A3152" s="7"/>
      <c r="B3152" s="7"/>
      <c r="C3152" s="74"/>
      <c r="D3152" s="74"/>
      <c r="F3152" s="7"/>
      <c r="G3152" s="74"/>
      <c r="H3152" s="74"/>
      <c r="J3152" s="7"/>
      <c r="K3152" s="74"/>
      <c r="L3152" s="74"/>
      <c r="N3152" s="7"/>
      <c r="O3152" s="74"/>
      <c r="P3152" s="74"/>
      <c r="R3152" s="7"/>
      <c r="S3152" s="7"/>
      <c r="T3152" s="66"/>
    </row>
    <row r="3153" spans="1:20" ht="13.2">
      <c r="A3153" s="7"/>
      <c r="B3153" s="7"/>
      <c r="C3153" s="74"/>
      <c r="D3153" s="74"/>
      <c r="F3153" s="7"/>
      <c r="G3153" s="74"/>
      <c r="H3153" s="74"/>
      <c r="J3153" s="7"/>
      <c r="K3153" s="74"/>
      <c r="L3153" s="74"/>
      <c r="N3153" s="7"/>
      <c r="O3153" s="74"/>
      <c r="P3153" s="74"/>
      <c r="R3153" s="7"/>
      <c r="S3153" s="7"/>
      <c r="T3153" s="66"/>
    </row>
    <row r="3154" spans="1:20" ht="13.2">
      <c r="A3154" s="7"/>
      <c r="B3154" s="7"/>
      <c r="C3154" s="74"/>
      <c r="D3154" s="74"/>
      <c r="F3154" s="7"/>
      <c r="G3154" s="74"/>
      <c r="H3154" s="74"/>
      <c r="J3154" s="7"/>
      <c r="K3154" s="74"/>
      <c r="L3154" s="74"/>
      <c r="N3154" s="7"/>
      <c r="O3154" s="74"/>
      <c r="P3154" s="74"/>
      <c r="R3154" s="7"/>
      <c r="S3154" s="7"/>
      <c r="T3154" s="66"/>
    </row>
    <row r="3155" spans="1:20" ht="13.2">
      <c r="A3155" s="7"/>
      <c r="B3155" s="7"/>
      <c r="C3155" s="74"/>
      <c r="D3155" s="74"/>
      <c r="F3155" s="7"/>
      <c r="G3155" s="74"/>
      <c r="H3155" s="74"/>
      <c r="J3155" s="7"/>
      <c r="K3155" s="74"/>
      <c r="L3155" s="74"/>
      <c r="N3155" s="7"/>
      <c r="O3155" s="74"/>
      <c r="P3155" s="74"/>
      <c r="R3155" s="7"/>
      <c r="S3155" s="7"/>
      <c r="T3155" s="66"/>
    </row>
    <row r="3156" spans="1:20" ht="13.2">
      <c r="A3156" s="7"/>
      <c r="B3156" s="7"/>
      <c r="C3156" s="74"/>
      <c r="D3156" s="74"/>
      <c r="F3156" s="7"/>
      <c r="G3156" s="74"/>
      <c r="H3156" s="74"/>
      <c r="J3156" s="7"/>
      <c r="K3156" s="74"/>
      <c r="L3156" s="74"/>
      <c r="N3156" s="7"/>
      <c r="O3156" s="74"/>
      <c r="P3156" s="74"/>
      <c r="R3156" s="7"/>
      <c r="S3156" s="7"/>
      <c r="T3156" s="66"/>
    </row>
    <row r="3157" spans="1:20" ht="13.2">
      <c r="A3157" s="7"/>
      <c r="B3157" s="7"/>
      <c r="C3157" s="74"/>
      <c r="D3157" s="74"/>
      <c r="F3157" s="7"/>
      <c r="G3157" s="74"/>
      <c r="H3157" s="74"/>
      <c r="J3157" s="7"/>
      <c r="K3157" s="74"/>
      <c r="L3157" s="74"/>
      <c r="N3157" s="7"/>
      <c r="O3157" s="74"/>
      <c r="P3157" s="74"/>
      <c r="R3157" s="7"/>
      <c r="S3157" s="7"/>
      <c r="T3157" s="66"/>
    </row>
    <row r="3158" spans="1:20" ht="13.2">
      <c r="A3158" s="7"/>
      <c r="B3158" s="7"/>
      <c r="C3158" s="74"/>
      <c r="D3158" s="74"/>
      <c r="F3158" s="7"/>
      <c r="G3158" s="74"/>
      <c r="H3158" s="74"/>
      <c r="J3158" s="7"/>
      <c r="K3158" s="74"/>
      <c r="L3158" s="74"/>
      <c r="N3158" s="7"/>
      <c r="O3158" s="74"/>
      <c r="P3158" s="74"/>
      <c r="R3158" s="7"/>
      <c r="S3158" s="7"/>
      <c r="T3158" s="66"/>
    </row>
    <row r="3159" spans="1:20" ht="13.2">
      <c r="A3159" s="7"/>
      <c r="B3159" s="7"/>
      <c r="C3159" s="74"/>
      <c r="D3159" s="74"/>
      <c r="F3159" s="7"/>
      <c r="G3159" s="74"/>
      <c r="H3159" s="74"/>
      <c r="J3159" s="7"/>
      <c r="K3159" s="74"/>
      <c r="L3159" s="74"/>
      <c r="N3159" s="7"/>
      <c r="O3159" s="74"/>
      <c r="P3159" s="74"/>
      <c r="R3159" s="7"/>
      <c r="S3159" s="7"/>
      <c r="T3159" s="66"/>
    </row>
    <row r="3160" spans="1:20" ht="13.2">
      <c r="A3160" s="7"/>
      <c r="B3160" s="7"/>
      <c r="C3160" s="74"/>
      <c r="D3160" s="74"/>
      <c r="F3160" s="7"/>
      <c r="G3160" s="74"/>
      <c r="H3160" s="74"/>
      <c r="J3160" s="7"/>
      <c r="K3160" s="74"/>
      <c r="L3160" s="74"/>
      <c r="N3160" s="7"/>
      <c r="O3160" s="74"/>
      <c r="P3160" s="74"/>
      <c r="R3160" s="7"/>
      <c r="S3160" s="7"/>
      <c r="T3160" s="66"/>
    </row>
    <row r="3161" spans="1:20" ht="13.2">
      <c r="A3161" s="7"/>
      <c r="B3161" s="7"/>
      <c r="C3161" s="74"/>
      <c r="D3161" s="74"/>
      <c r="F3161" s="7"/>
      <c r="G3161" s="74"/>
      <c r="H3161" s="74"/>
      <c r="J3161" s="7"/>
      <c r="K3161" s="74"/>
      <c r="L3161" s="74"/>
      <c r="N3161" s="7"/>
      <c r="O3161" s="74"/>
      <c r="P3161" s="74"/>
      <c r="R3161" s="7"/>
      <c r="S3161" s="7"/>
      <c r="T3161" s="66"/>
    </row>
    <row r="3162" spans="1:20" ht="13.2">
      <c r="A3162" s="7"/>
      <c r="B3162" s="7"/>
      <c r="C3162" s="74"/>
      <c r="D3162" s="74"/>
      <c r="F3162" s="7"/>
      <c r="G3162" s="74"/>
      <c r="H3162" s="74"/>
      <c r="J3162" s="7"/>
      <c r="K3162" s="74"/>
      <c r="L3162" s="74"/>
      <c r="N3162" s="7"/>
      <c r="O3162" s="74"/>
      <c r="P3162" s="74"/>
      <c r="R3162" s="7"/>
      <c r="S3162" s="7"/>
      <c r="T3162" s="66"/>
    </row>
    <row r="3163" spans="1:20" ht="13.2">
      <c r="A3163" s="7"/>
      <c r="B3163" s="7"/>
      <c r="C3163" s="74"/>
      <c r="D3163" s="74"/>
      <c r="F3163" s="7"/>
      <c r="G3163" s="74"/>
      <c r="H3163" s="74"/>
      <c r="J3163" s="7"/>
      <c r="K3163" s="74"/>
      <c r="L3163" s="74"/>
      <c r="N3163" s="7"/>
      <c r="O3163" s="74"/>
      <c r="P3163" s="74"/>
      <c r="R3163" s="7"/>
      <c r="S3163" s="7"/>
      <c r="T3163" s="66"/>
    </row>
    <row r="3164" spans="1:20" ht="13.2">
      <c r="A3164" s="7"/>
      <c r="B3164" s="7"/>
      <c r="C3164" s="74"/>
      <c r="D3164" s="74"/>
      <c r="F3164" s="7"/>
      <c r="G3164" s="74"/>
      <c r="H3164" s="74"/>
      <c r="J3164" s="7"/>
      <c r="K3164" s="74"/>
      <c r="L3164" s="74"/>
      <c r="N3164" s="7"/>
      <c r="O3164" s="74"/>
      <c r="P3164" s="74"/>
      <c r="R3164" s="7"/>
      <c r="S3164" s="7"/>
      <c r="T3164" s="66"/>
    </row>
    <row r="3165" spans="1:20" ht="13.2">
      <c r="A3165" s="7"/>
      <c r="B3165" s="7"/>
      <c r="C3165" s="74"/>
      <c r="D3165" s="74"/>
      <c r="F3165" s="7"/>
      <c r="G3165" s="74"/>
      <c r="H3165" s="74"/>
      <c r="J3165" s="7"/>
      <c r="K3165" s="74"/>
      <c r="L3165" s="74"/>
      <c r="N3165" s="7"/>
      <c r="O3165" s="74"/>
      <c r="P3165" s="74"/>
      <c r="R3165" s="7"/>
      <c r="S3165" s="7"/>
      <c r="T3165" s="66"/>
    </row>
    <row r="3166" spans="1:20" ht="13.2">
      <c r="A3166" s="7"/>
      <c r="B3166" s="7"/>
      <c r="C3166" s="74"/>
      <c r="D3166" s="74"/>
      <c r="F3166" s="7"/>
      <c r="G3166" s="74"/>
      <c r="H3166" s="74"/>
      <c r="J3166" s="7"/>
      <c r="K3166" s="74"/>
      <c r="L3166" s="74"/>
      <c r="N3166" s="7"/>
      <c r="O3166" s="74"/>
      <c r="P3166" s="74"/>
      <c r="R3166" s="7"/>
      <c r="S3166" s="7"/>
      <c r="T3166" s="66"/>
    </row>
    <row r="3167" spans="1:20" ht="13.2">
      <c r="A3167" s="7"/>
      <c r="B3167" s="7"/>
      <c r="C3167" s="74"/>
      <c r="D3167" s="74"/>
      <c r="F3167" s="7"/>
      <c r="G3167" s="74"/>
      <c r="H3167" s="74"/>
      <c r="J3167" s="7"/>
      <c r="K3167" s="74"/>
      <c r="L3167" s="74"/>
      <c r="N3167" s="7"/>
      <c r="O3167" s="74"/>
      <c r="P3167" s="74"/>
      <c r="R3167" s="7"/>
      <c r="S3167" s="7"/>
      <c r="T3167" s="66"/>
    </row>
    <row r="3168" spans="1:20" ht="13.2">
      <c r="A3168" s="7"/>
      <c r="B3168" s="7"/>
      <c r="C3168" s="74"/>
      <c r="D3168" s="74"/>
      <c r="F3168" s="7"/>
      <c r="G3168" s="74"/>
      <c r="H3168" s="74"/>
      <c r="J3168" s="7"/>
      <c r="K3168" s="74"/>
      <c r="L3168" s="74"/>
      <c r="N3168" s="7"/>
      <c r="O3168" s="74"/>
      <c r="P3168" s="74"/>
      <c r="R3168" s="7"/>
      <c r="S3168" s="7"/>
      <c r="T3168" s="66"/>
    </row>
    <row r="3169" spans="1:20" ht="13.2">
      <c r="A3169" s="7"/>
      <c r="B3169" s="7"/>
      <c r="C3169" s="74"/>
      <c r="D3169" s="74"/>
      <c r="F3169" s="7"/>
      <c r="G3169" s="74"/>
      <c r="H3169" s="74"/>
      <c r="J3169" s="7"/>
      <c r="K3169" s="74"/>
      <c r="L3169" s="74"/>
      <c r="N3169" s="7"/>
      <c r="O3169" s="74"/>
      <c r="P3169" s="74"/>
      <c r="R3169" s="7"/>
      <c r="S3169" s="7"/>
      <c r="T3169" s="66"/>
    </row>
    <row r="3170" spans="1:20" ht="13.2">
      <c r="A3170" s="7"/>
      <c r="B3170" s="7"/>
      <c r="C3170" s="74"/>
      <c r="D3170" s="74"/>
      <c r="F3170" s="7"/>
      <c r="G3170" s="74"/>
      <c r="H3170" s="74"/>
      <c r="J3170" s="7"/>
      <c r="K3170" s="74"/>
      <c r="L3170" s="74"/>
      <c r="N3170" s="7"/>
      <c r="O3170" s="74"/>
      <c r="P3170" s="74"/>
      <c r="R3170" s="7"/>
      <c r="S3170" s="7"/>
      <c r="T3170" s="66"/>
    </row>
    <row r="3171" spans="1:20" ht="13.2">
      <c r="A3171" s="7"/>
      <c r="B3171" s="7"/>
      <c r="C3171" s="74"/>
      <c r="D3171" s="74"/>
      <c r="F3171" s="7"/>
      <c r="G3171" s="74"/>
      <c r="H3171" s="74"/>
      <c r="J3171" s="7"/>
      <c r="K3171" s="74"/>
      <c r="L3171" s="74"/>
      <c r="N3171" s="7"/>
      <c r="O3171" s="74"/>
      <c r="P3171" s="74"/>
      <c r="R3171" s="7"/>
      <c r="S3171" s="7"/>
      <c r="T3171" s="66"/>
    </row>
    <row r="3172" spans="1:20" ht="13.2">
      <c r="A3172" s="7"/>
      <c r="B3172" s="7"/>
      <c r="C3172" s="74"/>
      <c r="D3172" s="74"/>
      <c r="F3172" s="7"/>
      <c r="G3172" s="74"/>
      <c r="H3172" s="74"/>
      <c r="J3172" s="7"/>
      <c r="K3172" s="74"/>
      <c r="L3172" s="74"/>
      <c r="N3172" s="7"/>
      <c r="O3172" s="74"/>
      <c r="P3172" s="74"/>
      <c r="R3172" s="7"/>
      <c r="S3172" s="7"/>
      <c r="T3172" s="66"/>
    </row>
    <row r="3173" spans="1:20" ht="13.2">
      <c r="A3173" s="7"/>
      <c r="B3173" s="7"/>
      <c r="C3173" s="74"/>
      <c r="D3173" s="74"/>
      <c r="F3173" s="7"/>
      <c r="G3173" s="74"/>
      <c r="H3173" s="74"/>
      <c r="J3173" s="7"/>
      <c r="K3173" s="74"/>
      <c r="L3173" s="74"/>
      <c r="N3173" s="7"/>
      <c r="O3173" s="74"/>
      <c r="P3173" s="74"/>
      <c r="R3173" s="7"/>
      <c r="S3173" s="7"/>
      <c r="T3173" s="66"/>
    </row>
    <row r="3174" spans="1:20" ht="13.2">
      <c r="A3174" s="7"/>
      <c r="B3174" s="7"/>
      <c r="C3174" s="74"/>
      <c r="D3174" s="74"/>
      <c r="F3174" s="7"/>
      <c r="G3174" s="74"/>
      <c r="H3174" s="74"/>
      <c r="J3174" s="7"/>
      <c r="K3174" s="74"/>
      <c r="L3174" s="74"/>
      <c r="N3174" s="7"/>
      <c r="O3174" s="74"/>
      <c r="P3174" s="74"/>
      <c r="R3174" s="7"/>
      <c r="S3174" s="7"/>
      <c r="T3174" s="66"/>
    </row>
    <row r="3175" spans="1:20" ht="13.2">
      <c r="A3175" s="7"/>
      <c r="B3175" s="7"/>
      <c r="C3175" s="74"/>
      <c r="D3175" s="74"/>
      <c r="F3175" s="7"/>
      <c r="G3175" s="74"/>
      <c r="H3175" s="74"/>
      <c r="J3175" s="7"/>
      <c r="K3175" s="74"/>
      <c r="L3175" s="74"/>
      <c r="N3175" s="7"/>
      <c r="O3175" s="74"/>
      <c r="P3175" s="74"/>
      <c r="R3175" s="7"/>
      <c r="S3175" s="7"/>
      <c r="T3175" s="66"/>
    </row>
    <row r="3176" spans="1:20" ht="13.2">
      <c r="A3176" s="7"/>
      <c r="B3176" s="7"/>
      <c r="C3176" s="74"/>
      <c r="D3176" s="74"/>
      <c r="F3176" s="7"/>
      <c r="G3176" s="74"/>
      <c r="H3176" s="74"/>
      <c r="J3176" s="7"/>
      <c r="K3176" s="74"/>
      <c r="L3176" s="74"/>
      <c r="N3176" s="7"/>
      <c r="O3176" s="74"/>
      <c r="P3176" s="74"/>
      <c r="R3176" s="7"/>
      <c r="S3176" s="7"/>
      <c r="T3176" s="66"/>
    </row>
    <row r="3177" spans="1:20" ht="13.2">
      <c r="A3177" s="7"/>
      <c r="B3177" s="7"/>
      <c r="C3177" s="74"/>
      <c r="D3177" s="74"/>
      <c r="F3177" s="7"/>
      <c r="G3177" s="74"/>
      <c r="H3177" s="74"/>
      <c r="J3177" s="7"/>
      <c r="K3177" s="74"/>
      <c r="L3177" s="74"/>
      <c r="N3177" s="7"/>
      <c r="O3177" s="74"/>
      <c r="P3177" s="74"/>
      <c r="R3177" s="7"/>
      <c r="S3177" s="7"/>
      <c r="T3177" s="66"/>
    </row>
    <row r="3178" spans="1:20" ht="13.2">
      <c r="A3178" s="7"/>
      <c r="B3178" s="7"/>
      <c r="C3178" s="74"/>
      <c r="D3178" s="74"/>
      <c r="F3178" s="7"/>
      <c r="G3178" s="74"/>
      <c r="H3178" s="74"/>
      <c r="J3178" s="7"/>
      <c r="K3178" s="74"/>
      <c r="L3178" s="74"/>
      <c r="N3178" s="7"/>
      <c r="O3178" s="74"/>
      <c r="P3178" s="74"/>
      <c r="R3178" s="7"/>
      <c r="S3178" s="7"/>
      <c r="T3178" s="66"/>
    </row>
    <row r="3179" spans="1:20" ht="13.2">
      <c r="A3179" s="7"/>
      <c r="B3179" s="7"/>
      <c r="C3179" s="74"/>
      <c r="D3179" s="74"/>
      <c r="F3179" s="7"/>
      <c r="G3179" s="74"/>
      <c r="H3179" s="74"/>
      <c r="J3179" s="7"/>
      <c r="K3179" s="74"/>
      <c r="L3179" s="74"/>
      <c r="N3179" s="7"/>
      <c r="O3179" s="74"/>
      <c r="P3179" s="74"/>
      <c r="R3179" s="7"/>
      <c r="S3179" s="7"/>
      <c r="T3179" s="66"/>
    </row>
    <row r="3180" spans="1:20" ht="13.2">
      <c r="A3180" s="7"/>
      <c r="B3180" s="7"/>
      <c r="C3180" s="74"/>
      <c r="D3180" s="74"/>
      <c r="F3180" s="7"/>
      <c r="G3180" s="74"/>
      <c r="H3180" s="74"/>
      <c r="J3180" s="7"/>
      <c r="K3180" s="74"/>
      <c r="L3180" s="74"/>
      <c r="N3180" s="7"/>
      <c r="O3180" s="74"/>
      <c r="P3180" s="74"/>
      <c r="R3180" s="7"/>
      <c r="S3180" s="7"/>
      <c r="T3180" s="66"/>
    </row>
    <row r="3181" spans="1:20" ht="13.2">
      <c r="A3181" s="7"/>
      <c r="B3181" s="7"/>
      <c r="C3181" s="74"/>
      <c r="D3181" s="74"/>
      <c r="F3181" s="7"/>
      <c r="G3181" s="74"/>
      <c r="H3181" s="74"/>
      <c r="J3181" s="7"/>
      <c r="K3181" s="74"/>
      <c r="L3181" s="74"/>
      <c r="N3181" s="7"/>
      <c r="O3181" s="74"/>
      <c r="P3181" s="74"/>
      <c r="R3181" s="7"/>
      <c r="S3181" s="7"/>
      <c r="T3181" s="66"/>
    </row>
    <row r="3182" spans="1:20" ht="13.2">
      <c r="A3182" s="7"/>
      <c r="B3182" s="7"/>
      <c r="C3182" s="74"/>
      <c r="D3182" s="74"/>
      <c r="F3182" s="7"/>
      <c r="G3182" s="74"/>
      <c r="H3182" s="74"/>
      <c r="J3182" s="7"/>
      <c r="K3182" s="74"/>
      <c r="L3182" s="74"/>
      <c r="N3182" s="7"/>
      <c r="O3182" s="74"/>
      <c r="P3182" s="74"/>
      <c r="R3182" s="7"/>
      <c r="S3182" s="7"/>
      <c r="T3182" s="66"/>
    </row>
    <row r="3183" spans="1:20" ht="13.2">
      <c r="A3183" s="7"/>
      <c r="B3183" s="7"/>
      <c r="C3183" s="74"/>
      <c r="D3183" s="74"/>
      <c r="F3183" s="7"/>
      <c r="G3183" s="74"/>
      <c r="H3183" s="74"/>
      <c r="J3183" s="7"/>
      <c r="K3183" s="74"/>
      <c r="L3183" s="74"/>
      <c r="N3183" s="7"/>
      <c r="O3183" s="74"/>
      <c r="P3183" s="74"/>
      <c r="R3183" s="7"/>
      <c r="S3183" s="7"/>
      <c r="T3183" s="66"/>
    </row>
    <row r="3184" spans="1:20" ht="13.2">
      <c r="A3184" s="7"/>
      <c r="B3184" s="7"/>
      <c r="C3184" s="74"/>
      <c r="D3184" s="74"/>
      <c r="F3184" s="7"/>
      <c r="G3184" s="74"/>
      <c r="H3184" s="74"/>
      <c r="J3184" s="7"/>
      <c r="K3184" s="74"/>
      <c r="L3184" s="74"/>
      <c r="N3184" s="7"/>
      <c r="O3184" s="74"/>
      <c r="P3184" s="74"/>
      <c r="R3184" s="7"/>
      <c r="S3184" s="7"/>
      <c r="T3184" s="66"/>
    </row>
    <row r="3185" spans="1:20" ht="13.2">
      <c r="A3185" s="7"/>
      <c r="B3185" s="7"/>
      <c r="C3185" s="74"/>
      <c r="D3185" s="74"/>
      <c r="F3185" s="7"/>
      <c r="G3185" s="74"/>
      <c r="H3185" s="74"/>
      <c r="J3185" s="7"/>
      <c r="K3185" s="74"/>
      <c r="L3185" s="74"/>
      <c r="N3185" s="7"/>
      <c r="O3185" s="74"/>
      <c r="P3185" s="74"/>
      <c r="R3185" s="7"/>
      <c r="S3185" s="7"/>
      <c r="T3185" s="66"/>
    </row>
    <row r="3186" spans="1:20" ht="13.2">
      <c r="A3186" s="7"/>
      <c r="B3186" s="7"/>
      <c r="C3186" s="74"/>
      <c r="D3186" s="74"/>
      <c r="F3186" s="7"/>
      <c r="G3186" s="74"/>
      <c r="H3186" s="74"/>
      <c r="J3186" s="7"/>
      <c r="K3186" s="74"/>
      <c r="L3186" s="74"/>
      <c r="N3186" s="7"/>
      <c r="O3186" s="74"/>
      <c r="P3186" s="74"/>
      <c r="R3186" s="7"/>
      <c r="S3186" s="7"/>
      <c r="T3186" s="66"/>
    </row>
    <row r="3187" spans="1:20" ht="13.2">
      <c r="A3187" s="7"/>
      <c r="B3187" s="7"/>
      <c r="C3187" s="74"/>
      <c r="D3187" s="74"/>
      <c r="F3187" s="7"/>
      <c r="G3187" s="74"/>
      <c r="H3187" s="74"/>
      <c r="J3187" s="7"/>
      <c r="K3187" s="74"/>
      <c r="L3187" s="74"/>
      <c r="N3187" s="7"/>
      <c r="O3187" s="74"/>
      <c r="P3187" s="74"/>
      <c r="R3187" s="7"/>
      <c r="S3187" s="7"/>
      <c r="T3187" s="66"/>
    </row>
    <row r="3188" spans="1:20" ht="13.2">
      <c r="A3188" s="7"/>
      <c r="B3188" s="7"/>
      <c r="C3188" s="74"/>
      <c r="D3188" s="74"/>
      <c r="F3188" s="7"/>
      <c r="G3188" s="74"/>
      <c r="H3188" s="74"/>
      <c r="J3188" s="7"/>
      <c r="K3188" s="74"/>
      <c r="L3188" s="74"/>
      <c r="N3188" s="7"/>
      <c r="O3188" s="74"/>
      <c r="P3188" s="74"/>
      <c r="R3188" s="7"/>
      <c r="S3188" s="7"/>
      <c r="T3188" s="66"/>
    </row>
    <row r="3189" spans="1:20" ht="13.2">
      <c r="A3189" s="7"/>
      <c r="B3189" s="7"/>
      <c r="C3189" s="74"/>
      <c r="D3189" s="74"/>
      <c r="F3189" s="7"/>
      <c r="G3189" s="74"/>
      <c r="H3189" s="74"/>
      <c r="J3189" s="7"/>
      <c r="K3189" s="74"/>
      <c r="L3189" s="74"/>
      <c r="N3189" s="7"/>
      <c r="O3189" s="74"/>
      <c r="P3189" s="74"/>
      <c r="R3189" s="7"/>
      <c r="S3189" s="7"/>
      <c r="T3189" s="66"/>
    </row>
    <row r="3190" spans="1:20" ht="13.2">
      <c r="A3190" s="7"/>
      <c r="B3190" s="7"/>
      <c r="C3190" s="74"/>
      <c r="D3190" s="74"/>
      <c r="F3190" s="7"/>
      <c r="G3190" s="74"/>
      <c r="H3190" s="74"/>
      <c r="J3190" s="7"/>
      <c r="K3190" s="74"/>
      <c r="L3190" s="74"/>
      <c r="N3190" s="7"/>
      <c r="O3190" s="74"/>
      <c r="P3190" s="74"/>
      <c r="R3190" s="7"/>
      <c r="S3190" s="7"/>
      <c r="T3190" s="66"/>
    </row>
    <row r="3191" spans="1:20" ht="13.2">
      <c r="A3191" s="7"/>
      <c r="B3191" s="7"/>
      <c r="C3191" s="74"/>
      <c r="D3191" s="74"/>
      <c r="F3191" s="7"/>
      <c r="G3191" s="74"/>
      <c r="H3191" s="74"/>
      <c r="J3191" s="7"/>
      <c r="K3191" s="74"/>
      <c r="L3191" s="74"/>
      <c r="N3191" s="7"/>
      <c r="O3191" s="74"/>
      <c r="P3191" s="74"/>
      <c r="R3191" s="7"/>
      <c r="S3191" s="7"/>
      <c r="T3191" s="66"/>
    </row>
    <row r="3192" spans="1:20" ht="13.2">
      <c r="A3192" s="7"/>
      <c r="B3192" s="7"/>
      <c r="C3192" s="74"/>
      <c r="D3192" s="74"/>
      <c r="F3192" s="7"/>
      <c r="G3192" s="74"/>
      <c r="H3192" s="74"/>
      <c r="J3192" s="7"/>
      <c r="K3192" s="74"/>
      <c r="L3192" s="74"/>
      <c r="N3192" s="7"/>
      <c r="O3192" s="74"/>
      <c r="P3192" s="74"/>
      <c r="R3192" s="7"/>
      <c r="S3192" s="7"/>
      <c r="T3192" s="66"/>
    </row>
    <row r="3193" spans="1:20" ht="13.2">
      <c r="A3193" s="7"/>
      <c r="B3193" s="7"/>
      <c r="C3193" s="74"/>
      <c r="D3193" s="74"/>
      <c r="F3193" s="7"/>
      <c r="G3193" s="74"/>
      <c r="H3193" s="74"/>
      <c r="J3193" s="7"/>
      <c r="K3193" s="74"/>
      <c r="L3193" s="74"/>
      <c r="N3193" s="7"/>
      <c r="O3193" s="74"/>
      <c r="P3193" s="74"/>
      <c r="R3193" s="7"/>
      <c r="S3193" s="7"/>
      <c r="T3193" s="66"/>
    </row>
    <row r="3194" spans="1:20" ht="13.2">
      <c r="A3194" s="7"/>
      <c r="B3194" s="7"/>
      <c r="C3194" s="74"/>
      <c r="D3194" s="74"/>
      <c r="F3194" s="7"/>
      <c r="G3194" s="74"/>
      <c r="H3194" s="74"/>
      <c r="J3194" s="7"/>
      <c r="K3194" s="74"/>
      <c r="L3194" s="74"/>
      <c r="N3194" s="7"/>
      <c r="O3194" s="74"/>
      <c r="P3194" s="74"/>
      <c r="R3194" s="7"/>
      <c r="S3194" s="7"/>
      <c r="T3194" s="66"/>
    </row>
    <row r="3195" spans="1:20" ht="13.2">
      <c r="A3195" s="7"/>
      <c r="B3195" s="7"/>
      <c r="C3195" s="74"/>
      <c r="D3195" s="74"/>
      <c r="F3195" s="7"/>
      <c r="G3195" s="74"/>
      <c r="H3195" s="74"/>
      <c r="J3195" s="7"/>
      <c r="K3195" s="74"/>
      <c r="L3195" s="74"/>
      <c r="N3195" s="7"/>
      <c r="O3195" s="74"/>
      <c r="P3195" s="74"/>
      <c r="R3195" s="7"/>
      <c r="S3195" s="7"/>
      <c r="T3195" s="66"/>
    </row>
    <row r="3196" spans="1:20" ht="13.2">
      <c r="A3196" s="7"/>
      <c r="B3196" s="7"/>
      <c r="C3196" s="74"/>
      <c r="D3196" s="74"/>
      <c r="F3196" s="7"/>
      <c r="G3196" s="74"/>
      <c r="H3196" s="74"/>
      <c r="J3196" s="7"/>
      <c r="K3196" s="74"/>
      <c r="L3196" s="74"/>
      <c r="N3196" s="7"/>
      <c r="O3196" s="74"/>
      <c r="P3196" s="74"/>
      <c r="R3196" s="7"/>
      <c r="S3196" s="7"/>
      <c r="T3196" s="66"/>
    </row>
    <row r="3197" spans="1:20" ht="13.2">
      <c r="A3197" s="7"/>
      <c r="B3197" s="7"/>
      <c r="C3197" s="74"/>
      <c r="D3197" s="74"/>
      <c r="F3197" s="7"/>
      <c r="G3197" s="74"/>
      <c r="H3197" s="74"/>
      <c r="J3197" s="7"/>
      <c r="K3197" s="74"/>
      <c r="L3197" s="74"/>
      <c r="N3197" s="7"/>
      <c r="O3197" s="74"/>
      <c r="P3197" s="74"/>
      <c r="R3197" s="7"/>
      <c r="S3197" s="7"/>
      <c r="T3197" s="66"/>
    </row>
    <row r="3198" spans="1:20" ht="13.2">
      <c r="A3198" s="7"/>
      <c r="B3198" s="7"/>
      <c r="C3198" s="74"/>
      <c r="D3198" s="74"/>
      <c r="F3198" s="7"/>
      <c r="G3198" s="74"/>
      <c r="H3198" s="74"/>
      <c r="J3198" s="7"/>
      <c r="K3198" s="74"/>
      <c r="L3198" s="74"/>
      <c r="N3198" s="7"/>
      <c r="O3198" s="74"/>
      <c r="P3198" s="74"/>
      <c r="R3198" s="7"/>
      <c r="S3198" s="7"/>
      <c r="T3198" s="66"/>
    </row>
    <row r="3199" spans="1:20" ht="13.2">
      <c r="A3199" s="7"/>
      <c r="B3199" s="7"/>
      <c r="C3199" s="74"/>
      <c r="D3199" s="74"/>
      <c r="F3199" s="7"/>
      <c r="G3199" s="74"/>
      <c r="H3199" s="74"/>
      <c r="J3199" s="7"/>
      <c r="K3199" s="74"/>
      <c r="L3199" s="74"/>
      <c r="N3199" s="7"/>
      <c r="O3199" s="74"/>
      <c r="P3199" s="74"/>
      <c r="R3199" s="7"/>
      <c r="S3199" s="7"/>
      <c r="T3199" s="66"/>
    </row>
    <row r="3200" spans="1:20" ht="13.2">
      <c r="A3200" s="7"/>
      <c r="B3200" s="7"/>
      <c r="C3200" s="74"/>
      <c r="D3200" s="74"/>
      <c r="F3200" s="7"/>
      <c r="G3200" s="74"/>
      <c r="H3200" s="74"/>
      <c r="J3200" s="7"/>
      <c r="K3200" s="74"/>
      <c r="L3200" s="74"/>
      <c r="N3200" s="7"/>
      <c r="O3200" s="74"/>
      <c r="P3200" s="74"/>
      <c r="R3200" s="7"/>
      <c r="S3200" s="7"/>
      <c r="T3200" s="66"/>
    </row>
    <row r="3201" spans="1:20" ht="13.2">
      <c r="A3201" s="7"/>
      <c r="B3201" s="7"/>
      <c r="C3201" s="74"/>
      <c r="D3201" s="74"/>
      <c r="F3201" s="7"/>
      <c r="G3201" s="74"/>
      <c r="H3201" s="74"/>
      <c r="J3201" s="7"/>
      <c r="K3201" s="74"/>
      <c r="L3201" s="74"/>
      <c r="N3201" s="7"/>
      <c r="O3201" s="74"/>
      <c r="P3201" s="74"/>
      <c r="R3201" s="7"/>
      <c r="S3201" s="7"/>
      <c r="T3201" s="66"/>
    </row>
    <row r="3202" spans="1:20" ht="13.2">
      <c r="A3202" s="7"/>
      <c r="B3202" s="7"/>
      <c r="C3202" s="74"/>
      <c r="D3202" s="74"/>
      <c r="F3202" s="7"/>
      <c r="G3202" s="74"/>
      <c r="H3202" s="74"/>
      <c r="J3202" s="7"/>
      <c r="K3202" s="74"/>
      <c r="L3202" s="74"/>
      <c r="N3202" s="7"/>
      <c r="O3202" s="74"/>
      <c r="P3202" s="74"/>
      <c r="R3202" s="7"/>
      <c r="S3202" s="7"/>
      <c r="T3202" s="66"/>
    </row>
    <row r="3203" spans="1:20" ht="13.2">
      <c r="A3203" s="7"/>
      <c r="B3203" s="7"/>
      <c r="C3203" s="74"/>
      <c r="D3203" s="74"/>
      <c r="F3203" s="7"/>
      <c r="G3203" s="74"/>
      <c r="H3203" s="74"/>
      <c r="J3203" s="7"/>
      <c r="K3203" s="74"/>
      <c r="L3203" s="74"/>
      <c r="N3203" s="7"/>
      <c r="O3203" s="74"/>
      <c r="P3203" s="74"/>
      <c r="R3203" s="7"/>
      <c r="S3203" s="7"/>
      <c r="T3203" s="66"/>
    </row>
    <row r="3204" spans="1:20" ht="13.2">
      <c r="A3204" s="7"/>
      <c r="B3204" s="7"/>
      <c r="C3204" s="74"/>
      <c r="D3204" s="74"/>
      <c r="F3204" s="7"/>
      <c r="G3204" s="74"/>
      <c r="H3204" s="74"/>
      <c r="J3204" s="7"/>
      <c r="K3204" s="74"/>
      <c r="L3204" s="74"/>
      <c r="N3204" s="7"/>
      <c r="O3204" s="74"/>
      <c r="P3204" s="74"/>
      <c r="R3204" s="7"/>
      <c r="S3204" s="7"/>
      <c r="T3204" s="66"/>
    </row>
    <row r="3205" spans="1:20" ht="13.2">
      <c r="A3205" s="7"/>
      <c r="B3205" s="7"/>
      <c r="C3205" s="74"/>
      <c r="D3205" s="74"/>
      <c r="F3205" s="7"/>
      <c r="G3205" s="74"/>
      <c r="H3205" s="74"/>
      <c r="J3205" s="7"/>
      <c r="K3205" s="74"/>
      <c r="L3205" s="74"/>
      <c r="N3205" s="7"/>
      <c r="O3205" s="74"/>
      <c r="P3205" s="74"/>
      <c r="R3205" s="7"/>
      <c r="S3205" s="7"/>
      <c r="T3205" s="66"/>
    </row>
    <row r="3206" spans="1:20" ht="13.2">
      <c r="A3206" s="7"/>
      <c r="B3206" s="7"/>
      <c r="C3206" s="74"/>
      <c r="D3206" s="74"/>
      <c r="F3206" s="7"/>
      <c r="G3206" s="74"/>
      <c r="H3206" s="74"/>
      <c r="J3206" s="7"/>
      <c r="K3206" s="74"/>
      <c r="L3206" s="74"/>
      <c r="N3206" s="7"/>
      <c r="O3206" s="74"/>
      <c r="P3206" s="74"/>
      <c r="R3206" s="7"/>
      <c r="S3206" s="7"/>
      <c r="T3206" s="66"/>
    </row>
    <row r="3207" spans="1:20" ht="13.2">
      <c r="A3207" s="7"/>
      <c r="B3207" s="7"/>
      <c r="C3207" s="74"/>
      <c r="D3207" s="74"/>
      <c r="F3207" s="7"/>
      <c r="G3207" s="74"/>
      <c r="H3207" s="74"/>
      <c r="J3207" s="7"/>
      <c r="K3207" s="74"/>
      <c r="L3207" s="74"/>
      <c r="N3207" s="7"/>
      <c r="O3207" s="74"/>
      <c r="P3207" s="74"/>
      <c r="R3207" s="7"/>
      <c r="S3207" s="7"/>
      <c r="T3207" s="66"/>
    </row>
    <row r="3208" spans="1:20" ht="13.2">
      <c r="A3208" s="7"/>
      <c r="B3208" s="7"/>
      <c r="C3208" s="74"/>
      <c r="D3208" s="74"/>
      <c r="F3208" s="7"/>
      <c r="G3208" s="74"/>
      <c r="H3208" s="74"/>
      <c r="J3208" s="7"/>
      <c r="K3208" s="74"/>
      <c r="L3208" s="74"/>
      <c r="N3208" s="7"/>
      <c r="O3208" s="74"/>
      <c r="P3208" s="74"/>
      <c r="R3208" s="7"/>
      <c r="S3208" s="7"/>
      <c r="T3208" s="66"/>
    </row>
    <row r="3209" spans="1:20" ht="13.2">
      <c r="A3209" s="7"/>
      <c r="B3209" s="7"/>
      <c r="C3209" s="74"/>
      <c r="D3209" s="74"/>
      <c r="F3209" s="7"/>
      <c r="G3209" s="74"/>
      <c r="H3209" s="74"/>
      <c r="J3209" s="7"/>
      <c r="K3209" s="74"/>
      <c r="L3209" s="74"/>
      <c r="N3209" s="7"/>
      <c r="O3209" s="74"/>
      <c r="P3209" s="74"/>
      <c r="R3209" s="7"/>
      <c r="S3209" s="7"/>
      <c r="T3209" s="66"/>
    </row>
    <row r="3210" spans="1:20" ht="13.2">
      <c r="A3210" s="7"/>
      <c r="B3210" s="7"/>
      <c r="C3210" s="74"/>
      <c r="D3210" s="74"/>
      <c r="F3210" s="7"/>
      <c r="G3210" s="74"/>
      <c r="H3210" s="74"/>
      <c r="J3210" s="7"/>
      <c r="K3210" s="74"/>
      <c r="L3210" s="74"/>
      <c r="N3210" s="7"/>
      <c r="O3210" s="74"/>
      <c r="P3210" s="74"/>
      <c r="R3210" s="7"/>
      <c r="S3210" s="7"/>
      <c r="T3210" s="66"/>
    </row>
    <row r="3211" spans="1:20" ht="13.2">
      <c r="A3211" s="7"/>
      <c r="B3211" s="7"/>
      <c r="C3211" s="74"/>
      <c r="D3211" s="74"/>
      <c r="F3211" s="7"/>
      <c r="G3211" s="74"/>
      <c r="H3211" s="74"/>
      <c r="J3211" s="7"/>
      <c r="K3211" s="74"/>
      <c r="L3211" s="74"/>
      <c r="N3211" s="7"/>
      <c r="O3211" s="74"/>
      <c r="P3211" s="74"/>
      <c r="R3211" s="7"/>
      <c r="S3211" s="7"/>
      <c r="T3211" s="66"/>
    </row>
    <row r="3212" spans="1:20" ht="13.2">
      <c r="A3212" s="7"/>
      <c r="B3212" s="7"/>
      <c r="C3212" s="74"/>
      <c r="D3212" s="74"/>
      <c r="F3212" s="7"/>
      <c r="G3212" s="74"/>
      <c r="H3212" s="74"/>
      <c r="J3212" s="7"/>
      <c r="K3212" s="74"/>
      <c r="L3212" s="74"/>
      <c r="N3212" s="7"/>
      <c r="O3212" s="74"/>
      <c r="P3212" s="74"/>
      <c r="R3212" s="7"/>
      <c r="S3212" s="7"/>
      <c r="T3212" s="66"/>
    </row>
    <row r="3213" spans="1:20" ht="13.2">
      <c r="A3213" s="7"/>
      <c r="B3213" s="7"/>
      <c r="C3213" s="74"/>
      <c r="D3213" s="74"/>
      <c r="F3213" s="7"/>
      <c r="G3213" s="74"/>
      <c r="H3213" s="74"/>
      <c r="J3213" s="7"/>
      <c r="K3213" s="74"/>
      <c r="L3213" s="74"/>
      <c r="N3213" s="7"/>
      <c r="O3213" s="74"/>
      <c r="P3213" s="74"/>
      <c r="R3213" s="7"/>
      <c r="S3213" s="7"/>
      <c r="T3213" s="66"/>
    </row>
    <row r="3214" spans="1:20" ht="13.2">
      <c r="A3214" s="7"/>
      <c r="B3214" s="7"/>
      <c r="C3214" s="74"/>
      <c r="D3214" s="74"/>
      <c r="F3214" s="7"/>
      <c r="G3214" s="74"/>
      <c r="H3214" s="74"/>
      <c r="J3214" s="7"/>
      <c r="K3214" s="74"/>
      <c r="L3214" s="74"/>
      <c r="N3214" s="7"/>
      <c r="O3214" s="74"/>
      <c r="P3214" s="74"/>
      <c r="R3214" s="7"/>
      <c r="S3214" s="7"/>
      <c r="T3214" s="66"/>
    </row>
    <row r="3215" spans="1:20" ht="13.2">
      <c r="A3215" s="7"/>
      <c r="B3215" s="7"/>
      <c r="C3215" s="74"/>
      <c r="D3215" s="74"/>
      <c r="F3215" s="7"/>
      <c r="G3215" s="74"/>
      <c r="H3215" s="74"/>
      <c r="J3215" s="7"/>
      <c r="K3215" s="74"/>
      <c r="L3215" s="74"/>
      <c r="N3215" s="7"/>
      <c r="O3215" s="74"/>
      <c r="P3215" s="74"/>
      <c r="R3215" s="7"/>
      <c r="S3215" s="7"/>
      <c r="T3215" s="66"/>
    </row>
    <row r="3216" spans="1:20" ht="13.2">
      <c r="A3216" s="7"/>
      <c r="B3216" s="7"/>
      <c r="C3216" s="74"/>
      <c r="D3216" s="74"/>
      <c r="F3216" s="7"/>
      <c r="G3216" s="74"/>
      <c r="H3216" s="74"/>
      <c r="J3216" s="7"/>
      <c r="K3216" s="74"/>
      <c r="L3216" s="74"/>
      <c r="N3216" s="7"/>
      <c r="O3216" s="74"/>
      <c r="P3216" s="74"/>
      <c r="R3216" s="7"/>
      <c r="S3216" s="7"/>
      <c r="T3216" s="66"/>
    </row>
    <row r="3217" spans="1:20" ht="13.2">
      <c r="A3217" s="7"/>
      <c r="B3217" s="7"/>
      <c r="C3217" s="74"/>
      <c r="D3217" s="74"/>
      <c r="F3217" s="7"/>
      <c r="G3217" s="74"/>
      <c r="H3217" s="74"/>
      <c r="J3217" s="7"/>
      <c r="K3217" s="74"/>
      <c r="L3217" s="74"/>
      <c r="N3217" s="7"/>
      <c r="O3217" s="74"/>
      <c r="P3217" s="74"/>
      <c r="R3217" s="7"/>
      <c r="S3217" s="7"/>
      <c r="T3217" s="66"/>
    </row>
    <row r="3218" spans="1:20" ht="13.2">
      <c r="A3218" s="7"/>
      <c r="B3218" s="7"/>
      <c r="C3218" s="74"/>
      <c r="D3218" s="74"/>
      <c r="F3218" s="7"/>
      <c r="G3218" s="74"/>
      <c r="H3218" s="74"/>
      <c r="J3218" s="7"/>
      <c r="K3218" s="74"/>
      <c r="L3218" s="74"/>
      <c r="N3218" s="7"/>
      <c r="O3218" s="74"/>
      <c r="P3218" s="74"/>
      <c r="R3218" s="7"/>
      <c r="S3218" s="7"/>
      <c r="T3218" s="66"/>
    </row>
    <row r="3219" spans="1:20" ht="13.2">
      <c r="A3219" s="7"/>
      <c r="B3219" s="7"/>
      <c r="C3219" s="74"/>
      <c r="D3219" s="74"/>
      <c r="F3219" s="7"/>
      <c r="G3219" s="74"/>
      <c r="H3219" s="74"/>
      <c r="J3219" s="7"/>
      <c r="K3219" s="74"/>
      <c r="L3219" s="74"/>
      <c r="N3219" s="7"/>
      <c r="O3219" s="74"/>
      <c r="P3219" s="74"/>
      <c r="R3219" s="7"/>
      <c r="S3219" s="7"/>
      <c r="T3219" s="66"/>
    </row>
    <row r="3220" spans="1:20" ht="13.2">
      <c r="A3220" s="7"/>
      <c r="B3220" s="7"/>
      <c r="C3220" s="74"/>
      <c r="D3220" s="74"/>
      <c r="F3220" s="7"/>
      <c r="G3220" s="74"/>
      <c r="H3220" s="74"/>
      <c r="J3220" s="7"/>
      <c r="K3220" s="74"/>
      <c r="L3220" s="74"/>
      <c r="N3220" s="7"/>
      <c r="O3220" s="74"/>
      <c r="P3220" s="74"/>
      <c r="R3220" s="7"/>
      <c r="S3220" s="7"/>
      <c r="T3220" s="66"/>
    </row>
    <row r="3221" spans="1:20" ht="13.2">
      <c r="A3221" s="7"/>
      <c r="B3221" s="7"/>
      <c r="C3221" s="74"/>
      <c r="D3221" s="74"/>
      <c r="F3221" s="7"/>
      <c r="G3221" s="74"/>
      <c r="H3221" s="74"/>
      <c r="J3221" s="7"/>
      <c r="K3221" s="74"/>
      <c r="L3221" s="74"/>
      <c r="N3221" s="7"/>
      <c r="O3221" s="74"/>
      <c r="P3221" s="74"/>
      <c r="R3221" s="7"/>
      <c r="S3221" s="7"/>
      <c r="T3221" s="66"/>
    </row>
    <row r="3222" spans="1:20" ht="13.2">
      <c r="A3222" s="7"/>
      <c r="B3222" s="7"/>
      <c r="C3222" s="74"/>
      <c r="D3222" s="74"/>
      <c r="F3222" s="7"/>
      <c r="G3222" s="74"/>
      <c r="H3222" s="74"/>
      <c r="J3222" s="7"/>
      <c r="K3222" s="74"/>
      <c r="L3222" s="74"/>
      <c r="N3222" s="7"/>
      <c r="O3222" s="74"/>
      <c r="P3222" s="74"/>
      <c r="R3222" s="7"/>
      <c r="S3222" s="7"/>
      <c r="T3222" s="66"/>
    </row>
    <row r="3223" spans="1:20" ht="13.2">
      <c r="A3223" s="7"/>
      <c r="B3223" s="7"/>
      <c r="C3223" s="74"/>
      <c r="D3223" s="74"/>
      <c r="F3223" s="7"/>
      <c r="G3223" s="74"/>
      <c r="H3223" s="74"/>
      <c r="J3223" s="7"/>
      <c r="K3223" s="74"/>
      <c r="L3223" s="74"/>
      <c r="N3223" s="7"/>
      <c r="O3223" s="74"/>
      <c r="P3223" s="74"/>
      <c r="R3223" s="7"/>
      <c r="S3223" s="7"/>
      <c r="T3223" s="66"/>
    </row>
    <row r="3224" spans="1:20" ht="13.2">
      <c r="A3224" s="7"/>
      <c r="B3224" s="7"/>
      <c r="C3224" s="74"/>
      <c r="D3224" s="74"/>
      <c r="F3224" s="7"/>
      <c r="G3224" s="74"/>
      <c r="H3224" s="74"/>
      <c r="J3224" s="7"/>
      <c r="K3224" s="74"/>
      <c r="L3224" s="74"/>
      <c r="N3224" s="7"/>
      <c r="O3224" s="74"/>
      <c r="P3224" s="74"/>
      <c r="R3224" s="7"/>
      <c r="S3224" s="7"/>
      <c r="T3224" s="66"/>
    </row>
    <row r="3225" spans="1:20" ht="13.2">
      <c r="A3225" s="7"/>
      <c r="B3225" s="7"/>
      <c r="C3225" s="74"/>
      <c r="D3225" s="74"/>
      <c r="F3225" s="7"/>
      <c r="G3225" s="74"/>
      <c r="H3225" s="74"/>
      <c r="J3225" s="7"/>
      <c r="K3225" s="74"/>
      <c r="L3225" s="74"/>
      <c r="N3225" s="7"/>
      <c r="O3225" s="74"/>
      <c r="P3225" s="74"/>
      <c r="R3225" s="7"/>
      <c r="S3225" s="7"/>
      <c r="T3225" s="66"/>
    </row>
    <row r="3226" spans="1:20" ht="13.2">
      <c r="A3226" s="7"/>
      <c r="B3226" s="7"/>
      <c r="C3226" s="74"/>
      <c r="D3226" s="74"/>
      <c r="F3226" s="7"/>
      <c r="G3226" s="74"/>
      <c r="H3226" s="74"/>
      <c r="J3226" s="7"/>
      <c r="K3226" s="74"/>
      <c r="L3226" s="74"/>
      <c r="N3226" s="7"/>
      <c r="O3226" s="74"/>
      <c r="P3226" s="74"/>
      <c r="R3226" s="7"/>
      <c r="S3226" s="7"/>
      <c r="T3226" s="66"/>
    </row>
    <row r="3227" spans="1:20" ht="13.2">
      <c r="A3227" s="7"/>
      <c r="B3227" s="7"/>
      <c r="C3227" s="74"/>
      <c r="D3227" s="74"/>
      <c r="F3227" s="7"/>
      <c r="G3227" s="74"/>
      <c r="H3227" s="74"/>
      <c r="J3227" s="7"/>
      <c r="K3227" s="74"/>
      <c r="L3227" s="74"/>
      <c r="N3227" s="7"/>
      <c r="O3227" s="74"/>
      <c r="P3227" s="74"/>
      <c r="R3227" s="7"/>
      <c r="S3227" s="7"/>
      <c r="T3227" s="66"/>
    </row>
    <row r="3228" spans="1:20" ht="13.2">
      <c r="A3228" s="7"/>
      <c r="B3228" s="7"/>
      <c r="C3228" s="74"/>
      <c r="D3228" s="74"/>
      <c r="F3228" s="7"/>
      <c r="G3228" s="74"/>
      <c r="H3228" s="74"/>
      <c r="J3228" s="7"/>
      <c r="K3228" s="74"/>
      <c r="L3228" s="74"/>
      <c r="N3228" s="7"/>
      <c r="O3228" s="74"/>
      <c r="P3228" s="74"/>
      <c r="R3228" s="7"/>
      <c r="S3228" s="7"/>
      <c r="T3228" s="66"/>
    </row>
    <row r="3229" spans="1:20" ht="13.2">
      <c r="A3229" s="7"/>
      <c r="B3229" s="7"/>
      <c r="C3229" s="74"/>
      <c r="D3229" s="74"/>
      <c r="F3229" s="7"/>
      <c r="G3229" s="74"/>
      <c r="H3229" s="74"/>
      <c r="J3229" s="7"/>
      <c r="K3229" s="74"/>
      <c r="L3229" s="74"/>
      <c r="N3229" s="7"/>
      <c r="O3229" s="74"/>
      <c r="P3229" s="74"/>
      <c r="R3229" s="7"/>
      <c r="S3229" s="7"/>
      <c r="T3229" s="66"/>
    </row>
    <row r="3230" spans="1:20" ht="13.2">
      <c r="A3230" s="7"/>
      <c r="B3230" s="7"/>
      <c r="C3230" s="74"/>
      <c r="D3230" s="74"/>
      <c r="F3230" s="7"/>
      <c r="G3230" s="74"/>
      <c r="H3230" s="74"/>
      <c r="J3230" s="7"/>
      <c r="K3230" s="74"/>
      <c r="L3230" s="74"/>
      <c r="N3230" s="7"/>
      <c r="O3230" s="74"/>
      <c r="P3230" s="74"/>
      <c r="R3230" s="7"/>
      <c r="S3230" s="7"/>
      <c r="T3230" s="66"/>
    </row>
    <row r="3231" spans="1:20" ht="13.2">
      <c r="A3231" s="7"/>
      <c r="B3231" s="7"/>
      <c r="C3231" s="74"/>
      <c r="D3231" s="74"/>
      <c r="F3231" s="7"/>
      <c r="G3231" s="74"/>
      <c r="H3231" s="74"/>
      <c r="J3231" s="7"/>
      <c r="K3231" s="74"/>
      <c r="L3231" s="74"/>
      <c r="N3231" s="7"/>
      <c r="O3231" s="74"/>
      <c r="P3231" s="74"/>
      <c r="R3231" s="7"/>
      <c r="S3231" s="7"/>
      <c r="T3231" s="66"/>
    </row>
    <row r="3232" spans="1:20" ht="13.2">
      <c r="A3232" s="7"/>
      <c r="B3232" s="7"/>
      <c r="C3232" s="74"/>
      <c r="D3232" s="74"/>
      <c r="F3232" s="7"/>
      <c r="G3232" s="74"/>
      <c r="H3232" s="74"/>
      <c r="J3232" s="7"/>
      <c r="K3232" s="74"/>
      <c r="L3232" s="74"/>
      <c r="N3232" s="7"/>
      <c r="O3232" s="74"/>
      <c r="P3232" s="74"/>
      <c r="R3232" s="7"/>
      <c r="S3232" s="7"/>
      <c r="T3232" s="66"/>
    </row>
    <row r="3233" spans="1:20" ht="13.2">
      <c r="A3233" s="7"/>
      <c r="B3233" s="7"/>
      <c r="C3233" s="74"/>
      <c r="D3233" s="74"/>
      <c r="F3233" s="7"/>
      <c r="G3233" s="74"/>
      <c r="H3233" s="74"/>
      <c r="J3233" s="7"/>
      <c r="K3233" s="74"/>
      <c r="L3233" s="74"/>
      <c r="N3233" s="7"/>
      <c r="O3233" s="74"/>
      <c r="P3233" s="74"/>
      <c r="R3233" s="7"/>
      <c r="S3233" s="7"/>
      <c r="T3233" s="66"/>
    </row>
    <row r="3234" spans="1:20" ht="13.2">
      <c r="A3234" s="7"/>
      <c r="B3234" s="7"/>
      <c r="C3234" s="74"/>
      <c r="D3234" s="74"/>
      <c r="F3234" s="7"/>
      <c r="G3234" s="74"/>
      <c r="H3234" s="74"/>
      <c r="J3234" s="7"/>
      <c r="K3234" s="74"/>
      <c r="L3234" s="74"/>
      <c r="N3234" s="7"/>
      <c r="O3234" s="74"/>
      <c r="P3234" s="74"/>
      <c r="R3234" s="7"/>
      <c r="S3234" s="7"/>
      <c r="T3234" s="66"/>
    </row>
    <row r="3235" spans="1:20" ht="13.2">
      <c r="A3235" s="7"/>
      <c r="B3235" s="7"/>
      <c r="C3235" s="74"/>
      <c r="D3235" s="74"/>
      <c r="F3235" s="7"/>
      <c r="G3235" s="74"/>
      <c r="H3235" s="74"/>
      <c r="J3235" s="7"/>
      <c r="K3235" s="74"/>
      <c r="L3235" s="74"/>
      <c r="N3235" s="7"/>
      <c r="O3235" s="74"/>
      <c r="P3235" s="74"/>
      <c r="R3235" s="7"/>
      <c r="S3235" s="7"/>
      <c r="T3235" s="66"/>
    </row>
    <row r="3236" spans="1:20" ht="13.2">
      <c r="A3236" s="7"/>
      <c r="B3236" s="7"/>
      <c r="C3236" s="74"/>
      <c r="D3236" s="74"/>
      <c r="F3236" s="7"/>
      <c r="G3236" s="74"/>
      <c r="H3236" s="74"/>
      <c r="J3236" s="7"/>
      <c r="K3236" s="74"/>
      <c r="L3236" s="74"/>
      <c r="N3236" s="7"/>
      <c r="O3236" s="74"/>
      <c r="P3236" s="74"/>
      <c r="R3236" s="7"/>
      <c r="S3236" s="7"/>
      <c r="T3236" s="66"/>
    </row>
    <row r="3237" spans="1:20" ht="13.2">
      <c r="A3237" s="7"/>
      <c r="B3237" s="7"/>
      <c r="C3237" s="74"/>
      <c r="D3237" s="74"/>
      <c r="F3237" s="7"/>
      <c r="G3237" s="74"/>
      <c r="H3237" s="74"/>
      <c r="J3237" s="7"/>
      <c r="K3237" s="74"/>
      <c r="L3237" s="74"/>
      <c r="N3237" s="7"/>
      <c r="O3237" s="74"/>
      <c r="P3237" s="74"/>
      <c r="R3237" s="7"/>
      <c r="S3237" s="7"/>
      <c r="T3237" s="66"/>
    </row>
    <row r="3238" spans="1:20" ht="13.2">
      <c r="A3238" s="7"/>
      <c r="B3238" s="7"/>
      <c r="C3238" s="74"/>
      <c r="D3238" s="74"/>
      <c r="F3238" s="7"/>
      <c r="G3238" s="74"/>
      <c r="H3238" s="74"/>
      <c r="J3238" s="7"/>
      <c r="K3238" s="74"/>
      <c r="L3238" s="74"/>
      <c r="N3238" s="7"/>
      <c r="O3238" s="74"/>
      <c r="P3238" s="74"/>
      <c r="R3238" s="7"/>
      <c r="S3238" s="7"/>
      <c r="T3238" s="66"/>
    </row>
    <row r="3239" spans="1:20" ht="13.2">
      <c r="A3239" s="7"/>
      <c r="B3239" s="7"/>
      <c r="C3239" s="74"/>
      <c r="D3239" s="74"/>
      <c r="F3239" s="7"/>
      <c r="G3239" s="74"/>
      <c r="H3239" s="74"/>
      <c r="J3239" s="7"/>
      <c r="K3239" s="74"/>
      <c r="L3239" s="74"/>
      <c r="N3239" s="7"/>
      <c r="O3239" s="74"/>
      <c r="P3239" s="74"/>
      <c r="R3239" s="7"/>
      <c r="S3239" s="7"/>
      <c r="T3239" s="66"/>
    </row>
    <row r="3240" spans="1:20" ht="13.2">
      <c r="A3240" s="7"/>
      <c r="B3240" s="7"/>
      <c r="C3240" s="74"/>
      <c r="D3240" s="74"/>
      <c r="F3240" s="7"/>
      <c r="G3240" s="74"/>
      <c r="H3240" s="74"/>
      <c r="J3240" s="7"/>
      <c r="K3240" s="74"/>
      <c r="L3240" s="74"/>
      <c r="N3240" s="7"/>
      <c r="O3240" s="74"/>
      <c r="P3240" s="74"/>
      <c r="R3240" s="7"/>
      <c r="S3240" s="7"/>
      <c r="T3240" s="66"/>
    </row>
    <row r="3241" spans="1:20" ht="13.2">
      <c r="A3241" s="7"/>
      <c r="B3241" s="7"/>
      <c r="C3241" s="74"/>
      <c r="D3241" s="74"/>
      <c r="F3241" s="7"/>
      <c r="G3241" s="74"/>
      <c r="H3241" s="74"/>
      <c r="J3241" s="7"/>
      <c r="K3241" s="74"/>
      <c r="L3241" s="74"/>
      <c r="N3241" s="7"/>
      <c r="O3241" s="74"/>
      <c r="P3241" s="74"/>
      <c r="R3241" s="7"/>
      <c r="S3241" s="7"/>
      <c r="T3241" s="66"/>
    </row>
    <row r="3242" spans="1:20" ht="13.2">
      <c r="A3242" s="7"/>
      <c r="B3242" s="7"/>
      <c r="C3242" s="74"/>
      <c r="D3242" s="74"/>
      <c r="F3242" s="7"/>
      <c r="G3242" s="74"/>
      <c r="H3242" s="74"/>
      <c r="J3242" s="7"/>
      <c r="K3242" s="74"/>
      <c r="L3242" s="74"/>
      <c r="N3242" s="7"/>
      <c r="O3242" s="74"/>
      <c r="P3242" s="74"/>
      <c r="R3242" s="7"/>
      <c r="S3242" s="7"/>
      <c r="T3242" s="66"/>
    </row>
    <row r="3243" spans="1:20" ht="13.2">
      <c r="A3243" s="7"/>
      <c r="B3243" s="7"/>
      <c r="C3243" s="74"/>
      <c r="D3243" s="74"/>
      <c r="F3243" s="7"/>
      <c r="G3243" s="74"/>
      <c r="H3243" s="74"/>
      <c r="J3243" s="7"/>
      <c r="K3243" s="74"/>
      <c r="L3243" s="74"/>
      <c r="N3243" s="7"/>
      <c r="O3243" s="74"/>
      <c r="P3243" s="74"/>
      <c r="R3243" s="7"/>
      <c r="S3243" s="7"/>
      <c r="T3243" s="66"/>
    </row>
    <row r="3244" spans="1:20" ht="13.2">
      <c r="A3244" s="7"/>
      <c r="B3244" s="7"/>
      <c r="C3244" s="74"/>
      <c r="D3244" s="74"/>
      <c r="F3244" s="7"/>
      <c r="G3244" s="74"/>
      <c r="H3244" s="74"/>
      <c r="J3244" s="7"/>
      <c r="K3244" s="74"/>
      <c r="L3244" s="74"/>
      <c r="N3244" s="7"/>
      <c r="O3244" s="74"/>
      <c r="P3244" s="74"/>
      <c r="R3244" s="7"/>
      <c r="S3244" s="7"/>
      <c r="T3244" s="66"/>
    </row>
    <row r="3245" spans="1:20" ht="13.2">
      <c r="A3245" s="7"/>
      <c r="B3245" s="7"/>
      <c r="C3245" s="74"/>
      <c r="D3245" s="74"/>
      <c r="F3245" s="7"/>
      <c r="G3245" s="74"/>
      <c r="H3245" s="74"/>
      <c r="J3245" s="7"/>
      <c r="K3245" s="74"/>
      <c r="L3245" s="74"/>
      <c r="N3245" s="7"/>
      <c r="O3245" s="74"/>
      <c r="P3245" s="74"/>
      <c r="R3245" s="7"/>
      <c r="S3245" s="7"/>
      <c r="T3245" s="66"/>
    </row>
    <row r="3246" spans="1:20" ht="13.2">
      <c r="A3246" s="7"/>
      <c r="B3246" s="7"/>
      <c r="C3246" s="74"/>
      <c r="D3246" s="74"/>
      <c r="F3246" s="7"/>
      <c r="G3246" s="74"/>
      <c r="H3246" s="74"/>
      <c r="J3246" s="7"/>
      <c r="K3246" s="74"/>
      <c r="L3246" s="74"/>
      <c r="N3246" s="7"/>
      <c r="O3246" s="74"/>
      <c r="P3246" s="74"/>
      <c r="R3246" s="7"/>
      <c r="S3246" s="7"/>
      <c r="T3246" s="66"/>
    </row>
    <row r="3247" spans="1:20" ht="13.2">
      <c r="A3247" s="7"/>
      <c r="B3247" s="7"/>
      <c r="C3247" s="74"/>
      <c r="D3247" s="74"/>
      <c r="F3247" s="7"/>
      <c r="G3247" s="74"/>
      <c r="H3247" s="74"/>
      <c r="J3247" s="7"/>
      <c r="K3247" s="74"/>
      <c r="L3247" s="74"/>
      <c r="N3247" s="7"/>
      <c r="O3247" s="74"/>
      <c r="P3247" s="74"/>
      <c r="R3247" s="7"/>
      <c r="S3247" s="7"/>
      <c r="T3247" s="66"/>
    </row>
    <row r="3248" spans="1:20" ht="13.2">
      <c r="A3248" s="7"/>
      <c r="B3248" s="7"/>
      <c r="C3248" s="74"/>
      <c r="D3248" s="74"/>
      <c r="F3248" s="7"/>
      <c r="G3248" s="74"/>
      <c r="H3248" s="74"/>
      <c r="J3248" s="7"/>
      <c r="K3248" s="74"/>
      <c r="L3248" s="74"/>
      <c r="N3248" s="7"/>
      <c r="O3248" s="74"/>
      <c r="P3248" s="74"/>
      <c r="R3248" s="7"/>
      <c r="S3248" s="7"/>
      <c r="T3248" s="66"/>
    </row>
    <row r="3249" spans="1:20" ht="13.2">
      <c r="A3249" s="7"/>
      <c r="B3249" s="7"/>
      <c r="C3249" s="74"/>
      <c r="D3249" s="74"/>
      <c r="F3249" s="7"/>
      <c r="G3249" s="74"/>
      <c r="H3249" s="74"/>
      <c r="J3249" s="7"/>
      <c r="K3249" s="74"/>
      <c r="L3249" s="74"/>
      <c r="N3249" s="7"/>
      <c r="O3249" s="74"/>
      <c r="P3249" s="74"/>
      <c r="R3249" s="7"/>
      <c r="S3249" s="7"/>
      <c r="T3249" s="66"/>
    </row>
    <row r="3250" spans="1:20" ht="13.2">
      <c r="A3250" s="7"/>
      <c r="B3250" s="7"/>
      <c r="C3250" s="74"/>
      <c r="D3250" s="74"/>
      <c r="F3250" s="7"/>
      <c r="G3250" s="74"/>
      <c r="H3250" s="74"/>
      <c r="J3250" s="7"/>
      <c r="K3250" s="74"/>
      <c r="L3250" s="74"/>
      <c r="N3250" s="7"/>
      <c r="O3250" s="74"/>
      <c r="P3250" s="74"/>
      <c r="R3250" s="7"/>
      <c r="S3250" s="7"/>
      <c r="T3250" s="66"/>
    </row>
    <row r="3251" spans="1:20" ht="13.2">
      <c r="A3251" s="7"/>
      <c r="B3251" s="7"/>
      <c r="C3251" s="74"/>
      <c r="D3251" s="74"/>
      <c r="F3251" s="7"/>
      <c r="G3251" s="74"/>
      <c r="H3251" s="74"/>
      <c r="J3251" s="7"/>
      <c r="K3251" s="74"/>
      <c r="L3251" s="74"/>
      <c r="N3251" s="7"/>
      <c r="O3251" s="74"/>
      <c r="P3251" s="74"/>
      <c r="R3251" s="7"/>
      <c r="S3251" s="7"/>
      <c r="T3251" s="66"/>
    </row>
    <row r="3252" spans="1:20" ht="13.2">
      <c r="A3252" s="7"/>
      <c r="B3252" s="7"/>
      <c r="C3252" s="74"/>
      <c r="D3252" s="74"/>
      <c r="F3252" s="7"/>
      <c r="G3252" s="74"/>
      <c r="H3252" s="74"/>
      <c r="J3252" s="7"/>
      <c r="K3252" s="74"/>
      <c r="L3252" s="74"/>
      <c r="N3252" s="7"/>
      <c r="O3252" s="74"/>
      <c r="P3252" s="74"/>
      <c r="R3252" s="7"/>
      <c r="S3252" s="7"/>
      <c r="T3252" s="66"/>
    </row>
    <row r="3253" spans="1:20" ht="13.2">
      <c r="A3253" s="7"/>
      <c r="B3253" s="7"/>
      <c r="C3253" s="74"/>
      <c r="D3253" s="74"/>
      <c r="F3253" s="7"/>
      <c r="G3253" s="74"/>
      <c r="H3253" s="74"/>
      <c r="J3253" s="7"/>
      <c r="K3253" s="74"/>
      <c r="L3253" s="74"/>
      <c r="N3253" s="7"/>
      <c r="O3253" s="74"/>
      <c r="P3253" s="74"/>
      <c r="R3253" s="7"/>
      <c r="S3253" s="7"/>
      <c r="T3253" s="66"/>
    </row>
    <row r="3254" spans="1:20" ht="13.2">
      <c r="A3254" s="7"/>
      <c r="B3254" s="7"/>
      <c r="C3254" s="74"/>
      <c r="D3254" s="74"/>
      <c r="F3254" s="7"/>
      <c r="G3254" s="74"/>
      <c r="H3254" s="74"/>
      <c r="J3254" s="7"/>
      <c r="K3254" s="74"/>
      <c r="L3254" s="74"/>
      <c r="N3254" s="7"/>
      <c r="O3254" s="74"/>
      <c r="P3254" s="74"/>
      <c r="R3254" s="7"/>
      <c r="S3254" s="7"/>
      <c r="T3254" s="66"/>
    </row>
    <row r="3255" spans="1:20" ht="13.2">
      <c r="A3255" s="7"/>
      <c r="B3255" s="7"/>
      <c r="C3255" s="74"/>
      <c r="D3255" s="74"/>
      <c r="F3255" s="7"/>
      <c r="G3255" s="74"/>
      <c r="H3255" s="74"/>
      <c r="J3255" s="7"/>
      <c r="K3255" s="74"/>
      <c r="L3255" s="74"/>
      <c r="N3255" s="7"/>
      <c r="O3255" s="74"/>
      <c r="P3255" s="74"/>
      <c r="R3255" s="7"/>
      <c r="S3255" s="7"/>
      <c r="T3255" s="66"/>
    </row>
    <row r="3256" spans="1:20" ht="13.2">
      <c r="A3256" s="7"/>
      <c r="B3256" s="7"/>
      <c r="C3256" s="74"/>
      <c r="D3256" s="74"/>
      <c r="F3256" s="7"/>
      <c r="G3256" s="74"/>
      <c r="H3256" s="74"/>
      <c r="J3256" s="7"/>
      <c r="K3256" s="74"/>
      <c r="L3256" s="74"/>
      <c r="N3256" s="7"/>
      <c r="O3256" s="74"/>
      <c r="P3256" s="74"/>
      <c r="R3256" s="7"/>
      <c r="S3256" s="7"/>
      <c r="T3256" s="66"/>
    </row>
    <row r="3257" spans="1:20" ht="13.2">
      <c r="A3257" s="7"/>
      <c r="B3257" s="7"/>
      <c r="C3257" s="74"/>
      <c r="D3257" s="74"/>
      <c r="F3257" s="7"/>
      <c r="G3257" s="74"/>
      <c r="H3257" s="74"/>
      <c r="J3257" s="7"/>
      <c r="K3257" s="74"/>
      <c r="L3257" s="74"/>
      <c r="N3257" s="7"/>
      <c r="O3257" s="74"/>
      <c r="P3257" s="74"/>
      <c r="R3257" s="7"/>
      <c r="S3257" s="7"/>
      <c r="T3257" s="66"/>
    </row>
    <row r="3258" spans="1:20" ht="13.2">
      <c r="A3258" s="7"/>
      <c r="B3258" s="7"/>
      <c r="C3258" s="74"/>
      <c r="D3258" s="74"/>
      <c r="F3258" s="7"/>
      <c r="G3258" s="74"/>
      <c r="H3258" s="74"/>
      <c r="J3258" s="7"/>
      <c r="K3258" s="74"/>
      <c r="L3258" s="74"/>
      <c r="N3258" s="7"/>
      <c r="O3258" s="74"/>
      <c r="P3258" s="74"/>
      <c r="R3258" s="7"/>
      <c r="S3258" s="7"/>
      <c r="T3258" s="66"/>
    </row>
    <row r="3259" spans="1:20" ht="13.2">
      <c r="A3259" s="7"/>
      <c r="B3259" s="7"/>
      <c r="C3259" s="74"/>
      <c r="D3259" s="74"/>
      <c r="F3259" s="7"/>
      <c r="G3259" s="74"/>
      <c r="H3259" s="74"/>
      <c r="J3259" s="7"/>
      <c r="K3259" s="74"/>
      <c r="L3259" s="74"/>
      <c r="N3259" s="7"/>
      <c r="O3259" s="74"/>
      <c r="P3259" s="74"/>
      <c r="R3259" s="7"/>
      <c r="S3259" s="7"/>
      <c r="T3259" s="66"/>
    </row>
    <row r="3260" spans="1:20" ht="13.2">
      <c r="A3260" s="7"/>
      <c r="B3260" s="7"/>
      <c r="C3260" s="74"/>
      <c r="D3260" s="74"/>
      <c r="F3260" s="7"/>
      <c r="G3260" s="74"/>
      <c r="H3260" s="74"/>
      <c r="J3260" s="7"/>
      <c r="K3260" s="74"/>
      <c r="L3260" s="74"/>
      <c r="N3260" s="7"/>
      <c r="O3260" s="74"/>
      <c r="P3260" s="74"/>
      <c r="R3260" s="7"/>
      <c r="S3260" s="7"/>
      <c r="T3260" s="66"/>
    </row>
    <row r="3261" spans="1:20" ht="13.2">
      <c r="A3261" s="7"/>
      <c r="B3261" s="7"/>
      <c r="C3261" s="74"/>
      <c r="D3261" s="74"/>
      <c r="F3261" s="7"/>
      <c r="G3261" s="74"/>
      <c r="H3261" s="74"/>
      <c r="J3261" s="7"/>
      <c r="K3261" s="74"/>
      <c r="L3261" s="74"/>
      <c r="N3261" s="7"/>
      <c r="O3261" s="74"/>
      <c r="P3261" s="74"/>
      <c r="R3261" s="7"/>
      <c r="S3261" s="7"/>
      <c r="T3261" s="66"/>
    </row>
    <row r="3262" spans="1:20" ht="13.2">
      <c r="A3262" s="7"/>
      <c r="B3262" s="7"/>
      <c r="C3262" s="74"/>
      <c r="D3262" s="74"/>
      <c r="F3262" s="7"/>
      <c r="G3262" s="74"/>
      <c r="H3262" s="74"/>
      <c r="J3262" s="7"/>
      <c r="K3262" s="74"/>
      <c r="L3262" s="74"/>
      <c r="N3262" s="7"/>
      <c r="O3262" s="74"/>
      <c r="P3262" s="74"/>
      <c r="R3262" s="7"/>
      <c r="S3262" s="7"/>
      <c r="T3262" s="66"/>
    </row>
    <row r="3263" spans="1:20" ht="13.2">
      <c r="A3263" s="7"/>
      <c r="B3263" s="7"/>
      <c r="C3263" s="74"/>
      <c r="D3263" s="74"/>
      <c r="F3263" s="7"/>
      <c r="G3263" s="74"/>
      <c r="H3263" s="74"/>
      <c r="J3263" s="7"/>
      <c r="K3263" s="74"/>
      <c r="L3263" s="74"/>
      <c r="N3263" s="7"/>
      <c r="O3263" s="74"/>
      <c r="P3263" s="74"/>
      <c r="R3263" s="7"/>
      <c r="S3263" s="7"/>
      <c r="T3263" s="66"/>
    </row>
    <row r="3264" spans="1:20" ht="13.2">
      <c r="A3264" s="7"/>
      <c r="B3264" s="7"/>
      <c r="C3264" s="74"/>
      <c r="D3264" s="74"/>
      <c r="F3264" s="7"/>
      <c r="G3264" s="74"/>
      <c r="H3264" s="74"/>
      <c r="J3264" s="7"/>
      <c r="K3264" s="74"/>
      <c r="L3264" s="74"/>
      <c r="N3264" s="7"/>
      <c r="O3264" s="74"/>
      <c r="P3264" s="74"/>
      <c r="R3264" s="7"/>
      <c r="S3264" s="7"/>
      <c r="T3264" s="66"/>
    </row>
    <row r="3265" spans="1:20" ht="13.2">
      <c r="A3265" s="7"/>
      <c r="B3265" s="7"/>
      <c r="C3265" s="74"/>
      <c r="D3265" s="74"/>
      <c r="F3265" s="7"/>
      <c r="G3265" s="74"/>
      <c r="H3265" s="74"/>
      <c r="J3265" s="7"/>
      <c r="K3265" s="74"/>
      <c r="L3265" s="74"/>
      <c r="N3265" s="7"/>
      <c r="O3265" s="74"/>
      <c r="P3265" s="74"/>
      <c r="R3265" s="7"/>
      <c r="S3265" s="7"/>
      <c r="T3265" s="66"/>
    </row>
    <row r="3266" spans="1:20" ht="13.2">
      <c r="A3266" s="7"/>
      <c r="B3266" s="7"/>
      <c r="C3266" s="74"/>
      <c r="D3266" s="74"/>
      <c r="F3266" s="7"/>
      <c r="G3266" s="74"/>
      <c r="H3266" s="74"/>
      <c r="J3266" s="7"/>
      <c r="K3266" s="74"/>
      <c r="L3266" s="74"/>
      <c r="N3266" s="7"/>
      <c r="O3266" s="74"/>
      <c r="P3266" s="74"/>
      <c r="R3266" s="7"/>
      <c r="S3266" s="7"/>
      <c r="T3266" s="66"/>
    </row>
    <row r="3267" spans="1:20" ht="13.2">
      <c r="A3267" s="7"/>
      <c r="B3267" s="7"/>
      <c r="C3267" s="74"/>
      <c r="D3267" s="74"/>
      <c r="F3267" s="7"/>
      <c r="G3267" s="74"/>
      <c r="H3267" s="74"/>
      <c r="J3267" s="7"/>
      <c r="K3267" s="74"/>
      <c r="L3267" s="74"/>
      <c r="N3267" s="7"/>
      <c r="O3267" s="74"/>
      <c r="P3267" s="74"/>
      <c r="R3267" s="7"/>
      <c r="S3267" s="7"/>
      <c r="T3267" s="66"/>
    </row>
    <row r="3268" spans="1:20" ht="13.2">
      <c r="A3268" s="7"/>
      <c r="B3268" s="7"/>
      <c r="C3268" s="74"/>
      <c r="D3268" s="74"/>
      <c r="F3268" s="7"/>
      <c r="G3268" s="74"/>
      <c r="H3268" s="74"/>
      <c r="J3268" s="7"/>
      <c r="K3268" s="74"/>
      <c r="L3268" s="74"/>
      <c r="N3268" s="7"/>
      <c r="O3268" s="74"/>
      <c r="P3268" s="74"/>
      <c r="R3268" s="7"/>
      <c r="S3268" s="7"/>
      <c r="T3268" s="66"/>
    </row>
    <row r="3269" spans="1:20" ht="13.2">
      <c r="A3269" s="7"/>
      <c r="B3269" s="7"/>
      <c r="C3269" s="74"/>
      <c r="D3269" s="74"/>
      <c r="F3269" s="7"/>
      <c r="G3269" s="74"/>
      <c r="H3269" s="74"/>
      <c r="J3269" s="7"/>
      <c r="K3269" s="74"/>
      <c r="L3269" s="74"/>
      <c r="N3269" s="7"/>
      <c r="O3269" s="74"/>
      <c r="P3269" s="74"/>
      <c r="R3269" s="7"/>
      <c r="S3269" s="7"/>
      <c r="T3269" s="66"/>
    </row>
    <row r="3270" spans="1:20" ht="13.2">
      <c r="A3270" s="7"/>
      <c r="B3270" s="7"/>
      <c r="C3270" s="74"/>
      <c r="D3270" s="74"/>
      <c r="F3270" s="7"/>
      <c r="G3270" s="74"/>
      <c r="H3270" s="74"/>
      <c r="J3270" s="7"/>
      <c r="K3270" s="74"/>
      <c r="L3270" s="74"/>
      <c r="N3270" s="7"/>
      <c r="O3270" s="74"/>
      <c r="P3270" s="74"/>
      <c r="R3270" s="7"/>
      <c r="S3270" s="7"/>
      <c r="T3270" s="66"/>
    </row>
    <row r="3271" spans="1:20" ht="13.2">
      <c r="A3271" s="7"/>
      <c r="B3271" s="7"/>
      <c r="C3271" s="74"/>
      <c r="D3271" s="74"/>
      <c r="F3271" s="7"/>
      <c r="G3271" s="74"/>
      <c r="H3271" s="74"/>
      <c r="J3271" s="7"/>
      <c r="K3271" s="74"/>
      <c r="L3271" s="74"/>
      <c r="N3271" s="7"/>
      <c r="O3271" s="74"/>
      <c r="P3271" s="74"/>
      <c r="R3271" s="7"/>
      <c r="S3271" s="7"/>
      <c r="T3271" s="66"/>
    </row>
    <row r="3272" spans="1:20" ht="13.2">
      <c r="A3272" s="7"/>
      <c r="B3272" s="7"/>
      <c r="C3272" s="74"/>
      <c r="D3272" s="74"/>
      <c r="F3272" s="7"/>
      <c r="G3272" s="74"/>
      <c r="H3272" s="74"/>
      <c r="J3272" s="7"/>
      <c r="K3272" s="74"/>
      <c r="L3272" s="74"/>
      <c r="N3272" s="7"/>
      <c r="O3272" s="74"/>
      <c r="P3272" s="74"/>
      <c r="R3272" s="7"/>
      <c r="S3272" s="7"/>
      <c r="T3272" s="66"/>
    </row>
    <row r="3273" spans="1:20" ht="13.2">
      <c r="A3273" s="7"/>
      <c r="B3273" s="7"/>
      <c r="C3273" s="74"/>
      <c r="D3273" s="74"/>
      <c r="F3273" s="7"/>
      <c r="G3273" s="74"/>
      <c r="H3273" s="74"/>
      <c r="J3273" s="7"/>
      <c r="K3273" s="74"/>
      <c r="L3273" s="74"/>
      <c r="N3273" s="7"/>
      <c r="O3273" s="74"/>
      <c r="P3273" s="74"/>
      <c r="R3273" s="7"/>
      <c r="S3273" s="7"/>
      <c r="T3273" s="66"/>
    </row>
    <row r="3274" spans="1:20" ht="13.2">
      <c r="A3274" s="7"/>
      <c r="B3274" s="7"/>
      <c r="C3274" s="74"/>
      <c r="D3274" s="74"/>
      <c r="F3274" s="7"/>
      <c r="G3274" s="74"/>
      <c r="H3274" s="74"/>
      <c r="J3274" s="7"/>
      <c r="K3274" s="74"/>
      <c r="L3274" s="74"/>
      <c r="N3274" s="7"/>
      <c r="O3274" s="74"/>
      <c r="P3274" s="74"/>
      <c r="R3274" s="7"/>
      <c r="S3274" s="7"/>
      <c r="T3274" s="66"/>
    </row>
    <row r="3275" spans="1:20" ht="13.2">
      <c r="A3275" s="7"/>
      <c r="B3275" s="7"/>
      <c r="C3275" s="74"/>
      <c r="D3275" s="74"/>
      <c r="F3275" s="7"/>
      <c r="G3275" s="74"/>
      <c r="H3275" s="74"/>
      <c r="J3275" s="7"/>
      <c r="K3275" s="74"/>
      <c r="L3275" s="74"/>
      <c r="N3275" s="7"/>
      <c r="O3275" s="74"/>
      <c r="P3275" s="74"/>
      <c r="R3275" s="7"/>
      <c r="S3275" s="7"/>
      <c r="T3275" s="66"/>
    </row>
    <row r="3276" spans="1:20" ht="13.2">
      <c r="A3276" s="7"/>
      <c r="B3276" s="7"/>
      <c r="C3276" s="74"/>
      <c r="D3276" s="74"/>
      <c r="F3276" s="7"/>
      <c r="G3276" s="74"/>
      <c r="H3276" s="74"/>
      <c r="J3276" s="7"/>
      <c r="K3276" s="74"/>
      <c r="L3276" s="74"/>
      <c r="N3276" s="7"/>
      <c r="O3276" s="74"/>
      <c r="P3276" s="74"/>
      <c r="R3276" s="7"/>
      <c r="S3276" s="7"/>
      <c r="T3276" s="66"/>
    </row>
    <row r="3277" spans="1:20" ht="13.2">
      <c r="A3277" s="7"/>
      <c r="B3277" s="7"/>
      <c r="C3277" s="74"/>
      <c r="D3277" s="74"/>
      <c r="F3277" s="7"/>
      <c r="G3277" s="74"/>
      <c r="H3277" s="74"/>
      <c r="J3277" s="7"/>
      <c r="K3277" s="74"/>
      <c r="L3277" s="74"/>
      <c r="N3277" s="7"/>
      <c r="O3277" s="74"/>
      <c r="P3277" s="74"/>
      <c r="R3277" s="7"/>
      <c r="S3277" s="7"/>
      <c r="T3277" s="66"/>
    </row>
    <row r="3278" spans="1:20" ht="13.2">
      <c r="A3278" s="7"/>
      <c r="B3278" s="7"/>
      <c r="C3278" s="74"/>
      <c r="D3278" s="74"/>
      <c r="F3278" s="7"/>
      <c r="G3278" s="74"/>
      <c r="H3278" s="74"/>
      <c r="J3278" s="7"/>
      <c r="K3278" s="74"/>
      <c r="L3278" s="74"/>
      <c r="N3278" s="7"/>
      <c r="O3278" s="74"/>
      <c r="P3278" s="74"/>
      <c r="R3278" s="7"/>
      <c r="S3278" s="7"/>
      <c r="T3278" s="66"/>
    </row>
    <row r="3279" spans="1:20" ht="13.2">
      <c r="A3279" s="7"/>
      <c r="B3279" s="7"/>
      <c r="C3279" s="74"/>
      <c r="D3279" s="74"/>
      <c r="F3279" s="7"/>
      <c r="G3279" s="74"/>
      <c r="H3279" s="74"/>
      <c r="J3279" s="7"/>
      <c r="K3279" s="74"/>
      <c r="L3279" s="74"/>
      <c r="N3279" s="7"/>
      <c r="O3279" s="74"/>
      <c r="P3279" s="74"/>
      <c r="R3279" s="7"/>
      <c r="S3279" s="7"/>
      <c r="T3279" s="66"/>
    </row>
    <row r="3280" spans="1:20" ht="13.2">
      <c r="A3280" s="7"/>
      <c r="B3280" s="7"/>
      <c r="C3280" s="74"/>
      <c r="D3280" s="74"/>
      <c r="F3280" s="7"/>
      <c r="G3280" s="74"/>
      <c r="H3280" s="74"/>
      <c r="J3280" s="7"/>
      <c r="K3280" s="74"/>
      <c r="L3280" s="74"/>
      <c r="N3280" s="7"/>
      <c r="O3280" s="74"/>
      <c r="P3280" s="74"/>
      <c r="R3280" s="7"/>
      <c r="S3280" s="7"/>
      <c r="T3280" s="66"/>
    </row>
    <row r="3281" spans="1:20" ht="13.2">
      <c r="A3281" s="7"/>
      <c r="B3281" s="7"/>
      <c r="C3281" s="74"/>
      <c r="D3281" s="74"/>
      <c r="F3281" s="7"/>
      <c r="G3281" s="74"/>
      <c r="H3281" s="74"/>
      <c r="J3281" s="7"/>
      <c r="K3281" s="74"/>
      <c r="L3281" s="74"/>
      <c r="N3281" s="7"/>
      <c r="O3281" s="74"/>
      <c r="P3281" s="74"/>
      <c r="R3281" s="7"/>
      <c r="S3281" s="7"/>
      <c r="T3281" s="66"/>
    </row>
    <row r="3282" spans="1:20" ht="13.2">
      <c r="A3282" s="7"/>
      <c r="B3282" s="7"/>
      <c r="C3282" s="74"/>
      <c r="D3282" s="74"/>
      <c r="F3282" s="7"/>
      <c r="G3282" s="74"/>
      <c r="H3282" s="74"/>
      <c r="J3282" s="7"/>
      <c r="K3282" s="74"/>
      <c r="L3282" s="74"/>
      <c r="N3282" s="7"/>
      <c r="O3282" s="74"/>
      <c r="P3282" s="74"/>
      <c r="R3282" s="7"/>
      <c r="S3282" s="7"/>
      <c r="T3282" s="66"/>
    </row>
    <row r="3283" spans="1:20" ht="13.2">
      <c r="A3283" s="7"/>
      <c r="B3283" s="7"/>
      <c r="C3283" s="74"/>
      <c r="D3283" s="74"/>
      <c r="F3283" s="7"/>
      <c r="G3283" s="74"/>
      <c r="H3283" s="74"/>
      <c r="J3283" s="7"/>
      <c r="K3283" s="74"/>
      <c r="L3283" s="74"/>
      <c r="N3283" s="7"/>
      <c r="O3283" s="74"/>
      <c r="P3283" s="74"/>
      <c r="R3283" s="7"/>
      <c r="S3283" s="7"/>
      <c r="T3283" s="66"/>
    </row>
    <row r="3284" spans="1:20" ht="13.2">
      <c r="A3284" s="7"/>
      <c r="B3284" s="7"/>
      <c r="C3284" s="74"/>
      <c r="D3284" s="74"/>
      <c r="F3284" s="7"/>
      <c r="G3284" s="74"/>
      <c r="H3284" s="74"/>
      <c r="J3284" s="7"/>
      <c r="K3284" s="74"/>
      <c r="L3284" s="74"/>
      <c r="N3284" s="7"/>
      <c r="O3284" s="74"/>
      <c r="P3284" s="74"/>
      <c r="R3284" s="7"/>
      <c r="S3284" s="7"/>
      <c r="T3284" s="66"/>
    </row>
    <row r="3285" spans="1:20" ht="13.2">
      <c r="A3285" s="7"/>
      <c r="B3285" s="7"/>
      <c r="C3285" s="74"/>
      <c r="D3285" s="74"/>
      <c r="F3285" s="7"/>
      <c r="G3285" s="74"/>
      <c r="H3285" s="74"/>
      <c r="J3285" s="7"/>
      <c r="K3285" s="74"/>
      <c r="L3285" s="74"/>
      <c r="N3285" s="7"/>
      <c r="O3285" s="74"/>
      <c r="P3285" s="74"/>
      <c r="R3285" s="7"/>
      <c r="S3285" s="7"/>
      <c r="T3285" s="66"/>
    </row>
    <row r="3286" spans="1:20" ht="13.2">
      <c r="A3286" s="7"/>
      <c r="B3286" s="7"/>
      <c r="C3286" s="74"/>
      <c r="D3286" s="74"/>
      <c r="F3286" s="7"/>
      <c r="G3286" s="74"/>
      <c r="H3286" s="74"/>
      <c r="J3286" s="7"/>
      <c r="K3286" s="74"/>
      <c r="L3286" s="74"/>
      <c r="N3286" s="7"/>
      <c r="O3286" s="74"/>
      <c r="P3286" s="74"/>
      <c r="R3286" s="7"/>
      <c r="S3286" s="7"/>
      <c r="T3286" s="66"/>
    </row>
    <row r="3287" spans="1:20" ht="13.2">
      <c r="A3287" s="7"/>
      <c r="B3287" s="7"/>
      <c r="C3287" s="74"/>
      <c r="D3287" s="74"/>
      <c r="F3287" s="7"/>
      <c r="G3287" s="74"/>
      <c r="H3287" s="74"/>
      <c r="J3287" s="7"/>
      <c r="K3287" s="74"/>
      <c r="L3287" s="74"/>
      <c r="N3287" s="7"/>
      <c r="O3287" s="74"/>
      <c r="P3287" s="74"/>
      <c r="R3287" s="7"/>
      <c r="S3287" s="7"/>
      <c r="T3287" s="66"/>
    </row>
    <row r="3288" spans="1:20" ht="13.2">
      <c r="A3288" s="7"/>
      <c r="B3288" s="7"/>
      <c r="C3288" s="74"/>
      <c r="D3288" s="74"/>
      <c r="F3288" s="7"/>
      <c r="G3288" s="74"/>
      <c r="H3288" s="74"/>
      <c r="J3288" s="7"/>
      <c r="K3288" s="74"/>
      <c r="L3288" s="74"/>
      <c r="N3288" s="7"/>
      <c r="O3288" s="74"/>
      <c r="P3288" s="74"/>
      <c r="R3288" s="7"/>
      <c r="S3288" s="7"/>
      <c r="T3288" s="66"/>
    </row>
    <row r="3289" spans="1:20" ht="13.2">
      <c r="A3289" s="7"/>
      <c r="B3289" s="7"/>
      <c r="C3289" s="74"/>
      <c r="D3289" s="74"/>
      <c r="F3289" s="7"/>
      <c r="G3289" s="74"/>
      <c r="H3289" s="74"/>
      <c r="J3289" s="7"/>
      <c r="K3289" s="74"/>
      <c r="L3289" s="74"/>
      <c r="N3289" s="7"/>
      <c r="O3289" s="74"/>
      <c r="P3289" s="74"/>
      <c r="R3289" s="7"/>
      <c r="S3289" s="7"/>
      <c r="T3289" s="66"/>
    </row>
    <row r="3290" spans="1:20" ht="13.2">
      <c r="A3290" s="7"/>
      <c r="B3290" s="7"/>
      <c r="C3290" s="74"/>
      <c r="D3290" s="74"/>
      <c r="F3290" s="7"/>
      <c r="G3290" s="74"/>
      <c r="H3290" s="74"/>
      <c r="J3290" s="7"/>
      <c r="K3290" s="74"/>
      <c r="L3290" s="74"/>
      <c r="N3290" s="7"/>
      <c r="O3290" s="74"/>
      <c r="P3290" s="74"/>
      <c r="R3290" s="7"/>
      <c r="S3290" s="7"/>
      <c r="T3290" s="66"/>
    </row>
    <row r="3291" spans="1:20" ht="13.2">
      <c r="A3291" s="7"/>
      <c r="B3291" s="7"/>
      <c r="C3291" s="74"/>
      <c r="D3291" s="74"/>
      <c r="F3291" s="7"/>
      <c r="G3291" s="74"/>
      <c r="H3291" s="74"/>
      <c r="J3291" s="7"/>
      <c r="K3291" s="74"/>
      <c r="L3291" s="74"/>
      <c r="N3291" s="7"/>
      <c r="O3291" s="74"/>
      <c r="P3291" s="74"/>
      <c r="R3291" s="7"/>
      <c r="S3291" s="7"/>
      <c r="T3291" s="66"/>
    </row>
    <row r="3292" spans="1:20" ht="13.2">
      <c r="A3292" s="7"/>
      <c r="B3292" s="7"/>
      <c r="C3292" s="74"/>
      <c r="D3292" s="74"/>
      <c r="F3292" s="7"/>
      <c r="G3292" s="74"/>
      <c r="H3292" s="74"/>
      <c r="J3292" s="7"/>
      <c r="K3292" s="74"/>
      <c r="L3292" s="74"/>
      <c r="N3292" s="7"/>
      <c r="O3292" s="74"/>
      <c r="P3292" s="74"/>
      <c r="R3292" s="7"/>
      <c r="S3292" s="7"/>
      <c r="T3292" s="66"/>
    </row>
    <row r="3293" spans="1:20" ht="13.2">
      <c r="A3293" s="7"/>
      <c r="B3293" s="7"/>
      <c r="C3293" s="74"/>
      <c r="D3293" s="74"/>
      <c r="F3293" s="7"/>
      <c r="G3293" s="74"/>
      <c r="H3293" s="74"/>
      <c r="J3293" s="7"/>
      <c r="K3293" s="74"/>
      <c r="L3293" s="74"/>
      <c r="N3293" s="7"/>
      <c r="O3293" s="74"/>
      <c r="P3293" s="74"/>
      <c r="R3293" s="7"/>
      <c r="S3293" s="7"/>
      <c r="T3293" s="66"/>
    </row>
    <row r="3294" spans="1:20" ht="13.2">
      <c r="A3294" s="7"/>
      <c r="B3294" s="7"/>
      <c r="C3294" s="74"/>
      <c r="D3294" s="74"/>
      <c r="F3294" s="7"/>
      <c r="G3294" s="74"/>
      <c r="H3294" s="74"/>
      <c r="J3294" s="7"/>
      <c r="K3294" s="74"/>
      <c r="L3294" s="74"/>
      <c r="N3294" s="7"/>
      <c r="O3294" s="74"/>
      <c r="P3294" s="74"/>
      <c r="R3294" s="7"/>
      <c r="S3294" s="7"/>
      <c r="T3294" s="66"/>
    </row>
    <row r="3295" spans="1:20" ht="13.2">
      <c r="A3295" s="7"/>
      <c r="B3295" s="7"/>
      <c r="C3295" s="74"/>
      <c r="D3295" s="74"/>
      <c r="F3295" s="7"/>
      <c r="G3295" s="74"/>
      <c r="H3295" s="74"/>
      <c r="J3295" s="7"/>
      <c r="K3295" s="74"/>
      <c r="L3295" s="74"/>
      <c r="N3295" s="7"/>
      <c r="O3295" s="74"/>
      <c r="P3295" s="74"/>
      <c r="R3295" s="7"/>
      <c r="S3295" s="7"/>
      <c r="T3295" s="66"/>
    </row>
    <row r="3296" spans="1:20" ht="13.2">
      <c r="A3296" s="7"/>
      <c r="B3296" s="7"/>
      <c r="C3296" s="74"/>
      <c r="D3296" s="74"/>
      <c r="F3296" s="7"/>
      <c r="G3296" s="74"/>
      <c r="H3296" s="74"/>
      <c r="J3296" s="7"/>
      <c r="K3296" s="74"/>
      <c r="L3296" s="74"/>
      <c r="N3296" s="7"/>
      <c r="O3296" s="74"/>
      <c r="P3296" s="74"/>
      <c r="R3296" s="7"/>
      <c r="S3296" s="7"/>
      <c r="T3296" s="66"/>
    </row>
    <row r="3297" spans="1:20" ht="13.2">
      <c r="A3297" s="7"/>
      <c r="B3297" s="7"/>
      <c r="C3297" s="74"/>
      <c r="D3297" s="74"/>
      <c r="F3297" s="7"/>
      <c r="G3297" s="74"/>
      <c r="H3297" s="74"/>
      <c r="J3297" s="7"/>
      <c r="K3297" s="74"/>
      <c r="L3297" s="74"/>
      <c r="N3297" s="7"/>
      <c r="O3297" s="74"/>
      <c r="P3297" s="74"/>
      <c r="R3297" s="7"/>
      <c r="S3297" s="7"/>
      <c r="T3297" s="66"/>
    </row>
    <row r="3298" spans="1:20" ht="13.2">
      <c r="A3298" s="7"/>
      <c r="B3298" s="7"/>
      <c r="C3298" s="74"/>
      <c r="D3298" s="74"/>
      <c r="F3298" s="7"/>
      <c r="G3298" s="74"/>
      <c r="H3298" s="74"/>
      <c r="J3298" s="7"/>
      <c r="K3298" s="74"/>
      <c r="L3298" s="74"/>
      <c r="N3298" s="7"/>
      <c r="O3298" s="74"/>
      <c r="P3298" s="74"/>
      <c r="R3298" s="7"/>
      <c r="S3298" s="7"/>
      <c r="T3298" s="66"/>
    </row>
    <row r="3299" spans="1:20" ht="13.2">
      <c r="A3299" s="7"/>
      <c r="B3299" s="7"/>
      <c r="C3299" s="74"/>
      <c r="D3299" s="74"/>
      <c r="F3299" s="7"/>
      <c r="G3299" s="74"/>
      <c r="H3299" s="74"/>
      <c r="J3299" s="7"/>
      <c r="K3299" s="74"/>
      <c r="L3299" s="74"/>
      <c r="N3299" s="7"/>
      <c r="O3299" s="74"/>
      <c r="P3299" s="74"/>
      <c r="R3299" s="7"/>
      <c r="S3299" s="7"/>
      <c r="T3299" s="66"/>
    </row>
    <row r="3300" spans="1:20" ht="13.2">
      <c r="A3300" s="7"/>
      <c r="B3300" s="7"/>
      <c r="C3300" s="74"/>
      <c r="D3300" s="74"/>
      <c r="F3300" s="7"/>
      <c r="G3300" s="74"/>
      <c r="H3300" s="74"/>
      <c r="J3300" s="7"/>
      <c r="K3300" s="74"/>
      <c r="L3300" s="74"/>
      <c r="N3300" s="7"/>
      <c r="O3300" s="74"/>
      <c r="P3300" s="74"/>
      <c r="R3300" s="7"/>
      <c r="S3300" s="7"/>
      <c r="T3300" s="66"/>
    </row>
    <row r="3301" spans="1:20" ht="13.2">
      <c r="A3301" s="7"/>
      <c r="B3301" s="7"/>
      <c r="C3301" s="74"/>
      <c r="D3301" s="74"/>
      <c r="F3301" s="7"/>
      <c r="G3301" s="74"/>
      <c r="H3301" s="74"/>
      <c r="J3301" s="7"/>
      <c r="K3301" s="74"/>
      <c r="L3301" s="74"/>
      <c r="N3301" s="7"/>
      <c r="O3301" s="74"/>
      <c r="P3301" s="74"/>
      <c r="R3301" s="7"/>
      <c r="S3301" s="7"/>
      <c r="T3301" s="66"/>
    </row>
    <row r="3302" spans="1:20" ht="13.2">
      <c r="A3302" s="7"/>
      <c r="B3302" s="7"/>
      <c r="C3302" s="74"/>
      <c r="D3302" s="74"/>
      <c r="F3302" s="7"/>
      <c r="G3302" s="74"/>
      <c r="H3302" s="74"/>
      <c r="J3302" s="7"/>
      <c r="K3302" s="74"/>
      <c r="L3302" s="74"/>
      <c r="N3302" s="7"/>
      <c r="O3302" s="74"/>
      <c r="P3302" s="74"/>
      <c r="R3302" s="7"/>
      <c r="S3302" s="7"/>
      <c r="T3302" s="66"/>
    </row>
    <row r="3303" spans="1:20" ht="13.2">
      <c r="A3303" s="7"/>
      <c r="B3303" s="7"/>
      <c r="C3303" s="74"/>
      <c r="D3303" s="74"/>
      <c r="F3303" s="7"/>
      <c r="G3303" s="74"/>
      <c r="H3303" s="74"/>
      <c r="J3303" s="7"/>
      <c r="K3303" s="74"/>
      <c r="L3303" s="74"/>
      <c r="N3303" s="7"/>
      <c r="O3303" s="74"/>
      <c r="P3303" s="74"/>
      <c r="R3303" s="7"/>
      <c r="S3303" s="7"/>
      <c r="T3303" s="66"/>
    </row>
    <row r="3304" spans="1:20" ht="13.2">
      <c r="A3304" s="7"/>
      <c r="B3304" s="7"/>
      <c r="C3304" s="74"/>
      <c r="D3304" s="74"/>
      <c r="F3304" s="7"/>
      <c r="G3304" s="74"/>
      <c r="H3304" s="74"/>
      <c r="J3304" s="7"/>
      <c r="K3304" s="74"/>
      <c r="L3304" s="74"/>
      <c r="N3304" s="7"/>
      <c r="O3304" s="74"/>
      <c r="P3304" s="74"/>
      <c r="R3304" s="7"/>
      <c r="S3304" s="7"/>
      <c r="T3304" s="66"/>
    </row>
    <row r="3305" spans="1:20" ht="13.2">
      <c r="A3305" s="7"/>
      <c r="B3305" s="7"/>
      <c r="C3305" s="74"/>
      <c r="D3305" s="74"/>
      <c r="F3305" s="7"/>
      <c r="G3305" s="74"/>
      <c r="H3305" s="74"/>
      <c r="J3305" s="7"/>
      <c r="K3305" s="74"/>
      <c r="L3305" s="74"/>
      <c r="N3305" s="7"/>
      <c r="O3305" s="74"/>
      <c r="P3305" s="74"/>
      <c r="R3305" s="7"/>
      <c r="S3305" s="7"/>
      <c r="T3305" s="66"/>
    </row>
    <row r="3306" spans="1:20" ht="13.2">
      <c r="A3306" s="7"/>
      <c r="B3306" s="7"/>
      <c r="C3306" s="74"/>
      <c r="D3306" s="74"/>
      <c r="F3306" s="7"/>
      <c r="G3306" s="74"/>
      <c r="H3306" s="74"/>
      <c r="J3306" s="7"/>
      <c r="K3306" s="74"/>
      <c r="L3306" s="74"/>
      <c r="N3306" s="7"/>
      <c r="O3306" s="74"/>
      <c r="P3306" s="74"/>
      <c r="R3306" s="7"/>
      <c r="S3306" s="7"/>
      <c r="T3306" s="66"/>
    </row>
    <row r="3307" spans="1:20" ht="13.2">
      <c r="A3307" s="7"/>
      <c r="B3307" s="7"/>
      <c r="C3307" s="74"/>
      <c r="D3307" s="74"/>
      <c r="F3307" s="7"/>
      <c r="G3307" s="74"/>
      <c r="H3307" s="74"/>
      <c r="J3307" s="7"/>
      <c r="K3307" s="74"/>
      <c r="L3307" s="74"/>
      <c r="N3307" s="7"/>
      <c r="O3307" s="74"/>
      <c r="P3307" s="74"/>
      <c r="R3307" s="7"/>
      <c r="S3307" s="7"/>
      <c r="T3307" s="66"/>
    </row>
    <row r="3308" spans="1:20" ht="13.2">
      <c r="A3308" s="7"/>
      <c r="B3308" s="7"/>
      <c r="C3308" s="74"/>
      <c r="D3308" s="74"/>
      <c r="F3308" s="7"/>
      <c r="G3308" s="74"/>
      <c r="H3308" s="74"/>
      <c r="J3308" s="7"/>
      <c r="K3308" s="74"/>
      <c r="L3308" s="74"/>
      <c r="N3308" s="7"/>
      <c r="O3308" s="74"/>
      <c r="P3308" s="74"/>
      <c r="R3308" s="7"/>
      <c r="S3308" s="7"/>
      <c r="T3308" s="66"/>
    </row>
    <row r="3309" spans="1:20" ht="13.2">
      <c r="A3309" s="7"/>
      <c r="B3309" s="7"/>
      <c r="C3309" s="74"/>
      <c r="D3309" s="74"/>
      <c r="F3309" s="7"/>
      <c r="G3309" s="74"/>
      <c r="H3309" s="74"/>
      <c r="J3309" s="7"/>
      <c r="K3309" s="74"/>
      <c r="L3309" s="74"/>
      <c r="N3309" s="7"/>
      <c r="O3309" s="74"/>
      <c r="P3309" s="74"/>
      <c r="R3309" s="7"/>
      <c r="S3309" s="7"/>
      <c r="T3309" s="66"/>
    </row>
    <row r="3310" spans="1:20" ht="13.2">
      <c r="A3310" s="7"/>
      <c r="B3310" s="7"/>
      <c r="C3310" s="74"/>
      <c r="D3310" s="74"/>
      <c r="F3310" s="7"/>
      <c r="G3310" s="74"/>
      <c r="H3310" s="74"/>
      <c r="J3310" s="7"/>
      <c r="K3310" s="74"/>
      <c r="L3310" s="74"/>
      <c r="N3310" s="7"/>
      <c r="O3310" s="74"/>
      <c r="P3310" s="74"/>
      <c r="R3310" s="7"/>
      <c r="S3310" s="7"/>
      <c r="T3310" s="66"/>
    </row>
    <row r="3311" spans="1:20" ht="13.2">
      <c r="A3311" s="7"/>
      <c r="B3311" s="7"/>
      <c r="C3311" s="74"/>
      <c r="D3311" s="74"/>
      <c r="F3311" s="7"/>
      <c r="G3311" s="74"/>
      <c r="H3311" s="74"/>
      <c r="J3311" s="7"/>
      <c r="K3311" s="74"/>
      <c r="L3311" s="74"/>
      <c r="N3311" s="7"/>
      <c r="O3311" s="74"/>
      <c r="P3311" s="74"/>
      <c r="R3311" s="7"/>
      <c r="S3311" s="7"/>
      <c r="T3311" s="66"/>
    </row>
    <row r="3312" spans="1:20" ht="13.2">
      <c r="A3312" s="7"/>
      <c r="B3312" s="7"/>
      <c r="C3312" s="74"/>
      <c r="D3312" s="74"/>
      <c r="F3312" s="7"/>
      <c r="G3312" s="74"/>
      <c r="H3312" s="74"/>
      <c r="J3312" s="7"/>
      <c r="K3312" s="74"/>
      <c r="L3312" s="74"/>
      <c r="N3312" s="7"/>
      <c r="O3312" s="74"/>
      <c r="P3312" s="74"/>
      <c r="R3312" s="7"/>
      <c r="S3312" s="7"/>
      <c r="T3312" s="66"/>
    </row>
    <row r="3313" spans="1:20" ht="13.2">
      <c r="A3313" s="7"/>
      <c r="B3313" s="7"/>
      <c r="C3313" s="74"/>
      <c r="D3313" s="74"/>
      <c r="F3313" s="7"/>
      <c r="G3313" s="74"/>
      <c r="H3313" s="74"/>
      <c r="J3313" s="7"/>
      <c r="K3313" s="74"/>
      <c r="L3313" s="74"/>
      <c r="N3313" s="7"/>
      <c r="O3313" s="74"/>
      <c r="P3313" s="74"/>
      <c r="R3313" s="7"/>
      <c r="S3313" s="7"/>
      <c r="T3313" s="66"/>
    </row>
    <row r="3314" spans="1:20" ht="13.2">
      <c r="A3314" s="7"/>
      <c r="B3314" s="7"/>
      <c r="C3314" s="74"/>
      <c r="D3314" s="74"/>
      <c r="F3314" s="7"/>
      <c r="G3314" s="74"/>
      <c r="H3314" s="74"/>
      <c r="J3314" s="7"/>
      <c r="K3314" s="74"/>
      <c r="L3314" s="74"/>
      <c r="N3314" s="7"/>
      <c r="O3314" s="74"/>
      <c r="P3314" s="74"/>
      <c r="R3314" s="7"/>
      <c r="S3314" s="7"/>
      <c r="T3314" s="66"/>
    </row>
    <row r="3315" spans="1:20" ht="13.2">
      <c r="A3315" s="7"/>
      <c r="B3315" s="7"/>
      <c r="C3315" s="74"/>
      <c r="D3315" s="74"/>
      <c r="F3315" s="7"/>
      <c r="G3315" s="74"/>
      <c r="H3315" s="74"/>
      <c r="J3315" s="7"/>
      <c r="K3315" s="74"/>
      <c r="L3315" s="74"/>
      <c r="N3315" s="7"/>
      <c r="O3315" s="74"/>
      <c r="P3315" s="74"/>
      <c r="R3315" s="7"/>
      <c r="S3315" s="7"/>
      <c r="T3315" s="66"/>
    </row>
    <row r="3316" spans="1:20" ht="13.2">
      <c r="A3316" s="7"/>
      <c r="B3316" s="7"/>
      <c r="C3316" s="74"/>
      <c r="D3316" s="74"/>
      <c r="F3316" s="7"/>
      <c r="G3316" s="74"/>
      <c r="H3316" s="74"/>
      <c r="J3316" s="7"/>
      <c r="K3316" s="74"/>
      <c r="L3316" s="74"/>
      <c r="N3316" s="7"/>
      <c r="O3316" s="74"/>
      <c r="P3316" s="74"/>
      <c r="R3316" s="7"/>
      <c r="S3316" s="7"/>
      <c r="T3316" s="66"/>
    </row>
    <row r="3317" spans="1:20" ht="13.2">
      <c r="A3317" s="7"/>
      <c r="B3317" s="7"/>
      <c r="C3317" s="74"/>
      <c r="D3317" s="74"/>
      <c r="F3317" s="7"/>
      <c r="G3317" s="74"/>
      <c r="H3317" s="74"/>
      <c r="J3317" s="7"/>
      <c r="K3317" s="74"/>
      <c r="L3317" s="74"/>
      <c r="N3317" s="7"/>
      <c r="O3317" s="74"/>
      <c r="P3317" s="74"/>
      <c r="R3317" s="7"/>
      <c r="S3317" s="7"/>
      <c r="T3317" s="66"/>
    </row>
    <row r="3318" spans="1:20" ht="13.2">
      <c r="A3318" s="7"/>
      <c r="B3318" s="7"/>
      <c r="C3318" s="74"/>
      <c r="D3318" s="74"/>
      <c r="F3318" s="7"/>
      <c r="G3318" s="74"/>
      <c r="H3318" s="74"/>
      <c r="J3318" s="7"/>
      <c r="K3318" s="74"/>
      <c r="L3318" s="74"/>
      <c r="N3318" s="7"/>
      <c r="O3318" s="74"/>
      <c r="P3318" s="74"/>
      <c r="R3318" s="7"/>
      <c r="S3318" s="7"/>
      <c r="T3318" s="66"/>
    </row>
    <row r="3319" spans="1:20" ht="13.2">
      <c r="A3319" s="7"/>
      <c r="B3319" s="7"/>
      <c r="C3319" s="74"/>
      <c r="D3319" s="74"/>
      <c r="F3319" s="7"/>
      <c r="G3319" s="74"/>
      <c r="H3319" s="74"/>
      <c r="J3319" s="7"/>
      <c r="K3319" s="74"/>
      <c r="L3319" s="74"/>
      <c r="N3319" s="7"/>
      <c r="O3319" s="74"/>
      <c r="P3319" s="74"/>
      <c r="R3319" s="7"/>
      <c r="S3319" s="7"/>
      <c r="T3319" s="66"/>
    </row>
    <row r="3320" spans="1:20" ht="13.2">
      <c r="A3320" s="7"/>
      <c r="B3320" s="7"/>
      <c r="C3320" s="74"/>
      <c r="D3320" s="74"/>
      <c r="F3320" s="7"/>
      <c r="G3320" s="74"/>
      <c r="H3320" s="74"/>
      <c r="J3320" s="7"/>
      <c r="K3320" s="74"/>
      <c r="L3320" s="74"/>
      <c r="N3320" s="7"/>
      <c r="O3320" s="74"/>
      <c r="P3320" s="74"/>
      <c r="R3320" s="7"/>
      <c r="S3320" s="7"/>
      <c r="T3320" s="66"/>
    </row>
    <row r="3321" spans="1:20" ht="13.2">
      <c r="A3321" s="7"/>
      <c r="B3321" s="7"/>
      <c r="C3321" s="74"/>
      <c r="D3321" s="74"/>
      <c r="F3321" s="7"/>
      <c r="G3321" s="74"/>
      <c r="H3321" s="74"/>
      <c r="J3321" s="7"/>
      <c r="K3321" s="74"/>
      <c r="L3321" s="74"/>
      <c r="N3321" s="7"/>
      <c r="O3321" s="74"/>
      <c r="P3321" s="74"/>
      <c r="R3321" s="7"/>
      <c r="S3321" s="7"/>
      <c r="T3321" s="66"/>
    </row>
    <row r="3322" spans="1:20" ht="13.2">
      <c r="A3322" s="7"/>
      <c r="B3322" s="7"/>
      <c r="C3322" s="74"/>
      <c r="D3322" s="74"/>
      <c r="F3322" s="7"/>
      <c r="G3322" s="74"/>
      <c r="H3322" s="74"/>
      <c r="J3322" s="7"/>
      <c r="K3322" s="74"/>
      <c r="L3322" s="74"/>
      <c r="N3322" s="7"/>
      <c r="O3322" s="74"/>
      <c r="P3322" s="74"/>
      <c r="R3322" s="7"/>
      <c r="S3322" s="7"/>
      <c r="T3322" s="66"/>
    </row>
    <row r="3323" spans="1:20" ht="13.2">
      <c r="A3323" s="7"/>
      <c r="B3323" s="7"/>
      <c r="C3323" s="74"/>
      <c r="D3323" s="74"/>
      <c r="F3323" s="7"/>
      <c r="G3323" s="74"/>
      <c r="H3323" s="74"/>
      <c r="J3323" s="7"/>
      <c r="K3323" s="74"/>
      <c r="L3323" s="74"/>
      <c r="N3323" s="7"/>
      <c r="O3323" s="74"/>
      <c r="P3323" s="74"/>
      <c r="R3323" s="7"/>
      <c r="S3323" s="7"/>
      <c r="T3323" s="66"/>
    </row>
    <row r="3324" spans="1:20" ht="13.2">
      <c r="A3324" s="7"/>
      <c r="B3324" s="7"/>
      <c r="C3324" s="74"/>
      <c r="D3324" s="74"/>
      <c r="F3324" s="7"/>
      <c r="G3324" s="74"/>
      <c r="H3324" s="74"/>
      <c r="J3324" s="7"/>
      <c r="K3324" s="74"/>
      <c r="L3324" s="74"/>
      <c r="N3324" s="7"/>
      <c r="O3324" s="74"/>
      <c r="P3324" s="74"/>
      <c r="R3324" s="7"/>
      <c r="S3324" s="7"/>
      <c r="T3324" s="66"/>
    </row>
    <row r="3325" spans="1:20" ht="13.2">
      <c r="A3325" s="7"/>
      <c r="B3325" s="7"/>
      <c r="C3325" s="74"/>
      <c r="D3325" s="74"/>
      <c r="F3325" s="7"/>
      <c r="G3325" s="74"/>
      <c r="H3325" s="74"/>
      <c r="J3325" s="7"/>
      <c r="K3325" s="74"/>
      <c r="L3325" s="74"/>
      <c r="N3325" s="7"/>
      <c r="O3325" s="74"/>
      <c r="P3325" s="74"/>
      <c r="R3325" s="7"/>
      <c r="S3325" s="7"/>
      <c r="T3325" s="66"/>
    </row>
    <row r="3326" spans="1:20" ht="13.2">
      <c r="A3326" s="7"/>
      <c r="B3326" s="7"/>
      <c r="C3326" s="74"/>
      <c r="D3326" s="74"/>
      <c r="F3326" s="7"/>
      <c r="G3326" s="74"/>
      <c r="H3326" s="74"/>
      <c r="J3326" s="7"/>
      <c r="K3326" s="74"/>
      <c r="L3326" s="74"/>
      <c r="N3326" s="7"/>
      <c r="O3326" s="74"/>
      <c r="P3326" s="74"/>
      <c r="R3326" s="7"/>
      <c r="S3326" s="7"/>
      <c r="T3326" s="66"/>
    </row>
    <row r="3327" spans="1:20" ht="13.2">
      <c r="A3327" s="7"/>
      <c r="B3327" s="7"/>
      <c r="C3327" s="74"/>
      <c r="D3327" s="74"/>
      <c r="F3327" s="7"/>
      <c r="G3327" s="74"/>
      <c r="H3327" s="74"/>
      <c r="J3327" s="7"/>
      <c r="K3327" s="74"/>
      <c r="L3327" s="74"/>
      <c r="N3327" s="7"/>
      <c r="O3327" s="74"/>
      <c r="P3327" s="74"/>
      <c r="R3327" s="7"/>
      <c r="S3327" s="7"/>
      <c r="T3327" s="66"/>
    </row>
    <row r="3328" spans="1:20" ht="13.2">
      <c r="A3328" s="7"/>
      <c r="B3328" s="7"/>
      <c r="C3328" s="74"/>
      <c r="D3328" s="74"/>
      <c r="F3328" s="7"/>
      <c r="G3328" s="74"/>
      <c r="H3328" s="74"/>
      <c r="J3328" s="7"/>
      <c r="K3328" s="74"/>
      <c r="L3328" s="74"/>
      <c r="N3328" s="7"/>
      <c r="O3328" s="74"/>
      <c r="P3328" s="74"/>
      <c r="R3328" s="7"/>
      <c r="S3328" s="7"/>
      <c r="T3328" s="66"/>
    </row>
    <row r="3329" spans="1:20" ht="13.2">
      <c r="A3329" s="7"/>
      <c r="B3329" s="7"/>
      <c r="C3329" s="74"/>
      <c r="D3329" s="74"/>
      <c r="F3329" s="7"/>
      <c r="G3329" s="74"/>
      <c r="H3329" s="74"/>
      <c r="J3329" s="7"/>
      <c r="K3329" s="74"/>
      <c r="L3329" s="74"/>
      <c r="N3329" s="7"/>
      <c r="O3329" s="74"/>
      <c r="P3329" s="74"/>
      <c r="R3329" s="7"/>
      <c r="S3329" s="7"/>
      <c r="T3329" s="66"/>
    </row>
    <row r="3330" spans="1:20" ht="13.2">
      <c r="A3330" s="7"/>
      <c r="B3330" s="7"/>
      <c r="C3330" s="74"/>
      <c r="D3330" s="74"/>
      <c r="F3330" s="7"/>
      <c r="G3330" s="74"/>
      <c r="H3330" s="74"/>
      <c r="J3330" s="7"/>
      <c r="K3330" s="74"/>
      <c r="L3330" s="74"/>
      <c r="N3330" s="7"/>
      <c r="O3330" s="74"/>
      <c r="P3330" s="74"/>
      <c r="R3330" s="7"/>
      <c r="S3330" s="7"/>
      <c r="T3330" s="66"/>
    </row>
    <row r="3331" spans="1:20" ht="13.2">
      <c r="A3331" s="7"/>
      <c r="B3331" s="7"/>
      <c r="C3331" s="74"/>
      <c r="D3331" s="74"/>
      <c r="F3331" s="7"/>
      <c r="G3331" s="74"/>
      <c r="H3331" s="74"/>
      <c r="J3331" s="7"/>
      <c r="K3331" s="74"/>
      <c r="L3331" s="74"/>
      <c r="N3331" s="7"/>
      <c r="O3331" s="74"/>
      <c r="P3331" s="74"/>
      <c r="R3331" s="7"/>
      <c r="S3331" s="7"/>
      <c r="T3331" s="66"/>
    </row>
    <row r="3332" spans="1:20" ht="13.2">
      <c r="A3332" s="7"/>
      <c r="B3332" s="7"/>
      <c r="C3332" s="74"/>
      <c r="D3332" s="74"/>
      <c r="F3332" s="7"/>
      <c r="G3332" s="74"/>
      <c r="H3332" s="74"/>
      <c r="J3332" s="7"/>
      <c r="K3332" s="74"/>
      <c r="L3332" s="74"/>
      <c r="N3332" s="7"/>
      <c r="O3332" s="74"/>
      <c r="P3332" s="74"/>
      <c r="R3332" s="7"/>
      <c r="S3332" s="7"/>
      <c r="T3332" s="66"/>
    </row>
    <row r="3333" spans="1:20" ht="13.2">
      <c r="A3333" s="7"/>
      <c r="B3333" s="7"/>
      <c r="C3333" s="74"/>
      <c r="D3333" s="74"/>
      <c r="F3333" s="7"/>
      <c r="G3333" s="74"/>
      <c r="H3333" s="74"/>
      <c r="J3333" s="7"/>
      <c r="K3333" s="74"/>
      <c r="L3333" s="74"/>
      <c r="N3333" s="7"/>
      <c r="O3333" s="74"/>
      <c r="P3333" s="74"/>
      <c r="R3333" s="7"/>
      <c r="S3333" s="7"/>
      <c r="T3333" s="66"/>
    </row>
    <row r="3334" spans="1:20" ht="13.2">
      <c r="A3334" s="7"/>
      <c r="B3334" s="7"/>
      <c r="C3334" s="74"/>
      <c r="D3334" s="74"/>
      <c r="F3334" s="7"/>
      <c r="G3334" s="74"/>
      <c r="H3334" s="74"/>
      <c r="J3334" s="7"/>
      <c r="K3334" s="74"/>
      <c r="L3334" s="74"/>
      <c r="N3334" s="7"/>
      <c r="O3334" s="74"/>
      <c r="P3334" s="74"/>
      <c r="R3334" s="7"/>
      <c r="S3334" s="7"/>
      <c r="T3334" s="66"/>
    </row>
    <row r="3335" spans="1:20" ht="13.2">
      <c r="A3335" s="7"/>
      <c r="B3335" s="7"/>
      <c r="C3335" s="74"/>
      <c r="D3335" s="74"/>
      <c r="F3335" s="7"/>
      <c r="G3335" s="74"/>
      <c r="H3335" s="74"/>
      <c r="J3335" s="7"/>
      <c r="K3335" s="74"/>
      <c r="L3335" s="74"/>
      <c r="N3335" s="7"/>
      <c r="O3335" s="74"/>
      <c r="P3335" s="74"/>
      <c r="R3335" s="7"/>
      <c r="S3335" s="7"/>
      <c r="T3335" s="66"/>
    </row>
    <row r="3336" spans="1:20" ht="13.2">
      <c r="A3336" s="7"/>
      <c r="B3336" s="7"/>
      <c r="C3336" s="74"/>
      <c r="D3336" s="74"/>
      <c r="F3336" s="7"/>
      <c r="G3336" s="74"/>
      <c r="H3336" s="74"/>
      <c r="J3336" s="7"/>
      <c r="K3336" s="74"/>
      <c r="L3336" s="74"/>
      <c r="N3336" s="7"/>
      <c r="O3336" s="74"/>
      <c r="P3336" s="74"/>
      <c r="R3336" s="7"/>
      <c r="S3336" s="7"/>
      <c r="T3336" s="66"/>
    </row>
    <row r="3337" spans="1:20" ht="13.2">
      <c r="A3337" s="7"/>
      <c r="B3337" s="7"/>
      <c r="C3337" s="74"/>
      <c r="D3337" s="74"/>
      <c r="F3337" s="7"/>
      <c r="G3337" s="74"/>
      <c r="H3337" s="74"/>
      <c r="J3337" s="7"/>
      <c r="K3337" s="74"/>
      <c r="L3337" s="74"/>
      <c r="N3337" s="7"/>
      <c r="O3337" s="74"/>
      <c r="P3337" s="74"/>
      <c r="R3337" s="7"/>
      <c r="S3337" s="7"/>
      <c r="T3337" s="66"/>
    </row>
    <row r="3338" spans="1:20" ht="13.2">
      <c r="A3338" s="7"/>
      <c r="B3338" s="7"/>
      <c r="C3338" s="74"/>
      <c r="D3338" s="74"/>
      <c r="F3338" s="7"/>
      <c r="G3338" s="74"/>
      <c r="H3338" s="74"/>
      <c r="J3338" s="7"/>
      <c r="K3338" s="74"/>
      <c r="L3338" s="74"/>
      <c r="N3338" s="7"/>
      <c r="O3338" s="74"/>
      <c r="P3338" s="74"/>
      <c r="R3338" s="7"/>
      <c r="S3338" s="7"/>
      <c r="T3338" s="66"/>
    </row>
    <row r="3339" spans="1:20" ht="13.2">
      <c r="A3339" s="7"/>
      <c r="B3339" s="7"/>
      <c r="C3339" s="74"/>
      <c r="D3339" s="74"/>
      <c r="F3339" s="7"/>
      <c r="G3339" s="74"/>
      <c r="H3339" s="74"/>
      <c r="J3339" s="7"/>
      <c r="K3339" s="74"/>
      <c r="L3339" s="74"/>
      <c r="N3339" s="7"/>
      <c r="O3339" s="74"/>
      <c r="P3339" s="74"/>
      <c r="R3339" s="7"/>
      <c r="S3339" s="7"/>
      <c r="T3339" s="66"/>
    </row>
    <row r="3340" spans="1:20" ht="13.2">
      <c r="A3340" s="7"/>
      <c r="B3340" s="7"/>
      <c r="C3340" s="74"/>
      <c r="D3340" s="74"/>
      <c r="F3340" s="7"/>
      <c r="G3340" s="74"/>
      <c r="H3340" s="74"/>
      <c r="J3340" s="7"/>
      <c r="K3340" s="74"/>
      <c r="L3340" s="74"/>
      <c r="N3340" s="7"/>
      <c r="O3340" s="74"/>
      <c r="P3340" s="74"/>
      <c r="R3340" s="7"/>
      <c r="S3340" s="7"/>
      <c r="T3340" s="66"/>
    </row>
    <row r="3341" spans="1:20" ht="13.2">
      <c r="A3341" s="7"/>
      <c r="B3341" s="7"/>
      <c r="C3341" s="74"/>
      <c r="D3341" s="74"/>
      <c r="F3341" s="7"/>
      <c r="G3341" s="74"/>
      <c r="H3341" s="74"/>
      <c r="J3341" s="7"/>
      <c r="K3341" s="74"/>
      <c r="L3341" s="74"/>
      <c r="N3341" s="7"/>
      <c r="O3341" s="74"/>
      <c r="P3341" s="74"/>
      <c r="R3341" s="7"/>
      <c r="S3341" s="7"/>
      <c r="T3341" s="66"/>
    </row>
    <row r="3342" spans="1:20" ht="13.2">
      <c r="A3342" s="7"/>
      <c r="B3342" s="7"/>
      <c r="C3342" s="74"/>
      <c r="D3342" s="74"/>
      <c r="F3342" s="7"/>
      <c r="G3342" s="74"/>
      <c r="H3342" s="74"/>
      <c r="J3342" s="7"/>
      <c r="K3342" s="74"/>
      <c r="L3342" s="74"/>
      <c r="N3342" s="7"/>
      <c r="O3342" s="74"/>
      <c r="P3342" s="74"/>
      <c r="R3342" s="7"/>
      <c r="S3342" s="7"/>
      <c r="T3342" s="66"/>
    </row>
    <row r="3343" spans="1:20" ht="13.2">
      <c r="A3343" s="7"/>
      <c r="B3343" s="7"/>
      <c r="C3343" s="74"/>
      <c r="D3343" s="74"/>
      <c r="F3343" s="7"/>
      <c r="G3343" s="74"/>
      <c r="H3343" s="74"/>
      <c r="J3343" s="7"/>
      <c r="K3343" s="74"/>
      <c r="L3343" s="74"/>
      <c r="N3343" s="7"/>
      <c r="O3343" s="74"/>
      <c r="P3343" s="74"/>
      <c r="R3343" s="7"/>
      <c r="S3343" s="7"/>
      <c r="T3343" s="66"/>
    </row>
    <row r="3344" spans="1:20" ht="13.2">
      <c r="A3344" s="7"/>
      <c r="B3344" s="7"/>
      <c r="C3344" s="74"/>
      <c r="D3344" s="74"/>
      <c r="F3344" s="7"/>
      <c r="G3344" s="74"/>
      <c r="H3344" s="74"/>
      <c r="J3344" s="7"/>
      <c r="K3344" s="74"/>
      <c r="L3344" s="74"/>
      <c r="N3344" s="7"/>
      <c r="O3344" s="74"/>
      <c r="P3344" s="74"/>
      <c r="R3344" s="7"/>
      <c r="S3344" s="7"/>
      <c r="T3344" s="66"/>
    </row>
    <row r="3345" spans="1:20" ht="13.2">
      <c r="A3345" s="7"/>
      <c r="B3345" s="7"/>
      <c r="C3345" s="74"/>
      <c r="D3345" s="74"/>
      <c r="F3345" s="7"/>
      <c r="G3345" s="74"/>
      <c r="H3345" s="74"/>
      <c r="J3345" s="7"/>
      <c r="K3345" s="74"/>
      <c r="L3345" s="74"/>
      <c r="N3345" s="7"/>
      <c r="O3345" s="74"/>
      <c r="P3345" s="74"/>
      <c r="R3345" s="7"/>
      <c r="S3345" s="7"/>
      <c r="T3345" s="66"/>
    </row>
    <row r="3346" spans="1:20" ht="13.2">
      <c r="A3346" s="7"/>
      <c r="B3346" s="7"/>
      <c r="C3346" s="74"/>
      <c r="D3346" s="74"/>
      <c r="F3346" s="7"/>
      <c r="G3346" s="74"/>
      <c r="H3346" s="74"/>
      <c r="J3346" s="7"/>
      <c r="K3346" s="74"/>
      <c r="L3346" s="74"/>
      <c r="N3346" s="7"/>
      <c r="O3346" s="74"/>
      <c r="P3346" s="74"/>
      <c r="R3346" s="7"/>
      <c r="S3346" s="7"/>
      <c r="T3346" s="66"/>
    </row>
    <row r="3347" spans="1:20" ht="13.2">
      <c r="A3347" s="7"/>
      <c r="B3347" s="7"/>
      <c r="C3347" s="74"/>
      <c r="D3347" s="74"/>
      <c r="F3347" s="7"/>
      <c r="G3347" s="74"/>
      <c r="H3347" s="74"/>
      <c r="J3347" s="7"/>
      <c r="K3347" s="74"/>
      <c r="L3347" s="74"/>
      <c r="N3347" s="7"/>
      <c r="O3347" s="74"/>
      <c r="P3347" s="74"/>
      <c r="R3347" s="7"/>
      <c r="S3347" s="7"/>
      <c r="T3347" s="66"/>
    </row>
    <row r="3348" spans="1:20" ht="13.2">
      <c r="A3348" s="7"/>
      <c r="B3348" s="7"/>
      <c r="C3348" s="74"/>
      <c r="D3348" s="74"/>
      <c r="F3348" s="7"/>
      <c r="G3348" s="74"/>
      <c r="H3348" s="74"/>
      <c r="J3348" s="7"/>
      <c r="K3348" s="74"/>
      <c r="L3348" s="74"/>
      <c r="N3348" s="7"/>
      <c r="O3348" s="74"/>
      <c r="P3348" s="74"/>
      <c r="R3348" s="7"/>
      <c r="S3348" s="7"/>
      <c r="T3348" s="66"/>
    </row>
    <row r="3349" spans="1:20" ht="13.2">
      <c r="A3349" s="7"/>
      <c r="B3349" s="7"/>
      <c r="C3349" s="74"/>
      <c r="D3349" s="74"/>
      <c r="F3349" s="7"/>
      <c r="G3349" s="74"/>
      <c r="H3349" s="74"/>
      <c r="J3349" s="7"/>
      <c r="K3349" s="74"/>
      <c r="L3349" s="74"/>
      <c r="N3349" s="7"/>
      <c r="O3349" s="74"/>
      <c r="P3349" s="74"/>
      <c r="R3349" s="7"/>
      <c r="S3349" s="7"/>
      <c r="T3349" s="66"/>
    </row>
    <row r="3350" spans="1:20" ht="13.2">
      <c r="A3350" s="7"/>
      <c r="B3350" s="7"/>
      <c r="C3350" s="74"/>
      <c r="D3350" s="74"/>
      <c r="F3350" s="7"/>
      <c r="G3350" s="74"/>
      <c r="H3350" s="74"/>
      <c r="J3350" s="7"/>
      <c r="K3350" s="74"/>
      <c r="L3350" s="74"/>
      <c r="N3350" s="7"/>
      <c r="O3350" s="74"/>
      <c r="P3350" s="74"/>
      <c r="R3350" s="7"/>
      <c r="S3350" s="7"/>
      <c r="T3350" s="66"/>
    </row>
    <row r="3351" spans="1:20" ht="13.2">
      <c r="A3351" s="7"/>
      <c r="B3351" s="7"/>
      <c r="C3351" s="74"/>
      <c r="D3351" s="74"/>
      <c r="F3351" s="7"/>
      <c r="G3351" s="74"/>
      <c r="H3351" s="74"/>
      <c r="J3351" s="7"/>
      <c r="K3351" s="74"/>
      <c r="L3351" s="74"/>
      <c r="N3351" s="7"/>
      <c r="O3351" s="74"/>
      <c r="P3351" s="74"/>
      <c r="R3351" s="7"/>
      <c r="S3351" s="7"/>
      <c r="T3351" s="66"/>
    </row>
    <row r="3352" spans="1:20" ht="13.2">
      <c r="A3352" s="7"/>
      <c r="B3352" s="7"/>
      <c r="C3352" s="74"/>
      <c r="D3352" s="74"/>
      <c r="F3352" s="7"/>
      <c r="G3352" s="74"/>
      <c r="H3352" s="74"/>
      <c r="J3352" s="7"/>
      <c r="K3352" s="74"/>
      <c r="L3352" s="74"/>
      <c r="N3352" s="7"/>
      <c r="O3352" s="74"/>
      <c r="P3352" s="74"/>
      <c r="R3352" s="7"/>
      <c r="S3352" s="7"/>
      <c r="T3352" s="66"/>
    </row>
    <row r="3353" spans="1:20" ht="13.2">
      <c r="A3353" s="7"/>
      <c r="B3353" s="7"/>
      <c r="C3353" s="74"/>
      <c r="D3353" s="74"/>
      <c r="F3353" s="7"/>
      <c r="G3353" s="74"/>
      <c r="H3353" s="74"/>
      <c r="J3353" s="7"/>
      <c r="K3353" s="74"/>
      <c r="L3353" s="74"/>
      <c r="N3353" s="7"/>
      <c r="O3353" s="74"/>
      <c r="P3353" s="74"/>
      <c r="R3353" s="7"/>
      <c r="S3353" s="7"/>
      <c r="T3353" s="66"/>
    </row>
    <row r="3354" spans="1:20" ht="13.2">
      <c r="A3354" s="7"/>
      <c r="B3354" s="7"/>
      <c r="C3354" s="74"/>
      <c r="D3354" s="74"/>
      <c r="F3354" s="7"/>
      <c r="G3354" s="74"/>
      <c r="H3354" s="74"/>
      <c r="J3354" s="7"/>
      <c r="K3354" s="74"/>
      <c r="L3354" s="74"/>
      <c r="N3354" s="7"/>
      <c r="O3354" s="74"/>
      <c r="P3354" s="74"/>
      <c r="R3354" s="7"/>
      <c r="S3354" s="7"/>
      <c r="T3354" s="66"/>
    </row>
    <row r="3355" spans="1:20" ht="13.2">
      <c r="A3355" s="7"/>
      <c r="B3355" s="7"/>
      <c r="C3355" s="74"/>
      <c r="D3355" s="74"/>
      <c r="F3355" s="7"/>
      <c r="G3355" s="74"/>
      <c r="H3355" s="74"/>
      <c r="J3355" s="7"/>
      <c r="K3355" s="74"/>
      <c r="L3355" s="74"/>
      <c r="N3355" s="7"/>
      <c r="O3355" s="74"/>
      <c r="P3355" s="74"/>
      <c r="R3355" s="7"/>
      <c r="S3355" s="7"/>
      <c r="T3355" s="66"/>
    </row>
    <row r="3356" spans="1:20" ht="13.2">
      <c r="A3356" s="7"/>
      <c r="B3356" s="7"/>
      <c r="C3356" s="74"/>
      <c r="D3356" s="74"/>
      <c r="F3356" s="7"/>
      <c r="G3356" s="74"/>
      <c r="H3356" s="74"/>
      <c r="J3356" s="7"/>
      <c r="K3356" s="74"/>
      <c r="L3356" s="74"/>
      <c r="N3356" s="7"/>
      <c r="O3356" s="74"/>
      <c r="P3356" s="74"/>
      <c r="R3356" s="7"/>
      <c r="S3356" s="7"/>
      <c r="T3356" s="66"/>
    </row>
    <row r="3357" spans="1:20" ht="13.2">
      <c r="A3357" s="7"/>
      <c r="B3357" s="7"/>
      <c r="C3357" s="74"/>
      <c r="D3357" s="74"/>
      <c r="F3357" s="7"/>
      <c r="G3357" s="74"/>
      <c r="H3357" s="74"/>
      <c r="J3357" s="7"/>
      <c r="K3357" s="74"/>
      <c r="L3357" s="74"/>
      <c r="N3357" s="7"/>
      <c r="O3357" s="74"/>
      <c r="P3357" s="74"/>
      <c r="R3357" s="7"/>
      <c r="S3357" s="7"/>
      <c r="T3357" s="66"/>
    </row>
    <row r="3358" spans="1:20" ht="13.2">
      <c r="A3358" s="7"/>
      <c r="B3358" s="7"/>
      <c r="C3358" s="74"/>
      <c r="D3358" s="74"/>
      <c r="F3358" s="7"/>
      <c r="G3358" s="74"/>
      <c r="H3358" s="74"/>
      <c r="J3358" s="7"/>
      <c r="K3358" s="74"/>
      <c r="L3358" s="74"/>
      <c r="N3358" s="7"/>
      <c r="O3358" s="74"/>
      <c r="P3358" s="74"/>
      <c r="R3358" s="7"/>
      <c r="S3358" s="7"/>
      <c r="T3358" s="66"/>
    </row>
    <row r="3359" spans="1:20" ht="13.2">
      <c r="A3359" s="7"/>
      <c r="B3359" s="7"/>
      <c r="C3359" s="74"/>
      <c r="D3359" s="74"/>
      <c r="F3359" s="7"/>
      <c r="G3359" s="74"/>
      <c r="H3359" s="74"/>
      <c r="J3359" s="7"/>
      <c r="K3359" s="74"/>
      <c r="L3359" s="74"/>
      <c r="N3359" s="7"/>
      <c r="O3359" s="74"/>
      <c r="P3359" s="74"/>
      <c r="R3359" s="7"/>
      <c r="S3359" s="7"/>
      <c r="T3359" s="66"/>
    </row>
    <row r="3360" spans="1:20" ht="13.2">
      <c r="A3360" s="7"/>
      <c r="B3360" s="7"/>
      <c r="C3360" s="74"/>
      <c r="D3360" s="74"/>
      <c r="F3360" s="7"/>
      <c r="G3360" s="74"/>
      <c r="H3360" s="74"/>
      <c r="J3360" s="7"/>
      <c r="K3360" s="74"/>
      <c r="L3360" s="74"/>
      <c r="N3360" s="7"/>
      <c r="O3360" s="74"/>
      <c r="P3360" s="74"/>
      <c r="R3360" s="7"/>
      <c r="S3360" s="7"/>
      <c r="T3360" s="66"/>
    </row>
    <row r="3361" spans="1:20" ht="13.2">
      <c r="A3361" s="7"/>
      <c r="B3361" s="7"/>
      <c r="C3361" s="74"/>
      <c r="D3361" s="74"/>
      <c r="F3361" s="7"/>
      <c r="G3361" s="74"/>
      <c r="H3361" s="74"/>
      <c r="J3361" s="7"/>
      <c r="K3361" s="74"/>
      <c r="L3361" s="74"/>
      <c r="N3361" s="7"/>
      <c r="O3361" s="74"/>
      <c r="P3361" s="74"/>
      <c r="R3361" s="7"/>
      <c r="S3361" s="7"/>
      <c r="T3361" s="66"/>
    </row>
    <row r="3362" spans="1:20" ht="13.2">
      <c r="A3362" s="7"/>
      <c r="B3362" s="7"/>
      <c r="C3362" s="74"/>
      <c r="D3362" s="74"/>
      <c r="F3362" s="7"/>
      <c r="G3362" s="74"/>
      <c r="H3362" s="74"/>
      <c r="J3362" s="7"/>
      <c r="K3362" s="74"/>
      <c r="L3362" s="74"/>
      <c r="N3362" s="7"/>
      <c r="O3362" s="74"/>
      <c r="P3362" s="74"/>
      <c r="R3362" s="7"/>
      <c r="S3362" s="7"/>
      <c r="T3362" s="66"/>
    </row>
    <row r="3363" spans="1:20" ht="13.2">
      <c r="A3363" s="7"/>
      <c r="B3363" s="7"/>
      <c r="C3363" s="74"/>
      <c r="D3363" s="74"/>
      <c r="F3363" s="7"/>
      <c r="G3363" s="74"/>
      <c r="H3363" s="74"/>
      <c r="J3363" s="7"/>
      <c r="K3363" s="74"/>
      <c r="L3363" s="74"/>
      <c r="N3363" s="7"/>
      <c r="O3363" s="74"/>
      <c r="P3363" s="74"/>
      <c r="R3363" s="7"/>
      <c r="S3363" s="7"/>
      <c r="T3363" s="66"/>
    </row>
    <row r="3364" spans="1:20" ht="13.2">
      <c r="A3364" s="7"/>
      <c r="B3364" s="7"/>
      <c r="C3364" s="74"/>
      <c r="D3364" s="74"/>
      <c r="F3364" s="7"/>
      <c r="G3364" s="74"/>
      <c r="H3364" s="74"/>
      <c r="J3364" s="7"/>
      <c r="K3364" s="74"/>
      <c r="L3364" s="74"/>
      <c r="N3364" s="7"/>
      <c r="O3364" s="74"/>
      <c r="P3364" s="74"/>
      <c r="R3364" s="7"/>
      <c r="S3364" s="7"/>
      <c r="T3364" s="66"/>
    </row>
    <row r="3365" spans="1:20" ht="13.2">
      <c r="A3365" s="7"/>
      <c r="B3365" s="7"/>
      <c r="C3365" s="74"/>
      <c r="D3365" s="74"/>
      <c r="F3365" s="7"/>
      <c r="G3365" s="74"/>
      <c r="H3365" s="74"/>
      <c r="J3365" s="7"/>
      <c r="K3365" s="74"/>
      <c r="L3365" s="74"/>
      <c r="N3365" s="7"/>
      <c r="O3365" s="74"/>
      <c r="P3365" s="74"/>
      <c r="R3365" s="7"/>
      <c r="S3365" s="7"/>
      <c r="T3365" s="66"/>
    </row>
    <row r="3366" spans="1:20" ht="13.2">
      <c r="A3366" s="7"/>
      <c r="B3366" s="7"/>
      <c r="C3366" s="74"/>
      <c r="D3366" s="74"/>
      <c r="F3366" s="7"/>
      <c r="G3366" s="74"/>
      <c r="H3366" s="74"/>
      <c r="J3366" s="7"/>
      <c r="K3366" s="74"/>
      <c r="L3366" s="74"/>
      <c r="N3366" s="7"/>
      <c r="O3366" s="74"/>
      <c r="P3366" s="74"/>
      <c r="R3366" s="7"/>
      <c r="S3366" s="7"/>
      <c r="T3366" s="66"/>
    </row>
    <row r="3367" spans="1:20" ht="13.2">
      <c r="A3367" s="7"/>
      <c r="B3367" s="7"/>
      <c r="C3367" s="74"/>
      <c r="D3367" s="74"/>
      <c r="F3367" s="7"/>
      <c r="G3367" s="74"/>
      <c r="H3367" s="74"/>
      <c r="J3367" s="7"/>
      <c r="K3367" s="74"/>
      <c r="L3367" s="74"/>
      <c r="N3367" s="7"/>
      <c r="O3367" s="74"/>
      <c r="P3367" s="74"/>
      <c r="R3367" s="7"/>
      <c r="S3367" s="7"/>
      <c r="T3367" s="66"/>
    </row>
    <row r="3368" spans="1:20" ht="13.2">
      <c r="A3368" s="7"/>
      <c r="B3368" s="7"/>
      <c r="C3368" s="74"/>
      <c r="D3368" s="74"/>
      <c r="F3368" s="7"/>
      <c r="G3368" s="74"/>
      <c r="H3368" s="74"/>
      <c r="J3368" s="7"/>
      <c r="K3368" s="74"/>
      <c r="L3368" s="74"/>
      <c r="N3368" s="7"/>
      <c r="O3368" s="74"/>
      <c r="P3368" s="74"/>
      <c r="R3368" s="7"/>
      <c r="S3368" s="7"/>
      <c r="T3368" s="66"/>
    </row>
    <row r="3369" spans="1:20" ht="13.2">
      <c r="A3369" s="7"/>
      <c r="B3369" s="7"/>
      <c r="C3369" s="74"/>
      <c r="D3369" s="74"/>
      <c r="F3369" s="7"/>
      <c r="G3369" s="74"/>
      <c r="H3369" s="74"/>
      <c r="J3369" s="7"/>
      <c r="K3369" s="74"/>
      <c r="L3369" s="74"/>
      <c r="N3369" s="7"/>
      <c r="O3369" s="74"/>
      <c r="P3369" s="74"/>
      <c r="R3369" s="7"/>
      <c r="S3369" s="7"/>
      <c r="T3369" s="66"/>
    </row>
    <row r="3370" spans="1:20" ht="13.2">
      <c r="A3370" s="7"/>
      <c r="B3370" s="7"/>
      <c r="C3370" s="74"/>
      <c r="D3370" s="74"/>
      <c r="F3370" s="7"/>
      <c r="G3370" s="74"/>
      <c r="H3370" s="74"/>
      <c r="J3370" s="7"/>
      <c r="K3370" s="74"/>
      <c r="L3370" s="74"/>
      <c r="N3370" s="7"/>
      <c r="O3370" s="74"/>
      <c r="P3370" s="74"/>
      <c r="R3370" s="7"/>
      <c r="S3370" s="7"/>
      <c r="T3370" s="66"/>
    </row>
    <row r="3371" spans="1:20" ht="13.2">
      <c r="A3371" s="7"/>
      <c r="B3371" s="7"/>
      <c r="C3371" s="74"/>
      <c r="D3371" s="74"/>
      <c r="F3371" s="7"/>
      <c r="G3371" s="74"/>
      <c r="H3371" s="74"/>
      <c r="J3371" s="7"/>
      <c r="K3371" s="74"/>
      <c r="L3371" s="74"/>
      <c r="N3371" s="7"/>
      <c r="O3371" s="74"/>
      <c r="P3371" s="74"/>
      <c r="R3371" s="7"/>
      <c r="S3371" s="7"/>
      <c r="T3371" s="66"/>
    </row>
    <row r="3372" spans="1:20" ht="13.2">
      <c r="A3372" s="7"/>
      <c r="B3372" s="7"/>
      <c r="C3372" s="74"/>
      <c r="D3372" s="74"/>
      <c r="F3372" s="7"/>
      <c r="G3372" s="74"/>
      <c r="H3372" s="74"/>
      <c r="J3372" s="7"/>
      <c r="K3372" s="74"/>
      <c r="L3372" s="74"/>
      <c r="N3372" s="7"/>
      <c r="O3372" s="74"/>
      <c r="P3372" s="74"/>
      <c r="R3372" s="7"/>
      <c r="S3372" s="7"/>
      <c r="T3372" s="66"/>
    </row>
    <row r="3373" spans="1:20" ht="13.2">
      <c r="A3373" s="7"/>
      <c r="B3373" s="7"/>
      <c r="C3373" s="74"/>
      <c r="D3373" s="74"/>
      <c r="F3373" s="7"/>
      <c r="G3373" s="74"/>
      <c r="H3373" s="74"/>
      <c r="J3373" s="7"/>
      <c r="K3373" s="74"/>
      <c r="L3373" s="74"/>
      <c r="N3373" s="7"/>
      <c r="O3373" s="74"/>
      <c r="P3373" s="74"/>
      <c r="R3373" s="7"/>
      <c r="S3373" s="7"/>
      <c r="T3373" s="66"/>
    </row>
    <row r="3374" spans="1:20" ht="13.2">
      <c r="A3374" s="7"/>
      <c r="B3374" s="7"/>
      <c r="C3374" s="74"/>
      <c r="D3374" s="74"/>
      <c r="F3374" s="7"/>
      <c r="G3374" s="74"/>
      <c r="H3374" s="74"/>
      <c r="J3374" s="7"/>
      <c r="K3374" s="74"/>
      <c r="L3374" s="74"/>
      <c r="N3374" s="7"/>
      <c r="O3374" s="74"/>
      <c r="P3374" s="74"/>
      <c r="R3374" s="7"/>
      <c r="S3374" s="7"/>
      <c r="T3374" s="66"/>
    </row>
    <row r="3375" spans="1:20" ht="13.2">
      <c r="A3375" s="7"/>
      <c r="B3375" s="7"/>
      <c r="C3375" s="74"/>
      <c r="D3375" s="74"/>
      <c r="F3375" s="7"/>
      <c r="G3375" s="74"/>
      <c r="H3375" s="74"/>
      <c r="J3375" s="7"/>
      <c r="K3375" s="74"/>
      <c r="L3375" s="74"/>
      <c r="N3375" s="7"/>
      <c r="O3375" s="74"/>
      <c r="P3375" s="74"/>
      <c r="R3375" s="7"/>
      <c r="S3375" s="7"/>
      <c r="T3375" s="66"/>
    </row>
    <row r="3376" spans="1:20" ht="13.2">
      <c r="A3376" s="7"/>
      <c r="B3376" s="7"/>
      <c r="C3376" s="74"/>
      <c r="D3376" s="74"/>
      <c r="F3376" s="7"/>
      <c r="G3376" s="74"/>
      <c r="H3376" s="74"/>
      <c r="J3376" s="7"/>
      <c r="K3376" s="74"/>
      <c r="L3376" s="74"/>
      <c r="N3376" s="7"/>
      <c r="O3376" s="74"/>
      <c r="P3376" s="74"/>
      <c r="R3376" s="7"/>
      <c r="S3376" s="7"/>
      <c r="T3376" s="66"/>
    </row>
    <row r="3377" spans="1:20" ht="13.2">
      <c r="A3377" s="7"/>
      <c r="B3377" s="7"/>
      <c r="C3377" s="74"/>
      <c r="D3377" s="74"/>
      <c r="F3377" s="7"/>
      <c r="G3377" s="74"/>
      <c r="H3377" s="74"/>
      <c r="J3377" s="7"/>
      <c r="K3377" s="74"/>
      <c r="L3377" s="74"/>
      <c r="N3377" s="7"/>
      <c r="O3377" s="74"/>
      <c r="P3377" s="74"/>
      <c r="R3377" s="7"/>
      <c r="S3377" s="7"/>
      <c r="T3377" s="66"/>
    </row>
    <row r="3378" spans="1:20" ht="13.2">
      <c r="A3378" s="7"/>
      <c r="B3378" s="7"/>
      <c r="C3378" s="74"/>
      <c r="D3378" s="74"/>
      <c r="F3378" s="7"/>
      <c r="G3378" s="74"/>
      <c r="H3378" s="74"/>
      <c r="J3378" s="7"/>
      <c r="K3378" s="74"/>
      <c r="L3378" s="74"/>
      <c r="N3378" s="7"/>
      <c r="O3378" s="74"/>
      <c r="P3378" s="74"/>
      <c r="R3378" s="7"/>
      <c r="S3378" s="7"/>
      <c r="T3378" s="66"/>
    </row>
    <row r="3379" spans="1:20" ht="13.2">
      <c r="A3379" s="7"/>
      <c r="B3379" s="7"/>
      <c r="C3379" s="74"/>
      <c r="D3379" s="74"/>
      <c r="F3379" s="7"/>
      <c r="G3379" s="74"/>
      <c r="H3379" s="74"/>
      <c r="J3379" s="7"/>
      <c r="K3379" s="74"/>
      <c r="L3379" s="74"/>
      <c r="N3379" s="7"/>
      <c r="O3379" s="74"/>
      <c r="P3379" s="74"/>
      <c r="R3379" s="7"/>
      <c r="S3379" s="7"/>
      <c r="T3379" s="66"/>
    </row>
    <row r="3380" spans="1:20" ht="13.2">
      <c r="A3380" s="7"/>
      <c r="B3380" s="7"/>
      <c r="C3380" s="74"/>
      <c r="D3380" s="74"/>
      <c r="F3380" s="7"/>
      <c r="G3380" s="74"/>
      <c r="H3380" s="74"/>
      <c r="J3380" s="7"/>
      <c r="K3380" s="74"/>
      <c r="L3380" s="74"/>
      <c r="N3380" s="7"/>
      <c r="O3380" s="74"/>
      <c r="P3380" s="74"/>
      <c r="R3380" s="7"/>
      <c r="S3380" s="7"/>
      <c r="T3380" s="66"/>
    </row>
    <row r="3381" spans="1:20" ht="13.2">
      <c r="A3381" s="7"/>
      <c r="B3381" s="7"/>
      <c r="C3381" s="74"/>
      <c r="D3381" s="74"/>
      <c r="F3381" s="7"/>
      <c r="G3381" s="74"/>
      <c r="H3381" s="74"/>
      <c r="J3381" s="7"/>
      <c r="K3381" s="74"/>
      <c r="L3381" s="74"/>
      <c r="N3381" s="7"/>
      <c r="O3381" s="74"/>
      <c r="P3381" s="74"/>
      <c r="R3381" s="7"/>
      <c r="S3381" s="7"/>
      <c r="T3381" s="66"/>
    </row>
    <row r="3382" spans="1:20" ht="13.2">
      <c r="A3382" s="7"/>
      <c r="B3382" s="7"/>
      <c r="C3382" s="74"/>
      <c r="D3382" s="74"/>
      <c r="F3382" s="7"/>
      <c r="G3382" s="74"/>
      <c r="H3382" s="74"/>
      <c r="J3382" s="7"/>
      <c r="K3382" s="74"/>
      <c r="L3382" s="74"/>
      <c r="N3382" s="7"/>
      <c r="O3382" s="74"/>
      <c r="P3382" s="74"/>
      <c r="R3382" s="7"/>
      <c r="S3382" s="7"/>
      <c r="T3382" s="66"/>
    </row>
    <row r="3383" spans="1:20" ht="13.2">
      <c r="A3383" s="7"/>
      <c r="B3383" s="7"/>
      <c r="C3383" s="74"/>
      <c r="D3383" s="74"/>
      <c r="F3383" s="7"/>
      <c r="G3383" s="74"/>
      <c r="H3383" s="74"/>
      <c r="J3383" s="7"/>
      <c r="K3383" s="74"/>
      <c r="L3383" s="74"/>
      <c r="N3383" s="7"/>
      <c r="O3383" s="74"/>
      <c r="P3383" s="74"/>
      <c r="R3383" s="7"/>
      <c r="S3383" s="7"/>
      <c r="T3383" s="66"/>
    </row>
    <row r="3384" spans="1:20" ht="13.2">
      <c r="A3384" s="7"/>
      <c r="B3384" s="7"/>
      <c r="C3384" s="74"/>
      <c r="D3384" s="74"/>
      <c r="F3384" s="7"/>
      <c r="G3384" s="74"/>
      <c r="H3384" s="74"/>
      <c r="J3384" s="7"/>
      <c r="K3384" s="74"/>
      <c r="L3384" s="74"/>
      <c r="N3384" s="7"/>
      <c r="O3384" s="74"/>
      <c r="P3384" s="74"/>
      <c r="R3384" s="7"/>
      <c r="S3384" s="7"/>
      <c r="T3384" s="66"/>
    </row>
    <row r="3385" spans="1:20" ht="13.2">
      <c r="A3385" s="7"/>
      <c r="B3385" s="7"/>
      <c r="C3385" s="74"/>
      <c r="D3385" s="74"/>
      <c r="F3385" s="7"/>
      <c r="G3385" s="74"/>
      <c r="H3385" s="74"/>
      <c r="J3385" s="7"/>
      <c r="K3385" s="74"/>
      <c r="L3385" s="74"/>
      <c r="N3385" s="7"/>
      <c r="O3385" s="74"/>
      <c r="P3385" s="74"/>
      <c r="R3385" s="7"/>
      <c r="S3385" s="7"/>
      <c r="T3385" s="66"/>
    </row>
    <row r="3386" spans="1:20" ht="13.2">
      <c r="A3386" s="7"/>
      <c r="B3386" s="7"/>
      <c r="C3386" s="74"/>
      <c r="D3386" s="74"/>
      <c r="F3386" s="7"/>
      <c r="G3386" s="74"/>
      <c r="H3386" s="74"/>
      <c r="J3386" s="7"/>
      <c r="K3386" s="74"/>
      <c r="L3386" s="74"/>
      <c r="N3386" s="7"/>
      <c r="O3386" s="74"/>
      <c r="P3386" s="74"/>
      <c r="R3386" s="7"/>
      <c r="S3386" s="7"/>
      <c r="T3386" s="66"/>
    </row>
    <row r="3387" spans="1:20" ht="13.2">
      <c r="A3387" s="7"/>
      <c r="B3387" s="7"/>
      <c r="C3387" s="74"/>
      <c r="D3387" s="74"/>
      <c r="F3387" s="7"/>
      <c r="G3387" s="74"/>
      <c r="H3387" s="74"/>
      <c r="J3387" s="7"/>
      <c r="K3387" s="74"/>
      <c r="L3387" s="74"/>
      <c r="N3387" s="7"/>
      <c r="O3387" s="74"/>
      <c r="P3387" s="74"/>
      <c r="R3387" s="7"/>
      <c r="S3387" s="7"/>
      <c r="T3387" s="66"/>
    </row>
    <row r="3388" spans="1:20" ht="13.2">
      <c r="A3388" s="7"/>
      <c r="B3388" s="7"/>
      <c r="C3388" s="74"/>
      <c r="D3388" s="74"/>
      <c r="F3388" s="7"/>
      <c r="G3388" s="74"/>
      <c r="H3388" s="74"/>
      <c r="J3388" s="7"/>
      <c r="K3388" s="74"/>
      <c r="L3388" s="74"/>
      <c r="N3388" s="7"/>
      <c r="O3388" s="74"/>
      <c r="P3388" s="74"/>
      <c r="R3388" s="7"/>
      <c r="S3388" s="7"/>
      <c r="T3388" s="66"/>
    </row>
    <row r="3389" spans="1:20" ht="13.2">
      <c r="A3389" s="7"/>
      <c r="B3389" s="7"/>
      <c r="C3389" s="74"/>
      <c r="D3389" s="74"/>
      <c r="F3389" s="7"/>
      <c r="G3389" s="74"/>
      <c r="H3389" s="74"/>
      <c r="J3389" s="7"/>
      <c r="K3389" s="74"/>
      <c r="L3389" s="74"/>
      <c r="N3389" s="7"/>
      <c r="O3389" s="74"/>
      <c r="P3389" s="74"/>
      <c r="R3389" s="7"/>
      <c r="S3389" s="7"/>
      <c r="T3389" s="66"/>
    </row>
    <row r="3390" spans="1:20" ht="13.2">
      <c r="A3390" s="7"/>
      <c r="B3390" s="7"/>
      <c r="C3390" s="74"/>
      <c r="D3390" s="74"/>
      <c r="F3390" s="7"/>
      <c r="G3390" s="74"/>
      <c r="H3390" s="74"/>
      <c r="J3390" s="7"/>
      <c r="K3390" s="74"/>
      <c r="L3390" s="74"/>
      <c r="N3390" s="7"/>
      <c r="O3390" s="74"/>
      <c r="P3390" s="74"/>
      <c r="R3390" s="7"/>
      <c r="S3390" s="7"/>
      <c r="T3390" s="66"/>
    </row>
    <row r="3391" spans="1:20" ht="13.2">
      <c r="A3391" s="7"/>
      <c r="B3391" s="7"/>
      <c r="C3391" s="74"/>
      <c r="D3391" s="74"/>
      <c r="F3391" s="7"/>
      <c r="G3391" s="74"/>
      <c r="H3391" s="74"/>
      <c r="J3391" s="7"/>
      <c r="K3391" s="74"/>
      <c r="L3391" s="74"/>
      <c r="N3391" s="7"/>
      <c r="O3391" s="74"/>
      <c r="P3391" s="74"/>
      <c r="R3391" s="7"/>
      <c r="S3391" s="7"/>
      <c r="T3391" s="66"/>
    </row>
    <row r="3392" spans="1:20" ht="13.2">
      <c r="A3392" s="7"/>
      <c r="B3392" s="7"/>
      <c r="C3392" s="74"/>
      <c r="D3392" s="74"/>
      <c r="F3392" s="7"/>
      <c r="G3392" s="74"/>
      <c r="H3392" s="74"/>
      <c r="J3392" s="7"/>
      <c r="K3392" s="74"/>
      <c r="L3392" s="74"/>
      <c r="N3392" s="7"/>
      <c r="O3392" s="74"/>
      <c r="P3392" s="74"/>
      <c r="R3392" s="7"/>
      <c r="S3392" s="7"/>
      <c r="T3392" s="66"/>
    </row>
    <row r="3393" spans="1:20" ht="13.2">
      <c r="A3393" s="7"/>
      <c r="B3393" s="7"/>
      <c r="C3393" s="74"/>
      <c r="D3393" s="74"/>
      <c r="F3393" s="7"/>
      <c r="G3393" s="74"/>
      <c r="H3393" s="74"/>
      <c r="J3393" s="7"/>
      <c r="K3393" s="74"/>
      <c r="L3393" s="74"/>
      <c r="N3393" s="7"/>
      <c r="O3393" s="74"/>
      <c r="P3393" s="74"/>
      <c r="R3393" s="7"/>
      <c r="S3393" s="7"/>
      <c r="T3393" s="66"/>
    </row>
    <row r="3394" spans="1:20" ht="13.2">
      <c r="A3394" s="7"/>
      <c r="B3394" s="7"/>
      <c r="C3394" s="74"/>
      <c r="D3394" s="74"/>
      <c r="F3394" s="7"/>
      <c r="G3394" s="74"/>
      <c r="H3394" s="74"/>
      <c r="J3394" s="7"/>
      <c r="K3394" s="74"/>
      <c r="L3394" s="74"/>
      <c r="N3394" s="7"/>
      <c r="O3394" s="74"/>
      <c r="P3394" s="74"/>
      <c r="R3394" s="7"/>
      <c r="S3394" s="7"/>
      <c r="T3394" s="66"/>
    </row>
    <row r="3395" spans="1:20" ht="13.2">
      <c r="A3395" s="7"/>
      <c r="B3395" s="7"/>
      <c r="C3395" s="74"/>
      <c r="D3395" s="74"/>
      <c r="F3395" s="7"/>
      <c r="G3395" s="74"/>
      <c r="H3395" s="74"/>
      <c r="J3395" s="7"/>
      <c r="K3395" s="74"/>
      <c r="L3395" s="74"/>
      <c r="N3395" s="7"/>
      <c r="O3395" s="74"/>
      <c r="P3395" s="74"/>
      <c r="R3395" s="7"/>
      <c r="S3395" s="7"/>
      <c r="T3395" s="66"/>
    </row>
    <row r="3396" spans="1:20" ht="13.2">
      <c r="A3396" s="7"/>
      <c r="B3396" s="7"/>
      <c r="C3396" s="74"/>
      <c r="D3396" s="74"/>
      <c r="F3396" s="7"/>
      <c r="G3396" s="74"/>
      <c r="H3396" s="74"/>
      <c r="J3396" s="7"/>
      <c r="K3396" s="74"/>
      <c r="L3396" s="74"/>
      <c r="N3396" s="7"/>
      <c r="O3396" s="74"/>
      <c r="P3396" s="74"/>
      <c r="R3396" s="7"/>
      <c r="S3396" s="7"/>
      <c r="T3396" s="66"/>
    </row>
    <row r="3397" spans="1:20" ht="13.2">
      <c r="A3397" s="7"/>
      <c r="B3397" s="7"/>
      <c r="C3397" s="74"/>
      <c r="D3397" s="74"/>
      <c r="F3397" s="7"/>
      <c r="G3397" s="74"/>
      <c r="H3397" s="74"/>
      <c r="J3397" s="7"/>
      <c r="K3397" s="74"/>
      <c r="L3397" s="74"/>
      <c r="N3397" s="7"/>
      <c r="O3397" s="74"/>
      <c r="P3397" s="74"/>
      <c r="R3397" s="7"/>
      <c r="S3397" s="7"/>
      <c r="T3397" s="66"/>
    </row>
    <row r="3398" spans="1:20" ht="13.2">
      <c r="A3398" s="7"/>
      <c r="B3398" s="7"/>
      <c r="C3398" s="74"/>
      <c r="D3398" s="74"/>
      <c r="F3398" s="7"/>
      <c r="G3398" s="74"/>
      <c r="H3398" s="74"/>
      <c r="J3398" s="7"/>
      <c r="K3398" s="74"/>
      <c r="L3398" s="74"/>
      <c r="N3398" s="7"/>
      <c r="O3398" s="74"/>
      <c r="P3398" s="74"/>
      <c r="R3398" s="7"/>
      <c r="S3398" s="7"/>
      <c r="T3398" s="66"/>
    </row>
    <row r="3399" spans="1:20" ht="13.2">
      <c r="A3399" s="7"/>
      <c r="B3399" s="7"/>
      <c r="C3399" s="74"/>
      <c r="D3399" s="74"/>
      <c r="F3399" s="7"/>
      <c r="G3399" s="74"/>
      <c r="H3399" s="74"/>
      <c r="J3399" s="7"/>
      <c r="K3399" s="74"/>
      <c r="L3399" s="74"/>
      <c r="N3399" s="7"/>
      <c r="O3399" s="74"/>
      <c r="P3399" s="74"/>
      <c r="R3399" s="7"/>
      <c r="S3399" s="7"/>
      <c r="T3399" s="66"/>
    </row>
    <row r="3400" spans="1:20" ht="13.2">
      <c r="A3400" s="7"/>
      <c r="B3400" s="7"/>
      <c r="C3400" s="74"/>
      <c r="D3400" s="74"/>
      <c r="F3400" s="7"/>
      <c r="G3400" s="74"/>
      <c r="H3400" s="74"/>
      <c r="J3400" s="7"/>
      <c r="K3400" s="74"/>
      <c r="L3400" s="74"/>
      <c r="N3400" s="7"/>
      <c r="O3400" s="74"/>
      <c r="P3400" s="74"/>
      <c r="R3400" s="7"/>
      <c r="S3400" s="7"/>
      <c r="T3400" s="66"/>
    </row>
    <row r="3401" spans="1:20" ht="13.2">
      <c r="A3401" s="7"/>
      <c r="B3401" s="7"/>
      <c r="C3401" s="74"/>
      <c r="D3401" s="74"/>
      <c r="F3401" s="7"/>
      <c r="G3401" s="74"/>
      <c r="H3401" s="74"/>
      <c r="J3401" s="7"/>
      <c r="K3401" s="74"/>
      <c r="L3401" s="74"/>
      <c r="N3401" s="7"/>
      <c r="O3401" s="74"/>
      <c r="P3401" s="74"/>
      <c r="R3401" s="7"/>
      <c r="S3401" s="7"/>
      <c r="T3401" s="66"/>
    </row>
    <row r="3402" spans="1:20" ht="13.2">
      <c r="A3402" s="7"/>
      <c r="B3402" s="7"/>
      <c r="C3402" s="74"/>
      <c r="D3402" s="74"/>
      <c r="F3402" s="7"/>
      <c r="G3402" s="74"/>
      <c r="H3402" s="74"/>
      <c r="J3402" s="7"/>
      <c r="K3402" s="74"/>
      <c r="L3402" s="74"/>
      <c r="N3402" s="7"/>
      <c r="O3402" s="74"/>
      <c r="P3402" s="74"/>
      <c r="R3402" s="7"/>
      <c r="S3402" s="7"/>
      <c r="T3402" s="66"/>
    </row>
    <row r="3403" spans="1:20" ht="13.2">
      <c r="A3403" s="7"/>
      <c r="B3403" s="7"/>
      <c r="C3403" s="74"/>
      <c r="D3403" s="74"/>
      <c r="F3403" s="7"/>
      <c r="G3403" s="74"/>
      <c r="H3403" s="74"/>
      <c r="J3403" s="7"/>
      <c r="K3403" s="74"/>
      <c r="L3403" s="74"/>
      <c r="N3403" s="7"/>
      <c r="O3403" s="74"/>
      <c r="P3403" s="74"/>
      <c r="R3403" s="7"/>
      <c r="S3403" s="7"/>
      <c r="T3403" s="66"/>
    </row>
    <row r="3404" spans="1:20" ht="13.2">
      <c r="A3404" s="7"/>
      <c r="B3404" s="7"/>
      <c r="C3404" s="74"/>
      <c r="D3404" s="74"/>
      <c r="F3404" s="7"/>
      <c r="G3404" s="74"/>
      <c r="H3404" s="74"/>
      <c r="J3404" s="7"/>
      <c r="K3404" s="74"/>
      <c r="L3404" s="74"/>
      <c r="N3404" s="7"/>
      <c r="O3404" s="74"/>
      <c r="P3404" s="74"/>
      <c r="R3404" s="7"/>
      <c r="S3404" s="7"/>
      <c r="T3404" s="66"/>
    </row>
    <row r="3405" spans="1:20" ht="13.2">
      <c r="A3405" s="7"/>
      <c r="B3405" s="7"/>
      <c r="C3405" s="74"/>
      <c r="D3405" s="74"/>
      <c r="F3405" s="7"/>
      <c r="G3405" s="74"/>
      <c r="H3405" s="74"/>
      <c r="J3405" s="7"/>
      <c r="K3405" s="74"/>
      <c r="L3405" s="74"/>
      <c r="N3405" s="7"/>
      <c r="O3405" s="74"/>
      <c r="P3405" s="74"/>
      <c r="R3405" s="7"/>
      <c r="S3405" s="7"/>
      <c r="T3405" s="66"/>
    </row>
    <row r="3406" spans="1:20" ht="13.2">
      <c r="A3406" s="7"/>
      <c r="B3406" s="7"/>
      <c r="C3406" s="74"/>
      <c r="D3406" s="74"/>
      <c r="F3406" s="7"/>
      <c r="G3406" s="74"/>
      <c r="H3406" s="74"/>
      <c r="J3406" s="7"/>
      <c r="K3406" s="74"/>
      <c r="L3406" s="74"/>
      <c r="N3406" s="7"/>
      <c r="O3406" s="74"/>
      <c r="P3406" s="74"/>
      <c r="R3406" s="7"/>
      <c r="S3406" s="7"/>
      <c r="T3406" s="66"/>
    </row>
    <row r="3407" spans="1:20" ht="13.2">
      <c r="A3407" s="7"/>
      <c r="B3407" s="7"/>
      <c r="C3407" s="74"/>
      <c r="D3407" s="74"/>
      <c r="F3407" s="7"/>
      <c r="G3407" s="74"/>
      <c r="H3407" s="74"/>
      <c r="J3407" s="7"/>
      <c r="K3407" s="74"/>
      <c r="L3407" s="74"/>
      <c r="N3407" s="7"/>
      <c r="O3407" s="74"/>
      <c r="P3407" s="74"/>
      <c r="R3407" s="7"/>
      <c r="S3407" s="7"/>
      <c r="T3407" s="66"/>
    </row>
    <row r="3408" spans="1:20" ht="13.2">
      <c r="A3408" s="7"/>
      <c r="B3408" s="7"/>
      <c r="C3408" s="74"/>
      <c r="D3408" s="74"/>
      <c r="F3408" s="7"/>
      <c r="G3408" s="74"/>
      <c r="H3408" s="74"/>
      <c r="J3408" s="7"/>
      <c r="K3408" s="74"/>
      <c r="L3408" s="74"/>
      <c r="N3408" s="7"/>
      <c r="O3408" s="74"/>
      <c r="P3408" s="74"/>
      <c r="R3408" s="7"/>
      <c r="S3408" s="7"/>
      <c r="T3408" s="66"/>
    </row>
    <row r="3409" spans="1:20" ht="13.2">
      <c r="A3409" s="7"/>
      <c r="B3409" s="7"/>
      <c r="C3409" s="74"/>
      <c r="D3409" s="74"/>
      <c r="F3409" s="7"/>
      <c r="G3409" s="74"/>
      <c r="H3409" s="74"/>
      <c r="J3409" s="7"/>
      <c r="K3409" s="74"/>
      <c r="L3409" s="74"/>
      <c r="N3409" s="7"/>
      <c r="O3409" s="74"/>
      <c r="P3409" s="74"/>
      <c r="R3409" s="7"/>
      <c r="S3409" s="7"/>
      <c r="T3409" s="66"/>
    </row>
    <row r="3410" spans="1:20" ht="13.2">
      <c r="A3410" s="7"/>
      <c r="B3410" s="7"/>
      <c r="C3410" s="74"/>
      <c r="D3410" s="74"/>
      <c r="F3410" s="7"/>
      <c r="G3410" s="74"/>
      <c r="H3410" s="74"/>
      <c r="J3410" s="7"/>
      <c r="K3410" s="74"/>
      <c r="L3410" s="74"/>
      <c r="N3410" s="7"/>
      <c r="O3410" s="74"/>
      <c r="P3410" s="74"/>
      <c r="R3410" s="7"/>
      <c r="S3410" s="7"/>
      <c r="T3410" s="66"/>
    </row>
    <row r="3411" spans="1:20" ht="13.2">
      <c r="A3411" s="7"/>
      <c r="B3411" s="7"/>
      <c r="C3411" s="74"/>
      <c r="D3411" s="74"/>
      <c r="F3411" s="7"/>
      <c r="G3411" s="74"/>
      <c r="H3411" s="74"/>
      <c r="J3411" s="7"/>
      <c r="K3411" s="74"/>
      <c r="L3411" s="74"/>
      <c r="N3411" s="7"/>
      <c r="O3411" s="74"/>
      <c r="P3411" s="74"/>
      <c r="R3411" s="7"/>
      <c r="S3411" s="7"/>
      <c r="T3411" s="66"/>
    </row>
    <row r="3412" spans="1:20" ht="13.2">
      <c r="A3412" s="7"/>
      <c r="B3412" s="7"/>
      <c r="C3412" s="74"/>
      <c r="D3412" s="74"/>
      <c r="F3412" s="7"/>
      <c r="G3412" s="74"/>
      <c r="H3412" s="74"/>
      <c r="J3412" s="7"/>
      <c r="K3412" s="74"/>
      <c r="L3412" s="74"/>
      <c r="N3412" s="7"/>
      <c r="O3412" s="74"/>
      <c r="P3412" s="74"/>
      <c r="R3412" s="7"/>
      <c r="S3412" s="7"/>
      <c r="T3412" s="66"/>
    </row>
    <row r="3413" spans="1:20" ht="13.2">
      <c r="A3413" s="7"/>
      <c r="B3413" s="7"/>
      <c r="C3413" s="74"/>
      <c r="D3413" s="74"/>
      <c r="F3413" s="7"/>
      <c r="G3413" s="74"/>
      <c r="H3413" s="74"/>
      <c r="J3413" s="7"/>
      <c r="K3413" s="74"/>
      <c r="L3413" s="74"/>
      <c r="N3413" s="7"/>
      <c r="O3413" s="74"/>
      <c r="P3413" s="74"/>
      <c r="R3413" s="7"/>
      <c r="S3413" s="7"/>
      <c r="T3413" s="66"/>
    </row>
    <row r="3414" spans="1:20" ht="13.2">
      <c r="A3414" s="7"/>
      <c r="B3414" s="7"/>
      <c r="C3414" s="74"/>
      <c r="D3414" s="74"/>
      <c r="F3414" s="7"/>
      <c r="G3414" s="74"/>
      <c r="H3414" s="74"/>
      <c r="J3414" s="7"/>
      <c r="K3414" s="74"/>
      <c r="L3414" s="74"/>
      <c r="N3414" s="7"/>
      <c r="O3414" s="74"/>
      <c r="P3414" s="74"/>
      <c r="R3414" s="7"/>
      <c r="S3414" s="7"/>
      <c r="T3414" s="66"/>
    </row>
    <row r="3415" spans="1:20" ht="13.2">
      <c r="A3415" s="7"/>
      <c r="B3415" s="7"/>
      <c r="C3415" s="74"/>
      <c r="D3415" s="74"/>
      <c r="F3415" s="7"/>
      <c r="G3415" s="74"/>
      <c r="H3415" s="74"/>
      <c r="J3415" s="7"/>
      <c r="K3415" s="74"/>
      <c r="L3415" s="74"/>
      <c r="N3415" s="7"/>
      <c r="O3415" s="74"/>
      <c r="P3415" s="74"/>
      <c r="R3415" s="7"/>
      <c r="S3415" s="7"/>
      <c r="T3415" s="66"/>
    </row>
    <row r="3416" spans="1:20" ht="13.2">
      <c r="A3416" s="7"/>
      <c r="B3416" s="7"/>
      <c r="C3416" s="74"/>
      <c r="D3416" s="74"/>
      <c r="F3416" s="7"/>
      <c r="G3416" s="74"/>
      <c r="H3416" s="74"/>
      <c r="J3416" s="7"/>
      <c r="K3416" s="74"/>
      <c r="L3416" s="74"/>
      <c r="N3416" s="7"/>
      <c r="O3416" s="74"/>
      <c r="P3416" s="74"/>
      <c r="R3416" s="7"/>
      <c r="S3416" s="7"/>
      <c r="T3416" s="66"/>
    </row>
    <row r="3417" spans="1:20" ht="13.2">
      <c r="A3417" s="7"/>
      <c r="B3417" s="7"/>
      <c r="C3417" s="74"/>
      <c r="D3417" s="74"/>
      <c r="F3417" s="7"/>
      <c r="G3417" s="74"/>
      <c r="H3417" s="74"/>
      <c r="J3417" s="7"/>
      <c r="K3417" s="74"/>
      <c r="L3417" s="74"/>
      <c r="N3417" s="7"/>
      <c r="O3417" s="74"/>
      <c r="P3417" s="74"/>
      <c r="R3417" s="7"/>
      <c r="S3417" s="7"/>
      <c r="T3417" s="66"/>
    </row>
    <row r="3418" spans="1:20" ht="13.2">
      <c r="A3418" s="7"/>
      <c r="B3418" s="7"/>
      <c r="C3418" s="74"/>
      <c r="D3418" s="74"/>
      <c r="F3418" s="7"/>
      <c r="G3418" s="74"/>
      <c r="H3418" s="74"/>
      <c r="J3418" s="7"/>
      <c r="K3418" s="74"/>
      <c r="L3418" s="74"/>
      <c r="N3418" s="7"/>
      <c r="O3418" s="74"/>
      <c r="P3418" s="74"/>
      <c r="R3418" s="7"/>
      <c r="S3418" s="7"/>
      <c r="T3418" s="66"/>
    </row>
    <row r="3419" spans="1:20" ht="13.2">
      <c r="A3419" s="7"/>
      <c r="B3419" s="7"/>
      <c r="C3419" s="74"/>
      <c r="D3419" s="74"/>
      <c r="F3419" s="7"/>
      <c r="G3419" s="74"/>
      <c r="H3419" s="74"/>
      <c r="J3419" s="7"/>
      <c r="K3419" s="74"/>
      <c r="L3419" s="74"/>
      <c r="N3419" s="7"/>
      <c r="O3419" s="74"/>
      <c r="P3419" s="74"/>
      <c r="R3419" s="7"/>
      <c r="S3419" s="7"/>
      <c r="T3419" s="66"/>
    </row>
    <row r="3420" spans="1:20" ht="13.2">
      <c r="A3420" s="7"/>
      <c r="B3420" s="7"/>
      <c r="C3420" s="74"/>
      <c r="D3420" s="74"/>
      <c r="F3420" s="7"/>
      <c r="G3420" s="74"/>
      <c r="H3420" s="74"/>
      <c r="J3420" s="7"/>
      <c r="K3420" s="74"/>
      <c r="L3420" s="74"/>
      <c r="N3420" s="7"/>
      <c r="O3420" s="74"/>
      <c r="P3420" s="74"/>
      <c r="R3420" s="7"/>
      <c r="S3420" s="7"/>
      <c r="T3420" s="66"/>
    </row>
    <row r="3421" spans="1:20" ht="13.2">
      <c r="A3421" s="7"/>
      <c r="B3421" s="7"/>
      <c r="C3421" s="74"/>
      <c r="D3421" s="74"/>
      <c r="F3421" s="7"/>
      <c r="G3421" s="74"/>
      <c r="H3421" s="74"/>
      <c r="J3421" s="7"/>
      <c r="K3421" s="74"/>
      <c r="L3421" s="74"/>
      <c r="N3421" s="7"/>
      <c r="O3421" s="74"/>
      <c r="P3421" s="74"/>
      <c r="R3421" s="7"/>
      <c r="S3421" s="7"/>
      <c r="T3421" s="66"/>
    </row>
    <row r="3422" spans="1:20" ht="13.2">
      <c r="A3422" s="7"/>
      <c r="B3422" s="7"/>
      <c r="C3422" s="74"/>
      <c r="D3422" s="74"/>
      <c r="F3422" s="7"/>
      <c r="G3422" s="74"/>
      <c r="H3422" s="74"/>
      <c r="J3422" s="7"/>
      <c r="K3422" s="74"/>
      <c r="L3422" s="74"/>
      <c r="N3422" s="7"/>
      <c r="O3422" s="74"/>
      <c r="P3422" s="74"/>
      <c r="R3422" s="7"/>
      <c r="S3422" s="7"/>
      <c r="T3422" s="66"/>
    </row>
    <row r="3423" spans="1:20" ht="13.2">
      <c r="A3423" s="7"/>
      <c r="B3423" s="7"/>
      <c r="C3423" s="74"/>
      <c r="D3423" s="74"/>
      <c r="F3423" s="7"/>
      <c r="G3423" s="74"/>
      <c r="H3423" s="74"/>
      <c r="J3423" s="7"/>
      <c r="K3423" s="74"/>
      <c r="L3423" s="74"/>
      <c r="N3423" s="7"/>
      <c r="O3423" s="74"/>
      <c r="P3423" s="74"/>
      <c r="R3423" s="7"/>
      <c r="S3423" s="7"/>
      <c r="T3423" s="66"/>
    </row>
    <row r="3424" spans="1:20" ht="13.2">
      <c r="A3424" s="7"/>
      <c r="B3424" s="7"/>
      <c r="C3424" s="74"/>
      <c r="D3424" s="74"/>
      <c r="F3424" s="7"/>
      <c r="G3424" s="74"/>
      <c r="H3424" s="74"/>
      <c r="J3424" s="7"/>
      <c r="K3424" s="74"/>
      <c r="L3424" s="74"/>
      <c r="N3424" s="7"/>
      <c r="O3424" s="74"/>
      <c r="P3424" s="74"/>
      <c r="R3424" s="7"/>
      <c r="S3424" s="7"/>
      <c r="T3424" s="66"/>
    </row>
    <row r="3425" spans="1:20" ht="13.2">
      <c r="A3425" s="7"/>
      <c r="B3425" s="7"/>
      <c r="C3425" s="74"/>
      <c r="D3425" s="74"/>
      <c r="F3425" s="7"/>
      <c r="G3425" s="74"/>
      <c r="H3425" s="74"/>
      <c r="J3425" s="7"/>
      <c r="K3425" s="74"/>
      <c r="L3425" s="74"/>
      <c r="N3425" s="7"/>
      <c r="O3425" s="74"/>
      <c r="P3425" s="74"/>
      <c r="R3425" s="7"/>
      <c r="S3425" s="7"/>
      <c r="T3425" s="66"/>
    </row>
    <row r="3426" spans="1:20" ht="13.2">
      <c r="A3426" s="7"/>
      <c r="B3426" s="7"/>
      <c r="C3426" s="74"/>
      <c r="D3426" s="74"/>
      <c r="F3426" s="7"/>
      <c r="G3426" s="74"/>
      <c r="H3426" s="74"/>
      <c r="J3426" s="7"/>
      <c r="K3426" s="74"/>
      <c r="L3426" s="74"/>
      <c r="N3426" s="7"/>
      <c r="O3426" s="74"/>
      <c r="P3426" s="74"/>
      <c r="R3426" s="7"/>
      <c r="S3426" s="7"/>
      <c r="T3426" s="66"/>
    </row>
    <row r="3427" spans="1:20" ht="13.2">
      <c r="A3427" s="7"/>
      <c r="B3427" s="7"/>
      <c r="C3427" s="74"/>
      <c r="D3427" s="74"/>
      <c r="F3427" s="7"/>
      <c r="G3427" s="74"/>
      <c r="H3427" s="74"/>
      <c r="J3427" s="7"/>
      <c r="K3427" s="74"/>
      <c r="L3427" s="74"/>
      <c r="N3427" s="7"/>
      <c r="O3427" s="74"/>
      <c r="P3427" s="74"/>
      <c r="R3427" s="7"/>
      <c r="S3427" s="7"/>
      <c r="T3427" s="66"/>
    </row>
    <row r="3428" spans="1:20" ht="13.2">
      <c r="A3428" s="7"/>
      <c r="B3428" s="7"/>
      <c r="C3428" s="74"/>
      <c r="D3428" s="74"/>
      <c r="F3428" s="7"/>
      <c r="G3428" s="74"/>
      <c r="H3428" s="74"/>
      <c r="J3428" s="7"/>
      <c r="K3428" s="74"/>
      <c r="L3428" s="74"/>
      <c r="N3428" s="7"/>
      <c r="O3428" s="74"/>
      <c r="P3428" s="74"/>
      <c r="R3428" s="7"/>
      <c r="S3428" s="7"/>
      <c r="T3428" s="66"/>
    </row>
    <row r="3429" spans="1:20" ht="13.2">
      <c r="A3429" s="7"/>
      <c r="B3429" s="7"/>
      <c r="C3429" s="74"/>
      <c r="D3429" s="74"/>
      <c r="F3429" s="7"/>
      <c r="G3429" s="74"/>
      <c r="H3429" s="74"/>
      <c r="J3429" s="7"/>
      <c r="K3429" s="74"/>
      <c r="L3429" s="74"/>
      <c r="N3429" s="7"/>
      <c r="O3429" s="74"/>
      <c r="P3429" s="74"/>
      <c r="R3429" s="7"/>
      <c r="S3429" s="7"/>
      <c r="T3429" s="66"/>
    </row>
    <row r="3430" spans="1:20" ht="13.2">
      <c r="A3430" s="7"/>
      <c r="B3430" s="7"/>
      <c r="C3430" s="74"/>
      <c r="D3430" s="74"/>
      <c r="F3430" s="7"/>
      <c r="G3430" s="74"/>
      <c r="H3430" s="74"/>
      <c r="J3430" s="7"/>
      <c r="K3430" s="74"/>
      <c r="L3430" s="74"/>
      <c r="N3430" s="7"/>
      <c r="O3430" s="74"/>
      <c r="P3430" s="74"/>
      <c r="R3430" s="7"/>
      <c r="S3430" s="7"/>
      <c r="T3430" s="66"/>
    </row>
    <row r="3431" spans="1:20" ht="13.2">
      <c r="A3431" s="7"/>
      <c r="B3431" s="7"/>
      <c r="C3431" s="74"/>
      <c r="D3431" s="74"/>
      <c r="F3431" s="7"/>
      <c r="G3431" s="74"/>
      <c r="H3431" s="74"/>
      <c r="J3431" s="7"/>
      <c r="K3431" s="74"/>
      <c r="L3431" s="74"/>
      <c r="N3431" s="7"/>
      <c r="O3431" s="74"/>
      <c r="P3431" s="74"/>
      <c r="R3431" s="7"/>
      <c r="S3431" s="7"/>
      <c r="T3431" s="66"/>
    </row>
    <row r="3432" spans="1:20" ht="13.2">
      <c r="A3432" s="7"/>
      <c r="B3432" s="7"/>
      <c r="C3432" s="74"/>
      <c r="D3432" s="74"/>
      <c r="F3432" s="7"/>
      <c r="G3432" s="74"/>
      <c r="H3432" s="74"/>
      <c r="J3432" s="7"/>
      <c r="K3432" s="74"/>
      <c r="L3432" s="74"/>
      <c r="N3432" s="7"/>
      <c r="O3432" s="74"/>
      <c r="P3432" s="74"/>
      <c r="R3432" s="7"/>
      <c r="S3432" s="7"/>
      <c r="T3432" s="66"/>
    </row>
    <row r="3433" spans="1:20" ht="13.2">
      <c r="A3433" s="7"/>
      <c r="B3433" s="7"/>
      <c r="C3433" s="74"/>
      <c r="D3433" s="74"/>
      <c r="F3433" s="7"/>
      <c r="G3433" s="74"/>
      <c r="H3433" s="74"/>
      <c r="J3433" s="7"/>
      <c r="K3433" s="74"/>
      <c r="L3433" s="74"/>
      <c r="N3433" s="7"/>
      <c r="O3433" s="74"/>
      <c r="P3433" s="74"/>
      <c r="R3433" s="7"/>
      <c r="S3433" s="7"/>
      <c r="T3433" s="66"/>
    </row>
    <row r="3434" spans="1:20" ht="13.2">
      <c r="A3434" s="7"/>
      <c r="B3434" s="7"/>
      <c r="C3434" s="74"/>
      <c r="D3434" s="74"/>
      <c r="F3434" s="7"/>
      <c r="G3434" s="74"/>
      <c r="H3434" s="74"/>
      <c r="J3434" s="7"/>
      <c r="K3434" s="74"/>
      <c r="L3434" s="74"/>
      <c r="N3434" s="7"/>
      <c r="O3434" s="74"/>
      <c r="P3434" s="74"/>
      <c r="R3434" s="7"/>
      <c r="S3434" s="7"/>
      <c r="T3434" s="66"/>
    </row>
    <row r="3435" spans="1:20" ht="13.2">
      <c r="A3435" s="7"/>
      <c r="B3435" s="7"/>
      <c r="C3435" s="74"/>
      <c r="D3435" s="74"/>
      <c r="F3435" s="7"/>
      <c r="G3435" s="74"/>
      <c r="H3435" s="74"/>
      <c r="J3435" s="7"/>
      <c r="K3435" s="74"/>
      <c r="L3435" s="74"/>
      <c r="N3435" s="7"/>
      <c r="O3435" s="74"/>
      <c r="P3435" s="74"/>
      <c r="R3435" s="7"/>
      <c r="S3435" s="7"/>
      <c r="T3435" s="66"/>
    </row>
    <row r="3436" spans="1:20" ht="13.2">
      <c r="A3436" s="7"/>
      <c r="B3436" s="7"/>
      <c r="C3436" s="74"/>
      <c r="D3436" s="74"/>
      <c r="F3436" s="7"/>
      <c r="G3436" s="74"/>
      <c r="H3436" s="74"/>
      <c r="J3436" s="7"/>
      <c r="K3436" s="74"/>
      <c r="L3436" s="74"/>
      <c r="N3436" s="7"/>
      <c r="O3436" s="74"/>
      <c r="P3436" s="74"/>
      <c r="R3436" s="7"/>
      <c r="S3436" s="7"/>
      <c r="T3436" s="66"/>
    </row>
    <row r="3437" spans="1:20" ht="13.2">
      <c r="A3437" s="7"/>
      <c r="B3437" s="7"/>
      <c r="C3437" s="74"/>
      <c r="D3437" s="74"/>
      <c r="F3437" s="7"/>
      <c r="G3437" s="74"/>
      <c r="H3437" s="74"/>
      <c r="J3437" s="7"/>
      <c r="K3437" s="74"/>
      <c r="L3437" s="74"/>
      <c r="N3437" s="7"/>
      <c r="O3437" s="74"/>
      <c r="P3437" s="74"/>
      <c r="R3437" s="7"/>
      <c r="S3437" s="7"/>
      <c r="T3437" s="66"/>
    </row>
    <row r="3438" spans="1:20" ht="13.2">
      <c r="A3438" s="7"/>
      <c r="B3438" s="7"/>
      <c r="C3438" s="74"/>
      <c r="D3438" s="74"/>
      <c r="F3438" s="7"/>
      <c r="G3438" s="74"/>
      <c r="H3438" s="74"/>
      <c r="J3438" s="7"/>
      <c r="K3438" s="74"/>
      <c r="L3438" s="74"/>
      <c r="N3438" s="7"/>
      <c r="O3438" s="74"/>
      <c r="P3438" s="74"/>
      <c r="R3438" s="7"/>
      <c r="S3438" s="7"/>
      <c r="T3438" s="66"/>
    </row>
    <row r="3439" spans="1:20" ht="13.2">
      <c r="A3439" s="7"/>
      <c r="B3439" s="7"/>
      <c r="C3439" s="74"/>
      <c r="D3439" s="74"/>
      <c r="F3439" s="7"/>
      <c r="G3439" s="74"/>
      <c r="H3439" s="74"/>
      <c r="J3439" s="7"/>
      <c r="K3439" s="74"/>
      <c r="L3439" s="74"/>
      <c r="N3439" s="7"/>
      <c r="O3439" s="74"/>
      <c r="P3439" s="74"/>
      <c r="R3439" s="7"/>
      <c r="S3439" s="7"/>
      <c r="T3439" s="66"/>
    </row>
    <row r="3440" spans="1:20" ht="13.2">
      <c r="A3440" s="7"/>
      <c r="B3440" s="7"/>
      <c r="C3440" s="74"/>
      <c r="D3440" s="74"/>
      <c r="F3440" s="7"/>
      <c r="G3440" s="74"/>
      <c r="H3440" s="74"/>
      <c r="J3440" s="7"/>
      <c r="K3440" s="74"/>
      <c r="L3440" s="74"/>
      <c r="N3440" s="7"/>
      <c r="O3440" s="74"/>
      <c r="P3440" s="74"/>
      <c r="R3440" s="7"/>
      <c r="S3440" s="7"/>
      <c r="T3440" s="66"/>
    </row>
    <row r="3441" spans="1:20" ht="13.2">
      <c r="A3441" s="7"/>
      <c r="B3441" s="7"/>
      <c r="C3441" s="74"/>
      <c r="D3441" s="74"/>
      <c r="F3441" s="7"/>
      <c r="G3441" s="74"/>
      <c r="H3441" s="74"/>
      <c r="J3441" s="7"/>
      <c r="K3441" s="74"/>
      <c r="L3441" s="74"/>
      <c r="N3441" s="7"/>
      <c r="O3441" s="74"/>
      <c r="P3441" s="74"/>
      <c r="R3441" s="7"/>
      <c r="S3441" s="7"/>
      <c r="T3441" s="66"/>
    </row>
    <row r="3442" spans="1:20" ht="13.2">
      <c r="A3442" s="7"/>
      <c r="B3442" s="7"/>
      <c r="C3442" s="74"/>
      <c r="D3442" s="74"/>
      <c r="F3442" s="7"/>
      <c r="G3442" s="74"/>
      <c r="H3442" s="74"/>
      <c r="J3442" s="7"/>
      <c r="K3442" s="74"/>
      <c r="L3442" s="74"/>
      <c r="N3442" s="7"/>
      <c r="O3442" s="74"/>
      <c r="P3442" s="74"/>
      <c r="R3442" s="7"/>
      <c r="S3442" s="7"/>
      <c r="T3442" s="66"/>
    </row>
    <row r="3443" spans="1:20" ht="13.2">
      <c r="A3443" s="7"/>
      <c r="B3443" s="7"/>
      <c r="C3443" s="74"/>
      <c r="D3443" s="74"/>
      <c r="F3443" s="7"/>
      <c r="G3443" s="74"/>
      <c r="H3443" s="74"/>
      <c r="J3443" s="7"/>
      <c r="K3443" s="74"/>
      <c r="L3443" s="74"/>
      <c r="N3443" s="7"/>
      <c r="O3443" s="74"/>
      <c r="P3443" s="74"/>
      <c r="R3443" s="7"/>
      <c r="S3443" s="7"/>
      <c r="T3443" s="66"/>
    </row>
    <row r="3444" spans="1:20" ht="13.2">
      <c r="A3444" s="7"/>
      <c r="B3444" s="7"/>
      <c r="C3444" s="74"/>
      <c r="D3444" s="74"/>
      <c r="F3444" s="7"/>
      <c r="G3444" s="74"/>
      <c r="H3444" s="74"/>
      <c r="J3444" s="7"/>
      <c r="K3444" s="74"/>
      <c r="L3444" s="74"/>
      <c r="N3444" s="7"/>
      <c r="O3444" s="74"/>
      <c r="P3444" s="74"/>
      <c r="R3444" s="7"/>
      <c r="S3444" s="7"/>
      <c r="T3444" s="66"/>
    </row>
    <row r="3445" spans="1:20" ht="13.2">
      <c r="A3445" s="7"/>
      <c r="B3445" s="7"/>
      <c r="C3445" s="74"/>
      <c r="D3445" s="74"/>
      <c r="F3445" s="7"/>
      <c r="G3445" s="74"/>
      <c r="H3445" s="74"/>
      <c r="J3445" s="7"/>
      <c r="K3445" s="74"/>
      <c r="L3445" s="74"/>
      <c r="N3445" s="7"/>
      <c r="O3445" s="74"/>
      <c r="P3445" s="74"/>
      <c r="R3445" s="7"/>
      <c r="S3445" s="7"/>
      <c r="T3445" s="66"/>
    </row>
    <row r="3446" spans="1:20" ht="13.2">
      <c r="A3446" s="7"/>
      <c r="B3446" s="7"/>
      <c r="C3446" s="74"/>
      <c r="D3446" s="74"/>
      <c r="F3446" s="7"/>
      <c r="G3446" s="74"/>
      <c r="H3446" s="74"/>
      <c r="J3446" s="7"/>
      <c r="K3446" s="74"/>
      <c r="L3446" s="74"/>
      <c r="N3446" s="7"/>
      <c r="O3446" s="74"/>
      <c r="P3446" s="74"/>
      <c r="R3446" s="7"/>
      <c r="S3446" s="7"/>
      <c r="T3446" s="66"/>
    </row>
    <row r="3447" spans="1:20" ht="13.2">
      <c r="A3447" s="7"/>
      <c r="B3447" s="7"/>
      <c r="C3447" s="74"/>
      <c r="D3447" s="74"/>
      <c r="F3447" s="7"/>
      <c r="G3447" s="74"/>
      <c r="H3447" s="74"/>
      <c r="J3447" s="7"/>
      <c r="K3447" s="74"/>
      <c r="L3447" s="74"/>
      <c r="N3447" s="7"/>
      <c r="O3447" s="74"/>
      <c r="P3447" s="74"/>
      <c r="R3447" s="7"/>
      <c r="S3447" s="7"/>
      <c r="T3447" s="66"/>
    </row>
    <row r="3448" spans="1:20" ht="13.2">
      <c r="A3448" s="7"/>
      <c r="B3448" s="7"/>
      <c r="C3448" s="74"/>
      <c r="D3448" s="74"/>
      <c r="F3448" s="7"/>
      <c r="G3448" s="74"/>
      <c r="H3448" s="74"/>
      <c r="J3448" s="7"/>
      <c r="K3448" s="74"/>
      <c r="L3448" s="74"/>
      <c r="N3448" s="7"/>
      <c r="O3448" s="74"/>
      <c r="P3448" s="74"/>
      <c r="R3448" s="7"/>
      <c r="S3448" s="7"/>
      <c r="T3448" s="66"/>
    </row>
    <row r="3449" spans="1:20" ht="13.2">
      <c r="A3449" s="7"/>
      <c r="B3449" s="7"/>
      <c r="C3449" s="74"/>
      <c r="D3449" s="74"/>
      <c r="F3449" s="7"/>
      <c r="G3449" s="74"/>
      <c r="H3449" s="74"/>
      <c r="J3449" s="7"/>
      <c r="K3449" s="74"/>
      <c r="L3449" s="74"/>
      <c r="N3449" s="7"/>
      <c r="O3449" s="74"/>
      <c r="P3449" s="74"/>
      <c r="R3449" s="7"/>
      <c r="S3449" s="7"/>
      <c r="T3449" s="66"/>
    </row>
    <row r="3450" spans="1:20" ht="13.2">
      <c r="A3450" s="7"/>
      <c r="B3450" s="7"/>
      <c r="C3450" s="74"/>
      <c r="D3450" s="74"/>
      <c r="F3450" s="7"/>
      <c r="G3450" s="74"/>
      <c r="H3450" s="74"/>
      <c r="J3450" s="7"/>
      <c r="K3450" s="74"/>
      <c r="L3450" s="74"/>
      <c r="N3450" s="7"/>
      <c r="O3450" s="74"/>
      <c r="P3450" s="74"/>
      <c r="R3450" s="7"/>
      <c r="S3450" s="7"/>
      <c r="T3450" s="66"/>
    </row>
    <row r="3451" spans="1:20" ht="13.2">
      <c r="A3451" s="7"/>
      <c r="B3451" s="7"/>
      <c r="C3451" s="74"/>
      <c r="D3451" s="74"/>
      <c r="F3451" s="7"/>
      <c r="G3451" s="74"/>
      <c r="H3451" s="74"/>
      <c r="J3451" s="7"/>
      <c r="K3451" s="74"/>
      <c r="L3451" s="74"/>
      <c r="N3451" s="7"/>
      <c r="O3451" s="74"/>
      <c r="P3451" s="74"/>
      <c r="R3451" s="7"/>
      <c r="S3451" s="7"/>
      <c r="T3451" s="66"/>
    </row>
    <row r="3452" spans="1:20" ht="13.2">
      <c r="A3452" s="7"/>
      <c r="B3452" s="7"/>
      <c r="C3452" s="74"/>
      <c r="D3452" s="74"/>
      <c r="F3452" s="7"/>
      <c r="G3452" s="74"/>
      <c r="H3452" s="74"/>
      <c r="J3452" s="7"/>
      <c r="K3452" s="74"/>
      <c r="L3452" s="74"/>
      <c r="N3452" s="7"/>
      <c r="O3452" s="74"/>
      <c r="P3452" s="74"/>
      <c r="R3452" s="7"/>
      <c r="S3452" s="7"/>
      <c r="T3452" s="66"/>
    </row>
    <row r="3453" spans="1:20" ht="13.2">
      <c r="A3453" s="7"/>
      <c r="B3453" s="7"/>
      <c r="C3453" s="74"/>
      <c r="D3453" s="74"/>
      <c r="F3453" s="7"/>
      <c r="G3453" s="74"/>
      <c r="H3453" s="74"/>
      <c r="J3453" s="7"/>
      <c r="K3453" s="74"/>
      <c r="L3453" s="74"/>
      <c r="N3453" s="7"/>
      <c r="O3453" s="74"/>
      <c r="P3453" s="74"/>
      <c r="R3453" s="7"/>
      <c r="S3453" s="7"/>
      <c r="T3453" s="66"/>
    </row>
    <row r="3454" spans="1:20" ht="13.2">
      <c r="A3454" s="7"/>
      <c r="B3454" s="7"/>
      <c r="C3454" s="74"/>
      <c r="D3454" s="74"/>
      <c r="F3454" s="7"/>
      <c r="G3454" s="74"/>
      <c r="H3454" s="74"/>
      <c r="J3454" s="7"/>
      <c r="K3454" s="74"/>
      <c r="L3454" s="74"/>
      <c r="N3454" s="7"/>
      <c r="O3454" s="74"/>
      <c r="P3454" s="74"/>
      <c r="R3454" s="7"/>
      <c r="S3454" s="7"/>
      <c r="T3454" s="66"/>
    </row>
    <row r="3455" spans="1:20" ht="13.2">
      <c r="A3455" s="7"/>
      <c r="B3455" s="7"/>
      <c r="C3455" s="74"/>
      <c r="D3455" s="74"/>
      <c r="F3455" s="7"/>
      <c r="G3455" s="74"/>
      <c r="H3455" s="74"/>
      <c r="J3455" s="7"/>
      <c r="K3455" s="74"/>
      <c r="L3455" s="74"/>
      <c r="N3455" s="7"/>
      <c r="O3455" s="74"/>
      <c r="P3455" s="74"/>
      <c r="R3455" s="7"/>
      <c r="S3455" s="7"/>
      <c r="T3455" s="66"/>
    </row>
    <row r="3456" spans="1:20" ht="13.2">
      <c r="A3456" s="7"/>
      <c r="B3456" s="7"/>
      <c r="C3456" s="74"/>
      <c r="D3456" s="74"/>
      <c r="F3456" s="7"/>
      <c r="G3456" s="74"/>
      <c r="H3456" s="74"/>
      <c r="J3456" s="7"/>
      <c r="K3456" s="74"/>
      <c r="L3456" s="74"/>
      <c r="N3456" s="7"/>
      <c r="O3456" s="74"/>
      <c r="P3456" s="74"/>
      <c r="R3456" s="7"/>
      <c r="S3456" s="7"/>
      <c r="T3456" s="66"/>
    </row>
    <row r="3457" spans="1:20" ht="13.2">
      <c r="A3457" s="7"/>
      <c r="B3457" s="7"/>
      <c r="C3457" s="74"/>
      <c r="D3457" s="74"/>
      <c r="F3457" s="7"/>
      <c r="G3457" s="74"/>
      <c r="H3457" s="74"/>
      <c r="J3457" s="7"/>
      <c r="K3457" s="74"/>
      <c r="L3457" s="74"/>
      <c r="N3457" s="7"/>
      <c r="O3457" s="74"/>
      <c r="P3457" s="74"/>
      <c r="R3457" s="7"/>
      <c r="S3457" s="7"/>
      <c r="T3457" s="66"/>
    </row>
    <row r="3458" spans="1:20" ht="13.2">
      <c r="A3458" s="7"/>
      <c r="B3458" s="7"/>
      <c r="C3458" s="74"/>
      <c r="D3458" s="74"/>
      <c r="F3458" s="7"/>
      <c r="G3458" s="74"/>
      <c r="H3458" s="74"/>
      <c r="J3458" s="7"/>
      <c r="K3458" s="74"/>
      <c r="L3458" s="74"/>
      <c r="N3458" s="7"/>
      <c r="O3458" s="74"/>
      <c r="P3458" s="74"/>
      <c r="R3458" s="7"/>
      <c r="S3458" s="7"/>
      <c r="T3458" s="66"/>
    </row>
    <row r="3459" spans="1:20" ht="13.2">
      <c r="A3459" s="7"/>
      <c r="B3459" s="7"/>
      <c r="C3459" s="74"/>
      <c r="D3459" s="74"/>
      <c r="F3459" s="7"/>
      <c r="G3459" s="74"/>
      <c r="H3459" s="74"/>
      <c r="J3459" s="7"/>
      <c r="K3459" s="74"/>
      <c r="L3459" s="74"/>
      <c r="N3459" s="7"/>
      <c r="O3459" s="74"/>
      <c r="P3459" s="74"/>
      <c r="R3459" s="7"/>
      <c r="S3459" s="7"/>
      <c r="T3459" s="66"/>
    </row>
    <row r="3460" spans="1:20" ht="13.2">
      <c r="A3460" s="7"/>
      <c r="B3460" s="7"/>
      <c r="C3460" s="74"/>
      <c r="D3460" s="74"/>
      <c r="F3460" s="7"/>
      <c r="G3460" s="74"/>
      <c r="H3460" s="74"/>
      <c r="J3460" s="7"/>
      <c r="K3460" s="74"/>
      <c r="L3460" s="74"/>
      <c r="N3460" s="7"/>
      <c r="O3460" s="74"/>
      <c r="P3460" s="74"/>
      <c r="R3460" s="7"/>
      <c r="S3460" s="7"/>
      <c r="T3460" s="66"/>
    </row>
    <row r="3461" spans="1:20" ht="13.2">
      <c r="A3461" s="7"/>
      <c r="B3461" s="7"/>
      <c r="C3461" s="74"/>
      <c r="D3461" s="74"/>
      <c r="F3461" s="7"/>
      <c r="G3461" s="74"/>
      <c r="H3461" s="74"/>
      <c r="J3461" s="7"/>
      <c r="K3461" s="74"/>
      <c r="L3461" s="74"/>
      <c r="N3461" s="7"/>
      <c r="O3461" s="74"/>
      <c r="P3461" s="74"/>
      <c r="R3461" s="7"/>
      <c r="S3461" s="7"/>
      <c r="T3461" s="66"/>
    </row>
    <row r="3462" spans="1:20" ht="13.2">
      <c r="A3462" s="7"/>
      <c r="B3462" s="7"/>
      <c r="C3462" s="74"/>
      <c r="D3462" s="74"/>
      <c r="F3462" s="7"/>
      <c r="G3462" s="74"/>
      <c r="H3462" s="74"/>
      <c r="J3462" s="7"/>
      <c r="K3462" s="74"/>
      <c r="L3462" s="74"/>
      <c r="N3462" s="7"/>
      <c r="O3462" s="74"/>
      <c r="P3462" s="74"/>
      <c r="R3462" s="7"/>
      <c r="S3462" s="7"/>
      <c r="T3462" s="66"/>
    </row>
    <row r="3463" spans="1:20" ht="13.2">
      <c r="A3463" s="7"/>
      <c r="B3463" s="7"/>
      <c r="C3463" s="74"/>
      <c r="D3463" s="74"/>
      <c r="F3463" s="7"/>
      <c r="G3463" s="74"/>
      <c r="H3463" s="74"/>
      <c r="J3463" s="7"/>
      <c r="K3463" s="74"/>
      <c r="L3463" s="74"/>
      <c r="N3463" s="7"/>
      <c r="O3463" s="74"/>
      <c r="P3463" s="74"/>
      <c r="R3463" s="7"/>
      <c r="S3463" s="7"/>
      <c r="T3463" s="66"/>
    </row>
    <row r="3464" spans="1:20" ht="13.2">
      <c r="A3464" s="7"/>
      <c r="B3464" s="7"/>
      <c r="C3464" s="74"/>
      <c r="D3464" s="74"/>
      <c r="F3464" s="7"/>
      <c r="G3464" s="74"/>
      <c r="H3464" s="74"/>
      <c r="J3464" s="7"/>
      <c r="K3464" s="74"/>
      <c r="L3464" s="74"/>
      <c r="N3464" s="7"/>
      <c r="O3464" s="74"/>
      <c r="P3464" s="74"/>
      <c r="R3464" s="7"/>
      <c r="S3464" s="7"/>
      <c r="T3464" s="66"/>
    </row>
    <row r="3465" spans="1:20" ht="13.2">
      <c r="A3465" s="7"/>
      <c r="B3465" s="7"/>
      <c r="C3465" s="74"/>
      <c r="D3465" s="74"/>
      <c r="F3465" s="7"/>
      <c r="G3465" s="74"/>
      <c r="H3465" s="74"/>
      <c r="J3465" s="7"/>
      <c r="K3465" s="74"/>
      <c r="L3465" s="74"/>
      <c r="N3465" s="7"/>
      <c r="O3465" s="74"/>
      <c r="P3465" s="74"/>
      <c r="R3465" s="7"/>
      <c r="S3465" s="7"/>
      <c r="T3465" s="66"/>
    </row>
    <row r="3466" spans="1:20" ht="13.2">
      <c r="A3466" s="7"/>
      <c r="B3466" s="7"/>
      <c r="C3466" s="74"/>
      <c r="D3466" s="74"/>
      <c r="F3466" s="7"/>
      <c r="G3466" s="74"/>
      <c r="H3466" s="74"/>
      <c r="J3466" s="7"/>
      <c r="K3466" s="74"/>
      <c r="L3466" s="74"/>
      <c r="N3466" s="7"/>
      <c r="O3466" s="74"/>
      <c r="P3466" s="74"/>
      <c r="R3466" s="7"/>
      <c r="S3466" s="7"/>
      <c r="T3466" s="66"/>
    </row>
    <row r="3467" spans="1:20" ht="13.2">
      <c r="A3467" s="7"/>
      <c r="B3467" s="7"/>
      <c r="C3467" s="74"/>
      <c r="D3467" s="74"/>
      <c r="F3467" s="7"/>
      <c r="G3467" s="74"/>
      <c r="H3467" s="74"/>
      <c r="J3467" s="7"/>
      <c r="K3467" s="74"/>
      <c r="L3467" s="74"/>
      <c r="N3467" s="7"/>
      <c r="O3467" s="74"/>
      <c r="P3467" s="74"/>
      <c r="R3467" s="7"/>
      <c r="S3467" s="7"/>
      <c r="T3467" s="66"/>
    </row>
    <row r="3468" spans="1:20" ht="13.2">
      <c r="A3468" s="7"/>
      <c r="B3468" s="7"/>
      <c r="C3468" s="74"/>
      <c r="D3468" s="74"/>
      <c r="F3468" s="7"/>
      <c r="G3468" s="74"/>
      <c r="H3468" s="74"/>
      <c r="J3468" s="7"/>
      <c r="K3468" s="74"/>
      <c r="L3468" s="74"/>
      <c r="N3468" s="7"/>
      <c r="O3468" s="74"/>
      <c r="P3468" s="74"/>
      <c r="R3468" s="7"/>
      <c r="S3468" s="7"/>
      <c r="T3468" s="66"/>
    </row>
    <row r="3469" spans="1:20" ht="13.2">
      <c r="A3469" s="7"/>
      <c r="B3469" s="7"/>
      <c r="C3469" s="74"/>
      <c r="D3469" s="74"/>
      <c r="F3469" s="7"/>
      <c r="G3469" s="74"/>
      <c r="H3469" s="74"/>
      <c r="J3469" s="7"/>
      <c r="K3469" s="74"/>
      <c r="L3469" s="74"/>
      <c r="N3469" s="7"/>
      <c r="O3469" s="74"/>
      <c r="P3469" s="74"/>
      <c r="R3469" s="7"/>
      <c r="S3469" s="7"/>
      <c r="T3469" s="66"/>
    </row>
    <row r="3470" spans="1:20" ht="13.2">
      <c r="A3470" s="7"/>
      <c r="B3470" s="7"/>
      <c r="C3470" s="74"/>
      <c r="D3470" s="74"/>
      <c r="F3470" s="7"/>
      <c r="G3470" s="74"/>
      <c r="H3470" s="74"/>
      <c r="J3470" s="7"/>
      <c r="K3470" s="74"/>
      <c r="L3470" s="74"/>
      <c r="N3470" s="7"/>
      <c r="O3470" s="74"/>
      <c r="P3470" s="74"/>
      <c r="R3470" s="7"/>
      <c r="S3470" s="7"/>
      <c r="T3470" s="66"/>
    </row>
    <row r="3471" spans="1:20" ht="13.2">
      <c r="A3471" s="7"/>
      <c r="B3471" s="7"/>
      <c r="C3471" s="74"/>
      <c r="D3471" s="74"/>
      <c r="F3471" s="7"/>
      <c r="G3471" s="74"/>
      <c r="H3471" s="74"/>
      <c r="J3471" s="7"/>
      <c r="K3471" s="74"/>
      <c r="L3471" s="74"/>
      <c r="N3471" s="7"/>
      <c r="O3471" s="74"/>
      <c r="P3471" s="74"/>
      <c r="R3471" s="7"/>
      <c r="S3471" s="7"/>
      <c r="T3471" s="66"/>
    </row>
    <row r="3472" spans="1:20" ht="13.2">
      <c r="A3472" s="7"/>
      <c r="B3472" s="7"/>
      <c r="C3472" s="74"/>
      <c r="D3472" s="74"/>
      <c r="F3472" s="7"/>
      <c r="G3472" s="74"/>
      <c r="H3472" s="74"/>
      <c r="J3472" s="7"/>
      <c r="K3472" s="74"/>
      <c r="L3472" s="74"/>
      <c r="N3472" s="7"/>
      <c r="O3472" s="74"/>
      <c r="P3472" s="74"/>
      <c r="R3472" s="7"/>
      <c r="S3472" s="7"/>
      <c r="T3472" s="66"/>
    </row>
    <row r="3473" spans="1:20" ht="13.2">
      <c r="A3473" s="7"/>
      <c r="B3473" s="7"/>
      <c r="C3473" s="74"/>
      <c r="D3473" s="74"/>
      <c r="F3473" s="7"/>
      <c r="G3473" s="74"/>
      <c r="H3473" s="74"/>
      <c r="J3473" s="7"/>
      <c r="K3473" s="74"/>
      <c r="L3473" s="74"/>
      <c r="N3473" s="7"/>
      <c r="O3473" s="74"/>
      <c r="P3473" s="74"/>
      <c r="R3473" s="7"/>
      <c r="S3473" s="7"/>
      <c r="T3473" s="66"/>
    </row>
    <row r="3474" spans="1:20" ht="13.2">
      <c r="A3474" s="7"/>
      <c r="B3474" s="7"/>
      <c r="C3474" s="74"/>
      <c r="D3474" s="74"/>
      <c r="F3474" s="7"/>
      <c r="G3474" s="74"/>
      <c r="H3474" s="74"/>
      <c r="J3474" s="7"/>
      <c r="K3474" s="74"/>
      <c r="L3474" s="74"/>
      <c r="N3474" s="7"/>
      <c r="O3474" s="74"/>
      <c r="P3474" s="74"/>
      <c r="R3474" s="7"/>
      <c r="S3474" s="7"/>
      <c r="T3474" s="66"/>
    </row>
    <row r="3475" spans="1:20" ht="13.2">
      <c r="A3475" s="7"/>
      <c r="B3475" s="7"/>
      <c r="C3475" s="74"/>
      <c r="D3475" s="74"/>
      <c r="F3475" s="7"/>
      <c r="G3475" s="74"/>
      <c r="H3475" s="74"/>
      <c r="J3475" s="7"/>
      <c r="K3475" s="74"/>
      <c r="L3475" s="74"/>
      <c r="N3475" s="7"/>
      <c r="O3475" s="74"/>
      <c r="P3475" s="74"/>
      <c r="R3475" s="7"/>
      <c r="S3475" s="7"/>
      <c r="T3475" s="66"/>
    </row>
    <row r="3476" spans="1:20" ht="13.2">
      <c r="A3476" s="7"/>
      <c r="B3476" s="7"/>
      <c r="C3476" s="74"/>
      <c r="D3476" s="74"/>
      <c r="F3476" s="7"/>
      <c r="G3476" s="74"/>
      <c r="H3476" s="74"/>
      <c r="J3476" s="7"/>
      <c r="K3476" s="74"/>
      <c r="L3476" s="74"/>
      <c r="N3476" s="7"/>
      <c r="O3476" s="74"/>
      <c r="P3476" s="74"/>
      <c r="R3476" s="7"/>
      <c r="S3476" s="7"/>
      <c r="T3476" s="66"/>
    </row>
    <row r="3477" spans="1:20" ht="13.2">
      <c r="A3477" s="7"/>
      <c r="B3477" s="7"/>
      <c r="C3477" s="74"/>
      <c r="D3477" s="74"/>
      <c r="F3477" s="7"/>
      <c r="G3477" s="74"/>
      <c r="H3477" s="74"/>
      <c r="J3477" s="7"/>
      <c r="K3477" s="74"/>
      <c r="L3477" s="74"/>
      <c r="N3477" s="7"/>
      <c r="O3477" s="74"/>
      <c r="P3477" s="74"/>
      <c r="R3477" s="7"/>
      <c r="S3477" s="7"/>
      <c r="T3477" s="66"/>
    </row>
    <row r="3478" spans="1:20" ht="13.2">
      <c r="A3478" s="7"/>
      <c r="B3478" s="7"/>
      <c r="C3478" s="74"/>
      <c r="D3478" s="74"/>
      <c r="F3478" s="7"/>
      <c r="G3478" s="74"/>
      <c r="H3478" s="74"/>
      <c r="J3478" s="7"/>
      <c r="K3478" s="74"/>
      <c r="L3478" s="74"/>
      <c r="N3478" s="7"/>
      <c r="O3478" s="74"/>
      <c r="P3478" s="74"/>
      <c r="R3478" s="7"/>
      <c r="S3478" s="7"/>
      <c r="T3478" s="66"/>
    </row>
    <row r="3479" spans="1:20" ht="13.2">
      <c r="A3479" s="7"/>
      <c r="B3479" s="7"/>
      <c r="C3479" s="74"/>
      <c r="D3479" s="74"/>
      <c r="F3479" s="7"/>
      <c r="G3479" s="74"/>
      <c r="H3479" s="74"/>
      <c r="J3479" s="7"/>
      <c r="K3479" s="74"/>
      <c r="L3479" s="74"/>
      <c r="N3479" s="7"/>
      <c r="O3479" s="74"/>
      <c r="P3479" s="74"/>
      <c r="R3479" s="7"/>
      <c r="S3479" s="7"/>
      <c r="T3479" s="66"/>
    </row>
    <row r="3480" spans="1:20" ht="13.2">
      <c r="A3480" s="7"/>
      <c r="B3480" s="7"/>
      <c r="C3480" s="74"/>
      <c r="D3480" s="74"/>
      <c r="F3480" s="7"/>
      <c r="G3480" s="74"/>
      <c r="H3480" s="74"/>
      <c r="J3480" s="7"/>
      <c r="K3480" s="74"/>
      <c r="L3480" s="74"/>
      <c r="N3480" s="7"/>
      <c r="O3480" s="74"/>
      <c r="P3480" s="74"/>
      <c r="R3480" s="7"/>
      <c r="S3480" s="7"/>
      <c r="T3480" s="66"/>
    </row>
    <row r="3481" spans="1:20" ht="13.2">
      <c r="A3481" s="7"/>
      <c r="B3481" s="7"/>
      <c r="C3481" s="74"/>
      <c r="D3481" s="74"/>
      <c r="F3481" s="7"/>
      <c r="G3481" s="74"/>
      <c r="H3481" s="74"/>
      <c r="J3481" s="7"/>
      <c r="K3481" s="74"/>
      <c r="L3481" s="74"/>
      <c r="N3481" s="7"/>
      <c r="O3481" s="74"/>
      <c r="P3481" s="74"/>
      <c r="R3481" s="7"/>
      <c r="S3481" s="7"/>
      <c r="T3481" s="66"/>
    </row>
    <row r="3482" spans="1:20" ht="13.2">
      <c r="A3482" s="7"/>
      <c r="B3482" s="7"/>
      <c r="C3482" s="74"/>
      <c r="D3482" s="74"/>
      <c r="F3482" s="7"/>
      <c r="G3482" s="74"/>
      <c r="H3482" s="74"/>
      <c r="J3482" s="7"/>
      <c r="K3482" s="74"/>
      <c r="L3482" s="74"/>
      <c r="N3482" s="7"/>
      <c r="O3482" s="74"/>
      <c r="P3482" s="74"/>
      <c r="R3482" s="7"/>
      <c r="S3482" s="7"/>
      <c r="T3482" s="66"/>
    </row>
    <row r="3483" spans="1:20" ht="13.2">
      <c r="A3483" s="7"/>
      <c r="B3483" s="7"/>
      <c r="C3483" s="74"/>
      <c r="D3483" s="74"/>
      <c r="F3483" s="7"/>
      <c r="G3483" s="74"/>
      <c r="H3483" s="74"/>
      <c r="J3483" s="7"/>
      <c r="K3483" s="74"/>
      <c r="L3483" s="74"/>
      <c r="N3483" s="7"/>
      <c r="O3483" s="74"/>
      <c r="P3483" s="74"/>
      <c r="R3483" s="7"/>
      <c r="S3483" s="7"/>
      <c r="T3483" s="66"/>
    </row>
    <row r="3484" spans="1:20" ht="13.2">
      <c r="A3484" s="7"/>
      <c r="B3484" s="7"/>
      <c r="C3484" s="74"/>
      <c r="D3484" s="74"/>
      <c r="F3484" s="7"/>
      <c r="G3484" s="74"/>
      <c r="H3484" s="74"/>
      <c r="J3484" s="7"/>
      <c r="K3484" s="74"/>
      <c r="L3484" s="74"/>
      <c r="N3484" s="7"/>
      <c r="O3484" s="74"/>
      <c r="P3484" s="74"/>
      <c r="R3484" s="7"/>
      <c r="S3484" s="7"/>
      <c r="T3484" s="66"/>
    </row>
    <row r="3485" spans="1:20" ht="13.2">
      <c r="A3485" s="7"/>
      <c r="B3485" s="7"/>
      <c r="C3485" s="74"/>
      <c r="D3485" s="74"/>
      <c r="F3485" s="7"/>
      <c r="G3485" s="74"/>
      <c r="H3485" s="74"/>
      <c r="J3485" s="7"/>
      <c r="K3485" s="74"/>
      <c r="L3485" s="74"/>
      <c r="N3485" s="7"/>
      <c r="O3485" s="74"/>
      <c r="P3485" s="74"/>
      <c r="R3485" s="7"/>
      <c r="S3485" s="7"/>
      <c r="T3485" s="66"/>
    </row>
    <row r="3486" spans="1:20" ht="13.2">
      <c r="A3486" s="7"/>
      <c r="B3486" s="7"/>
      <c r="C3486" s="74"/>
      <c r="D3486" s="74"/>
      <c r="F3486" s="7"/>
      <c r="G3486" s="74"/>
      <c r="H3486" s="74"/>
      <c r="J3486" s="7"/>
      <c r="K3486" s="74"/>
      <c r="L3486" s="74"/>
      <c r="N3486" s="7"/>
      <c r="O3486" s="74"/>
      <c r="P3486" s="74"/>
      <c r="R3486" s="7"/>
      <c r="S3486" s="7"/>
      <c r="T3486" s="66"/>
    </row>
    <row r="3487" spans="1:20" ht="13.2">
      <c r="A3487" s="7"/>
      <c r="B3487" s="7"/>
      <c r="C3487" s="74"/>
      <c r="D3487" s="74"/>
      <c r="F3487" s="7"/>
      <c r="G3487" s="74"/>
      <c r="H3487" s="74"/>
      <c r="J3487" s="7"/>
      <c r="K3487" s="74"/>
      <c r="L3487" s="74"/>
      <c r="N3487" s="7"/>
      <c r="O3487" s="74"/>
      <c r="P3487" s="74"/>
      <c r="R3487" s="7"/>
      <c r="S3487" s="7"/>
      <c r="T3487" s="66"/>
    </row>
    <row r="3488" spans="1:20" ht="13.2">
      <c r="A3488" s="7"/>
      <c r="B3488" s="7"/>
      <c r="C3488" s="74"/>
      <c r="D3488" s="74"/>
      <c r="F3488" s="7"/>
      <c r="G3488" s="74"/>
      <c r="H3488" s="74"/>
      <c r="J3488" s="7"/>
      <c r="K3488" s="74"/>
      <c r="L3488" s="74"/>
      <c r="N3488" s="7"/>
      <c r="O3488" s="74"/>
      <c r="P3488" s="74"/>
      <c r="R3488" s="7"/>
      <c r="S3488" s="7"/>
      <c r="T3488" s="66"/>
    </row>
    <row r="3489" spans="1:20" ht="13.2">
      <c r="A3489" s="7"/>
      <c r="B3489" s="7"/>
      <c r="C3489" s="74"/>
      <c r="D3489" s="74"/>
      <c r="F3489" s="7"/>
      <c r="G3489" s="74"/>
      <c r="H3489" s="74"/>
      <c r="J3489" s="7"/>
      <c r="K3489" s="74"/>
      <c r="L3489" s="74"/>
      <c r="N3489" s="7"/>
      <c r="O3489" s="74"/>
      <c r="P3489" s="74"/>
      <c r="R3489" s="7"/>
      <c r="S3489" s="7"/>
      <c r="T3489" s="66"/>
    </row>
    <row r="3490" spans="1:20" ht="13.2">
      <c r="A3490" s="7"/>
      <c r="B3490" s="7"/>
      <c r="C3490" s="74"/>
      <c r="D3490" s="74"/>
      <c r="F3490" s="7"/>
      <c r="G3490" s="74"/>
      <c r="H3490" s="74"/>
      <c r="J3490" s="7"/>
      <c r="K3490" s="74"/>
      <c r="L3490" s="74"/>
      <c r="N3490" s="7"/>
      <c r="O3490" s="74"/>
      <c r="P3490" s="74"/>
      <c r="R3490" s="7"/>
      <c r="S3490" s="7"/>
      <c r="T3490" s="66"/>
    </row>
    <row r="3491" spans="1:20" ht="13.2">
      <c r="A3491" s="7"/>
      <c r="B3491" s="7"/>
      <c r="C3491" s="74"/>
      <c r="D3491" s="74"/>
      <c r="F3491" s="7"/>
      <c r="G3491" s="74"/>
      <c r="H3491" s="74"/>
      <c r="J3491" s="7"/>
      <c r="K3491" s="74"/>
      <c r="L3491" s="74"/>
      <c r="N3491" s="7"/>
      <c r="O3491" s="74"/>
      <c r="P3491" s="74"/>
      <c r="R3491" s="7"/>
      <c r="S3491" s="7"/>
      <c r="T3491" s="66"/>
    </row>
    <row r="3492" spans="1:20" ht="13.2">
      <c r="A3492" s="7"/>
      <c r="B3492" s="7"/>
      <c r="C3492" s="74"/>
      <c r="D3492" s="74"/>
      <c r="F3492" s="7"/>
      <c r="G3492" s="74"/>
      <c r="H3492" s="74"/>
      <c r="J3492" s="7"/>
      <c r="K3492" s="74"/>
      <c r="L3492" s="74"/>
      <c r="N3492" s="7"/>
      <c r="O3492" s="74"/>
      <c r="P3492" s="74"/>
      <c r="R3492" s="7"/>
      <c r="S3492" s="7"/>
      <c r="T3492" s="66"/>
    </row>
    <row r="3493" spans="1:20" ht="13.2">
      <c r="A3493" s="7"/>
      <c r="B3493" s="7"/>
      <c r="C3493" s="74"/>
      <c r="D3493" s="74"/>
      <c r="F3493" s="7"/>
      <c r="G3493" s="74"/>
      <c r="H3493" s="74"/>
      <c r="J3493" s="7"/>
      <c r="K3493" s="74"/>
      <c r="L3493" s="74"/>
      <c r="N3493" s="7"/>
      <c r="O3493" s="74"/>
      <c r="P3493" s="74"/>
      <c r="R3493" s="7"/>
      <c r="S3493" s="7"/>
      <c r="T3493" s="66"/>
    </row>
    <row r="3494" spans="1:20" ht="13.2">
      <c r="A3494" s="7"/>
      <c r="B3494" s="7"/>
      <c r="C3494" s="74"/>
      <c r="D3494" s="74"/>
      <c r="F3494" s="7"/>
      <c r="G3494" s="74"/>
      <c r="H3494" s="74"/>
      <c r="J3494" s="7"/>
      <c r="K3494" s="74"/>
      <c r="L3494" s="74"/>
      <c r="N3494" s="7"/>
      <c r="O3494" s="74"/>
      <c r="P3494" s="74"/>
      <c r="R3494" s="7"/>
      <c r="S3494" s="7"/>
      <c r="T3494" s="66"/>
    </row>
    <row r="3495" spans="1:20" ht="13.2">
      <c r="A3495" s="7"/>
      <c r="B3495" s="7"/>
      <c r="C3495" s="74"/>
      <c r="D3495" s="74"/>
      <c r="F3495" s="7"/>
      <c r="G3495" s="74"/>
      <c r="H3495" s="74"/>
      <c r="J3495" s="7"/>
      <c r="K3495" s="74"/>
      <c r="L3495" s="74"/>
      <c r="N3495" s="7"/>
      <c r="O3495" s="74"/>
      <c r="P3495" s="74"/>
      <c r="R3495" s="7"/>
      <c r="S3495" s="7"/>
      <c r="T3495" s="66"/>
    </row>
    <row r="3496" spans="1:20" ht="13.2">
      <c r="A3496" s="7"/>
      <c r="B3496" s="7"/>
      <c r="C3496" s="74"/>
      <c r="D3496" s="74"/>
      <c r="F3496" s="7"/>
      <c r="G3496" s="74"/>
      <c r="H3496" s="74"/>
      <c r="J3496" s="7"/>
      <c r="K3496" s="74"/>
      <c r="L3496" s="74"/>
      <c r="N3496" s="7"/>
      <c r="O3496" s="74"/>
      <c r="P3496" s="74"/>
      <c r="R3496" s="7"/>
      <c r="S3496" s="7"/>
      <c r="T3496" s="66"/>
    </row>
    <row r="3497" spans="1:20" ht="13.2">
      <c r="A3497" s="7"/>
      <c r="B3497" s="7"/>
      <c r="C3497" s="74"/>
      <c r="D3497" s="74"/>
      <c r="F3497" s="7"/>
      <c r="G3497" s="74"/>
      <c r="H3497" s="74"/>
      <c r="J3497" s="7"/>
      <c r="K3497" s="74"/>
      <c r="L3497" s="74"/>
      <c r="N3497" s="7"/>
      <c r="O3497" s="74"/>
      <c r="P3497" s="74"/>
      <c r="R3497" s="7"/>
      <c r="S3497" s="7"/>
      <c r="T3497" s="66"/>
    </row>
    <row r="3498" spans="1:20" ht="13.2">
      <c r="A3498" s="7"/>
      <c r="B3498" s="7"/>
      <c r="C3498" s="74"/>
      <c r="D3498" s="74"/>
      <c r="F3498" s="7"/>
      <c r="G3498" s="74"/>
      <c r="H3498" s="74"/>
      <c r="J3498" s="7"/>
      <c r="K3498" s="74"/>
      <c r="L3498" s="74"/>
      <c r="N3498" s="7"/>
      <c r="O3498" s="74"/>
      <c r="P3498" s="74"/>
      <c r="R3498" s="7"/>
      <c r="S3498" s="7"/>
      <c r="T3498" s="66"/>
    </row>
    <row r="3499" spans="1:20" ht="13.2">
      <c r="A3499" s="7"/>
      <c r="B3499" s="7"/>
      <c r="C3499" s="74"/>
      <c r="D3499" s="74"/>
      <c r="F3499" s="7"/>
      <c r="G3499" s="74"/>
      <c r="H3499" s="74"/>
      <c r="J3499" s="7"/>
      <c r="K3499" s="74"/>
      <c r="L3499" s="74"/>
      <c r="N3499" s="7"/>
      <c r="O3499" s="74"/>
      <c r="P3499" s="74"/>
      <c r="R3499" s="7"/>
      <c r="S3499" s="7"/>
      <c r="T3499" s="66"/>
    </row>
    <row r="3500" spans="1:20" ht="13.2">
      <c r="A3500" s="7"/>
      <c r="B3500" s="7"/>
      <c r="C3500" s="74"/>
      <c r="D3500" s="74"/>
      <c r="F3500" s="7"/>
      <c r="G3500" s="74"/>
      <c r="H3500" s="74"/>
      <c r="J3500" s="7"/>
      <c r="K3500" s="74"/>
      <c r="L3500" s="74"/>
      <c r="N3500" s="7"/>
      <c r="O3500" s="74"/>
      <c r="P3500" s="74"/>
      <c r="R3500" s="7"/>
      <c r="S3500" s="7"/>
      <c r="T3500" s="66"/>
    </row>
    <row r="3501" spans="1:20" ht="13.2">
      <c r="A3501" s="7"/>
      <c r="B3501" s="7"/>
      <c r="C3501" s="74"/>
      <c r="D3501" s="74"/>
      <c r="F3501" s="7"/>
      <c r="G3501" s="74"/>
      <c r="H3501" s="74"/>
      <c r="J3501" s="7"/>
      <c r="K3501" s="74"/>
      <c r="L3501" s="74"/>
      <c r="N3501" s="7"/>
      <c r="O3501" s="74"/>
      <c r="P3501" s="74"/>
      <c r="R3501" s="7"/>
      <c r="S3501" s="7"/>
      <c r="T3501" s="66"/>
    </row>
    <row r="3502" spans="1:20" ht="13.2">
      <c r="A3502" s="7"/>
      <c r="B3502" s="7"/>
      <c r="C3502" s="74"/>
      <c r="D3502" s="74"/>
      <c r="F3502" s="7"/>
      <c r="G3502" s="74"/>
      <c r="H3502" s="74"/>
      <c r="J3502" s="7"/>
      <c r="K3502" s="74"/>
      <c r="L3502" s="74"/>
      <c r="N3502" s="7"/>
      <c r="O3502" s="74"/>
      <c r="P3502" s="74"/>
      <c r="R3502" s="7"/>
      <c r="S3502" s="7"/>
      <c r="T3502" s="66"/>
    </row>
    <row r="3503" spans="1:20" ht="13.2">
      <c r="A3503" s="7"/>
      <c r="B3503" s="7"/>
      <c r="C3503" s="74"/>
      <c r="D3503" s="74"/>
      <c r="F3503" s="7"/>
      <c r="G3503" s="74"/>
      <c r="H3503" s="74"/>
      <c r="J3503" s="7"/>
      <c r="K3503" s="74"/>
      <c r="L3503" s="74"/>
      <c r="N3503" s="7"/>
      <c r="O3503" s="74"/>
      <c r="P3503" s="74"/>
      <c r="R3503" s="7"/>
      <c r="S3503" s="7"/>
      <c r="T3503" s="66"/>
    </row>
    <row r="3504" spans="1:20" ht="13.2">
      <c r="A3504" s="7"/>
      <c r="B3504" s="7"/>
      <c r="C3504" s="74"/>
      <c r="D3504" s="74"/>
      <c r="F3504" s="7"/>
      <c r="G3504" s="74"/>
      <c r="H3504" s="74"/>
      <c r="J3504" s="7"/>
      <c r="K3504" s="74"/>
      <c r="L3504" s="74"/>
      <c r="N3504" s="7"/>
      <c r="O3504" s="74"/>
      <c r="P3504" s="74"/>
      <c r="R3504" s="7"/>
      <c r="S3504" s="7"/>
      <c r="T3504" s="66"/>
    </row>
    <row r="3505" spans="1:20" ht="13.2">
      <c r="A3505" s="7"/>
      <c r="B3505" s="7"/>
      <c r="C3505" s="74"/>
      <c r="D3505" s="74"/>
      <c r="F3505" s="7"/>
      <c r="G3505" s="74"/>
      <c r="H3505" s="74"/>
      <c r="J3505" s="7"/>
      <c r="K3505" s="74"/>
      <c r="L3505" s="74"/>
      <c r="N3505" s="7"/>
      <c r="O3505" s="74"/>
      <c r="P3505" s="74"/>
      <c r="R3505" s="7"/>
      <c r="S3505" s="7"/>
      <c r="T3505" s="66"/>
    </row>
    <row r="3506" spans="1:20" ht="13.2">
      <c r="A3506" s="7"/>
      <c r="B3506" s="7"/>
      <c r="C3506" s="74"/>
      <c r="D3506" s="74"/>
      <c r="F3506" s="7"/>
      <c r="G3506" s="74"/>
      <c r="H3506" s="74"/>
      <c r="J3506" s="7"/>
      <c r="K3506" s="74"/>
      <c r="L3506" s="74"/>
      <c r="N3506" s="7"/>
      <c r="O3506" s="74"/>
      <c r="P3506" s="74"/>
      <c r="R3506" s="7"/>
      <c r="S3506" s="7"/>
      <c r="T3506" s="66"/>
    </row>
    <row r="3507" spans="1:20" ht="13.2">
      <c r="A3507" s="7"/>
      <c r="B3507" s="7"/>
      <c r="C3507" s="74"/>
      <c r="D3507" s="74"/>
      <c r="F3507" s="7"/>
      <c r="G3507" s="74"/>
      <c r="H3507" s="74"/>
      <c r="J3507" s="7"/>
      <c r="K3507" s="74"/>
      <c r="L3507" s="74"/>
      <c r="N3507" s="7"/>
      <c r="O3507" s="74"/>
      <c r="P3507" s="74"/>
      <c r="R3507" s="7"/>
      <c r="S3507" s="7"/>
      <c r="T3507" s="66"/>
    </row>
    <row r="3508" spans="1:20" ht="13.2">
      <c r="A3508" s="7"/>
      <c r="B3508" s="7"/>
      <c r="C3508" s="74"/>
      <c r="D3508" s="74"/>
      <c r="F3508" s="7"/>
      <c r="G3508" s="74"/>
      <c r="H3508" s="74"/>
      <c r="J3508" s="7"/>
      <c r="K3508" s="74"/>
      <c r="L3508" s="74"/>
      <c r="N3508" s="7"/>
      <c r="O3508" s="74"/>
      <c r="P3508" s="74"/>
      <c r="R3508" s="7"/>
      <c r="S3508" s="7"/>
      <c r="T3508" s="66"/>
    </row>
    <row r="3509" spans="1:20" ht="13.2">
      <c r="A3509" s="7"/>
      <c r="B3509" s="7"/>
      <c r="C3509" s="74"/>
      <c r="D3509" s="74"/>
      <c r="F3509" s="7"/>
      <c r="G3509" s="74"/>
      <c r="H3509" s="74"/>
      <c r="J3509" s="7"/>
      <c r="K3509" s="74"/>
      <c r="L3509" s="74"/>
      <c r="N3509" s="7"/>
      <c r="O3509" s="74"/>
      <c r="P3509" s="74"/>
      <c r="R3509" s="7"/>
      <c r="S3509" s="7"/>
      <c r="T3509" s="66"/>
    </row>
    <row r="3510" spans="1:20" ht="13.2">
      <c r="A3510" s="7"/>
      <c r="B3510" s="7"/>
      <c r="C3510" s="74"/>
      <c r="D3510" s="74"/>
      <c r="F3510" s="7"/>
      <c r="G3510" s="74"/>
      <c r="H3510" s="74"/>
      <c r="J3510" s="7"/>
      <c r="K3510" s="74"/>
      <c r="L3510" s="74"/>
      <c r="N3510" s="7"/>
      <c r="O3510" s="74"/>
      <c r="P3510" s="74"/>
      <c r="R3510" s="7"/>
      <c r="S3510" s="7"/>
      <c r="T3510" s="66"/>
    </row>
    <row r="3511" spans="1:20" ht="13.2">
      <c r="A3511" s="7"/>
      <c r="B3511" s="7"/>
      <c r="C3511" s="74"/>
      <c r="D3511" s="74"/>
      <c r="F3511" s="7"/>
      <c r="G3511" s="74"/>
      <c r="H3511" s="74"/>
      <c r="J3511" s="7"/>
      <c r="K3511" s="74"/>
      <c r="L3511" s="74"/>
      <c r="N3511" s="7"/>
      <c r="O3511" s="74"/>
      <c r="P3511" s="74"/>
      <c r="R3511" s="7"/>
      <c r="S3511" s="7"/>
      <c r="T3511" s="66"/>
    </row>
    <row r="3512" spans="1:20" ht="13.2">
      <c r="A3512" s="7"/>
      <c r="B3512" s="7"/>
      <c r="C3512" s="74"/>
      <c r="D3512" s="74"/>
      <c r="F3512" s="7"/>
      <c r="G3512" s="74"/>
      <c r="H3512" s="74"/>
      <c r="J3512" s="7"/>
      <c r="K3512" s="74"/>
      <c r="L3512" s="74"/>
      <c r="N3512" s="7"/>
      <c r="O3512" s="74"/>
      <c r="P3512" s="74"/>
      <c r="R3512" s="7"/>
      <c r="S3512" s="7"/>
      <c r="T3512" s="66"/>
    </row>
    <row r="3513" spans="1:20" ht="13.2">
      <c r="A3513" s="7"/>
      <c r="B3513" s="7"/>
      <c r="C3513" s="74"/>
      <c r="D3513" s="74"/>
      <c r="F3513" s="7"/>
      <c r="G3513" s="74"/>
      <c r="H3513" s="74"/>
      <c r="J3513" s="7"/>
      <c r="K3513" s="74"/>
      <c r="L3513" s="74"/>
      <c r="N3513" s="7"/>
      <c r="O3513" s="74"/>
      <c r="P3513" s="74"/>
      <c r="R3513" s="7"/>
      <c r="S3513" s="7"/>
      <c r="T3513" s="66"/>
    </row>
    <row r="3514" spans="1:20" ht="13.2">
      <c r="A3514" s="7"/>
      <c r="B3514" s="7"/>
      <c r="C3514" s="74"/>
      <c r="D3514" s="74"/>
      <c r="F3514" s="7"/>
      <c r="G3514" s="74"/>
      <c r="H3514" s="74"/>
      <c r="J3514" s="7"/>
      <c r="K3514" s="74"/>
      <c r="L3514" s="74"/>
      <c r="N3514" s="7"/>
      <c r="O3514" s="74"/>
      <c r="P3514" s="74"/>
      <c r="R3514" s="7"/>
      <c r="S3514" s="7"/>
      <c r="T3514" s="66"/>
    </row>
    <row r="3515" spans="1:20" ht="13.2">
      <c r="A3515" s="7"/>
      <c r="B3515" s="7"/>
      <c r="C3515" s="74"/>
      <c r="D3515" s="74"/>
      <c r="F3515" s="7"/>
      <c r="G3515" s="74"/>
      <c r="H3515" s="74"/>
      <c r="J3515" s="7"/>
      <c r="K3515" s="74"/>
      <c r="L3515" s="74"/>
      <c r="N3515" s="7"/>
      <c r="O3515" s="74"/>
      <c r="P3515" s="74"/>
      <c r="R3515" s="7"/>
      <c r="S3515" s="7"/>
      <c r="T3515" s="66"/>
    </row>
    <row r="3516" spans="1:20" ht="13.2">
      <c r="A3516" s="7"/>
      <c r="B3516" s="7"/>
      <c r="C3516" s="74"/>
      <c r="D3516" s="74"/>
      <c r="F3516" s="7"/>
      <c r="G3516" s="74"/>
      <c r="H3516" s="74"/>
      <c r="J3516" s="7"/>
      <c r="K3516" s="74"/>
      <c r="L3516" s="74"/>
      <c r="N3516" s="7"/>
      <c r="O3516" s="74"/>
      <c r="P3516" s="74"/>
      <c r="R3516" s="7"/>
      <c r="S3516" s="7"/>
      <c r="T3516" s="66"/>
    </row>
    <row r="3517" spans="1:20" ht="13.2">
      <c r="A3517" s="7"/>
      <c r="B3517" s="7"/>
      <c r="C3517" s="74"/>
      <c r="D3517" s="74"/>
      <c r="F3517" s="7"/>
      <c r="G3517" s="74"/>
      <c r="H3517" s="74"/>
      <c r="J3517" s="7"/>
      <c r="K3517" s="74"/>
      <c r="L3517" s="74"/>
      <c r="N3517" s="7"/>
      <c r="O3517" s="74"/>
      <c r="P3517" s="74"/>
      <c r="R3517" s="7"/>
      <c r="S3517" s="7"/>
      <c r="T3517" s="66"/>
    </row>
    <row r="3518" spans="1:20" ht="13.2">
      <c r="A3518" s="7"/>
      <c r="B3518" s="7"/>
      <c r="C3518" s="74"/>
      <c r="D3518" s="74"/>
      <c r="F3518" s="7"/>
      <c r="G3518" s="74"/>
      <c r="H3518" s="74"/>
      <c r="J3518" s="7"/>
      <c r="K3518" s="74"/>
      <c r="L3518" s="74"/>
      <c r="N3518" s="7"/>
      <c r="O3518" s="74"/>
      <c r="P3518" s="74"/>
      <c r="R3518" s="7"/>
      <c r="S3518" s="7"/>
      <c r="T3518" s="66"/>
    </row>
    <row r="3519" spans="1:20" ht="13.2">
      <c r="A3519" s="7"/>
      <c r="B3519" s="7"/>
      <c r="C3519" s="74"/>
      <c r="D3519" s="74"/>
      <c r="F3519" s="7"/>
      <c r="G3519" s="74"/>
      <c r="H3519" s="74"/>
      <c r="J3519" s="7"/>
      <c r="K3519" s="74"/>
      <c r="L3519" s="74"/>
      <c r="N3519" s="7"/>
      <c r="O3519" s="74"/>
      <c r="P3519" s="74"/>
      <c r="R3519" s="7"/>
      <c r="S3519" s="7"/>
      <c r="T3519" s="66"/>
    </row>
    <row r="3520" spans="1:20" ht="13.2">
      <c r="A3520" s="7"/>
      <c r="B3520" s="7"/>
      <c r="C3520" s="74"/>
      <c r="D3520" s="74"/>
      <c r="F3520" s="7"/>
      <c r="G3520" s="74"/>
      <c r="H3520" s="74"/>
      <c r="J3520" s="7"/>
      <c r="K3520" s="74"/>
      <c r="L3520" s="74"/>
      <c r="N3520" s="7"/>
      <c r="O3520" s="74"/>
      <c r="P3520" s="74"/>
      <c r="R3520" s="7"/>
      <c r="S3520" s="7"/>
      <c r="T3520" s="66"/>
    </row>
    <row r="3521" spans="1:20" ht="13.2">
      <c r="A3521" s="7"/>
      <c r="B3521" s="7"/>
      <c r="C3521" s="74"/>
      <c r="D3521" s="74"/>
      <c r="F3521" s="7"/>
      <c r="G3521" s="74"/>
      <c r="H3521" s="74"/>
      <c r="J3521" s="7"/>
      <c r="K3521" s="74"/>
      <c r="L3521" s="74"/>
      <c r="N3521" s="7"/>
      <c r="O3521" s="74"/>
      <c r="P3521" s="74"/>
      <c r="R3521" s="7"/>
      <c r="S3521" s="7"/>
      <c r="T3521" s="66"/>
    </row>
    <row r="3522" spans="1:20" ht="13.2">
      <c r="A3522" s="7"/>
      <c r="B3522" s="7"/>
      <c r="C3522" s="74"/>
      <c r="D3522" s="74"/>
      <c r="F3522" s="7"/>
      <c r="G3522" s="74"/>
      <c r="H3522" s="74"/>
      <c r="J3522" s="7"/>
      <c r="K3522" s="74"/>
      <c r="L3522" s="74"/>
      <c r="N3522" s="7"/>
      <c r="O3522" s="74"/>
      <c r="P3522" s="74"/>
      <c r="R3522" s="7"/>
      <c r="S3522" s="7"/>
      <c r="T3522" s="66"/>
    </row>
    <row r="3523" spans="1:20" ht="13.2">
      <c r="A3523" s="7"/>
      <c r="B3523" s="7"/>
      <c r="C3523" s="74"/>
      <c r="D3523" s="74"/>
      <c r="F3523" s="7"/>
      <c r="G3523" s="74"/>
      <c r="H3523" s="74"/>
      <c r="J3523" s="7"/>
      <c r="K3523" s="74"/>
      <c r="L3523" s="74"/>
      <c r="N3523" s="7"/>
      <c r="O3523" s="74"/>
      <c r="P3523" s="74"/>
      <c r="R3523" s="7"/>
      <c r="S3523" s="7"/>
      <c r="T3523" s="66"/>
    </row>
    <row r="3524" spans="1:20" ht="13.2">
      <c r="A3524" s="7"/>
      <c r="B3524" s="7"/>
      <c r="C3524" s="74"/>
      <c r="D3524" s="74"/>
      <c r="F3524" s="7"/>
      <c r="G3524" s="74"/>
      <c r="H3524" s="74"/>
      <c r="J3524" s="7"/>
      <c r="K3524" s="74"/>
      <c r="L3524" s="74"/>
      <c r="N3524" s="7"/>
      <c r="O3524" s="74"/>
      <c r="P3524" s="74"/>
      <c r="R3524" s="7"/>
      <c r="S3524" s="7"/>
      <c r="T3524" s="66"/>
    </row>
    <row r="3525" spans="1:20" ht="13.2">
      <c r="A3525" s="7"/>
      <c r="B3525" s="7"/>
      <c r="C3525" s="74"/>
      <c r="D3525" s="74"/>
      <c r="F3525" s="7"/>
      <c r="G3525" s="74"/>
      <c r="H3525" s="74"/>
      <c r="J3525" s="7"/>
      <c r="K3525" s="74"/>
      <c r="L3525" s="74"/>
      <c r="N3525" s="7"/>
      <c r="O3525" s="74"/>
      <c r="P3525" s="74"/>
      <c r="R3525" s="7"/>
      <c r="S3525" s="7"/>
      <c r="T3525" s="66"/>
    </row>
    <row r="3526" spans="1:20" ht="13.2">
      <c r="A3526" s="7"/>
      <c r="B3526" s="7"/>
      <c r="C3526" s="74"/>
      <c r="D3526" s="74"/>
      <c r="F3526" s="7"/>
      <c r="G3526" s="74"/>
      <c r="H3526" s="74"/>
      <c r="J3526" s="7"/>
      <c r="K3526" s="74"/>
      <c r="L3526" s="74"/>
      <c r="N3526" s="7"/>
      <c r="O3526" s="74"/>
      <c r="P3526" s="74"/>
      <c r="R3526" s="7"/>
      <c r="S3526" s="7"/>
      <c r="T3526" s="66"/>
    </row>
    <row r="3527" spans="1:20" ht="13.2">
      <c r="A3527" s="7"/>
      <c r="B3527" s="7"/>
      <c r="C3527" s="74"/>
      <c r="D3527" s="74"/>
      <c r="F3527" s="7"/>
      <c r="G3527" s="74"/>
      <c r="H3527" s="74"/>
      <c r="J3527" s="7"/>
      <c r="K3527" s="74"/>
      <c r="L3527" s="74"/>
      <c r="N3527" s="7"/>
      <c r="O3527" s="74"/>
      <c r="P3527" s="74"/>
      <c r="R3527" s="7"/>
      <c r="S3527" s="7"/>
      <c r="T3527" s="66"/>
    </row>
    <row r="3528" spans="1:20" ht="13.2">
      <c r="A3528" s="7"/>
      <c r="B3528" s="7"/>
      <c r="C3528" s="74"/>
      <c r="D3528" s="74"/>
      <c r="F3528" s="7"/>
      <c r="G3528" s="74"/>
      <c r="H3528" s="74"/>
      <c r="J3528" s="7"/>
      <c r="K3528" s="74"/>
      <c r="L3528" s="74"/>
      <c r="N3528" s="7"/>
      <c r="O3528" s="74"/>
      <c r="P3528" s="74"/>
      <c r="R3528" s="7"/>
      <c r="S3528" s="7"/>
      <c r="T3528" s="66"/>
    </row>
    <row r="3529" spans="1:20" ht="13.2">
      <c r="A3529" s="7"/>
      <c r="B3529" s="7"/>
      <c r="C3529" s="74"/>
      <c r="D3529" s="74"/>
      <c r="F3529" s="7"/>
      <c r="G3529" s="74"/>
      <c r="H3529" s="74"/>
      <c r="J3529" s="7"/>
      <c r="K3529" s="74"/>
      <c r="L3529" s="74"/>
      <c r="N3529" s="7"/>
      <c r="O3529" s="74"/>
      <c r="P3529" s="74"/>
      <c r="R3529" s="7"/>
      <c r="S3529" s="7"/>
      <c r="T3529" s="66"/>
    </row>
    <row r="3530" spans="1:20" ht="13.2">
      <c r="A3530" s="7"/>
      <c r="B3530" s="7"/>
      <c r="C3530" s="74"/>
      <c r="D3530" s="74"/>
      <c r="F3530" s="7"/>
      <c r="G3530" s="74"/>
      <c r="H3530" s="74"/>
      <c r="J3530" s="7"/>
      <c r="K3530" s="74"/>
      <c r="L3530" s="74"/>
      <c r="N3530" s="7"/>
      <c r="O3530" s="74"/>
      <c r="P3530" s="74"/>
      <c r="R3530" s="7"/>
      <c r="S3530" s="7"/>
      <c r="T3530" s="66"/>
    </row>
    <row r="3531" spans="1:20" ht="13.2">
      <c r="A3531" s="7"/>
      <c r="B3531" s="7"/>
      <c r="C3531" s="74"/>
      <c r="D3531" s="74"/>
      <c r="F3531" s="7"/>
      <c r="G3531" s="74"/>
      <c r="H3531" s="74"/>
      <c r="J3531" s="7"/>
      <c r="K3531" s="74"/>
      <c r="L3531" s="74"/>
      <c r="N3531" s="7"/>
      <c r="O3531" s="74"/>
      <c r="P3531" s="74"/>
      <c r="R3531" s="7"/>
      <c r="S3531" s="7"/>
      <c r="T3531" s="66"/>
    </row>
    <row r="3532" spans="1:20" ht="13.2">
      <c r="A3532" s="7"/>
      <c r="B3532" s="7"/>
      <c r="C3532" s="74"/>
      <c r="D3532" s="74"/>
      <c r="F3532" s="7"/>
      <c r="G3532" s="74"/>
      <c r="H3532" s="74"/>
      <c r="J3532" s="7"/>
      <c r="K3532" s="74"/>
      <c r="L3532" s="74"/>
      <c r="N3532" s="7"/>
      <c r="O3532" s="74"/>
      <c r="P3532" s="74"/>
      <c r="R3532" s="7"/>
      <c r="S3532" s="7"/>
      <c r="T3532" s="66"/>
    </row>
    <row r="3533" spans="1:20" ht="13.2">
      <c r="A3533" s="7"/>
      <c r="B3533" s="7"/>
      <c r="C3533" s="74"/>
      <c r="D3533" s="74"/>
      <c r="F3533" s="7"/>
      <c r="G3533" s="74"/>
      <c r="H3533" s="74"/>
      <c r="J3533" s="7"/>
      <c r="K3533" s="74"/>
      <c r="L3533" s="74"/>
      <c r="N3533" s="7"/>
      <c r="O3533" s="74"/>
      <c r="P3533" s="74"/>
      <c r="R3533" s="7"/>
      <c r="S3533" s="7"/>
      <c r="T3533" s="66"/>
    </row>
    <row r="3534" spans="1:20" ht="13.2">
      <c r="A3534" s="7"/>
      <c r="B3534" s="7"/>
      <c r="C3534" s="74"/>
      <c r="D3534" s="74"/>
      <c r="F3534" s="7"/>
      <c r="G3534" s="74"/>
      <c r="H3534" s="74"/>
      <c r="J3534" s="7"/>
      <c r="K3534" s="74"/>
      <c r="L3534" s="74"/>
      <c r="N3534" s="7"/>
      <c r="O3534" s="74"/>
      <c r="P3534" s="74"/>
      <c r="R3534" s="7"/>
      <c r="S3534" s="7"/>
      <c r="T3534" s="66"/>
    </row>
    <row r="3535" spans="1:20" ht="13.2">
      <c r="A3535" s="7"/>
      <c r="B3535" s="7"/>
      <c r="C3535" s="74"/>
      <c r="D3535" s="74"/>
      <c r="F3535" s="7"/>
      <c r="G3535" s="74"/>
      <c r="H3535" s="74"/>
      <c r="J3535" s="7"/>
      <c r="K3535" s="74"/>
      <c r="L3535" s="74"/>
      <c r="N3535" s="7"/>
      <c r="O3535" s="74"/>
      <c r="P3535" s="74"/>
      <c r="R3535" s="7"/>
      <c r="S3535" s="7"/>
      <c r="T3535" s="66"/>
    </row>
    <row r="3536" spans="1:20" ht="13.2">
      <c r="A3536" s="7"/>
      <c r="B3536" s="7"/>
      <c r="C3536" s="74"/>
      <c r="D3536" s="74"/>
      <c r="F3536" s="7"/>
      <c r="G3536" s="74"/>
      <c r="H3536" s="74"/>
      <c r="J3536" s="7"/>
      <c r="K3536" s="74"/>
      <c r="L3536" s="74"/>
      <c r="N3536" s="7"/>
      <c r="O3536" s="74"/>
      <c r="P3536" s="74"/>
      <c r="R3536" s="7"/>
      <c r="S3536" s="7"/>
      <c r="T3536" s="66"/>
    </row>
    <row r="3537" spans="1:20" ht="13.2">
      <c r="A3537" s="7"/>
      <c r="B3537" s="7"/>
      <c r="C3537" s="74"/>
      <c r="D3537" s="74"/>
      <c r="F3537" s="7"/>
      <c r="G3537" s="74"/>
      <c r="H3537" s="74"/>
      <c r="J3537" s="7"/>
      <c r="K3537" s="74"/>
      <c r="L3537" s="74"/>
      <c r="N3537" s="7"/>
      <c r="O3537" s="74"/>
      <c r="P3537" s="74"/>
      <c r="R3537" s="7"/>
      <c r="S3537" s="7"/>
      <c r="T3537" s="66"/>
    </row>
    <row r="3538" spans="1:20" ht="13.2">
      <c r="A3538" s="7"/>
      <c r="B3538" s="7"/>
      <c r="C3538" s="74"/>
      <c r="D3538" s="74"/>
      <c r="F3538" s="7"/>
      <c r="G3538" s="74"/>
      <c r="H3538" s="74"/>
      <c r="J3538" s="7"/>
      <c r="K3538" s="74"/>
      <c r="L3538" s="74"/>
      <c r="N3538" s="7"/>
      <c r="O3538" s="74"/>
      <c r="P3538" s="74"/>
      <c r="R3538" s="7"/>
      <c r="S3538" s="7"/>
      <c r="T3538" s="66"/>
    </row>
    <row r="3539" spans="1:20" ht="13.2">
      <c r="A3539" s="7"/>
      <c r="B3539" s="7"/>
      <c r="C3539" s="74"/>
      <c r="D3539" s="74"/>
      <c r="F3539" s="7"/>
      <c r="G3539" s="74"/>
      <c r="H3539" s="74"/>
      <c r="J3539" s="7"/>
      <c r="K3539" s="74"/>
      <c r="L3539" s="74"/>
      <c r="N3539" s="7"/>
      <c r="O3539" s="74"/>
      <c r="P3539" s="74"/>
      <c r="R3539" s="7"/>
      <c r="S3539" s="7"/>
      <c r="T3539" s="66"/>
    </row>
    <row r="3540" spans="1:20" ht="13.2">
      <c r="A3540" s="7"/>
      <c r="B3540" s="7"/>
      <c r="C3540" s="74"/>
      <c r="D3540" s="74"/>
      <c r="F3540" s="7"/>
      <c r="G3540" s="74"/>
      <c r="H3540" s="74"/>
      <c r="J3540" s="7"/>
      <c r="K3540" s="74"/>
      <c r="L3540" s="74"/>
      <c r="N3540" s="7"/>
      <c r="O3540" s="74"/>
      <c r="P3540" s="74"/>
      <c r="R3540" s="7"/>
      <c r="S3540" s="7"/>
      <c r="T3540" s="66"/>
    </row>
    <row r="3541" spans="1:20" ht="13.2">
      <c r="A3541" s="7"/>
      <c r="B3541" s="7"/>
      <c r="C3541" s="74"/>
      <c r="D3541" s="74"/>
      <c r="F3541" s="7"/>
      <c r="G3541" s="74"/>
      <c r="H3541" s="74"/>
      <c r="J3541" s="7"/>
      <c r="K3541" s="74"/>
      <c r="L3541" s="74"/>
      <c r="N3541" s="7"/>
      <c r="O3541" s="74"/>
      <c r="P3541" s="74"/>
      <c r="R3541" s="7"/>
      <c r="S3541" s="7"/>
      <c r="T3541" s="66"/>
    </row>
    <row r="3542" spans="1:20" ht="13.2">
      <c r="A3542" s="7"/>
      <c r="B3542" s="7"/>
      <c r="C3542" s="74"/>
      <c r="D3542" s="74"/>
      <c r="F3542" s="7"/>
      <c r="G3542" s="74"/>
      <c r="H3542" s="74"/>
      <c r="J3542" s="7"/>
      <c r="K3542" s="74"/>
      <c r="L3542" s="74"/>
      <c r="N3542" s="7"/>
      <c r="O3542" s="74"/>
      <c r="P3542" s="74"/>
      <c r="R3542" s="7"/>
      <c r="S3542" s="7"/>
      <c r="T3542" s="66"/>
    </row>
    <row r="3543" spans="1:20" ht="13.2">
      <c r="A3543" s="7"/>
      <c r="B3543" s="7"/>
      <c r="C3543" s="74"/>
      <c r="D3543" s="74"/>
      <c r="F3543" s="7"/>
      <c r="G3543" s="74"/>
      <c r="H3543" s="74"/>
      <c r="J3543" s="7"/>
      <c r="K3543" s="74"/>
      <c r="L3543" s="74"/>
      <c r="N3543" s="7"/>
      <c r="O3543" s="74"/>
      <c r="P3543" s="74"/>
      <c r="R3543" s="7"/>
      <c r="S3543" s="7"/>
      <c r="T3543" s="66"/>
    </row>
    <row r="3544" spans="1:20" ht="13.2">
      <c r="A3544" s="7"/>
      <c r="B3544" s="7"/>
      <c r="C3544" s="74"/>
      <c r="D3544" s="74"/>
      <c r="F3544" s="7"/>
      <c r="G3544" s="74"/>
      <c r="H3544" s="74"/>
      <c r="J3544" s="7"/>
      <c r="K3544" s="74"/>
      <c r="L3544" s="74"/>
      <c r="N3544" s="7"/>
      <c r="O3544" s="74"/>
      <c r="P3544" s="74"/>
      <c r="R3544" s="7"/>
      <c r="S3544" s="7"/>
      <c r="T3544" s="66"/>
    </row>
    <row r="3545" spans="1:20" ht="13.2">
      <c r="A3545" s="7"/>
      <c r="B3545" s="7"/>
      <c r="C3545" s="74"/>
      <c r="D3545" s="74"/>
      <c r="F3545" s="7"/>
      <c r="G3545" s="74"/>
      <c r="H3545" s="74"/>
      <c r="J3545" s="7"/>
      <c r="K3545" s="74"/>
      <c r="L3545" s="74"/>
      <c r="N3545" s="7"/>
      <c r="O3545" s="74"/>
      <c r="P3545" s="74"/>
      <c r="R3545" s="7"/>
      <c r="S3545" s="7"/>
      <c r="T3545" s="66"/>
    </row>
    <row r="3546" spans="1:20" ht="13.2">
      <c r="A3546" s="7"/>
      <c r="B3546" s="7"/>
      <c r="C3546" s="74"/>
      <c r="D3546" s="74"/>
      <c r="F3546" s="7"/>
      <c r="G3546" s="74"/>
      <c r="H3546" s="74"/>
      <c r="J3546" s="7"/>
      <c r="K3546" s="74"/>
      <c r="L3546" s="74"/>
      <c r="N3546" s="7"/>
      <c r="O3546" s="74"/>
      <c r="P3546" s="74"/>
      <c r="R3546" s="7"/>
      <c r="S3546" s="7"/>
      <c r="T3546" s="66"/>
    </row>
    <row r="3547" spans="1:20" ht="13.2">
      <c r="A3547" s="7"/>
      <c r="B3547" s="7"/>
      <c r="C3547" s="74"/>
      <c r="D3547" s="74"/>
      <c r="F3547" s="7"/>
      <c r="G3547" s="74"/>
      <c r="H3547" s="74"/>
      <c r="J3547" s="7"/>
      <c r="K3547" s="74"/>
      <c r="L3547" s="74"/>
      <c r="N3547" s="7"/>
      <c r="O3547" s="74"/>
      <c r="P3547" s="74"/>
      <c r="R3547" s="7"/>
      <c r="S3547" s="7"/>
      <c r="T3547" s="66"/>
    </row>
    <row r="3548" spans="1:20" ht="13.2">
      <c r="A3548" s="7"/>
      <c r="B3548" s="7"/>
      <c r="C3548" s="74"/>
      <c r="D3548" s="74"/>
      <c r="F3548" s="7"/>
      <c r="G3548" s="74"/>
      <c r="H3548" s="74"/>
      <c r="J3548" s="7"/>
      <c r="K3548" s="74"/>
      <c r="L3548" s="74"/>
      <c r="N3548" s="7"/>
      <c r="O3548" s="74"/>
      <c r="P3548" s="74"/>
      <c r="R3548" s="7"/>
      <c r="S3548" s="7"/>
      <c r="T3548" s="66"/>
    </row>
    <row r="3549" spans="1:20" ht="13.2">
      <c r="A3549" s="7"/>
      <c r="B3549" s="7"/>
      <c r="C3549" s="74"/>
      <c r="D3549" s="74"/>
      <c r="F3549" s="7"/>
      <c r="G3549" s="74"/>
      <c r="H3549" s="74"/>
      <c r="J3549" s="7"/>
      <c r="K3549" s="74"/>
      <c r="L3549" s="74"/>
      <c r="N3549" s="7"/>
      <c r="O3549" s="74"/>
      <c r="P3549" s="74"/>
      <c r="R3549" s="7"/>
      <c r="S3549" s="7"/>
      <c r="T3549" s="66"/>
    </row>
    <row r="3550" spans="1:20" ht="13.2">
      <c r="A3550" s="7"/>
      <c r="B3550" s="7"/>
      <c r="C3550" s="74"/>
      <c r="D3550" s="74"/>
      <c r="F3550" s="7"/>
      <c r="G3550" s="74"/>
      <c r="H3550" s="74"/>
      <c r="J3550" s="7"/>
      <c r="K3550" s="74"/>
      <c r="L3550" s="74"/>
      <c r="N3550" s="7"/>
      <c r="O3550" s="74"/>
      <c r="P3550" s="74"/>
      <c r="R3550" s="7"/>
      <c r="S3550" s="7"/>
      <c r="T3550" s="66"/>
    </row>
    <row r="3551" spans="1:20" ht="13.2">
      <c r="A3551" s="7"/>
      <c r="B3551" s="7"/>
      <c r="C3551" s="74"/>
      <c r="D3551" s="74"/>
      <c r="F3551" s="7"/>
      <c r="G3551" s="74"/>
      <c r="H3551" s="74"/>
      <c r="J3551" s="7"/>
      <c r="K3551" s="74"/>
      <c r="L3551" s="74"/>
      <c r="N3551" s="7"/>
      <c r="O3551" s="74"/>
      <c r="P3551" s="74"/>
      <c r="R3551" s="7"/>
      <c r="S3551" s="7"/>
      <c r="T3551" s="66"/>
    </row>
    <row r="3552" spans="1:20" ht="13.2">
      <c r="A3552" s="7"/>
      <c r="B3552" s="7"/>
      <c r="C3552" s="74"/>
      <c r="D3552" s="74"/>
      <c r="F3552" s="7"/>
      <c r="G3552" s="74"/>
      <c r="H3552" s="74"/>
      <c r="J3552" s="7"/>
      <c r="K3552" s="74"/>
      <c r="L3552" s="74"/>
      <c r="N3552" s="7"/>
      <c r="O3552" s="74"/>
      <c r="P3552" s="74"/>
      <c r="R3552" s="7"/>
      <c r="S3552" s="7"/>
      <c r="T3552" s="66"/>
    </row>
    <row r="3553" spans="1:20" ht="13.2">
      <c r="A3553" s="7"/>
      <c r="B3553" s="7"/>
      <c r="C3553" s="74"/>
      <c r="D3553" s="74"/>
      <c r="F3553" s="7"/>
      <c r="G3553" s="74"/>
      <c r="H3553" s="74"/>
      <c r="J3553" s="7"/>
      <c r="K3553" s="74"/>
      <c r="L3553" s="74"/>
      <c r="N3553" s="7"/>
      <c r="O3553" s="74"/>
      <c r="P3553" s="74"/>
      <c r="R3553" s="7"/>
      <c r="S3553" s="7"/>
      <c r="T3553" s="66"/>
    </row>
    <row r="3554" spans="1:20" ht="13.2">
      <c r="A3554" s="7"/>
      <c r="B3554" s="7"/>
      <c r="C3554" s="74"/>
      <c r="D3554" s="74"/>
      <c r="F3554" s="7"/>
      <c r="G3554" s="74"/>
      <c r="H3554" s="74"/>
      <c r="J3554" s="7"/>
      <c r="K3554" s="74"/>
      <c r="L3554" s="74"/>
      <c r="N3554" s="7"/>
      <c r="O3554" s="74"/>
      <c r="P3554" s="74"/>
      <c r="R3554" s="7"/>
      <c r="S3554" s="7"/>
      <c r="T3554" s="66"/>
    </row>
    <row r="3555" spans="1:20" ht="13.2">
      <c r="A3555" s="7"/>
      <c r="B3555" s="7"/>
      <c r="C3555" s="74"/>
      <c r="D3555" s="74"/>
      <c r="F3555" s="7"/>
      <c r="G3555" s="74"/>
      <c r="H3555" s="74"/>
      <c r="J3555" s="7"/>
      <c r="K3555" s="74"/>
      <c r="L3555" s="74"/>
      <c r="N3555" s="7"/>
      <c r="O3555" s="74"/>
      <c r="P3555" s="74"/>
      <c r="R3555" s="7"/>
      <c r="S3555" s="7"/>
      <c r="T3555" s="66"/>
    </row>
    <row r="3556" spans="1:20" ht="13.2">
      <c r="A3556" s="7"/>
      <c r="B3556" s="7"/>
      <c r="C3556" s="74"/>
      <c r="D3556" s="74"/>
      <c r="F3556" s="7"/>
      <c r="G3556" s="74"/>
      <c r="H3556" s="74"/>
      <c r="J3556" s="7"/>
      <c r="K3556" s="74"/>
      <c r="L3556" s="74"/>
      <c r="N3556" s="7"/>
      <c r="O3556" s="74"/>
      <c r="P3556" s="74"/>
      <c r="R3556" s="7"/>
      <c r="S3556" s="7"/>
      <c r="T3556" s="66"/>
    </row>
    <row r="3557" spans="1:20" ht="13.2">
      <c r="A3557" s="7"/>
      <c r="B3557" s="7"/>
      <c r="C3557" s="74"/>
      <c r="D3557" s="74"/>
      <c r="F3557" s="7"/>
      <c r="G3557" s="74"/>
      <c r="H3557" s="74"/>
      <c r="J3557" s="7"/>
      <c r="K3557" s="74"/>
      <c r="L3557" s="74"/>
      <c r="N3557" s="7"/>
      <c r="O3557" s="74"/>
      <c r="P3557" s="74"/>
      <c r="R3557" s="7"/>
      <c r="S3557" s="7"/>
      <c r="T3557" s="66"/>
    </row>
    <row r="3558" spans="1:20" ht="13.2">
      <c r="A3558" s="7"/>
      <c r="B3558" s="7"/>
      <c r="C3558" s="74"/>
      <c r="D3558" s="74"/>
      <c r="F3558" s="7"/>
      <c r="G3558" s="74"/>
      <c r="H3558" s="74"/>
      <c r="J3558" s="7"/>
      <c r="K3558" s="74"/>
      <c r="L3558" s="74"/>
      <c r="N3558" s="7"/>
      <c r="O3558" s="74"/>
      <c r="P3558" s="74"/>
      <c r="R3558" s="7"/>
      <c r="S3558" s="7"/>
      <c r="T3558" s="66"/>
    </row>
    <row r="3559" spans="1:20" ht="13.2">
      <c r="A3559" s="7"/>
      <c r="B3559" s="7"/>
      <c r="C3559" s="74"/>
      <c r="D3559" s="74"/>
      <c r="F3559" s="7"/>
      <c r="G3559" s="74"/>
      <c r="H3559" s="74"/>
      <c r="J3559" s="7"/>
      <c r="K3559" s="74"/>
      <c r="L3559" s="74"/>
      <c r="N3559" s="7"/>
      <c r="O3559" s="74"/>
      <c r="P3559" s="74"/>
      <c r="R3559" s="7"/>
      <c r="S3559" s="7"/>
      <c r="T3559" s="66"/>
    </row>
    <row r="3560" spans="1:20" ht="13.2">
      <c r="A3560" s="7"/>
      <c r="B3560" s="7"/>
      <c r="C3560" s="74"/>
      <c r="D3560" s="74"/>
      <c r="F3560" s="7"/>
      <c r="G3560" s="74"/>
      <c r="H3560" s="74"/>
      <c r="J3560" s="7"/>
      <c r="K3560" s="74"/>
      <c r="L3560" s="74"/>
      <c r="N3560" s="7"/>
      <c r="O3560" s="74"/>
      <c r="P3560" s="74"/>
      <c r="R3560" s="7"/>
      <c r="S3560" s="7"/>
      <c r="T3560" s="66"/>
    </row>
    <row r="3561" spans="1:20" ht="13.2">
      <c r="A3561" s="7"/>
      <c r="B3561" s="7"/>
      <c r="C3561" s="74"/>
      <c r="D3561" s="74"/>
      <c r="F3561" s="7"/>
      <c r="G3561" s="74"/>
      <c r="H3561" s="74"/>
      <c r="J3561" s="7"/>
      <c r="K3561" s="74"/>
      <c r="L3561" s="74"/>
      <c r="N3561" s="7"/>
      <c r="O3561" s="74"/>
      <c r="P3561" s="74"/>
      <c r="R3561" s="7"/>
      <c r="S3561" s="7"/>
      <c r="T3561" s="66"/>
    </row>
    <row r="3562" spans="1:20" ht="13.2">
      <c r="A3562" s="7"/>
      <c r="B3562" s="7"/>
      <c r="C3562" s="74"/>
      <c r="D3562" s="74"/>
      <c r="F3562" s="7"/>
      <c r="G3562" s="74"/>
      <c r="H3562" s="74"/>
      <c r="J3562" s="7"/>
      <c r="K3562" s="74"/>
      <c r="L3562" s="74"/>
      <c r="N3562" s="7"/>
      <c r="O3562" s="74"/>
      <c r="P3562" s="74"/>
      <c r="R3562" s="7"/>
      <c r="S3562" s="7"/>
      <c r="T3562" s="66"/>
    </row>
    <row r="3563" spans="1:20" ht="13.2">
      <c r="A3563" s="7"/>
      <c r="B3563" s="7"/>
      <c r="C3563" s="74"/>
      <c r="D3563" s="74"/>
      <c r="F3563" s="7"/>
      <c r="G3563" s="74"/>
      <c r="H3563" s="74"/>
      <c r="J3563" s="7"/>
      <c r="K3563" s="74"/>
      <c r="L3563" s="74"/>
      <c r="N3563" s="7"/>
      <c r="O3563" s="74"/>
      <c r="P3563" s="74"/>
      <c r="R3563" s="7"/>
      <c r="S3563" s="7"/>
      <c r="T3563" s="66"/>
    </row>
    <row r="3564" spans="1:20" ht="13.2">
      <c r="A3564" s="7"/>
      <c r="B3564" s="7"/>
      <c r="C3564" s="74"/>
      <c r="D3564" s="74"/>
      <c r="F3564" s="7"/>
      <c r="G3564" s="74"/>
      <c r="H3564" s="74"/>
      <c r="J3564" s="7"/>
      <c r="K3564" s="74"/>
      <c r="L3564" s="74"/>
      <c r="N3564" s="7"/>
      <c r="O3564" s="74"/>
      <c r="P3564" s="74"/>
      <c r="R3564" s="7"/>
      <c r="S3564" s="7"/>
      <c r="T3564" s="66"/>
    </row>
    <row r="3565" spans="1:20" ht="13.2">
      <c r="A3565" s="7"/>
      <c r="B3565" s="7"/>
      <c r="C3565" s="74"/>
      <c r="D3565" s="74"/>
      <c r="F3565" s="7"/>
      <c r="G3565" s="74"/>
      <c r="H3565" s="74"/>
      <c r="J3565" s="7"/>
      <c r="K3565" s="74"/>
      <c r="L3565" s="74"/>
      <c r="N3565" s="7"/>
      <c r="O3565" s="74"/>
      <c r="P3565" s="74"/>
      <c r="R3565" s="7"/>
      <c r="S3565" s="7"/>
      <c r="T3565" s="66"/>
    </row>
    <row r="3566" spans="1:20" ht="13.2">
      <c r="A3566" s="7"/>
      <c r="B3566" s="7"/>
      <c r="C3566" s="74"/>
      <c r="D3566" s="74"/>
      <c r="F3566" s="7"/>
      <c r="G3566" s="74"/>
      <c r="H3566" s="74"/>
      <c r="J3566" s="7"/>
      <c r="K3566" s="74"/>
      <c r="L3566" s="74"/>
      <c r="N3566" s="7"/>
      <c r="O3566" s="74"/>
      <c r="P3566" s="74"/>
      <c r="R3566" s="7"/>
      <c r="S3566" s="7"/>
      <c r="T3566" s="66"/>
    </row>
    <row r="3567" spans="1:20" ht="13.2">
      <c r="A3567" s="7"/>
      <c r="B3567" s="7"/>
      <c r="C3567" s="74"/>
      <c r="D3567" s="74"/>
      <c r="F3567" s="7"/>
      <c r="G3567" s="74"/>
      <c r="H3567" s="74"/>
      <c r="J3567" s="7"/>
      <c r="K3567" s="74"/>
      <c r="L3567" s="74"/>
      <c r="N3567" s="7"/>
      <c r="O3567" s="74"/>
      <c r="P3567" s="74"/>
      <c r="R3567" s="7"/>
      <c r="S3567" s="7"/>
      <c r="T3567" s="66"/>
    </row>
    <row r="3568" spans="1:20" ht="13.2">
      <c r="A3568" s="7"/>
      <c r="B3568" s="7"/>
      <c r="C3568" s="74"/>
      <c r="D3568" s="74"/>
      <c r="F3568" s="7"/>
      <c r="G3568" s="74"/>
      <c r="H3568" s="74"/>
      <c r="J3568" s="7"/>
      <c r="K3568" s="74"/>
      <c r="L3568" s="74"/>
      <c r="N3568" s="7"/>
      <c r="O3568" s="74"/>
      <c r="P3568" s="74"/>
      <c r="R3568" s="7"/>
      <c r="S3568" s="7"/>
      <c r="T3568" s="66"/>
    </row>
    <row r="3569" spans="1:20" ht="13.2">
      <c r="A3569" s="7"/>
      <c r="B3569" s="7"/>
      <c r="C3569" s="74"/>
      <c r="D3569" s="74"/>
      <c r="F3569" s="7"/>
      <c r="G3569" s="74"/>
      <c r="H3569" s="74"/>
      <c r="J3569" s="7"/>
      <c r="K3569" s="74"/>
      <c r="L3569" s="74"/>
      <c r="N3569" s="7"/>
      <c r="O3569" s="74"/>
      <c r="P3569" s="74"/>
      <c r="R3569" s="7"/>
      <c r="S3569" s="7"/>
      <c r="T3569" s="66"/>
    </row>
    <row r="3570" spans="1:20" ht="13.2">
      <c r="A3570" s="7"/>
      <c r="B3570" s="7"/>
      <c r="C3570" s="74"/>
      <c r="D3570" s="74"/>
      <c r="F3570" s="7"/>
      <c r="G3570" s="74"/>
      <c r="H3570" s="74"/>
      <c r="J3570" s="7"/>
      <c r="K3570" s="74"/>
      <c r="L3570" s="74"/>
      <c r="N3570" s="7"/>
      <c r="O3570" s="74"/>
      <c r="P3570" s="74"/>
      <c r="R3570" s="7"/>
      <c r="S3570" s="7"/>
      <c r="T3570" s="66"/>
    </row>
    <row r="3571" spans="1:20" ht="13.2">
      <c r="A3571" s="7"/>
      <c r="B3571" s="7"/>
      <c r="C3571" s="74"/>
      <c r="D3571" s="74"/>
      <c r="F3571" s="7"/>
      <c r="G3571" s="74"/>
      <c r="H3571" s="74"/>
      <c r="J3571" s="7"/>
      <c r="K3571" s="74"/>
      <c r="L3571" s="74"/>
      <c r="N3571" s="7"/>
      <c r="O3571" s="74"/>
      <c r="P3571" s="74"/>
      <c r="R3571" s="7"/>
      <c r="S3571" s="7"/>
      <c r="T3571" s="66"/>
    </row>
    <row r="3572" spans="1:20" ht="13.2">
      <c r="A3572" s="7"/>
      <c r="B3572" s="7"/>
      <c r="C3572" s="74"/>
      <c r="D3572" s="74"/>
      <c r="F3572" s="7"/>
      <c r="G3572" s="74"/>
      <c r="H3572" s="74"/>
      <c r="J3572" s="7"/>
      <c r="K3572" s="74"/>
      <c r="L3572" s="74"/>
      <c r="N3572" s="7"/>
      <c r="O3572" s="74"/>
      <c r="P3572" s="74"/>
      <c r="R3572" s="7"/>
      <c r="S3572" s="7"/>
      <c r="T3572" s="66"/>
    </row>
    <row r="3573" spans="1:20" ht="13.2">
      <c r="A3573" s="7"/>
      <c r="B3573" s="7"/>
      <c r="C3573" s="74"/>
      <c r="D3573" s="74"/>
      <c r="F3573" s="7"/>
      <c r="G3573" s="74"/>
      <c r="H3573" s="74"/>
      <c r="J3573" s="7"/>
      <c r="K3573" s="74"/>
      <c r="L3573" s="74"/>
      <c r="N3573" s="7"/>
      <c r="O3573" s="74"/>
      <c r="P3573" s="74"/>
      <c r="R3573" s="7"/>
      <c r="S3573" s="7"/>
      <c r="T3573" s="66"/>
    </row>
    <row r="3574" spans="1:20" ht="13.2">
      <c r="A3574" s="7"/>
      <c r="B3574" s="7"/>
      <c r="C3574" s="74"/>
      <c r="D3574" s="74"/>
      <c r="F3574" s="7"/>
      <c r="G3574" s="74"/>
      <c r="H3574" s="74"/>
      <c r="J3574" s="7"/>
      <c r="K3574" s="74"/>
      <c r="L3574" s="74"/>
      <c r="N3574" s="7"/>
      <c r="O3574" s="74"/>
      <c r="P3574" s="74"/>
      <c r="R3574" s="7"/>
      <c r="S3574" s="7"/>
      <c r="T3574" s="66"/>
    </row>
    <row r="3575" spans="1:20" ht="13.2">
      <c r="A3575" s="7"/>
      <c r="B3575" s="7"/>
      <c r="C3575" s="74"/>
      <c r="D3575" s="74"/>
      <c r="F3575" s="7"/>
      <c r="G3575" s="74"/>
      <c r="H3575" s="74"/>
      <c r="J3575" s="7"/>
      <c r="K3575" s="74"/>
      <c r="L3575" s="74"/>
      <c r="N3575" s="7"/>
      <c r="O3575" s="74"/>
      <c r="P3575" s="74"/>
      <c r="R3575" s="7"/>
      <c r="S3575" s="7"/>
      <c r="T3575" s="66"/>
    </row>
    <row r="3576" spans="1:20" ht="13.2">
      <c r="A3576" s="7"/>
      <c r="B3576" s="7"/>
      <c r="C3576" s="74"/>
      <c r="D3576" s="74"/>
      <c r="F3576" s="7"/>
      <c r="G3576" s="74"/>
      <c r="H3576" s="74"/>
      <c r="J3576" s="7"/>
      <c r="K3576" s="74"/>
      <c r="L3576" s="74"/>
      <c r="N3576" s="7"/>
      <c r="O3576" s="74"/>
      <c r="P3576" s="74"/>
      <c r="R3576" s="7"/>
      <c r="S3576" s="7"/>
      <c r="T3576" s="66"/>
    </row>
    <row r="3577" spans="1:20" ht="13.2">
      <c r="A3577" s="7"/>
      <c r="B3577" s="7"/>
      <c r="C3577" s="74"/>
      <c r="D3577" s="74"/>
      <c r="F3577" s="7"/>
      <c r="G3577" s="74"/>
      <c r="H3577" s="74"/>
      <c r="J3577" s="7"/>
      <c r="K3577" s="74"/>
      <c r="L3577" s="74"/>
      <c r="N3577" s="7"/>
      <c r="O3577" s="74"/>
      <c r="P3577" s="74"/>
      <c r="R3577" s="7"/>
      <c r="S3577" s="7"/>
      <c r="T3577" s="66"/>
    </row>
    <row r="3578" spans="1:20" ht="13.2">
      <c r="A3578" s="7"/>
      <c r="B3578" s="7"/>
      <c r="C3578" s="74"/>
      <c r="D3578" s="74"/>
      <c r="F3578" s="7"/>
      <c r="G3578" s="74"/>
      <c r="H3578" s="74"/>
      <c r="J3578" s="7"/>
      <c r="K3578" s="74"/>
      <c r="L3578" s="74"/>
      <c r="N3578" s="7"/>
      <c r="O3578" s="74"/>
      <c r="P3578" s="74"/>
      <c r="R3578" s="7"/>
      <c r="S3578" s="7"/>
      <c r="T3578" s="66"/>
    </row>
    <row r="3579" spans="1:20" ht="13.2">
      <c r="A3579" s="7"/>
      <c r="B3579" s="7"/>
      <c r="C3579" s="74"/>
      <c r="D3579" s="74"/>
      <c r="F3579" s="7"/>
      <c r="G3579" s="74"/>
      <c r="H3579" s="74"/>
      <c r="J3579" s="7"/>
      <c r="K3579" s="74"/>
      <c r="L3579" s="74"/>
      <c r="N3579" s="7"/>
      <c r="O3579" s="74"/>
      <c r="P3579" s="74"/>
      <c r="R3579" s="7"/>
      <c r="S3579" s="7"/>
      <c r="T3579" s="66"/>
    </row>
    <row r="3580" spans="1:20" ht="13.2">
      <c r="A3580" s="7"/>
      <c r="B3580" s="7"/>
      <c r="C3580" s="74"/>
      <c r="D3580" s="74"/>
      <c r="F3580" s="7"/>
      <c r="G3580" s="74"/>
      <c r="H3580" s="74"/>
      <c r="J3580" s="7"/>
      <c r="K3580" s="74"/>
      <c r="L3580" s="74"/>
      <c r="N3580" s="7"/>
      <c r="O3580" s="74"/>
      <c r="P3580" s="74"/>
      <c r="R3580" s="7"/>
      <c r="S3580" s="7"/>
      <c r="T3580" s="66"/>
    </row>
    <row r="3581" spans="1:20" ht="13.2">
      <c r="A3581" s="7"/>
      <c r="B3581" s="7"/>
      <c r="C3581" s="74"/>
      <c r="D3581" s="74"/>
      <c r="F3581" s="7"/>
      <c r="G3581" s="74"/>
      <c r="H3581" s="74"/>
      <c r="J3581" s="7"/>
      <c r="K3581" s="74"/>
      <c r="L3581" s="74"/>
      <c r="N3581" s="7"/>
      <c r="O3581" s="74"/>
      <c r="P3581" s="74"/>
      <c r="R3581" s="7"/>
      <c r="S3581" s="7"/>
      <c r="T3581" s="66"/>
    </row>
    <row r="3582" spans="1:20" ht="13.2">
      <c r="A3582" s="7"/>
      <c r="B3582" s="7"/>
      <c r="C3582" s="74"/>
      <c r="D3582" s="74"/>
      <c r="F3582" s="7"/>
      <c r="G3582" s="74"/>
      <c r="H3582" s="74"/>
      <c r="J3582" s="7"/>
      <c r="K3582" s="74"/>
      <c r="L3582" s="74"/>
      <c r="N3582" s="7"/>
      <c r="O3582" s="74"/>
      <c r="P3582" s="74"/>
      <c r="R3582" s="7"/>
      <c r="S3582" s="7"/>
      <c r="T3582" s="66"/>
    </row>
    <row r="3583" spans="1:20" ht="13.2">
      <c r="A3583" s="7"/>
      <c r="B3583" s="7"/>
      <c r="C3583" s="74"/>
      <c r="D3583" s="74"/>
      <c r="F3583" s="7"/>
      <c r="G3583" s="74"/>
      <c r="H3583" s="74"/>
      <c r="J3583" s="7"/>
      <c r="K3583" s="74"/>
      <c r="L3583" s="74"/>
      <c r="N3583" s="7"/>
      <c r="O3583" s="74"/>
      <c r="P3583" s="74"/>
      <c r="R3583" s="7"/>
      <c r="S3583" s="7"/>
      <c r="T3583" s="66"/>
    </row>
    <row r="3584" spans="1:20" ht="13.2">
      <c r="A3584" s="7"/>
      <c r="B3584" s="7"/>
      <c r="C3584" s="74"/>
      <c r="D3584" s="74"/>
      <c r="F3584" s="7"/>
      <c r="G3584" s="74"/>
      <c r="H3584" s="74"/>
      <c r="J3584" s="7"/>
      <c r="K3584" s="74"/>
      <c r="L3584" s="74"/>
      <c r="N3584" s="7"/>
      <c r="O3584" s="74"/>
      <c r="P3584" s="74"/>
      <c r="R3584" s="7"/>
      <c r="S3584" s="7"/>
      <c r="T3584" s="66"/>
    </row>
    <row r="3585" spans="1:20" ht="13.2">
      <c r="A3585" s="7"/>
      <c r="B3585" s="7"/>
      <c r="C3585" s="74"/>
      <c r="D3585" s="74"/>
      <c r="F3585" s="7"/>
      <c r="G3585" s="74"/>
      <c r="H3585" s="74"/>
      <c r="J3585" s="7"/>
      <c r="K3585" s="74"/>
      <c r="L3585" s="74"/>
      <c r="N3585" s="7"/>
      <c r="O3585" s="74"/>
      <c r="P3585" s="74"/>
      <c r="R3585" s="7"/>
      <c r="S3585" s="7"/>
      <c r="T3585" s="66"/>
    </row>
    <row r="3586" spans="1:20" ht="13.2">
      <c r="A3586" s="7"/>
      <c r="B3586" s="7"/>
      <c r="C3586" s="74"/>
      <c r="D3586" s="74"/>
      <c r="F3586" s="7"/>
      <c r="G3586" s="74"/>
      <c r="H3586" s="74"/>
      <c r="J3586" s="7"/>
      <c r="K3586" s="74"/>
      <c r="L3586" s="74"/>
      <c r="N3586" s="7"/>
      <c r="O3586" s="74"/>
      <c r="P3586" s="74"/>
      <c r="R3586" s="7"/>
      <c r="S3586" s="7"/>
      <c r="T3586" s="66"/>
    </row>
    <row r="3587" spans="1:20" ht="13.2">
      <c r="A3587" s="7"/>
      <c r="B3587" s="7"/>
      <c r="C3587" s="74"/>
      <c r="D3587" s="74"/>
      <c r="F3587" s="7"/>
      <c r="G3587" s="74"/>
      <c r="H3587" s="74"/>
      <c r="J3587" s="7"/>
      <c r="K3587" s="74"/>
      <c r="L3587" s="74"/>
      <c r="N3587" s="7"/>
      <c r="O3587" s="74"/>
      <c r="P3587" s="74"/>
      <c r="R3587" s="7"/>
      <c r="S3587" s="7"/>
      <c r="T3587" s="66"/>
    </row>
    <row r="3588" spans="1:20" ht="13.2">
      <c r="A3588" s="7"/>
      <c r="B3588" s="7"/>
      <c r="C3588" s="74"/>
      <c r="D3588" s="74"/>
      <c r="F3588" s="7"/>
      <c r="G3588" s="74"/>
      <c r="H3588" s="74"/>
      <c r="J3588" s="7"/>
      <c r="K3588" s="74"/>
      <c r="L3588" s="74"/>
      <c r="N3588" s="7"/>
      <c r="O3588" s="74"/>
      <c r="P3588" s="74"/>
      <c r="R3588" s="7"/>
      <c r="S3588" s="7"/>
      <c r="T3588" s="66"/>
    </row>
    <row r="3589" spans="1:20" ht="13.2">
      <c r="A3589" s="7"/>
      <c r="B3589" s="7"/>
      <c r="C3589" s="74"/>
      <c r="D3589" s="74"/>
      <c r="F3589" s="7"/>
      <c r="G3589" s="74"/>
      <c r="H3589" s="74"/>
      <c r="J3589" s="7"/>
      <c r="K3589" s="74"/>
      <c r="L3589" s="74"/>
      <c r="N3589" s="7"/>
      <c r="O3589" s="74"/>
      <c r="P3589" s="74"/>
      <c r="R3589" s="7"/>
      <c r="S3589" s="7"/>
      <c r="T3589" s="66"/>
    </row>
    <row r="3590" spans="1:20" ht="13.2">
      <c r="A3590" s="7"/>
      <c r="B3590" s="7"/>
      <c r="C3590" s="74"/>
      <c r="D3590" s="74"/>
      <c r="F3590" s="7"/>
      <c r="G3590" s="74"/>
      <c r="H3590" s="74"/>
      <c r="J3590" s="7"/>
      <c r="K3590" s="74"/>
      <c r="L3590" s="74"/>
      <c r="N3590" s="7"/>
      <c r="O3590" s="74"/>
      <c r="P3590" s="74"/>
      <c r="R3590" s="7"/>
      <c r="S3590" s="7"/>
      <c r="T3590" s="66"/>
    </row>
    <row r="3591" spans="1:20" ht="13.2">
      <c r="A3591" s="7"/>
      <c r="B3591" s="7"/>
      <c r="C3591" s="74"/>
      <c r="D3591" s="74"/>
      <c r="F3591" s="7"/>
      <c r="G3591" s="74"/>
      <c r="H3591" s="74"/>
      <c r="J3591" s="7"/>
      <c r="K3591" s="74"/>
      <c r="L3591" s="74"/>
      <c r="N3591" s="7"/>
      <c r="O3591" s="74"/>
      <c r="P3591" s="74"/>
      <c r="R3591" s="7"/>
      <c r="S3591" s="7"/>
      <c r="T3591" s="66"/>
    </row>
    <row r="3592" spans="1:20" ht="13.2">
      <c r="A3592" s="7"/>
      <c r="B3592" s="7"/>
      <c r="C3592" s="74"/>
      <c r="D3592" s="74"/>
      <c r="F3592" s="7"/>
      <c r="G3592" s="74"/>
      <c r="H3592" s="74"/>
      <c r="J3592" s="7"/>
      <c r="K3592" s="74"/>
      <c r="L3592" s="74"/>
      <c r="N3592" s="7"/>
      <c r="O3592" s="74"/>
      <c r="P3592" s="74"/>
      <c r="R3592" s="7"/>
      <c r="S3592" s="7"/>
      <c r="T3592" s="66"/>
    </row>
    <row r="3593" spans="1:20" ht="13.2">
      <c r="A3593" s="7"/>
      <c r="B3593" s="7"/>
      <c r="C3593" s="74"/>
      <c r="D3593" s="74"/>
      <c r="F3593" s="7"/>
      <c r="G3593" s="74"/>
      <c r="H3593" s="74"/>
      <c r="J3593" s="7"/>
      <c r="K3593" s="74"/>
      <c r="L3593" s="74"/>
      <c r="N3593" s="7"/>
      <c r="O3593" s="74"/>
      <c r="P3593" s="74"/>
      <c r="R3593" s="7"/>
      <c r="S3593" s="7"/>
      <c r="T3593" s="66"/>
    </row>
    <row r="3594" spans="1:20" ht="13.2">
      <c r="A3594" s="7"/>
      <c r="B3594" s="7"/>
      <c r="C3594" s="74"/>
      <c r="D3594" s="74"/>
      <c r="F3594" s="7"/>
      <c r="G3594" s="74"/>
      <c r="H3594" s="74"/>
      <c r="J3594" s="7"/>
      <c r="K3594" s="74"/>
      <c r="L3594" s="74"/>
      <c r="N3594" s="7"/>
      <c r="O3594" s="74"/>
      <c r="P3594" s="74"/>
      <c r="R3594" s="7"/>
      <c r="S3594" s="7"/>
      <c r="T3594" s="66"/>
    </row>
    <row r="3595" spans="1:20" ht="13.2">
      <c r="A3595" s="7"/>
      <c r="B3595" s="7"/>
      <c r="C3595" s="74"/>
      <c r="D3595" s="74"/>
      <c r="F3595" s="7"/>
      <c r="G3595" s="74"/>
      <c r="H3595" s="74"/>
      <c r="J3595" s="7"/>
      <c r="K3595" s="74"/>
      <c r="L3595" s="74"/>
      <c r="N3595" s="7"/>
      <c r="O3595" s="74"/>
      <c r="P3595" s="74"/>
      <c r="R3595" s="7"/>
      <c r="S3595" s="7"/>
      <c r="T3595" s="66"/>
    </row>
    <row r="3596" spans="1:20" ht="13.2">
      <c r="A3596" s="7"/>
      <c r="B3596" s="7"/>
      <c r="C3596" s="74"/>
      <c r="D3596" s="74"/>
      <c r="F3596" s="7"/>
      <c r="G3596" s="74"/>
      <c r="H3596" s="74"/>
      <c r="J3596" s="7"/>
      <c r="K3596" s="74"/>
      <c r="L3596" s="74"/>
      <c r="N3596" s="7"/>
      <c r="O3596" s="74"/>
      <c r="P3596" s="74"/>
      <c r="R3596" s="7"/>
      <c r="S3596" s="7"/>
      <c r="T3596" s="66"/>
    </row>
    <row r="3597" spans="1:20" ht="13.2">
      <c r="A3597" s="7"/>
      <c r="B3597" s="7"/>
      <c r="C3597" s="74"/>
      <c r="D3597" s="74"/>
      <c r="F3597" s="7"/>
      <c r="G3597" s="74"/>
      <c r="H3597" s="74"/>
      <c r="J3597" s="7"/>
      <c r="K3597" s="74"/>
      <c r="L3597" s="74"/>
      <c r="N3597" s="7"/>
      <c r="O3597" s="74"/>
      <c r="P3597" s="74"/>
      <c r="R3597" s="7"/>
      <c r="S3597" s="7"/>
      <c r="T3597" s="66"/>
    </row>
    <row r="3598" spans="1:20" ht="13.2">
      <c r="A3598" s="7"/>
      <c r="B3598" s="7"/>
      <c r="C3598" s="74"/>
      <c r="D3598" s="74"/>
      <c r="F3598" s="7"/>
      <c r="G3598" s="74"/>
      <c r="H3598" s="74"/>
      <c r="J3598" s="7"/>
      <c r="K3598" s="74"/>
      <c r="L3598" s="74"/>
      <c r="N3598" s="7"/>
      <c r="O3598" s="74"/>
      <c r="P3598" s="74"/>
      <c r="R3598" s="7"/>
      <c r="S3598" s="7"/>
      <c r="T3598" s="66"/>
    </row>
    <row r="3599" spans="1:20" ht="13.2">
      <c r="A3599" s="7"/>
      <c r="B3599" s="7"/>
      <c r="C3599" s="74"/>
      <c r="D3599" s="74"/>
      <c r="F3599" s="7"/>
      <c r="G3599" s="74"/>
      <c r="H3599" s="74"/>
      <c r="J3599" s="7"/>
      <c r="K3599" s="74"/>
      <c r="L3599" s="74"/>
      <c r="N3599" s="7"/>
      <c r="O3599" s="74"/>
      <c r="P3599" s="74"/>
      <c r="R3599" s="7"/>
      <c r="S3599" s="7"/>
      <c r="T3599" s="66"/>
    </row>
    <row r="3600" spans="1:20" ht="13.2">
      <c r="A3600" s="7"/>
      <c r="B3600" s="7"/>
      <c r="C3600" s="74"/>
      <c r="D3600" s="74"/>
      <c r="F3600" s="7"/>
      <c r="G3600" s="74"/>
      <c r="H3600" s="74"/>
      <c r="J3600" s="7"/>
      <c r="K3600" s="74"/>
      <c r="L3600" s="74"/>
      <c r="N3600" s="7"/>
      <c r="O3600" s="74"/>
      <c r="P3600" s="74"/>
      <c r="R3600" s="7"/>
      <c r="S3600" s="7"/>
      <c r="T3600" s="66"/>
    </row>
    <row r="3601" spans="1:20" ht="13.2">
      <c r="A3601" s="7"/>
      <c r="B3601" s="7"/>
      <c r="C3601" s="74"/>
      <c r="D3601" s="74"/>
      <c r="F3601" s="7"/>
      <c r="G3601" s="74"/>
      <c r="H3601" s="74"/>
      <c r="J3601" s="7"/>
      <c r="K3601" s="74"/>
      <c r="L3601" s="74"/>
      <c r="N3601" s="7"/>
      <c r="O3601" s="74"/>
      <c r="P3601" s="74"/>
      <c r="R3601" s="7"/>
      <c r="S3601" s="7"/>
      <c r="T3601" s="66"/>
    </row>
    <row r="3602" spans="1:20" ht="13.2">
      <c r="A3602" s="7"/>
      <c r="B3602" s="7"/>
      <c r="C3602" s="74"/>
      <c r="D3602" s="74"/>
      <c r="F3602" s="7"/>
      <c r="G3602" s="74"/>
      <c r="H3602" s="74"/>
      <c r="J3602" s="7"/>
      <c r="K3602" s="74"/>
      <c r="L3602" s="74"/>
      <c r="N3602" s="7"/>
      <c r="O3602" s="74"/>
      <c r="P3602" s="74"/>
      <c r="R3602" s="7"/>
      <c r="S3602" s="7"/>
      <c r="T3602" s="66"/>
    </row>
    <row r="3603" spans="1:20" ht="13.2">
      <c r="A3603" s="7"/>
      <c r="B3603" s="7"/>
      <c r="C3603" s="74"/>
      <c r="D3603" s="74"/>
      <c r="F3603" s="7"/>
      <c r="G3603" s="74"/>
      <c r="H3603" s="74"/>
      <c r="J3603" s="7"/>
      <c r="K3603" s="74"/>
      <c r="L3603" s="74"/>
      <c r="N3603" s="7"/>
      <c r="O3603" s="74"/>
      <c r="P3603" s="74"/>
      <c r="R3603" s="7"/>
      <c r="S3603" s="7"/>
      <c r="T3603" s="66"/>
    </row>
    <row r="3604" spans="1:20" ht="13.2">
      <c r="A3604" s="7"/>
      <c r="B3604" s="7"/>
      <c r="C3604" s="74"/>
      <c r="D3604" s="74"/>
      <c r="F3604" s="7"/>
      <c r="G3604" s="74"/>
      <c r="H3604" s="74"/>
      <c r="J3604" s="7"/>
      <c r="K3604" s="74"/>
      <c r="L3604" s="74"/>
      <c r="N3604" s="7"/>
      <c r="O3604" s="74"/>
      <c r="P3604" s="74"/>
      <c r="R3604" s="7"/>
      <c r="S3604" s="7"/>
      <c r="T3604" s="66"/>
    </row>
    <row r="3605" spans="1:20" ht="13.2">
      <c r="A3605" s="7"/>
      <c r="B3605" s="7"/>
      <c r="C3605" s="74"/>
      <c r="D3605" s="74"/>
      <c r="F3605" s="7"/>
      <c r="G3605" s="74"/>
      <c r="H3605" s="74"/>
      <c r="J3605" s="7"/>
      <c r="K3605" s="74"/>
      <c r="L3605" s="74"/>
      <c r="N3605" s="7"/>
      <c r="O3605" s="74"/>
      <c r="P3605" s="74"/>
      <c r="R3605" s="7"/>
      <c r="S3605" s="7"/>
      <c r="T3605" s="66"/>
    </row>
    <row r="3606" spans="1:20" ht="13.2">
      <c r="A3606" s="7"/>
      <c r="B3606" s="7"/>
      <c r="C3606" s="74"/>
      <c r="D3606" s="74"/>
      <c r="F3606" s="7"/>
      <c r="G3606" s="74"/>
      <c r="H3606" s="74"/>
      <c r="J3606" s="7"/>
      <c r="K3606" s="74"/>
      <c r="L3606" s="74"/>
      <c r="N3606" s="7"/>
      <c r="O3606" s="74"/>
      <c r="P3606" s="74"/>
      <c r="R3606" s="7"/>
      <c r="S3606" s="7"/>
      <c r="T3606" s="66"/>
    </row>
    <row r="3607" spans="1:20" ht="13.2">
      <c r="A3607" s="7"/>
      <c r="B3607" s="7"/>
      <c r="C3607" s="74"/>
      <c r="D3607" s="74"/>
      <c r="F3607" s="7"/>
      <c r="G3607" s="74"/>
      <c r="H3607" s="74"/>
      <c r="J3607" s="7"/>
      <c r="K3607" s="74"/>
      <c r="L3607" s="74"/>
      <c r="N3607" s="7"/>
      <c r="O3607" s="74"/>
      <c r="P3607" s="74"/>
      <c r="R3607" s="7"/>
      <c r="S3607" s="7"/>
      <c r="T3607" s="66"/>
    </row>
    <row r="3608" spans="1:20" ht="13.2">
      <c r="A3608" s="7"/>
      <c r="B3608" s="7"/>
      <c r="C3608" s="74"/>
      <c r="D3608" s="74"/>
      <c r="F3608" s="7"/>
      <c r="G3608" s="74"/>
      <c r="H3608" s="74"/>
      <c r="J3608" s="7"/>
      <c r="K3608" s="74"/>
      <c r="L3608" s="74"/>
      <c r="N3608" s="7"/>
      <c r="O3608" s="74"/>
      <c r="P3608" s="74"/>
      <c r="R3608" s="7"/>
      <c r="S3608" s="7"/>
      <c r="T3608" s="66"/>
    </row>
    <row r="3609" spans="1:20" ht="13.2">
      <c r="A3609" s="7"/>
      <c r="B3609" s="7"/>
      <c r="C3609" s="74"/>
      <c r="D3609" s="74"/>
      <c r="F3609" s="7"/>
      <c r="G3609" s="74"/>
      <c r="H3609" s="74"/>
      <c r="J3609" s="7"/>
      <c r="K3609" s="74"/>
      <c r="L3609" s="74"/>
      <c r="N3609" s="7"/>
      <c r="O3609" s="74"/>
      <c r="P3609" s="74"/>
      <c r="R3609" s="7"/>
      <c r="S3609" s="7"/>
      <c r="T3609" s="66"/>
    </row>
    <row r="3610" spans="1:20" ht="13.2">
      <c r="A3610" s="7"/>
      <c r="B3610" s="7"/>
      <c r="C3610" s="74"/>
      <c r="D3610" s="74"/>
      <c r="F3610" s="7"/>
      <c r="G3610" s="74"/>
      <c r="H3610" s="74"/>
      <c r="J3610" s="7"/>
      <c r="K3610" s="74"/>
      <c r="L3610" s="74"/>
      <c r="N3610" s="7"/>
      <c r="O3610" s="74"/>
      <c r="P3610" s="74"/>
      <c r="R3610" s="7"/>
      <c r="S3610" s="7"/>
      <c r="T3610" s="66"/>
    </row>
    <row r="3611" spans="1:20" ht="13.2">
      <c r="A3611" s="7"/>
      <c r="B3611" s="7"/>
      <c r="C3611" s="74"/>
      <c r="D3611" s="74"/>
      <c r="F3611" s="7"/>
      <c r="G3611" s="74"/>
      <c r="H3611" s="74"/>
      <c r="J3611" s="7"/>
      <c r="K3611" s="74"/>
      <c r="L3611" s="74"/>
      <c r="N3611" s="7"/>
      <c r="O3611" s="74"/>
      <c r="P3611" s="74"/>
      <c r="R3611" s="7"/>
      <c r="S3611" s="7"/>
      <c r="T3611" s="66"/>
    </row>
    <row r="3612" spans="1:20" ht="13.2">
      <c r="A3612" s="7"/>
      <c r="B3612" s="7"/>
      <c r="C3612" s="74"/>
      <c r="D3612" s="74"/>
      <c r="F3612" s="7"/>
      <c r="G3612" s="74"/>
      <c r="H3612" s="74"/>
      <c r="J3612" s="7"/>
      <c r="K3612" s="74"/>
      <c r="L3612" s="74"/>
      <c r="N3612" s="7"/>
      <c r="O3612" s="74"/>
      <c r="P3612" s="74"/>
      <c r="R3612" s="7"/>
      <c r="S3612" s="7"/>
      <c r="T3612" s="66"/>
    </row>
    <row r="3613" spans="1:20" ht="13.2">
      <c r="A3613" s="7"/>
      <c r="B3613" s="7"/>
      <c r="C3613" s="74"/>
      <c r="D3613" s="74"/>
      <c r="F3613" s="7"/>
      <c r="G3613" s="74"/>
      <c r="H3613" s="74"/>
      <c r="J3613" s="7"/>
      <c r="K3613" s="74"/>
      <c r="L3613" s="74"/>
      <c r="N3613" s="7"/>
      <c r="O3613" s="74"/>
      <c r="P3613" s="74"/>
      <c r="R3613" s="7"/>
      <c r="S3613" s="7"/>
      <c r="T3613" s="66"/>
    </row>
    <row r="3614" spans="1:20" ht="13.2">
      <c r="A3614" s="7"/>
      <c r="B3614" s="7"/>
      <c r="C3614" s="74"/>
      <c r="D3614" s="74"/>
      <c r="F3614" s="7"/>
      <c r="G3614" s="74"/>
      <c r="H3614" s="74"/>
      <c r="J3614" s="7"/>
      <c r="K3614" s="74"/>
      <c r="L3614" s="74"/>
      <c r="N3614" s="7"/>
      <c r="O3614" s="74"/>
      <c r="P3614" s="74"/>
      <c r="R3614" s="7"/>
      <c r="S3614" s="7"/>
      <c r="T3614" s="66"/>
    </row>
    <row r="3615" spans="1:20" ht="13.2">
      <c r="A3615" s="7"/>
      <c r="B3615" s="7"/>
      <c r="C3615" s="74"/>
      <c r="D3615" s="74"/>
      <c r="F3615" s="7"/>
      <c r="G3615" s="74"/>
      <c r="H3615" s="74"/>
      <c r="J3615" s="7"/>
      <c r="K3615" s="74"/>
      <c r="L3615" s="74"/>
      <c r="N3615" s="7"/>
      <c r="O3615" s="74"/>
      <c r="P3615" s="74"/>
      <c r="R3615" s="7"/>
      <c r="S3615" s="7"/>
      <c r="T3615" s="66"/>
    </row>
    <row r="3616" spans="1:20" ht="13.2">
      <c r="A3616" s="7"/>
      <c r="B3616" s="7"/>
      <c r="C3616" s="74"/>
      <c r="D3616" s="74"/>
      <c r="F3616" s="7"/>
      <c r="G3616" s="74"/>
      <c r="H3616" s="74"/>
      <c r="J3616" s="7"/>
      <c r="K3616" s="74"/>
      <c r="L3616" s="74"/>
      <c r="N3616" s="7"/>
      <c r="O3616" s="74"/>
      <c r="P3616" s="74"/>
      <c r="R3616" s="7"/>
      <c r="S3616" s="7"/>
      <c r="T3616" s="66"/>
    </row>
    <row r="3617" spans="1:20" ht="13.2">
      <c r="A3617" s="7"/>
      <c r="B3617" s="7"/>
      <c r="C3617" s="74"/>
      <c r="D3617" s="74"/>
      <c r="F3617" s="7"/>
      <c r="G3617" s="74"/>
      <c r="H3617" s="74"/>
      <c r="J3617" s="7"/>
      <c r="K3617" s="74"/>
      <c r="L3617" s="74"/>
      <c r="N3617" s="7"/>
      <c r="O3617" s="74"/>
      <c r="P3617" s="74"/>
      <c r="R3617" s="7"/>
      <c r="S3617" s="7"/>
      <c r="T3617" s="66"/>
    </row>
    <row r="3618" spans="1:20" ht="13.2">
      <c r="A3618" s="7"/>
      <c r="B3618" s="7"/>
      <c r="C3618" s="74"/>
      <c r="D3618" s="74"/>
      <c r="F3618" s="7"/>
      <c r="G3618" s="74"/>
      <c r="H3618" s="74"/>
      <c r="J3618" s="7"/>
      <c r="K3618" s="74"/>
      <c r="L3618" s="74"/>
      <c r="N3618" s="7"/>
      <c r="O3618" s="74"/>
      <c r="P3618" s="74"/>
      <c r="R3618" s="7"/>
      <c r="S3618" s="7"/>
      <c r="T3618" s="66"/>
    </row>
    <row r="3619" spans="1:20" ht="13.2">
      <c r="A3619" s="7"/>
      <c r="B3619" s="7"/>
      <c r="C3619" s="74"/>
      <c r="D3619" s="74"/>
      <c r="F3619" s="7"/>
      <c r="G3619" s="74"/>
      <c r="H3619" s="74"/>
      <c r="J3619" s="7"/>
      <c r="K3619" s="74"/>
      <c r="L3619" s="74"/>
      <c r="N3619" s="7"/>
      <c r="O3619" s="74"/>
      <c r="P3619" s="74"/>
      <c r="R3619" s="7"/>
      <c r="S3619" s="7"/>
      <c r="T3619" s="66"/>
    </row>
    <row r="3620" spans="1:20" ht="13.2">
      <c r="A3620" s="7"/>
      <c r="B3620" s="7"/>
      <c r="C3620" s="74"/>
      <c r="D3620" s="74"/>
      <c r="F3620" s="7"/>
      <c r="G3620" s="74"/>
      <c r="H3620" s="74"/>
      <c r="J3620" s="7"/>
      <c r="K3620" s="74"/>
      <c r="L3620" s="74"/>
      <c r="N3620" s="7"/>
      <c r="O3620" s="74"/>
      <c r="P3620" s="74"/>
      <c r="R3620" s="7"/>
      <c r="S3620" s="7"/>
      <c r="T3620" s="66"/>
    </row>
    <row r="3621" spans="1:20" ht="13.2">
      <c r="A3621" s="7"/>
      <c r="B3621" s="7"/>
      <c r="C3621" s="74"/>
      <c r="D3621" s="74"/>
      <c r="F3621" s="7"/>
      <c r="G3621" s="74"/>
      <c r="H3621" s="74"/>
      <c r="J3621" s="7"/>
      <c r="K3621" s="74"/>
      <c r="L3621" s="74"/>
      <c r="N3621" s="7"/>
      <c r="O3621" s="74"/>
      <c r="P3621" s="74"/>
      <c r="R3621" s="7"/>
      <c r="S3621" s="7"/>
      <c r="T3621" s="66"/>
    </row>
    <row r="3622" spans="1:20" ht="13.2">
      <c r="A3622" s="7"/>
      <c r="B3622" s="7"/>
      <c r="C3622" s="74"/>
      <c r="D3622" s="74"/>
      <c r="F3622" s="7"/>
      <c r="G3622" s="74"/>
      <c r="H3622" s="74"/>
      <c r="J3622" s="7"/>
      <c r="K3622" s="74"/>
      <c r="L3622" s="74"/>
      <c r="N3622" s="7"/>
      <c r="O3622" s="74"/>
      <c r="P3622" s="74"/>
      <c r="R3622" s="7"/>
      <c r="S3622" s="7"/>
      <c r="T3622" s="66"/>
    </row>
    <row r="3623" spans="1:20" ht="13.2">
      <c r="A3623" s="7"/>
      <c r="B3623" s="7"/>
      <c r="C3623" s="74"/>
      <c r="D3623" s="74"/>
      <c r="F3623" s="7"/>
      <c r="G3623" s="74"/>
      <c r="H3623" s="74"/>
      <c r="J3623" s="7"/>
      <c r="K3623" s="74"/>
      <c r="L3623" s="74"/>
      <c r="N3623" s="7"/>
      <c r="O3623" s="74"/>
      <c r="P3623" s="74"/>
      <c r="R3623" s="7"/>
      <c r="S3623" s="7"/>
      <c r="T3623" s="66"/>
    </row>
    <row r="3624" spans="1:20" ht="13.2">
      <c r="A3624" s="7"/>
      <c r="B3624" s="7"/>
      <c r="C3624" s="74"/>
      <c r="D3624" s="74"/>
      <c r="F3624" s="7"/>
      <c r="G3624" s="74"/>
      <c r="H3624" s="74"/>
      <c r="J3624" s="7"/>
      <c r="K3624" s="74"/>
      <c r="L3624" s="74"/>
      <c r="N3624" s="7"/>
      <c r="O3624" s="74"/>
      <c r="P3624" s="74"/>
      <c r="R3624" s="7"/>
      <c r="S3624" s="7"/>
      <c r="T3624" s="66"/>
    </row>
    <row r="3625" spans="1:20" ht="13.2">
      <c r="A3625" s="7"/>
      <c r="B3625" s="7"/>
      <c r="C3625" s="74"/>
      <c r="D3625" s="74"/>
      <c r="F3625" s="7"/>
      <c r="G3625" s="74"/>
      <c r="H3625" s="74"/>
      <c r="J3625" s="7"/>
      <c r="K3625" s="74"/>
      <c r="L3625" s="74"/>
      <c r="N3625" s="7"/>
      <c r="O3625" s="74"/>
      <c r="P3625" s="74"/>
      <c r="R3625" s="7"/>
      <c r="S3625" s="7"/>
      <c r="T3625" s="66"/>
    </row>
    <row r="3626" spans="1:20" ht="13.2">
      <c r="A3626" s="7"/>
      <c r="B3626" s="7"/>
      <c r="C3626" s="74"/>
      <c r="D3626" s="74"/>
      <c r="F3626" s="7"/>
      <c r="G3626" s="74"/>
      <c r="H3626" s="74"/>
      <c r="J3626" s="7"/>
      <c r="K3626" s="74"/>
      <c r="L3626" s="74"/>
      <c r="N3626" s="7"/>
      <c r="O3626" s="74"/>
      <c r="P3626" s="74"/>
      <c r="R3626" s="7"/>
      <c r="S3626" s="7"/>
      <c r="T3626" s="66"/>
    </row>
    <row r="3627" spans="1:20" ht="13.2">
      <c r="A3627" s="7"/>
      <c r="B3627" s="7"/>
      <c r="C3627" s="74"/>
      <c r="D3627" s="74"/>
      <c r="F3627" s="7"/>
      <c r="G3627" s="74"/>
      <c r="H3627" s="74"/>
      <c r="J3627" s="7"/>
      <c r="K3627" s="74"/>
      <c r="L3627" s="74"/>
      <c r="N3627" s="7"/>
      <c r="O3627" s="74"/>
      <c r="P3627" s="74"/>
      <c r="R3627" s="7"/>
      <c r="S3627" s="7"/>
      <c r="T3627" s="66"/>
    </row>
    <row r="3628" spans="1:20" ht="13.2">
      <c r="A3628" s="7"/>
      <c r="B3628" s="7"/>
      <c r="C3628" s="74"/>
      <c r="D3628" s="74"/>
      <c r="F3628" s="7"/>
      <c r="G3628" s="74"/>
      <c r="H3628" s="74"/>
      <c r="J3628" s="7"/>
      <c r="K3628" s="74"/>
      <c r="L3628" s="74"/>
      <c r="N3628" s="7"/>
      <c r="O3628" s="74"/>
      <c r="P3628" s="74"/>
      <c r="R3628" s="7"/>
      <c r="S3628" s="7"/>
      <c r="T3628" s="66"/>
    </row>
    <row r="3629" spans="1:20" ht="13.2">
      <c r="A3629" s="7"/>
      <c r="B3629" s="7"/>
      <c r="C3629" s="74"/>
      <c r="D3629" s="74"/>
      <c r="F3629" s="7"/>
      <c r="G3629" s="74"/>
      <c r="H3629" s="74"/>
      <c r="J3629" s="7"/>
      <c r="K3629" s="74"/>
      <c r="L3629" s="74"/>
      <c r="N3629" s="7"/>
      <c r="O3629" s="74"/>
      <c r="P3629" s="74"/>
      <c r="R3629" s="7"/>
      <c r="S3629" s="7"/>
      <c r="T3629" s="66"/>
    </row>
    <row r="3630" spans="1:20" ht="13.2">
      <c r="A3630" s="7"/>
      <c r="B3630" s="7"/>
      <c r="C3630" s="74"/>
      <c r="D3630" s="74"/>
      <c r="F3630" s="7"/>
      <c r="G3630" s="74"/>
      <c r="H3630" s="74"/>
      <c r="J3630" s="7"/>
      <c r="K3630" s="74"/>
      <c r="L3630" s="74"/>
      <c r="N3630" s="7"/>
      <c r="O3630" s="74"/>
      <c r="P3630" s="74"/>
      <c r="R3630" s="7"/>
      <c r="S3630" s="7"/>
      <c r="T3630" s="66"/>
    </row>
    <row r="3631" spans="1:20" ht="13.2">
      <c r="A3631" s="7"/>
      <c r="B3631" s="7"/>
      <c r="C3631" s="74"/>
      <c r="D3631" s="74"/>
      <c r="F3631" s="7"/>
      <c r="G3631" s="74"/>
      <c r="H3631" s="74"/>
      <c r="J3631" s="7"/>
      <c r="K3631" s="74"/>
      <c r="L3631" s="74"/>
      <c r="N3631" s="7"/>
      <c r="O3631" s="74"/>
      <c r="P3631" s="74"/>
      <c r="R3631" s="7"/>
      <c r="S3631" s="7"/>
      <c r="T3631" s="66"/>
    </row>
    <row r="3632" spans="1:20" ht="13.2">
      <c r="A3632" s="7"/>
      <c r="B3632" s="7"/>
      <c r="C3632" s="74"/>
      <c r="D3632" s="74"/>
      <c r="F3632" s="7"/>
      <c r="G3632" s="74"/>
      <c r="H3632" s="74"/>
      <c r="J3632" s="7"/>
      <c r="K3632" s="74"/>
      <c r="L3632" s="74"/>
      <c r="N3632" s="7"/>
      <c r="O3632" s="74"/>
      <c r="P3632" s="74"/>
      <c r="R3632" s="7"/>
      <c r="S3632" s="7"/>
      <c r="T3632" s="66"/>
    </row>
    <row r="3633" spans="1:20" ht="13.2">
      <c r="A3633" s="7"/>
      <c r="B3633" s="7"/>
      <c r="C3633" s="74"/>
      <c r="D3633" s="74"/>
      <c r="F3633" s="7"/>
      <c r="G3633" s="74"/>
      <c r="H3633" s="74"/>
      <c r="J3633" s="7"/>
      <c r="K3633" s="74"/>
      <c r="L3633" s="74"/>
      <c r="N3633" s="7"/>
      <c r="O3633" s="74"/>
      <c r="P3633" s="74"/>
      <c r="R3633" s="7"/>
      <c r="S3633" s="7"/>
      <c r="T3633" s="66"/>
    </row>
    <row r="3634" spans="1:20" ht="13.2">
      <c r="A3634" s="7"/>
      <c r="B3634" s="7"/>
      <c r="C3634" s="74"/>
      <c r="D3634" s="74"/>
      <c r="F3634" s="7"/>
      <c r="G3634" s="74"/>
      <c r="H3634" s="74"/>
      <c r="J3634" s="7"/>
      <c r="K3634" s="74"/>
      <c r="L3634" s="74"/>
      <c r="N3634" s="7"/>
      <c r="O3634" s="74"/>
      <c r="P3634" s="74"/>
      <c r="R3634" s="7"/>
      <c r="S3634" s="7"/>
      <c r="T3634" s="66"/>
    </row>
    <row r="3635" spans="1:20" ht="13.2">
      <c r="A3635" s="7"/>
      <c r="B3635" s="7"/>
      <c r="C3635" s="74"/>
      <c r="D3635" s="74"/>
      <c r="F3635" s="7"/>
      <c r="G3635" s="74"/>
      <c r="H3635" s="74"/>
      <c r="J3635" s="7"/>
      <c r="K3635" s="74"/>
      <c r="L3635" s="74"/>
      <c r="N3635" s="7"/>
      <c r="O3635" s="74"/>
      <c r="P3635" s="74"/>
      <c r="R3635" s="7"/>
      <c r="S3635" s="7"/>
      <c r="T3635" s="66"/>
    </row>
    <row r="3636" spans="1:20" ht="13.2">
      <c r="A3636" s="7"/>
      <c r="B3636" s="7"/>
      <c r="C3636" s="74"/>
      <c r="D3636" s="74"/>
      <c r="F3636" s="7"/>
      <c r="G3636" s="74"/>
      <c r="H3636" s="74"/>
      <c r="J3636" s="7"/>
      <c r="K3636" s="74"/>
      <c r="L3636" s="74"/>
      <c r="N3636" s="7"/>
      <c r="O3636" s="74"/>
      <c r="P3636" s="74"/>
      <c r="R3636" s="7"/>
      <c r="S3636" s="7"/>
      <c r="T3636" s="66"/>
    </row>
    <row r="3637" spans="1:20" ht="13.2">
      <c r="A3637" s="7"/>
      <c r="B3637" s="7"/>
      <c r="C3637" s="74"/>
      <c r="D3637" s="74"/>
      <c r="F3637" s="7"/>
      <c r="G3637" s="74"/>
      <c r="H3637" s="74"/>
      <c r="J3637" s="7"/>
      <c r="K3637" s="74"/>
      <c r="L3637" s="74"/>
      <c r="N3637" s="7"/>
      <c r="O3637" s="74"/>
      <c r="P3637" s="74"/>
      <c r="R3637" s="7"/>
      <c r="S3637" s="7"/>
      <c r="T3637" s="66"/>
    </row>
    <row r="3638" spans="1:20" ht="13.2">
      <c r="A3638" s="7"/>
      <c r="B3638" s="7"/>
      <c r="C3638" s="74"/>
      <c r="D3638" s="74"/>
      <c r="F3638" s="7"/>
      <c r="G3638" s="74"/>
      <c r="H3638" s="74"/>
      <c r="J3638" s="7"/>
      <c r="K3638" s="74"/>
      <c r="L3638" s="74"/>
      <c r="N3638" s="7"/>
      <c r="O3638" s="74"/>
      <c r="P3638" s="74"/>
      <c r="R3638" s="7"/>
      <c r="S3638" s="7"/>
      <c r="T3638" s="66"/>
    </row>
    <row r="3639" spans="1:20" ht="13.2">
      <c r="A3639" s="7"/>
      <c r="B3639" s="7"/>
      <c r="C3639" s="74"/>
      <c r="D3639" s="74"/>
      <c r="F3639" s="7"/>
      <c r="G3639" s="74"/>
      <c r="H3639" s="74"/>
      <c r="J3639" s="7"/>
      <c r="K3639" s="74"/>
      <c r="L3639" s="74"/>
      <c r="N3639" s="7"/>
      <c r="O3639" s="74"/>
      <c r="P3639" s="74"/>
      <c r="R3639" s="7"/>
      <c r="S3639" s="7"/>
      <c r="T3639" s="66"/>
    </row>
    <row r="3640" spans="1:20" ht="13.2">
      <c r="A3640" s="7"/>
      <c r="B3640" s="7"/>
      <c r="C3640" s="74"/>
      <c r="D3640" s="74"/>
      <c r="F3640" s="7"/>
      <c r="G3640" s="74"/>
      <c r="H3640" s="74"/>
      <c r="J3640" s="7"/>
      <c r="K3640" s="74"/>
      <c r="L3640" s="74"/>
      <c r="N3640" s="7"/>
      <c r="O3640" s="74"/>
      <c r="P3640" s="74"/>
      <c r="R3640" s="7"/>
      <c r="S3640" s="7"/>
      <c r="T3640" s="66"/>
    </row>
    <row r="3641" spans="1:20" ht="13.2">
      <c r="A3641" s="7"/>
      <c r="B3641" s="7"/>
      <c r="C3641" s="74"/>
      <c r="D3641" s="74"/>
      <c r="F3641" s="7"/>
      <c r="G3641" s="74"/>
      <c r="H3641" s="74"/>
      <c r="J3641" s="7"/>
      <c r="K3641" s="74"/>
      <c r="L3641" s="74"/>
      <c r="N3641" s="7"/>
      <c r="O3641" s="74"/>
      <c r="P3641" s="74"/>
      <c r="R3641" s="7"/>
      <c r="S3641" s="7"/>
      <c r="T3641" s="66"/>
    </row>
    <row r="3642" spans="1:20" ht="13.2">
      <c r="A3642" s="7"/>
      <c r="B3642" s="7"/>
      <c r="C3642" s="74"/>
      <c r="D3642" s="74"/>
      <c r="F3642" s="7"/>
      <c r="G3642" s="74"/>
      <c r="H3642" s="74"/>
      <c r="J3642" s="7"/>
      <c r="K3642" s="74"/>
      <c r="L3642" s="74"/>
      <c r="N3642" s="7"/>
      <c r="O3642" s="74"/>
      <c r="P3642" s="74"/>
      <c r="R3642" s="7"/>
      <c r="S3642" s="7"/>
      <c r="T3642" s="66"/>
    </row>
    <row r="3643" spans="1:20" ht="13.2">
      <c r="A3643" s="7"/>
      <c r="B3643" s="7"/>
      <c r="C3643" s="74"/>
      <c r="D3643" s="74"/>
      <c r="F3643" s="7"/>
      <c r="G3643" s="74"/>
      <c r="H3643" s="74"/>
      <c r="J3643" s="7"/>
      <c r="K3643" s="74"/>
      <c r="L3643" s="74"/>
      <c r="N3643" s="7"/>
      <c r="O3643" s="74"/>
      <c r="P3643" s="74"/>
      <c r="R3643" s="7"/>
      <c r="S3643" s="7"/>
      <c r="T3643" s="66"/>
    </row>
    <row r="3644" spans="1:20" ht="13.2">
      <c r="A3644" s="7"/>
      <c r="B3644" s="7"/>
      <c r="C3644" s="74"/>
      <c r="D3644" s="74"/>
      <c r="F3644" s="7"/>
      <c r="G3644" s="74"/>
      <c r="H3644" s="74"/>
      <c r="J3644" s="7"/>
      <c r="K3644" s="74"/>
      <c r="L3644" s="74"/>
      <c r="N3644" s="7"/>
      <c r="O3644" s="74"/>
      <c r="P3644" s="74"/>
      <c r="R3644" s="7"/>
      <c r="S3644" s="7"/>
      <c r="T3644" s="66"/>
    </row>
    <row r="3645" spans="1:20" ht="13.2">
      <c r="A3645" s="7"/>
      <c r="B3645" s="7"/>
      <c r="C3645" s="74"/>
      <c r="D3645" s="74"/>
      <c r="F3645" s="7"/>
      <c r="G3645" s="74"/>
      <c r="H3645" s="74"/>
      <c r="J3645" s="7"/>
      <c r="K3645" s="74"/>
      <c r="L3645" s="74"/>
      <c r="N3645" s="7"/>
      <c r="O3645" s="74"/>
      <c r="P3645" s="74"/>
      <c r="R3645" s="7"/>
      <c r="S3645" s="7"/>
      <c r="T3645" s="66"/>
    </row>
    <row r="3646" spans="1:20" ht="13.2">
      <c r="A3646" s="7"/>
      <c r="B3646" s="7"/>
      <c r="C3646" s="74"/>
      <c r="D3646" s="74"/>
      <c r="F3646" s="7"/>
      <c r="G3646" s="74"/>
      <c r="H3646" s="74"/>
      <c r="J3646" s="7"/>
      <c r="K3646" s="74"/>
      <c r="L3646" s="74"/>
      <c r="N3646" s="7"/>
      <c r="O3646" s="74"/>
      <c r="P3646" s="74"/>
      <c r="R3646" s="7"/>
      <c r="S3646" s="7"/>
      <c r="T3646" s="66"/>
    </row>
    <row r="3647" spans="1:20" ht="13.2">
      <c r="A3647" s="7"/>
      <c r="B3647" s="7"/>
      <c r="C3647" s="74"/>
      <c r="D3647" s="74"/>
      <c r="F3647" s="7"/>
      <c r="G3647" s="74"/>
      <c r="H3647" s="74"/>
      <c r="J3647" s="7"/>
      <c r="K3647" s="74"/>
      <c r="L3647" s="74"/>
      <c r="N3647" s="7"/>
      <c r="O3647" s="74"/>
      <c r="P3647" s="74"/>
      <c r="R3647" s="7"/>
      <c r="S3647" s="7"/>
      <c r="T3647" s="66"/>
    </row>
    <row r="3648" spans="1:20" ht="13.2">
      <c r="A3648" s="7"/>
      <c r="B3648" s="7"/>
      <c r="C3648" s="74"/>
      <c r="D3648" s="74"/>
      <c r="F3648" s="7"/>
      <c r="G3648" s="74"/>
      <c r="H3648" s="74"/>
      <c r="J3648" s="7"/>
      <c r="K3648" s="74"/>
      <c r="L3648" s="74"/>
      <c r="N3648" s="7"/>
      <c r="O3648" s="74"/>
      <c r="P3648" s="74"/>
      <c r="R3648" s="7"/>
      <c r="S3648" s="7"/>
      <c r="T3648" s="66"/>
    </row>
    <row r="3649" spans="1:20" ht="13.2">
      <c r="A3649" s="7"/>
      <c r="B3649" s="7"/>
      <c r="C3649" s="74"/>
      <c r="D3649" s="74"/>
      <c r="F3649" s="7"/>
      <c r="G3649" s="74"/>
      <c r="H3649" s="74"/>
      <c r="J3649" s="7"/>
      <c r="K3649" s="74"/>
      <c r="L3649" s="74"/>
      <c r="N3649" s="7"/>
      <c r="O3649" s="74"/>
      <c r="P3649" s="74"/>
      <c r="R3649" s="7"/>
      <c r="S3649" s="7"/>
      <c r="T3649" s="66"/>
    </row>
    <row r="3650" spans="1:20" ht="13.2">
      <c r="A3650" s="7"/>
      <c r="B3650" s="7"/>
      <c r="C3650" s="74"/>
      <c r="D3650" s="74"/>
      <c r="F3650" s="7"/>
      <c r="G3650" s="74"/>
      <c r="H3650" s="74"/>
      <c r="J3650" s="7"/>
      <c r="K3650" s="74"/>
      <c r="L3650" s="74"/>
      <c r="N3650" s="7"/>
      <c r="O3650" s="74"/>
      <c r="P3650" s="74"/>
      <c r="R3650" s="7"/>
      <c r="S3650" s="7"/>
      <c r="T3650" s="66"/>
    </row>
    <row r="3651" spans="1:20" ht="13.2">
      <c r="A3651" s="7"/>
      <c r="B3651" s="7"/>
      <c r="C3651" s="74"/>
      <c r="D3651" s="74"/>
      <c r="F3651" s="7"/>
      <c r="G3651" s="74"/>
      <c r="H3651" s="74"/>
      <c r="J3651" s="7"/>
      <c r="K3651" s="74"/>
      <c r="L3651" s="74"/>
      <c r="N3651" s="7"/>
      <c r="O3651" s="74"/>
      <c r="P3651" s="74"/>
      <c r="R3651" s="7"/>
      <c r="S3651" s="7"/>
      <c r="T3651" s="66"/>
    </row>
    <row r="3652" spans="1:20" ht="13.2">
      <c r="A3652" s="7"/>
      <c r="B3652" s="7"/>
      <c r="C3652" s="74"/>
      <c r="D3652" s="74"/>
      <c r="F3652" s="7"/>
      <c r="G3652" s="74"/>
      <c r="H3652" s="74"/>
      <c r="J3652" s="7"/>
      <c r="K3652" s="74"/>
      <c r="L3652" s="74"/>
      <c r="N3652" s="7"/>
      <c r="O3652" s="74"/>
      <c r="P3652" s="74"/>
      <c r="R3652" s="7"/>
      <c r="S3652" s="7"/>
      <c r="T3652" s="66"/>
    </row>
    <row r="3653" spans="1:20" ht="13.2">
      <c r="A3653" s="7"/>
      <c r="B3653" s="7"/>
      <c r="C3653" s="74"/>
      <c r="D3653" s="74"/>
      <c r="F3653" s="7"/>
      <c r="G3653" s="74"/>
      <c r="H3653" s="74"/>
      <c r="J3653" s="7"/>
      <c r="K3653" s="74"/>
      <c r="L3653" s="74"/>
      <c r="N3653" s="7"/>
      <c r="O3653" s="74"/>
      <c r="P3653" s="74"/>
      <c r="R3653" s="7"/>
      <c r="S3653" s="7"/>
      <c r="T3653" s="66"/>
    </row>
    <row r="3654" spans="1:20" ht="13.2">
      <c r="A3654" s="7"/>
      <c r="B3654" s="7"/>
      <c r="C3654" s="74"/>
      <c r="D3654" s="74"/>
      <c r="F3654" s="7"/>
      <c r="G3654" s="74"/>
      <c r="H3654" s="74"/>
      <c r="J3654" s="7"/>
      <c r="K3654" s="74"/>
      <c r="L3654" s="74"/>
      <c r="N3654" s="7"/>
      <c r="O3654" s="74"/>
      <c r="P3654" s="74"/>
      <c r="R3654" s="7"/>
      <c r="S3654" s="7"/>
      <c r="T3654" s="66"/>
    </row>
    <row r="3655" spans="1:20" ht="13.2">
      <c r="A3655" s="7"/>
      <c r="B3655" s="7"/>
      <c r="C3655" s="74"/>
      <c r="D3655" s="74"/>
      <c r="F3655" s="7"/>
      <c r="G3655" s="74"/>
      <c r="H3655" s="74"/>
      <c r="J3655" s="7"/>
      <c r="K3655" s="74"/>
      <c r="L3655" s="74"/>
      <c r="N3655" s="7"/>
      <c r="O3655" s="74"/>
      <c r="P3655" s="74"/>
      <c r="R3655" s="7"/>
      <c r="S3655" s="7"/>
      <c r="T3655" s="66"/>
    </row>
    <row r="3656" spans="1:20" ht="13.2">
      <c r="A3656" s="7"/>
      <c r="B3656" s="7"/>
      <c r="C3656" s="74"/>
      <c r="D3656" s="74"/>
      <c r="F3656" s="7"/>
      <c r="G3656" s="74"/>
      <c r="H3656" s="74"/>
      <c r="J3656" s="7"/>
      <c r="K3656" s="74"/>
      <c r="L3656" s="74"/>
      <c r="N3656" s="7"/>
      <c r="O3656" s="74"/>
      <c r="P3656" s="74"/>
      <c r="R3656" s="7"/>
      <c r="S3656" s="7"/>
      <c r="T3656" s="66"/>
    </row>
    <row r="3657" spans="1:20" ht="13.2">
      <c r="A3657" s="7"/>
      <c r="B3657" s="7"/>
      <c r="C3657" s="74"/>
      <c r="D3657" s="74"/>
      <c r="F3657" s="7"/>
      <c r="G3657" s="74"/>
      <c r="H3657" s="74"/>
      <c r="J3657" s="7"/>
      <c r="K3657" s="74"/>
      <c r="L3657" s="74"/>
      <c r="N3657" s="7"/>
      <c r="O3657" s="74"/>
      <c r="P3657" s="74"/>
      <c r="R3657" s="7"/>
      <c r="S3657" s="7"/>
      <c r="T3657" s="66"/>
    </row>
    <row r="3658" spans="1:20" ht="13.2">
      <c r="A3658" s="7"/>
      <c r="B3658" s="7"/>
      <c r="C3658" s="74"/>
      <c r="D3658" s="74"/>
      <c r="F3658" s="7"/>
      <c r="G3658" s="74"/>
      <c r="H3658" s="74"/>
      <c r="J3658" s="7"/>
      <c r="K3658" s="74"/>
      <c r="L3658" s="74"/>
      <c r="N3658" s="7"/>
      <c r="O3658" s="74"/>
      <c r="P3658" s="74"/>
      <c r="R3658" s="7"/>
      <c r="S3658" s="7"/>
      <c r="T3658" s="66"/>
    </row>
    <row r="3659" spans="1:20" ht="13.2">
      <c r="A3659" s="7"/>
      <c r="B3659" s="7"/>
      <c r="C3659" s="74"/>
      <c r="D3659" s="74"/>
      <c r="F3659" s="7"/>
      <c r="G3659" s="74"/>
      <c r="H3659" s="74"/>
      <c r="J3659" s="7"/>
      <c r="K3659" s="74"/>
      <c r="L3659" s="74"/>
      <c r="N3659" s="7"/>
      <c r="O3659" s="74"/>
      <c r="P3659" s="74"/>
      <c r="R3659" s="7"/>
      <c r="S3659" s="7"/>
      <c r="T3659" s="66"/>
    </row>
    <row r="3660" spans="1:20" ht="13.2">
      <c r="A3660" s="7"/>
      <c r="B3660" s="7"/>
      <c r="C3660" s="74"/>
      <c r="D3660" s="74"/>
      <c r="F3660" s="7"/>
      <c r="G3660" s="74"/>
      <c r="H3660" s="74"/>
      <c r="J3660" s="7"/>
      <c r="K3660" s="74"/>
      <c r="L3660" s="74"/>
      <c r="N3660" s="7"/>
      <c r="O3660" s="74"/>
      <c r="P3660" s="74"/>
      <c r="R3660" s="7"/>
      <c r="S3660" s="7"/>
      <c r="T3660" s="66"/>
    </row>
    <row r="3661" spans="1:20" ht="13.2">
      <c r="A3661" s="7"/>
      <c r="B3661" s="7"/>
      <c r="C3661" s="74"/>
      <c r="D3661" s="74"/>
      <c r="F3661" s="7"/>
      <c r="G3661" s="74"/>
      <c r="H3661" s="74"/>
      <c r="J3661" s="7"/>
      <c r="K3661" s="74"/>
      <c r="L3661" s="74"/>
      <c r="N3661" s="7"/>
      <c r="O3661" s="74"/>
      <c r="P3661" s="74"/>
      <c r="R3661" s="7"/>
      <c r="S3661" s="7"/>
      <c r="T3661" s="66"/>
    </row>
    <row r="3662" spans="1:20" ht="13.2">
      <c r="A3662" s="7"/>
      <c r="B3662" s="7"/>
      <c r="C3662" s="74"/>
      <c r="D3662" s="74"/>
      <c r="F3662" s="7"/>
      <c r="G3662" s="74"/>
      <c r="H3662" s="74"/>
      <c r="J3662" s="7"/>
      <c r="K3662" s="74"/>
      <c r="L3662" s="74"/>
      <c r="N3662" s="7"/>
      <c r="O3662" s="74"/>
      <c r="P3662" s="74"/>
      <c r="R3662" s="7"/>
      <c r="S3662" s="7"/>
      <c r="T3662" s="66"/>
    </row>
    <row r="3663" spans="1:20" ht="13.2">
      <c r="A3663" s="7"/>
      <c r="B3663" s="7"/>
      <c r="C3663" s="74"/>
      <c r="D3663" s="74"/>
      <c r="F3663" s="7"/>
      <c r="G3663" s="74"/>
      <c r="H3663" s="74"/>
      <c r="J3663" s="7"/>
      <c r="K3663" s="74"/>
      <c r="L3663" s="74"/>
      <c r="N3663" s="7"/>
      <c r="O3663" s="74"/>
      <c r="P3663" s="74"/>
      <c r="R3663" s="7"/>
      <c r="S3663" s="7"/>
      <c r="T3663" s="66"/>
    </row>
    <row r="3664" spans="1:20" ht="13.2">
      <c r="A3664" s="7"/>
      <c r="B3664" s="7"/>
      <c r="C3664" s="74"/>
      <c r="D3664" s="74"/>
      <c r="F3664" s="7"/>
      <c r="G3664" s="74"/>
      <c r="H3664" s="74"/>
      <c r="J3664" s="7"/>
      <c r="K3664" s="74"/>
      <c r="L3664" s="74"/>
      <c r="N3664" s="7"/>
      <c r="O3664" s="74"/>
      <c r="P3664" s="74"/>
      <c r="R3664" s="7"/>
      <c r="S3664" s="7"/>
      <c r="T3664" s="66"/>
    </row>
    <row r="3665" spans="1:20" ht="13.2">
      <c r="A3665" s="7"/>
      <c r="B3665" s="7"/>
      <c r="C3665" s="74"/>
      <c r="D3665" s="74"/>
      <c r="F3665" s="7"/>
      <c r="G3665" s="74"/>
      <c r="H3665" s="74"/>
      <c r="J3665" s="7"/>
      <c r="K3665" s="74"/>
      <c r="L3665" s="74"/>
      <c r="N3665" s="7"/>
      <c r="O3665" s="74"/>
      <c r="P3665" s="74"/>
      <c r="R3665" s="7"/>
      <c r="S3665" s="7"/>
      <c r="T3665" s="66"/>
    </row>
    <row r="3666" spans="1:20" ht="13.2">
      <c r="A3666" s="7"/>
      <c r="B3666" s="7"/>
      <c r="C3666" s="74"/>
      <c r="D3666" s="74"/>
      <c r="F3666" s="7"/>
      <c r="G3666" s="74"/>
      <c r="H3666" s="74"/>
      <c r="J3666" s="7"/>
      <c r="K3666" s="74"/>
      <c r="L3666" s="74"/>
      <c r="N3666" s="7"/>
      <c r="O3666" s="74"/>
      <c r="P3666" s="74"/>
      <c r="R3666" s="7"/>
      <c r="S3666" s="7"/>
      <c r="T3666" s="66"/>
    </row>
    <row r="3667" spans="1:20" ht="13.2">
      <c r="A3667" s="7"/>
      <c r="B3667" s="7"/>
      <c r="C3667" s="74"/>
      <c r="D3667" s="74"/>
      <c r="F3667" s="7"/>
      <c r="G3667" s="74"/>
      <c r="H3667" s="74"/>
      <c r="J3667" s="7"/>
      <c r="K3667" s="74"/>
      <c r="L3667" s="74"/>
      <c r="N3667" s="7"/>
      <c r="O3667" s="74"/>
      <c r="P3667" s="74"/>
      <c r="R3667" s="7"/>
      <c r="S3667" s="7"/>
      <c r="T3667" s="66"/>
    </row>
    <row r="3668" spans="1:20" ht="13.2">
      <c r="A3668" s="7"/>
      <c r="B3668" s="7"/>
      <c r="C3668" s="74"/>
      <c r="D3668" s="74"/>
      <c r="F3668" s="7"/>
      <c r="G3668" s="74"/>
      <c r="H3668" s="74"/>
      <c r="J3668" s="7"/>
      <c r="K3668" s="74"/>
      <c r="L3668" s="74"/>
      <c r="N3668" s="7"/>
      <c r="O3668" s="74"/>
      <c r="P3668" s="74"/>
      <c r="R3668" s="7"/>
      <c r="S3668" s="7"/>
      <c r="T3668" s="66"/>
    </row>
    <row r="3669" spans="1:20" ht="13.2">
      <c r="A3669" s="7"/>
      <c r="B3669" s="7"/>
      <c r="C3669" s="74"/>
      <c r="D3669" s="74"/>
      <c r="F3669" s="7"/>
      <c r="G3669" s="74"/>
      <c r="H3669" s="74"/>
      <c r="J3669" s="7"/>
      <c r="K3669" s="74"/>
      <c r="L3669" s="74"/>
      <c r="N3669" s="7"/>
      <c r="O3669" s="74"/>
      <c r="P3669" s="74"/>
      <c r="R3669" s="7"/>
      <c r="S3669" s="7"/>
      <c r="T3669" s="66"/>
    </row>
    <row r="3670" spans="1:20" ht="13.2">
      <c r="A3670" s="7"/>
      <c r="B3670" s="7"/>
      <c r="C3670" s="74"/>
      <c r="D3670" s="74"/>
      <c r="F3670" s="7"/>
      <c r="G3670" s="74"/>
      <c r="H3670" s="74"/>
      <c r="J3670" s="7"/>
      <c r="K3670" s="74"/>
      <c r="L3670" s="74"/>
      <c r="N3670" s="7"/>
      <c r="O3670" s="74"/>
      <c r="P3670" s="74"/>
      <c r="R3670" s="7"/>
      <c r="S3670" s="7"/>
      <c r="T3670" s="66"/>
    </row>
    <row r="3671" spans="1:20" ht="13.2">
      <c r="A3671" s="7"/>
      <c r="B3671" s="7"/>
      <c r="C3671" s="74"/>
      <c r="D3671" s="74"/>
      <c r="F3671" s="7"/>
      <c r="G3671" s="74"/>
      <c r="H3671" s="74"/>
      <c r="J3671" s="7"/>
      <c r="K3671" s="74"/>
      <c r="L3671" s="74"/>
      <c r="N3671" s="7"/>
      <c r="O3671" s="74"/>
      <c r="P3671" s="74"/>
      <c r="R3671" s="7"/>
      <c r="S3671" s="7"/>
      <c r="T3671" s="66"/>
    </row>
    <row r="3672" spans="1:20" ht="13.2">
      <c r="A3672" s="7"/>
      <c r="B3672" s="7"/>
      <c r="C3672" s="74"/>
      <c r="D3672" s="74"/>
      <c r="F3672" s="7"/>
      <c r="G3672" s="74"/>
      <c r="H3672" s="74"/>
      <c r="J3672" s="7"/>
      <c r="K3672" s="74"/>
      <c r="L3672" s="74"/>
      <c r="N3672" s="7"/>
      <c r="O3672" s="74"/>
      <c r="P3672" s="74"/>
      <c r="R3672" s="7"/>
      <c r="S3672" s="7"/>
      <c r="T3672" s="66"/>
    </row>
    <row r="3673" spans="1:20" ht="13.2">
      <c r="A3673" s="7"/>
      <c r="B3673" s="7"/>
      <c r="C3673" s="74"/>
      <c r="D3673" s="74"/>
      <c r="F3673" s="7"/>
      <c r="G3673" s="74"/>
      <c r="H3673" s="74"/>
      <c r="J3673" s="7"/>
      <c r="K3673" s="74"/>
      <c r="L3673" s="74"/>
      <c r="N3673" s="7"/>
      <c r="O3673" s="74"/>
      <c r="P3673" s="74"/>
      <c r="R3673" s="7"/>
      <c r="S3673" s="7"/>
      <c r="T3673" s="66"/>
    </row>
    <row r="3674" spans="1:20" ht="13.2">
      <c r="A3674" s="7"/>
      <c r="B3674" s="7"/>
      <c r="C3674" s="74"/>
      <c r="D3674" s="74"/>
      <c r="F3674" s="7"/>
      <c r="G3674" s="74"/>
      <c r="H3674" s="74"/>
      <c r="J3674" s="7"/>
      <c r="K3674" s="74"/>
      <c r="L3674" s="74"/>
      <c r="N3674" s="7"/>
      <c r="O3674" s="74"/>
      <c r="P3674" s="74"/>
      <c r="R3674" s="7"/>
      <c r="S3674" s="7"/>
      <c r="T3674" s="66"/>
    </row>
    <row r="3675" spans="1:20" ht="13.2">
      <c r="A3675" s="7"/>
      <c r="B3675" s="7"/>
      <c r="C3675" s="74"/>
      <c r="D3675" s="74"/>
      <c r="F3675" s="7"/>
      <c r="G3675" s="74"/>
      <c r="H3675" s="74"/>
      <c r="J3675" s="7"/>
      <c r="K3675" s="74"/>
      <c r="L3675" s="74"/>
      <c r="N3675" s="7"/>
      <c r="O3675" s="74"/>
      <c r="P3675" s="74"/>
      <c r="R3675" s="7"/>
      <c r="S3675" s="7"/>
      <c r="T3675" s="66"/>
    </row>
    <row r="3676" spans="1:20" ht="13.2">
      <c r="A3676" s="7"/>
      <c r="B3676" s="7"/>
      <c r="C3676" s="74"/>
      <c r="D3676" s="74"/>
      <c r="F3676" s="7"/>
      <c r="G3676" s="74"/>
      <c r="H3676" s="74"/>
      <c r="J3676" s="7"/>
      <c r="K3676" s="74"/>
      <c r="L3676" s="74"/>
      <c r="N3676" s="7"/>
      <c r="O3676" s="74"/>
      <c r="P3676" s="74"/>
      <c r="R3676" s="7"/>
      <c r="S3676" s="7"/>
      <c r="T3676" s="66"/>
    </row>
    <row r="3677" spans="1:20" ht="13.2">
      <c r="A3677" s="7"/>
      <c r="B3677" s="7"/>
      <c r="C3677" s="74"/>
      <c r="D3677" s="74"/>
      <c r="F3677" s="7"/>
      <c r="G3677" s="74"/>
      <c r="H3677" s="74"/>
      <c r="J3677" s="7"/>
      <c r="K3677" s="74"/>
      <c r="L3677" s="74"/>
      <c r="N3677" s="7"/>
      <c r="O3677" s="74"/>
      <c r="P3677" s="74"/>
      <c r="R3677" s="7"/>
      <c r="S3677" s="7"/>
      <c r="T3677" s="66"/>
    </row>
    <row r="3678" spans="1:20" ht="13.2">
      <c r="A3678" s="7"/>
      <c r="B3678" s="7"/>
      <c r="C3678" s="74"/>
      <c r="D3678" s="74"/>
      <c r="F3678" s="7"/>
      <c r="G3678" s="74"/>
      <c r="H3678" s="74"/>
      <c r="J3678" s="7"/>
      <c r="K3678" s="74"/>
      <c r="L3678" s="74"/>
      <c r="N3678" s="7"/>
      <c r="O3678" s="74"/>
      <c r="P3678" s="74"/>
      <c r="R3678" s="7"/>
      <c r="S3678" s="7"/>
      <c r="T3678" s="66"/>
    </row>
    <row r="3679" spans="1:20" ht="13.2">
      <c r="A3679" s="7"/>
      <c r="B3679" s="7"/>
      <c r="C3679" s="74"/>
      <c r="D3679" s="74"/>
      <c r="F3679" s="7"/>
      <c r="G3679" s="74"/>
      <c r="H3679" s="74"/>
      <c r="J3679" s="7"/>
      <c r="K3679" s="74"/>
      <c r="L3679" s="74"/>
      <c r="N3679" s="7"/>
      <c r="O3679" s="74"/>
      <c r="P3679" s="74"/>
      <c r="R3679" s="7"/>
      <c r="S3679" s="7"/>
      <c r="T3679" s="66"/>
    </row>
    <row r="3680" spans="1:20" ht="13.2">
      <c r="A3680" s="7"/>
      <c r="B3680" s="7"/>
      <c r="C3680" s="74"/>
      <c r="D3680" s="74"/>
      <c r="F3680" s="7"/>
      <c r="G3680" s="74"/>
      <c r="H3680" s="74"/>
      <c r="J3680" s="7"/>
      <c r="K3680" s="74"/>
      <c r="L3680" s="74"/>
      <c r="N3680" s="7"/>
      <c r="O3680" s="74"/>
      <c r="P3680" s="74"/>
      <c r="R3680" s="7"/>
      <c r="S3680" s="7"/>
      <c r="T3680" s="66"/>
    </row>
    <row r="3681" spans="1:20" ht="13.2">
      <c r="A3681" s="7"/>
      <c r="B3681" s="7"/>
      <c r="C3681" s="74"/>
      <c r="D3681" s="74"/>
      <c r="F3681" s="7"/>
      <c r="G3681" s="74"/>
      <c r="H3681" s="74"/>
      <c r="J3681" s="7"/>
      <c r="K3681" s="74"/>
      <c r="L3681" s="74"/>
      <c r="N3681" s="7"/>
      <c r="O3681" s="74"/>
      <c r="P3681" s="74"/>
      <c r="R3681" s="7"/>
      <c r="S3681" s="7"/>
      <c r="T3681" s="66"/>
    </row>
    <row r="3682" spans="1:20" ht="13.2">
      <c r="A3682" s="7"/>
      <c r="B3682" s="7"/>
      <c r="C3682" s="74"/>
      <c r="D3682" s="74"/>
      <c r="F3682" s="7"/>
      <c r="G3682" s="74"/>
      <c r="H3682" s="74"/>
      <c r="J3682" s="7"/>
      <c r="K3682" s="74"/>
      <c r="L3682" s="74"/>
      <c r="N3682" s="7"/>
      <c r="O3682" s="74"/>
      <c r="P3682" s="74"/>
      <c r="R3682" s="7"/>
      <c r="S3682" s="7"/>
      <c r="T3682" s="66"/>
    </row>
    <row r="3683" spans="1:20" ht="13.2">
      <c r="A3683" s="7"/>
      <c r="B3683" s="7"/>
      <c r="C3683" s="74"/>
      <c r="D3683" s="74"/>
      <c r="F3683" s="7"/>
      <c r="G3683" s="74"/>
      <c r="H3683" s="74"/>
      <c r="J3683" s="7"/>
      <c r="K3683" s="74"/>
      <c r="L3683" s="74"/>
      <c r="N3683" s="7"/>
      <c r="O3683" s="74"/>
      <c r="P3683" s="74"/>
      <c r="R3683" s="7"/>
      <c r="S3683" s="7"/>
      <c r="T3683" s="66"/>
    </row>
    <row r="3684" spans="1:20" ht="13.2">
      <c r="A3684" s="7"/>
      <c r="B3684" s="7"/>
      <c r="C3684" s="74"/>
      <c r="D3684" s="74"/>
      <c r="F3684" s="7"/>
      <c r="G3684" s="74"/>
      <c r="H3684" s="74"/>
      <c r="J3684" s="7"/>
      <c r="K3684" s="74"/>
      <c r="L3684" s="74"/>
      <c r="N3684" s="7"/>
      <c r="O3684" s="74"/>
      <c r="P3684" s="74"/>
      <c r="R3684" s="7"/>
      <c r="S3684" s="7"/>
      <c r="T3684" s="66"/>
    </row>
    <row r="3685" spans="1:20" ht="13.2">
      <c r="A3685" s="7"/>
      <c r="B3685" s="7"/>
      <c r="C3685" s="74"/>
      <c r="D3685" s="74"/>
      <c r="F3685" s="7"/>
      <c r="G3685" s="74"/>
      <c r="H3685" s="74"/>
      <c r="J3685" s="7"/>
      <c r="K3685" s="74"/>
      <c r="L3685" s="74"/>
      <c r="N3685" s="7"/>
      <c r="O3685" s="74"/>
      <c r="P3685" s="74"/>
      <c r="R3685" s="7"/>
      <c r="S3685" s="7"/>
      <c r="T3685" s="66"/>
    </row>
    <row r="3686" spans="1:20" ht="13.2">
      <c r="A3686" s="7"/>
      <c r="B3686" s="7"/>
      <c r="C3686" s="74"/>
      <c r="D3686" s="74"/>
      <c r="F3686" s="7"/>
      <c r="G3686" s="74"/>
      <c r="H3686" s="74"/>
      <c r="J3686" s="7"/>
      <c r="K3686" s="74"/>
      <c r="L3686" s="74"/>
      <c r="N3686" s="7"/>
      <c r="O3686" s="74"/>
      <c r="P3686" s="74"/>
      <c r="R3686" s="7"/>
      <c r="S3686" s="7"/>
      <c r="T3686" s="66"/>
    </row>
    <row r="3687" spans="1:20" ht="13.2">
      <c r="A3687" s="7"/>
      <c r="B3687" s="7"/>
      <c r="C3687" s="74"/>
      <c r="D3687" s="74"/>
      <c r="F3687" s="7"/>
      <c r="G3687" s="74"/>
      <c r="H3687" s="74"/>
      <c r="J3687" s="7"/>
      <c r="K3687" s="74"/>
      <c r="L3687" s="74"/>
      <c r="N3687" s="7"/>
      <c r="O3687" s="74"/>
      <c r="P3687" s="74"/>
      <c r="R3687" s="7"/>
      <c r="S3687" s="7"/>
      <c r="T3687" s="66"/>
    </row>
    <row r="3688" spans="1:20" ht="13.2">
      <c r="A3688" s="7"/>
      <c r="B3688" s="7"/>
      <c r="C3688" s="74"/>
      <c r="D3688" s="74"/>
      <c r="F3688" s="7"/>
      <c r="G3688" s="74"/>
      <c r="H3688" s="74"/>
      <c r="J3688" s="7"/>
      <c r="K3688" s="74"/>
      <c r="L3688" s="74"/>
      <c r="N3688" s="7"/>
      <c r="O3688" s="74"/>
      <c r="P3688" s="74"/>
      <c r="R3688" s="7"/>
      <c r="S3688" s="7"/>
      <c r="T3688" s="66"/>
    </row>
    <row r="3689" spans="1:20" ht="13.2">
      <c r="A3689" s="7"/>
      <c r="B3689" s="7"/>
      <c r="C3689" s="74"/>
      <c r="D3689" s="74"/>
      <c r="F3689" s="7"/>
      <c r="G3689" s="74"/>
      <c r="H3689" s="74"/>
      <c r="J3689" s="7"/>
      <c r="K3689" s="74"/>
      <c r="L3689" s="74"/>
      <c r="N3689" s="7"/>
      <c r="O3689" s="74"/>
      <c r="P3689" s="74"/>
      <c r="R3689" s="7"/>
      <c r="S3689" s="7"/>
      <c r="T3689" s="66"/>
    </row>
    <row r="3690" spans="1:20" ht="13.2">
      <c r="A3690" s="7"/>
      <c r="B3690" s="7"/>
      <c r="C3690" s="74"/>
      <c r="D3690" s="74"/>
      <c r="F3690" s="7"/>
      <c r="G3690" s="74"/>
      <c r="H3690" s="74"/>
      <c r="J3690" s="7"/>
      <c r="K3690" s="74"/>
      <c r="L3690" s="74"/>
      <c r="N3690" s="7"/>
      <c r="O3690" s="74"/>
      <c r="P3690" s="74"/>
      <c r="R3690" s="7"/>
      <c r="S3690" s="7"/>
      <c r="T3690" s="66"/>
    </row>
    <row r="3691" spans="1:20" ht="13.2">
      <c r="A3691" s="7"/>
      <c r="B3691" s="7"/>
      <c r="C3691" s="74"/>
      <c r="D3691" s="74"/>
      <c r="F3691" s="7"/>
      <c r="G3691" s="74"/>
      <c r="H3691" s="74"/>
      <c r="J3691" s="7"/>
      <c r="K3691" s="74"/>
      <c r="L3691" s="74"/>
      <c r="N3691" s="7"/>
      <c r="O3691" s="74"/>
      <c r="P3691" s="74"/>
      <c r="R3691" s="7"/>
      <c r="S3691" s="7"/>
      <c r="T3691" s="66"/>
    </row>
    <row r="3692" spans="1:20" ht="13.2">
      <c r="A3692" s="7"/>
      <c r="B3692" s="7"/>
      <c r="C3692" s="74"/>
      <c r="D3692" s="74"/>
      <c r="F3692" s="7"/>
      <c r="G3692" s="74"/>
      <c r="H3692" s="74"/>
      <c r="J3692" s="7"/>
      <c r="K3692" s="74"/>
      <c r="L3692" s="74"/>
      <c r="N3692" s="7"/>
      <c r="O3692" s="74"/>
      <c r="P3692" s="74"/>
      <c r="R3692" s="7"/>
      <c r="S3692" s="7"/>
      <c r="T3692" s="66"/>
    </row>
    <row r="3693" spans="1:20" ht="13.2">
      <c r="A3693" s="7"/>
      <c r="B3693" s="7"/>
      <c r="C3693" s="74"/>
      <c r="D3693" s="74"/>
      <c r="F3693" s="7"/>
      <c r="G3693" s="74"/>
      <c r="H3693" s="74"/>
      <c r="J3693" s="7"/>
      <c r="K3693" s="74"/>
      <c r="L3693" s="74"/>
      <c r="N3693" s="7"/>
      <c r="O3693" s="74"/>
      <c r="P3693" s="74"/>
      <c r="R3693" s="7"/>
      <c r="S3693" s="7"/>
      <c r="T3693" s="66"/>
    </row>
    <row r="3694" spans="1:20" ht="13.2">
      <c r="A3694" s="7"/>
      <c r="B3694" s="7"/>
      <c r="C3694" s="74"/>
      <c r="D3694" s="74"/>
      <c r="F3694" s="7"/>
      <c r="G3694" s="74"/>
      <c r="H3694" s="74"/>
      <c r="J3694" s="7"/>
      <c r="K3694" s="74"/>
      <c r="L3694" s="74"/>
      <c r="N3694" s="7"/>
      <c r="O3694" s="74"/>
      <c r="P3694" s="74"/>
      <c r="R3694" s="7"/>
      <c r="S3694" s="7"/>
      <c r="T3694" s="66"/>
    </row>
    <row r="3695" spans="1:20" ht="13.2">
      <c r="A3695" s="7"/>
      <c r="B3695" s="7"/>
      <c r="C3695" s="74"/>
      <c r="D3695" s="74"/>
      <c r="F3695" s="7"/>
      <c r="G3695" s="74"/>
      <c r="H3695" s="74"/>
      <c r="J3695" s="7"/>
      <c r="K3695" s="74"/>
      <c r="L3695" s="74"/>
      <c r="N3695" s="7"/>
      <c r="O3695" s="74"/>
      <c r="P3695" s="74"/>
      <c r="R3695" s="7"/>
      <c r="S3695" s="7"/>
      <c r="T3695" s="66"/>
    </row>
    <row r="3696" spans="1:20" ht="13.2">
      <c r="A3696" s="7"/>
      <c r="B3696" s="7"/>
      <c r="C3696" s="74"/>
      <c r="D3696" s="74"/>
      <c r="F3696" s="7"/>
      <c r="G3696" s="74"/>
      <c r="H3696" s="74"/>
      <c r="J3696" s="7"/>
      <c r="K3696" s="74"/>
      <c r="L3696" s="74"/>
      <c r="N3696" s="7"/>
      <c r="O3696" s="74"/>
      <c r="P3696" s="74"/>
      <c r="R3696" s="7"/>
      <c r="S3696" s="7"/>
      <c r="T3696" s="66"/>
    </row>
    <row r="3697" spans="1:20" ht="13.2">
      <c r="A3697" s="7"/>
      <c r="B3697" s="7"/>
      <c r="C3697" s="74"/>
      <c r="D3697" s="74"/>
      <c r="F3697" s="7"/>
      <c r="G3697" s="74"/>
      <c r="H3697" s="74"/>
      <c r="J3697" s="7"/>
      <c r="K3697" s="74"/>
      <c r="L3697" s="74"/>
      <c r="N3697" s="7"/>
      <c r="O3697" s="74"/>
      <c r="P3697" s="74"/>
      <c r="R3697" s="7"/>
      <c r="S3697" s="7"/>
      <c r="T3697" s="66"/>
    </row>
    <row r="3698" spans="1:20" ht="13.2">
      <c r="A3698" s="7"/>
      <c r="B3698" s="7"/>
      <c r="C3698" s="74"/>
      <c r="D3698" s="74"/>
      <c r="F3698" s="7"/>
      <c r="G3698" s="74"/>
      <c r="H3698" s="74"/>
      <c r="J3698" s="7"/>
      <c r="K3698" s="74"/>
      <c r="L3698" s="74"/>
      <c r="N3698" s="7"/>
      <c r="O3698" s="74"/>
      <c r="P3698" s="74"/>
      <c r="R3698" s="7"/>
      <c r="S3698" s="7"/>
      <c r="T3698" s="66"/>
    </row>
    <row r="3699" spans="1:20" ht="13.2">
      <c r="A3699" s="7"/>
      <c r="B3699" s="7"/>
      <c r="C3699" s="74"/>
      <c r="D3699" s="74"/>
      <c r="F3699" s="7"/>
      <c r="G3699" s="74"/>
      <c r="H3699" s="74"/>
      <c r="J3699" s="7"/>
      <c r="K3699" s="74"/>
      <c r="L3699" s="74"/>
      <c r="N3699" s="7"/>
      <c r="O3699" s="74"/>
      <c r="P3699" s="74"/>
      <c r="R3699" s="7"/>
      <c r="S3699" s="7"/>
      <c r="T3699" s="66"/>
    </row>
    <row r="3700" spans="1:20" ht="13.2">
      <c r="A3700" s="7"/>
      <c r="B3700" s="7"/>
      <c r="C3700" s="74"/>
      <c r="D3700" s="74"/>
      <c r="F3700" s="7"/>
      <c r="G3700" s="74"/>
      <c r="H3700" s="74"/>
      <c r="J3700" s="7"/>
      <c r="K3700" s="74"/>
      <c r="L3700" s="74"/>
      <c r="N3700" s="7"/>
      <c r="O3700" s="74"/>
      <c r="P3700" s="74"/>
      <c r="R3700" s="7"/>
      <c r="S3700" s="7"/>
      <c r="T3700" s="66"/>
    </row>
    <row r="3701" spans="1:20" ht="13.2">
      <c r="A3701" s="7"/>
      <c r="B3701" s="7"/>
      <c r="C3701" s="74"/>
      <c r="D3701" s="74"/>
      <c r="F3701" s="7"/>
      <c r="G3701" s="74"/>
      <c r="H3701" s="74"/>
      <c r="J3701" s="7"/>
      <c r="K3701" s="74"/>
      <c r="L3701" s="74"/>
      <c r="N3701" s="7"/>
      <c r="O3701" s="74"/>
      <c r="P3701" s="74"/>
      <c r="R3701" s="7"/>
      <c r="S3701" s="7"/>
      <c r="T3701" s="66"/>
    </row>
    <row r="3702" spans="1:20" ht="13.2">
      <c r="A3702" s="7"/>
      <c r="B3702" s="7"/>
      <c r="C3702" s="74"/>
      <c r="D3702" s="74"/>
      <c r="F3702" s="7"/>
      <c r="G3702" s="74"/>
      <c r="H3702" s="74"/>
      <c r="J3702" s="7"/>
      <c r="K3702" s="74"/>
      <c r="L3702" s="74"/>
      <c r="N3702" s="7"/>
      <c r="O3702" s="74"/>
      <c r="P3702" s="74"/>
      <c r="R3702" s="7"/>
      <c r="S3702" s="7"/>
      <c r="T3702" s="66"/>
    </row>
    <row r="3703" spans="1:20" ht="13.2">
      <c r="A3703" s="7"/>
      <c r="B3703" s="7"/>
      <c r="C3703" s="74"/>
      <c r="D3703" s="74"/>
      <c r="F3703" s="7"/>
      <c r="G3703" s="74"/>
      <c r="H3703" s="74"/>
      <c r="J3703" s="7"/>
      <c r="K3703" s="74"/>
      <c r="L3703" s="74"/>
      <c r="N3703" s="7"/>
      <c r="O3703" s="74"/>
      <c r="P3703" s="74"/>
      <c r="R3703" s="7"/>
      <c r="S3703" s="7"/>
      <c r="T3703" s="66"/>
    </row>
    <row r="3704" spans="1:20" ht="13.2">
      <c r="A3704" s="7"/>
      <c r="B3704" s="7"/>
      <c r="C3704" s="74"/>
      <c r="D3704" s="74"/>
      <c r="F3704" s="7"/>
      <c r="G3704" s="74"/>
      <c r="H3704" s="74"/>
      <c r="J3704" s="7"/>
      <c r="K3704" s="74"/>
      <c r="L3704" s="74"/>
      <c r="N3704" s="7"/>
      <c r="O3704" s="74"/>
      <c r="P3704" s="74"/>
      <c r="R3704" s="7"/>
      <c r="S3704" s="7"/>
      <c r="T3704" s="66"/>
    </row>
    <row r="3705" spans="1:20" ht="13.2">
      <c r="A3705" s="7"/>
      <c r="B3705" s="7"/>
      <c r="C3705" s="74"/>
      <c r="D3705" s="74"/>
      <c r="F3705" s="7"/>
      <c r="G3705" s="74"/>
      <c r="H3705" s="74"/>
      <c r="J3705" s="7"/>
      <c r="K3705" s="74"/>
      <c r="L3705" s="74"/>
      <c r="N3705" s="7"/>
      <c r="O3705" s="74"/>
      <c r="P3705" s="74"/>
      <c r="R3705" s="7"/>
      <c r="S3705" s="7"/>
      <c r="T3705" s="66"/>
    </row>
    <row r="3706" spans="1:20" ht="13.2">
      <c r="A3706" s="7"/>
      <c r="B3706" s="7"/>
      <c r="C3706" s="74"/>
      <c r="D3706" s="74"/>
      <c r="F3706" s="7"/>
      <c r="G3706" s="74"/>
      <c r="H3706" s="74"/>
      <c r="J3706" s="7"/>
      <c r="K3706" s="74"/>
      <c r="L3706" s="74"/>
      <c r="N3706" s="7"/>
      <c r="O3706" s="74"/>
      <c r="P3706" s="74"/>
      <c r="R3706" s="7"/>
      <c r="S3706" s="7"/>
      <c r="T3706" s="66"/>
    </row>
    <row r="3707" spans="1:20" ht="13.2">
      <c r="A3707" s="7"/>
      <c r="B3707" s="7"/>
      <c r="C3707" s="74"/>
      <c r="D3707" s="74"/>
      <c r="F3707" s="7"/>
      <c r="G3707" s="74"/>
      <c r="H3707" s="74"/>
      <c r="J3707" s="7"/>
      <c r="K3707" s="74"/>
      <c r="L3707" s="74"/>
      <c r="N3707" s="7"/>
      <c r="O3707" s="74"/>
      <c r="P3707" s="74"/>
      <c r="R3707" s="7"/>
      <c r="S3707" s="7"/>
      <c r="T3707" s="66"/>
    </row>
    <row r="3708" spans="1:20" ht="13.2">
      <c r="A3708" s="7"/>
      <c r="B3708" s="7"/>
      <c r="C3708" s="74"/>
      <c r="D3708" s="74"/>
      <c r="F3708" s="7"/>
      <c r="G3708" s="74"/>
      <c r="H3708" s="74"/>
      <c r="J3708" s="7"/>
      <c r="K3708" s="74"/>
      <c r="L3708" s="74"/>
      <c r="N3708" s="7"/>
      <c r="O3708" s="74"/>
      <c r="P3708" s="74"/>
      <c r="R3708" s="7"/>
      <c r="S3708" s="7"/>
      <c r="T3708" s="66"/>
    </row>
    <row r="3709" spans="1:20" ht="13.2">
      <c r="A3709" s="7"/>
      <c r="B3709" s="7"/>
      <c r="C3709" s="74"/>
      <c r="D3709" s="74"/>
      <c r="F3709" s="7"/>
      <c r="G3709" s="74"/>
      <c r="H3709" s="74"/>
      <c r="J3709" s="7"/>
      <c r="K3709" s="74"/>
      <c r="L3709" s="74"/>
      <c r="N3709" s="7"/>
      <c r="O3709" s="74"/>
      <c r="P3709" s="74"/>
      <c r="R3709" s="7"/>
      <c r="S3709" s="7"/>
      <c r="T3709" s="66"/>
    </row>
    <row r="3710" spans="1:20" ht="13.2">
      <c r="A3710" s="7"/>
      <c r="B3710" s="7"/>
      <c r="C3710" s="74"/>
      <c r="D3710" s="74"/>
      <c r="F3710" s="7"/>
      <c r="G3710" s="74"/>
      <c r="H3710" s="74"/>
      <c r="J3710" s="7"/>
      <c r="K3710" s="74"/>
      <c r="L3710" s="74"/>
      <c r="N3710" s="7"/>
      <c r="O3710" s="74"/>
      <c r="P3710" s="74"/>
      <c r="R3710" s="7"/>
      <c r="S3710" s="7"/>
      <c r="T3710" s="66"/>
    </row>
    <row r="3711" spans="1:20" ht="13.2">
      <c r="A3711" s="7"/>
      <c r="B3711" s="7"/>
      <c r="C3711" s="74"/>
      <c r="D3711" s="74"/>
      <c r="F3711" s="7"/>
      <c r="G3711" s="74"/>
      <c r="H3711" s="74"/>
      <c r="J3711" s="7"/>
      <c r="K3711" s="74"/>
      <c r="L3711" s="74"/>
      <c r="N3711" s="7"/>
      <c r="O3711" s="74"/>
      <c r="P3711" s="74"/>
      <c r="R3711" s="7"/>
      <c r="S3711" s="7"/>
      <c r="T3711" s="66"/>
    </row>
    <row r="3712" spans="1:20" ht="13.2">
      <c r="A3712" s="7"/>
      <c r="B3712" s="7"/>
      <c r="C3712" s="74"/>
      <c r="D3712" s="74"/>
      <c r="F3712" s="7"/>
      <c r="G3712" s="74"/>
      <c r="H3712" s="74"/>
      <c r="J3712" s="7"/>
      <c r="K3712" s="74"/>
      <c r="L3712" s="74"/>
      <c r="N3712" s="7"/>
      <c r="O3712" s="74"/>
      <c r="P3712" s="74"/>
      <c r="R3712" s="7"/>
      <c r="S3712" s="7"/>
      <c r="T3712" s="66"/>
    </row>
    <row r="3713" spans="1:20" ht="13.2">
      <c r="A3713" s="7"/>
      <c r="B3713" s="7"/>
      <c r="C3713" s="74"/>
      <c r="D3713" s="74"/>
      <c r="F3713" s="7"/>
      <c r="G3713" s="74"/>
      <c r="H3713" s="74"/>
      <c r="J3713" s="7"/>
      <c r="K3713" s="74"/>
      <c r="L3713" s="74"/>
      <c r="N3713" s="7"/>
      <c r="O3713" s="74"/>
      <c r="P3713" s="74"/>
      <c r="R3713" s="7"/>
      <c r="S3713" s="7"/>
      <c r="T3713" s="66"/>
    </row>
    <row r="3714" spans="1:20" ht="13.2">
      <c r="A3714" s="7"/>
      <c r="B3714" s="7"/>
      <c r="C3714" s="74"/>
      <c r="D3714" s="74"/>
      <c r="F3714" s="7"/>
      <c r="G3714" s="74"/>
      <c r="H3714" s="74"/>
      <c r="J3714" s="7"/>
      <c r="K3714" s="74"/>
      <c r="L3714" s="74"/>
      <c r="N3714" s="7"/>
      <c r="O3714" s="74"/>
      <c r="P3714" s="74"/>
      <c r="R3714" s="7"/>
      <c r="S3714" s="7"/>
      <c r="T3714" s="66"/>
    </row>
    <row r="3715" spans="1:20" ht="13.2">
      <c r="A3715" s="7"/>
      <c r="B3715" s="7"/>
      <c r="C3715" s="74"/>
      <c r="D3715" s="74"/>
      <c r="F3715" s="7"/>
      <c r="G3715" s="74"/>
      <c r="H3715" s="74"/>
      <c r="J3715" s="7"/>
      <c r="K3715" s="74"/>
      <c r="L3715" s="74"/>
      <c r="N3715" s="7"/>
      <c r="O3715" s="74"/>
      <c r="P3715" s="74"/>
      <c r="R3715" s="7"/>
      <c r="S3715" s="7"/>
      <c r="T3715" s="66"/>
    </row>
    <row r="3716" spans="1:20" ht="13.2">
      <c r="A3716" s="7"/>
      <c r="B3716" s="7"/>
      <c r="C3716" s="74"/>
      <c r="D3716" s="74"/>
      <c r="F3716" s="7"/>
      <c r="G3716" s="74"/>
      <c r="H3716" s="74"/>
      <c r="J3716" s="7"/>
      <c r="K3716" s="74"/>
      <c r="L3716" s="74"/>
      <c r="N3716" s="7"/>
      <c r="O3716" s="74"/>
      <c r="P3716" s="74"/>
      <c r="R3716" s="7"/>
      <c r="S3716" s="7"/>
      <c r="T3716" s="66"/>
    </row>
    <row r="3717" spans="1:20" ht="13.2">
      <c r="A3717" s="7"/>
      <c r="B3717" s="7"/>
      <c r="C3717" s="74"/>
      <c r="D3717" s="74"/>
      <c r="F3717" s="7"/>
      <c r="G3717" s="74"/>
      <c r="H3717" s="74"/>
      <c r="J3717" s="7"/>
      <c r="K3717" s="74"/>
      <c r="L3717" s="74"/>
      <c r="N3717" s="7"/>
      <c r="O3717" s="74"/>
      <c r="P3717" s="74"/>
      <c r="R3717" s="7"/>
      <c r="S3717" s="7"/>
      <c r="T3717" s="66"/>
    </row>
    <row r="3718" spans="1:20" ht="13.2">
      <c r="A3718" s="7"/>
      <c r="B3718" s="7"/>
      <c r="C3718" s="74"/>
      <c r="D3718" s="74"/>
      <c r="F3718" s="7"/>
      <c r="G3718" s="74"/>
      <c r="H3718" s="74"/>
      <c r="J3718" s="7"/>
      <c r="K3718" s="74"/>
      <c r="L3718" s="74"/>
      <c r="N3718" s="7"/>
      <c r="O3718" s="74"/>
      <c r="P3718" s="74"/>
      <c r="R3718" s="7"/>
      <c r="S3718" s="7"/>
      <c r="T3718" s="66"/>
    </row>
    <row r="3719" spans="1:20" ht="13.2">
      <c r="A3719" s="7"/>
      <c r="B3719" s="7"/>
      <c r="C3719" s="74"/>
      <c r="D3719" s="74"/>
      <c r="F3719" s="7"/>
      <c r="G3719" s="74"/>
      <c r="H3719" s="74"/>
      <c r="J3719" s="7"/>
      <c r="K3719" s="74"/>
      <c r="L3719" s="74"/>
      <c r="N3719" s="7"/>
      <c r="O3719" s="74"/>
      <c r="P3719" s="74"/>
      <c r="R3719" s="7"/>
      <c r="S3719" s="7"/>
      <c r="T3719" s="66"/>
    </row>
    <row r="3720" spans="1:20" ht="13.2">
      <c r="A3720" s="7"/>
      <c r="B3720" s="7"/>
      <c r="C3720" s="74"/>
      <c r="D3720" s="74"/>
      <c r="F3720" s="7"/>
      <c r="G3720" s="74"/>
      <c r="H3720" s="74"/>
      <c r="J3720" s="7"/>
      <c r="K3720" s="74"/>
      <c r="L3720" s="74"/>
      <c r="N3720" s="7"/>
      <c r="O3720" s="74"/>
      <c r="P3720" s="74"/>
      <c r="R3720" s="7"/>
      <c r="S3720" s="7"/>
      <c r="T3720" s="66"/>
    </row>
    <row r="3721" spans="1:20" ht="13.2">
      <c r="A3721" s="7"/>
      <c r="B3721" s="7"/>
      <c r="C3721" s="74"/>
      <c r="D3721" s="74"/>
      <c r="F3721" s="7"/>
      <c r="G3721" s="74"/>
      <c r="H3721" s="74"/>
      <c r="J3721" s="7"/>
      <c r="K3721" s="74"/>
      <c r="L3721" s="74"/>
      <c r="N3721" s="7"/>
      <c r="O3721" s="74"/>
      <c r="P3721" s="74"/>
      <c r="R3721" s="7"/>
      <c r="S3721" s="7"/>
      <c r="T3721" s="66"/>
    </row>
    <row r="3722" spans="1:20" ht="13.2">
      <c r="A3722" s="7"/>
      <c r="B3722" s="7"/>
      <c r="C3722" s="74"/>
      <c r="D3722" s="74"/>
      <c r="F3722" s="7"/>
      <c r="G3722" s="74"/>
      <c r="H3722" s="74"/>
      <c r="J3722" s="7"/>
      <c r="K3722" s="74"/>
      <c r="L3722" s="74"/>
      <c r="N3722" s="7"/>
      <c r="O3722" s="74"/>
      <c r="P3722" s="74"/>
      <c r="R3722" s="7"/>
      <c r="S3722" s="7"/>
      <c r="T3722" s="66"/>
    </row>
    <row r="3723" spans="1:20" ht="13.2">
      <c r="A3723" s="7"/>
      <c r="B3723" s="7"/>
      <c r="C3723" s="74"/>
      <c r="D3723" s="74"/>
      <c r="F3723" s="7"/>
      <c r="G3723" s="74"/>
      <c r="H3723" s="74"/>
      <c r="J3723" s="7"/>
      <c r="K3723" s="74"/>
      <c r="L3723" s="74"/>
      <c r="N3723" s="7"/>
      <c r="O3723" s="74"/>
      <c r="P3723" s="74"/>
      <c r="R3723" s="7"/>
      <c r="S3723" s="7"/>
      <c r="T3723" s="66"/>
    </row>
    <row r="3724" spans="1:20" ht="13.2">
      <c r="A3724" s="7"/>
      <c r="B3724" s="7"/>
      <c r="C3724" s="74"/>
      <c r="D3724" s="74"/>
      <c r="F3724" s="7"/>
      <c r="G3724" s="74"/>
      <c r="H3724" s="74"/>
      <c r="J3724" s="7"/>
      <c r="K3724" s="74"/>
      <c r="L3724" s="74"/>
      <c r="N3724" s="7"/>
      <c r="O3724" s="74"/>
      <c r="P3724" s="74"/>
      <c r="R3724" s="7"/>
      <c r="S3724" s="7"/>
      <c r="T3724" s="66"/>
    </row>
    <row r="3725" spans="1:20" ht="13.2">
      <c r="A3725" s="7"/>
      <c r="B3725" s="7"/>
      <c r="C3725" s="74"/>
      <c r="D3725" s="74"/>
      <c r="F3725" s="7"/>
      <c r="G3725" s="74"/>
      <c r="H3725" s="74"/>
      <c r="J3725" s="7"/>
      <c r="K3725" s="74"/>
      <c r="L3725" s="74"/>
      <c r="N3725" s="7"/>
      <c r="O3725" s="74"/>
      <c r="P3725" s="74"/>
      <c r="R3725" s="7"/>
      <c r="S3725" s="7"/>
      <c r="T3725" s="66"/>
    </row>
    <row r="3726" spans="1:20" ht="13.2">
      <c r="A3726" s="7"/>
      <c r="B3726" s="7"/>
      <c r="C3726" s="74"/>
      <c r="D3726" s="74"/>
      <c r="F3726" s="7"/>
      <c r="G3726" s="74"/>
      <c r="H3726" s="74"/>
      <c r="J3726" s="7"/>
      <c r="K3726" s="74"/>
      <c r="L3726" s="74"/>
      <c r="N3726" s="7"/>
      <c r="O3726" s="74"/>
      <c r="P3726" s="74"/>
      <c r="R3726" s="7"/>
      <c r="S3726" s="7"/>
      <c r="T3726" s="66"/>
    </row>
    <row r="3727" spans="1:20" ht="13.2">
      <c r="A3727" s="7"/>
      <c r="B3727" s="7"/>
      <c r="C3727" s="74"/>
      <c r="D3727" s="74"/>
      <c r="F3727" s="7"/>
      <c r="G3727" s="74"/>
      <c r="H3727" s="74"/>
      <c r="J3727" s="7"/>
      <c r="K3727" s="74"/>
      <c r="L3727" s="74"/>
      <c r="N3727" s="7"/>
      <c r="O3727" s="74"/>
      <c r="P3727" s="74"/>
      <c r="R3727" s="7"/>
      <c r="S3727" s="7"/>
      <c r="T3727" s="66"/>
    </row>
    <row r="3728" spans="1:20" ht="13.2">
      <c r="A3728" s="7"/>
      <c r="B3728" s="7"/>
      <c r="C3728" s="74"/>
      <c r="D3728" s="74"/>
      <c r="F3728" s="7"/>
      <c r="G3728" s="74"/>
      <c r="H3728" s="74"/>
      <c r="J3728" s="7"/>
      <c r="K3728" s="74"/>
      <c r="L3728" s="74"/>
      <c r="N3728" s="7"/>
      <c r="O3728" s="74"/>
      <c r="P3728" s="74"/>
      <c r="R3728" s="7"/>
      <c r="S3728" s="7"/>
      <c r="T3728" s="66"/>
    </row>
    <row r="3729" spans="1:20" ht="13.2">
      <c r="A3729" s="7"/>
      <c r="B3729" s="7"/>
      <c r="C3729" s="74"/>
      <c r="D3729" s="74"/>
      <c r="F3729" s="7"/>
      <c r="G3729" s="74"/>
      <c r="H3729" s="74"/>
      <c r="J3729" s="7"/>
      <c r="K3729" s="74"/>
      <c r="L3729" s="74"/>
      <c r="N3729" s="7"/>
      <c r="O3729" s="74"/>
      <c r="P3729" s="74"/>
      <c r="R3729" s="7"/>
      <c r="S3729" s="7"/>
      <c r="T3729" s="66"/>
    </row>
    <row r="3730" spans="1:20" ht="13.2">
      <c r="A3730" s="7"/>
      <c r="B3730" s="7"/>
      <c r="C3730" s="74"/>
      <c r="D3730" s="74"/>
      <c r="F3730" s="7"/>
      <c r="G3730" s="74"/>
      <c r="H3730" s="74"/>
      <c r="J3730" s="7"/>
      <c r="K3730" s="74"/>
      <c r="L3730" s="74"/>
      <c r="N3730" s="7"/>
      <c r="O3730" s="74"/>
      <c r="P3730" s="74"/>
      <c r="R3730" s="7"/>
      <c r="S3730" s="7"/>
      <c r="T3730" s="66"/>
    </row>
    <row r="3731" spans="1:20" ht="13.2">
      <c r="A3731" s="7"/>
      <c r="B3731" s="7"/>
      <c r="C3731" s="74"/>
      <c r="D3731" s="74"/>
      <c r="F3731" s="7"/>
      <c r="G3731" s="74"/>
      <c r="H3731" s="74"/>
      <c r="J3731" s="7"/>
      <c r="K3731" s="74"/>
      <c r="L3731" s="74"/>
      <c r="N3731" s="7"/>
      <c r="O3731" s="74"/>
      <c r="P3731" s="74"/>
      <c r="R3731" s="7"/>
      <c r="S3731" s="7"/>
      <c r="T3731" s="66"/>
    </row>
    <row r="3732" spans="1:20" ht="13.2">
      <c r="A3732" s="7"/>
      <c r="B3732" s="7"/>
      <c r="C3732" s="74"/>
      <c r="D3732" s="74"/>
      <c r="F3732" s="7"/>
      <c r="G3732" s="74"/>
      <c r="H3732" s="74"/>
      <c r="J3732" s="7"/>
      <c r="K3732" s="74"/>
      <c r="L3732" s="74"/>
      <c r="N3732" s="7"/>
      <c r="O3732" s="74"/>
      <c r="P3732" s="74"/>
      <c r="R3732" s="7"/>
      <c r="S3732" s="7"/>
      <c r="T3732" s="66"/>
    </row>
    <row r="3733" spans="1:20" ht="13.2">
      <c r="A3733" s="7"/>
      <c r="B3733" s="7"/>
      <c r="C3733" s="74"/>
      <c r="D3733" s="74"/>
      <c r="F3733" s="7"/>
      <c r="G3733" s="74"/>
      <c r="H3733" s="74"/>
      <c r="J3733" s="7"/>
      <c r="K3733" s="74"/>
      <c r="L3733" s="74"/>
      <c r="N3733" s="7"/>
      <c r="O3733" s="74"/>
      <c r="P3733" s="74"/>
      <c r="R3733" s="7"/>
      <c r="S3733" s="7"/>
      <c r="T3733" s="66"/>
    </row>
    <row r="3734" spans="1:20" ht="13.2">
      <c r="A3734" s="7"/>
      <c r="B3734" s="7"/>
      <c r="C3734" s="74"/>
      <c r="D3734" s="74"/>
      <c r="F3734" s="7"/>
      <c r="G3734" s="74"/>
      <c r="H3734" s="74"/>
      <c r="J3734" s="7"/>
      <c r="K3734" s="74"/>
      <c r="L3734" s="74"/>
      <c r="N3734" s="7"/>
      <c r="O3734" s="74"/>
      <c r="P3734" s="74"/>
      <c r="R3734" s="7"/>
      <c r="S3734" s="7"/>
      <c r="T3734" s="66"/>
    </row>
    <row r="3735" spans="1:20" ht="13.2">
      <c r="A3735" s="7"/>
      <c r="B3735" s="7"/>
      <c r="C3735" s="74"/>
      <c r="D3735" s="74"/>
      <c r="F3735" s="7"/>
      <c r="G3735" s="74"/>
      <c r="H3735" s="74"/>
      <c r="J3735" s="7"/>
      <c r="K3735" s="74"/>
      <c r="L3735" s="74"/>
      <c r="N3735" s="7"/>
      <c r="O3735" s="74"/>
      <c r="P3735" s="74"/>
      <c r="R3735" s="7"/>
      <c r="S3735" s="7"/>
      <c r="T3735" s="66"/>
    </row>
    <row r="3736" spans="1:20" ht="13.2">
      <c r="A3736" s="7"/>
      <c r="B3736" s="7"/>
      <c r="C3736" s="74"/>
      <c r="D3736" s="74"/>
      <c r="F3736" s="7"/>
      <c r="G3736" s="74"/>
      <c r="H3736" s="74"/>
      <c r="J3736" s="7"/>
      <c r="K3736" s="74"/>
      <c r="L3736" s="74"/>
      <c r="N3736" s="7"/>
      <c r="O3736" s="74"/>
      <c r="P3736" s="74"/>
      <c r="R3736" s="7"/>
      <c r="S3736" s="7"/>
      <c r="T3736" s="66"/>
    </row>
    <row r="3737" spans="1:20" ht="13.2">
      <c r="A3737" s="7"/>
      <c r="B3737" s="7"/>
      <c r="C3737" s="74"/>
      <c r="D3737" s="74"/>
      <c r="F3737" s="7"/>
      <c r="G3737" s="74"/>
      <c r="H3737" s="74"/>
      <c r="J3737" s="7"/>
      <c r="K3737" s="74"/>
      <c r="L3737" s="74"/>
      <c r="N3737" s="7"/>
      <c r="O3737" s="74"/>
      <c r="P3737" s="74"/>
      <c r="R3737" s="7"/>
      <c r="S3737" s="7"/>
      <c r="T3737" s="66"/>
    </row>
    <row r="3738" spans="1:20" ht="13.2">
      <c r="A3738" s="7"/>
      <c r="B3738" s="7"/>
      <c r="C3738" s="74"/>
      <c r="D3738" s="74"/>
      <c r="F3738" s="7"/>
      <c r="G3738" s="74"/>
      <c r="H3738" s="74"/>
      <c r="J3738" s="7"/>
      <c r="K3738" s="74"/>
      <c r="L3738" s="74"/>
      <c r="N3738" s="7"/>
      <c r="O3738" s="74"/>
      <c r="P3738" s="74"/>
      <c r="R3738" s="7"/>
      <c r="S3738" s="7"/>
      <c r="T3738" s="66"/>
    </row>
    <row r="3739" spans="1:20" ht="13.2">
      <c r="A3739" s="7"/>
      <c r="B3739" s="7"/>
      <c r="C3739" s="74"/>
      <c r="D3739" s="74"/>
      <c r="F3739" s="7"/>
      <c r="G3739" s="74"/>
      <c r="H3739" s="74"/>
      <c r="J3739" s="7"/>
      <c r="K3739" s="74"/>
      <c r="L3739" s="74"/>
      <c r="N3739" s="7"/>
      <c r="O3739" s="74"/>
      <c r="P3739" s="74"/>
      <c r="R3739" s="7"/>
      <c r="S3739" s="7"/>
      <c r="T3739" s="66"/>
    </row>
    <row r="3740" spans="1:20" ht="13.2">
      <c r="A3740" s="7"/>
      <c r="B3740" s="7"/>
      <c r="C3740" s="74"/>
      <c r="D3740" s="74"/>
      <c r="F3740" s="7"/>
      <c r="G3740" s="74"/>
      <c r="H3740" s="74"/>
      <c r="J3740" s="7"/>
      <c r="K3740" s="74"/>
      <c r="L3740" s="74"/>
      <c r="N3740" s="7"/>
      <c r="O3740" s="74"/>
      <c r="P3740" s="74"/>
      <c r="R3740" s="7"/>
      <c r="S3740" s="7"/>
      <c r="T3740" s="66"/>
    </row>
    <row r="3741" spans="1:20" ht="13.2">
      <c r="A3741" s="7"/>
      <c r="B3741" s="7"/>
      <c r="C3741" s="74"/>
      <c r="D3741" s="74"/>
      <c r="F3741" s="7"/>
      <c r="G3741" s="74"/>
      <c r="H3741" s="74"/>
      <c r="J3741" s="7"/>
      <c r="K3741" s="74"/>
      <c r="L3741" s="74"/>
      <c r="N3741" s="7"/>
      <c r="O3741" s="74"/>
      <c r="P3741" s="74"/>
      <c r="R3741" s="7"/>
      <c r="S3741" s="7"/>
      <c r="T3741" s="66"/>
    </row>
    <row r="3742" spans="1:20" ht="13.2">
      <c r="A3742" s="7"/>
      <c r="B3742" s="7"/>
      <c r="C3742" s="74"/>
      <c r="D3742" s="74"/>
      <c r="F3742" s="7"/>
      <c r="G3742" s="74"/>
      <c r="H3742" s="74"/>
      <c r="J3742" s="7"/>
      <c r="K3742" s="74"/>
      <c r="L3742" s="74"/>
      <c r="N3742" s="7"/>
      <c r="O3742" s="74"/>
      <c r="P3742" s="74"/>
      <c r="R3742" s="7"/>
      <c r="S3742" s="7"/>
      <c r="T3742" s="66"/>
    </row>
    <row r="3743" spans="1:20" ht="13.2">
      <c r="A3743" s="7"/>
      <c r="B3743" s="7"/>
      <c r="C3743" s="74"/>
      <c r="D3743" s="74"/>
      <c r="F3743" s="7"/>
      <c r="G3743" s="74"/>
      <c r="H3743" s="74"/>
      <c r="J3743" s="7"/>
      <c r="K3743" s="74"/>
      <c r="L3743" s="74"/>
      <c r="N3743" s="7"/>
      <c r="O3743" s="74"/>
      <c r="P3743" s="74"/>
      <c r="R3743" s="7"/>
      <c r="S3743" s="7"/>
      <c r="T3743" s="66"/>
    </row>
    <row r="3744" spans="1:20" ht="13.2">
      <c r="A3744" s="7"/>
      <c r="B3744" s="7"/>
      <c r="C3744" s="74"/>
      <c r="D3744" s="74"/>
      <c r="F3744" s="7"/>
      <c r="G3744" s="74"/>
      <c r="H3744" s="74"/>
      <c r="J3744" s="7"/>
      <c r="K3744" s="74"/>
      <c r="L3744" s="74"/>
      <c r="N3744" s="7"/>
      <c r="O3744" s="74"/>
      <c r="P3744" s="74"/>
      <c r="R3744" s="7"/>
      <c r="S3744" s="7"/>
      <c r="T3744" s="66"/>
    </row>
    <row r="3745" spans="1:20" ht="13.2">
      <c r="A3745" s="7"/>
      <c r="B3745" s="7"/>
      <c r="C3745" s="74"/>
      <c r="D3745" s="74"/>
      <c r="F3745" s="7"/>
      <c r="G3745" s="74"/>
      <c r="H3745" s="74"/>
      <c r="J3745" s="7"/>
      <c r="K3745" s="74"/>
      <c r="L3745" s="74"/>
      <c r="N3745" s="7"/>
      <c r="O3745" s="74"/>
      <c r="P3745" s="74"/>
      <c r="R3745" s="7"/>
      <c r="S3745" s="7"/>
      <c r="T3745" s="66"/>
    </row>
    <row r="3746" spans="1:20" ht="13.2">
      <c r="A3746" s="7"/>
      <c r="B3746" s="7"/>
      <c r="C3746" s="74"/>
      <c r="D3746" s="74"/>
      <c r="F3746" s="7"/>
      <c r="G3746" s="74"/>
      <c r="H3746" s="74"/>
      <c r="J3746" s="7"/>
      <c r="K3746" s="74"/>
      <c r="L3746" s="74"/>
      <c r="N3746" s="7"/>
      <c r="O3746" s="74"/>
      <c r="P3746" s="74"/>
      <c r="R3746" s="7"/>
      <c r="S3746" s="7"/>
      <c r="T3746" s="66"/>
    </row>
    <row r="3747" spans="1:20" ht="13.2">
      <c r="A3747" s="7"/>
      <c r="B3747" s="7"/>
      <c r="C3747" s="74"/>
      <c r="D3747" s="74"/>
      <c r="F3747" s="7"/>
      <c r="G3747" s="74"/>
      <c r="H3747" s="74"/>
      <c r="J3747" s="7"/>
      <c r="K3747" s="74"/>
      <c r="L3747" s="74"/>
      <c r="N3747" s="7"/>
      <c r="O3747" s="74"/>
      <c r="P3747" s="74"/>
      <c r="R3747" s="7"/>
      <c r="S3747" s="7"/>
      <c r="T3747" s="66"/>
    </row>
    <row r="3748" spans="1:20" ht="13.2">
      <c r="A3748" s="7"/>
      <c r="B3748" s="7"/>
      <c r="C3748" s="74"/>
      <c r="D3748" s="74"/>
      <c r="F3748" s="7"/>
      <c r="G3748" s="74"/>
      <c r="H3748" s="74"/>
      <c r="J3748" s="7"/>
      <c r="K3748" s="74"/>
      <c r="L3748" s="74"/>
      <c r="N3748" s="7"/>
      <c r="O3748" s="74"/>
      <c r="P3748" s="74"/>
      <c r="R3748" s="7"/>
      <c r="S3748" s="7"/>
      <c r="T3748" s="66"/>
    </row>
    <row r="3749" spans="1:20" ht="13.2">
      <c r="A3749" s="7"/>
      <c r="B3749" s="7"/>
      <c r="C3749" s="74"/>
      <c r="D3749" s="74"/>
      <c r="F3749" s="7"/>
      <c r="G3749" s="74"/>
      <c r="H3749" s="74"/>
      <c r="J3749" s="7"/>
      <c r="K3749" s="74"/>
      <c r="L3749" s="74"/>
      <c r="N3749" s="7"/>
      <c r="O3749" s="74"/>
      <c r="P3749" s="74"/>
      <c r="R3749" s="7"/>
      <c r="S3749" s="7"/>
      <c r="T3749" s="66"/>
    </row>
    <row r="3750" spans="1:20" ht="13.2">
      <c r="A3750" s="7"/>
      <c r="B3750" s="7"/>
      <c r="C3750" s="74"/>
      <c r="D3750" s="74"/>
      <c r="F3750" s="7"/>
      <c r="G3750" s="74"/>
      <c r="H3750" s="74"/>
      <c r="J3750" s="7"/>
      <c r="K3750" s="74"/>
      <c r="L3750" s="74"/>
      <c r="N3750" s="7"/>
      <c r="O3750" s="74"/>
      <c r="P3750" s="74"/>
      <c r="R3750" s="7"/>
      <c r="S3750" s="7"/>
      <c r="T3750" s="66"/>
    </row>
    <row r="3751" spans="1:20" ht="13.2">
      <c r="A3751" s="7"/>
      <c r="B3751" s="7"/>
      <c r="C3751" s="74"/>
      <c r="D3751" s="74"/>
      <c r="F3751" s="7"/>
      <c r="G3751" s="74"/>
      <c r="H3751" s="74"/>
      <c r="J3751" s="7"/>
      <c r="K3751" s="74"/>
      <c r="L3751" s="74"/>
      <c r="N3751" s="7"/>
      <c r="O3751" s="74"/>
      <c r="P3751" s="74"/>
      <c r="R3751" s="7"/>
      <c r="S3751" s="7"/>
      <c r="T3751" s="66"/>
    </row>
    <row r="3752" spans="1:20" ht="13.2">
      <c r="A3752" s="7"/>
      <c r="B3752" s="7"/>
      <c r="C3752" s="74"/>
      <c r="D3752" s="74"/>
      <c r="F3752" s="7"/>
      <c r="G3752" s="74"/>
      <c r="H3752" s="74"/>
      <c r="J3752" s="7"/>
      <c r="K3752" s="74"/>
      <c r="L3752" s="74"/>
      <c r="N3752" s="7"/>
      <c r="O3752" s="74"/>
      <c r="P3752" s="74"/>
      <c r="R3752" s="7"/>
      <c r="S3752" s="7"/>
      <c r="T3752" s="66"/>
    </row>
    <row r="3753" spans="1:20" ht="13.2">
      <c r="A3753" s="7"/>
      <c r="B3753" s="7"/>
      <c r="C3753" s="74"/>
      <c r="D3753" s="74"/>
      <c r="F3753" s="7"/>
      <c r="G3753" s="74"/>
      <c r="H3753" s="74"/>
      <c r="J3753" s="7"/>
      <c r="K3753" s="74"/>
      <c r="L3753" s="74"/>
      <c r="N3753" s="7"/>
      <c r="O3753" s="74"/>
      <c r="P3753" s="74"/>
      <c r="R3753" s="7"/>
      <c r="S3753" s="7"/>
      <c r="T3753" s="66"/>
    </row>
    <row r="3754" spans="1:20" ht="13.2">
      <c r="A3754" s="7"/>
      <c r="B3754" s="7"/>
      <c r="C3754" s="74"/>
      <c r="D3754" s="74"/>
      <c r="F3754" s="7"/>
      <c r="G3754" s="74"/>
      <c r="H3754" s="74"/>
      <c r="J3754" s="7"/>
      <c r="K3754" s="74"/>
      <c r="L3754" s="74"/>
      <c r="N3754" s="7"/>
      <c r="O3754" s="74"/>
      <c r="P3754" s="74"/>
      <c r="R3754" s="7"/>
      <c r="S3754" s="7"/>
      <c r="T3754" s="66"/>
    </row>
    <row r="3755" spans="1:20" ht="13.2">
      <c r="A3755" s="7"/>
      <c r="B3755" s="7"/>
      <c r="C3755" s="74"/>
      <c r="D3755" s="74"/>
      <c r="F3755" s="7"/>
      <c r="G3755" s="74"/>
      <c r="H3755" s="74"/>
      <c r="J3755" s="7"/>
      <c r="K3755" s="74"/>
      <c r="L3755" s="74"/>
      <c r="N3755" s="7"/>
      <c r="O3755" s="74"/>
      <c r="P3755" s="74"/>
      <c r="R3755" s="7"/>
      <c r="S3755" s="7"/>
      <c r="T3755" s="66"/>
    </row>
    <row r="3756" spans="1:20" ht="13.2">
      <c r="A3756" s="7"/>
      <c r="B3756" s="7"/>
      <c r="C3756" s="74"/>
      <c r="D3756" s="74"/>
      <c r="F3756" s="7"/>
      <c r="G3756" s="74"/>
      <c r="H3756" s="74"/>
      <c r="J3756" s="7"/>
      <c r="K3756" s="74"/>
      <c r="L3756" s="74"/>
      <c r="N3756" s="7"/>
      <c r="O3756" s="74"/>
      <c r="P3756" s="74"/>
      <c r="R3756" s="7"/>
      <c r="S3756" s="7"/>
      <c r="T3756" s="66"/>
    </row>
    <row r="3757" spans="1:20" ht="13.2">
      <c r="A3757" s="7"/>
      <c r="B3757" s="7"/>
      <c r="C3757" s="74"/>
      <c r="D3757" s="74"/>
      <c r="F3757" s="7"/>
      <c r="G3757" s="74"/>
      <c r="H3757" s="74"/>
      <c r="J3757" s="7"/>
      <c r="K3757" s="74"/>
      <c r="L3757" s="74"/>
      <c r="N3757" s="7"/>
      <c r="O3757" s="74"/>
      <c r="P3757" s="74"/>
      <c r="R3757" s="7"/>
      <c r="S3757" s="7"/>
      <c r="T3757" s="66"/>
    </row>
    <row r="3758" spans="1:20" ht="13.2">
      <c r="A3758" s="7"/>
      <c r="B3758" s="7"/>
      <c r="C3758" s="74"/>
      <c r="D3758" s="74"/>
      <c r="F3758" s="7"/>
      <c r="G3758" s="74"/>
      <c r="H3758" s="74"/>
      <c r="J3758" s="7"/>
      <c r="K3758" s="74"/>
      <c r="L3758" s="74"/>
      <c r="N3758" s="7"/>
      <c r="O3758" s="74"/>
      <c r="P3758" s="74"/>
      <c r="R3758" s="7"/>
      <c r="S3758" s="7"/>
      <c r="T3758" s="66"/>
    </row>
    <row r="3759" spans="1:20" ht="13.2">
      <c r="A3759" s="7"/>
      <c r="B3759" s="7"/>
      <c r="C3759" s="74"/>
      <c r="D3759" s="74"/>
      <c r="F3759" s="7"/>
      <c r="G3759" s="74"/>
      <c r="H3759" s="74"/>
      <c r="J3759" s="7"/>
      <c r="K3759" s="74"/>
      <c r="L3759" s="74"/>
      <c r="N3759" s="7"/>
      <c r="O3759" s="74"/>
      <c r="P3759" s="74"/>
      <c r="R3759" s="7"/>
      <c r="S3759" s="7"/>
      <c r="T3759" s="66"/>
    </row>
    <row r="3760" spans="1:20" ht="13.2">
      <c r="A3760" s="7"/>
      <c r="B3760" s="7"/>
      <c r="C3760" s="74"/>
      <c r="D3760" s="74"/>
      <c r="F3760" s="7"/>
      <c r="G3760" s="74"/>
      <c r="H3760" s="74"/>
      <c r="J3760" s="7"/>
      <c r="K3760" s="74"/>
      <c r="L3760" s="74"/>
      <c r="N3760" s="7"/>
      <c r="O3760" s="74"/>
      <c r="P3760" s="74"/>
      <c r="R3760" s="7"/>
      <c r="S3760" s="7"/>
      <c r="T3760" s="66"/>
    </row>
    <row r="3761" spans="1:20" ht="13.2">
      <c r="A3761" s="7"/>
      <c r="B3761" s="7"/>
      <c r="C3761" s="74"/>
      <c r="D3761" s="74"/>
      <c r="F3761" s="7"/>
      <c r="G3761" s="74"/>
      <c r="H3761" s="74"/>
      <c r="J3761" s="7"/>
      <c r="K3761" s="74"/>
      <c r="L3761" s="74"/>
      <c r="N3761" s="7"/>
      <c r="O3761" s="74"/>
      <c r="P3761" s="74"/>
      <c r="R3761" s="7"/>
      <c r="S3761" s="7"/>
      <c r="T3761" s="66"/>
    </row>
    <row r="3762" spans="1:20" ht="13.2">
      <c r="A3762" s="7"/>
      <c r="B3762" s="7"/>
      <c r="C3762" s="74"/>
      <c r="D3762" s="74"/>
      <c r="F3762" s="7"/>
      <c r="G3762" s="74"/>
      <c r="H3762" s="74"/>
      <c r="J3762" s="7"/>
      <c r="K3762" s="74"/>
      <c r="L3762" s="74"/>
      <c r="N3762" s="7"/>
      <c r="O3762" s="74"/>
      <c r="P3762" s="74"/>
      <c r="R3762" s="7"/>
      <c r="S3762" s="7"/>
      <c r="T3762" s="66"/>
    </row>
    <row r="3763" spans="1:20" ht="13.2">
      <c r="A3763" s="7"/>
      <c r="B3763" s="7"/>
      <c r="C3763" s="74"/>
      <c r="D3763" s="74"/>
      <c r="F3763" s="7"/>
      <c r="G3763" s="74"/>
      <c r="H3763" s="74"/>
      <c r="J3763" s="7"/>
      <c r="K3763" s="74"/>
      <c r="L3763" s="74"/>
      <c r="N3763" s="7"/>
      <c r="O3763" s="74"/>
      <c r="P3763" s="74"/>
      <c r="R3763" s="7"/>
      <c r="S3763" s="7"/>
      <c r="T3763" s="66"/>
    </row>
    <row r="3764" spans="1:20" ht="13.2">
      <c r="A3764" s="7"/>
      <c r="B3764" s="7"/>
      <c r="C3764" s="74"/>
      <c r="D3764" s="74"/>
      <c r="F3764" s="7"/>
      <c r="G3764" s="74"/>
      <c r="H3764" s="74"/>
      <c r="J3764" s="7"/>
      <c r="K3764" s="74"/>
      <c r="L3764" s="74"/>
      <c r="N3764" s="7"/>
      <c r="O3764" s="74"/>
      <c r="P3764" s="74"/>
      <c r="R3764" s="7"/>
      <c r="S3764" s="7"/>
      <c r="T3764" s="66"/>
    </row>
    <row r="3765" spans="1:20" ht="13.2">
      <c r="A3765" s="7"/>
      <c r="B3765" s="7"/>
      <c r="C3765" s="74"/>
      <c r="D3765" s="74"/>
      <c r="F3765" s="7"/>
      <c r="G3765" s="74"/>
      <c r="H3765" s="74"/>
      <c r="J3765" s="7"/>
      <c r="K3765" s="74"/>
      <c r="L3765" s="74"/>
      <c r="N3765" s="7"/>
      <c r="O3765" s="74"/>
      <c r="P3765" s="74"/>
      <c r="R3765" s="7"/>
      <c r="S3765" s="7"/>
      <c r="T3765" s="66"/>
    </row>
    <row r="3766" spans="1:20" ht="13.2">
      <c r="A3766" s="7"/>
      <c r="B3766" s="7"/>
      <c r="C3766" s="74"/>
      <c r="D3766" s="74"/>
      <c r="F3766" s="7"/>
      <c r="G3766" s="74"/>
      <c r="H3766" s="74"/>
      <c r="J3766" s="7"/>
      <c r="K3766" s="74"/>
      <c r="L3766" s="74"/>
      <c r="N3766" s="7"/>
      <c r="O3766" s="74"/>
      <c r="P3766" s="74"/>
      <c r="R3766" s="7"/>
      <c r="S3766" s="7"/>
      <c r="T3766" s="66"/>
    </row>
    <row r="3767" spans="1:20" ht="13.2">
      <c r="A3767" s="7"/>
      <c r="B3767" s="7"/>
      <c r="C3767" s="74"/>
      <c r="D3767" s="74"/>
      <c r="F3767" s="7"/>
      <c r="G3767" s="74"/>
      <c r="H3767" s="74"/>
      <c r="J3767" s="7"/>
      <c r="K3767" s="74"/>
      <c r="L3767" s="74"/>
      <c r="N3767" s="7"/>
      <c r="O3767" s="74"/>
      <c r="P3767" s="74"/>
      <c r="R3767" s="7"/>
      <c r="S3767" s="7"/>
      <c r="T3767" s="66"/>
    </row>
    <row r="3768" spans="1:20" ht="13.2">
      <c r="A3768" s="7"/>
      <c r="B3768" s="7"/>
      <c r="C3768" s="74"/>
      <c r="D3768" s="74"/>
      <c r="F3768" s="7"/>
      <c r="G3768" s="74"/>
      <c r="H3768" s="74"/>
      <c r="J3768" s="7"/>
      <c r="K3768" s="74"/>
      <c r="L3768" s="74"/>
      <c r="N3768" s="7"/>
      <c r="O3768" s="74"/>
      <c r="P3768" s="74"/>
      <c r="R3768" s="7"/>
      <c r="S3768" s="7"/>
      <c r="T3768" s="66"/>
    </row>
    <row r="3769" spans="1:20" ht="13.2">
      <c r="A3769" s="7"/>
      <c r="B3769" s="7"/>
      <c r="C3769" s="74"/>
      <c r="D3769" s="74"/>
      <c r="F3769" s="7"/>
      <c r="G3769" s="74"/>
      <c r="H3769" s="74"/>
      <c r="J3769" s="7"/>
      <c r="K3769" s="74"/>
      <c r="L3769" s="74"/>
      <c r="N3769" s="7"/>
      <c r="O3769" s="74"/>
      <c r="P3769" s="74"/>
      <c r="R3769" s="7"/>
      <c r="S3769" s="7"/>
      <c r="T3769" s="66"/>
    </row>
    <row r="3770" spans="1:20" ht="13.2">
      <c r="A3770" s="7"/>
      <c r="B3770" s="7"/>
      <c r="C3770" s="74"/>
      <c r="D3770" s="74"/>
      <c r="F3770" s="7"/>
      <c r="G3770" s="74"/>
      <c r="H3770" s="74"/>
      <c r="J3770" s="7"/>
      <c r="K3770" s="74"/>
      <c r="L3770" s="74"/>
      <c r="N3770" s="7"/>
      <c r="O3770" s="74"/>
      <c r="P3770" s="74"/>
      <c r="R3770" s="7"/>
      <c r="S3770" s="7"/>
      <c r="T3770" s="66"/>
    </row>
    <row r="3771" spans="1:20" ht="13.2">
      <c r="A3771" s="7"/>
      <c r="B3771" s="7"/>
      <c r="C3771" s="74"/>
      <c r="D3771" s="74"/>
      <c r="F3771" s="7"/>
      <c r="G3771" s="74"/>
      <c r="H3771" s="74"/>
      <c r="J3771" s="7"/>
      <c r="K3771" s="74"/>
      <c r="L3771" s="74"/>
      <c r="N3771" s="7"/>
      <c r="O3771" s="74"/>
      <c r="P3771" s="74"/>
      <c r="R3771" s="7"/>
      <c r="S3771" s="7"/>
      <c r="T3771" s="66"/>
    </row>
    <row r="3772" spans="1:20" ht="13.2">
      <c r="A3772" s="7"/>
      <c r="B3772" s="7"/>
      <c r="C3772" s="74"/>
      <c r="D3772" s="74"/>
      <c r="F3772" s="7"/>
      <c r="G3772" s="74"/>
      <c r="H3772" s="74"/>
      <c r="J3772" s="7"/>
      <c r="K3772" s="74"/>
      <c r="L3772" s="74"/>
      <c r="N3772" s="7"/>
      <c r="O3772" s="74"/>
      <c r="P3772" s="74"/>
      <c r="R3772" s="7"/>
      <c r="S3772" s="7"/>
      <c r="T3772" s="66"/>
    </row>
    <row r="3773" spans="1:20" ht="13.2">
      <c r="A3773" s="7"/>
      <c r="B3773" s="7"/>
      <c r="C3773" s="74"/>
      <c r="D3773" s="74"/>
      <c r="F3773" s="7"/>
      <c r="G3773" s="74"/>
      <c r="H3773" s="74"/>
      <c r="J3773" s="7"/>
      <c r="K3773" s="74"/>
      <c r="L3773" s="74"/>
      <c r="N3773" s="7"/>
      <c r="O3773" s="74"/>
      <c r="P3773" s="74"/>
      <c r="R3773" s="7"/>
      <c r="S3773" s="7"/>
      <c r="T3773" s="66"/>
    </row>
    <row r="3774" spans="1:20" ht="13.2">
      <c r="A3774" s="7"/>
      <c r="B3774" s="7"/>
      <c r="C3774" s="74"/>
      <c r="D3774" s="74"/>
      <c r="F3774" s="7"/>
      <c r="G3774" s="74"/>
      <c r="H3774" s="74"/>
      <c r="J3774" s="7"/>
      <c r="K3774" s="74"/>
      <c r="L3774" s="74"/>
      <c r="N3774" s="7"/>
      <c r="O3774" s="74"/>
      <c r="P3774" s="74"/>
      <c r="R3774" s="7"/>
      <c r="S3774" s="7"/>
      <c r="T3774" s="66"/>
    </row>
    <row r="3775" spans="1:20" ht="13.2">
      <c r="A3775" s="7"/>
      <c r="B3775" s="7"/>
      <c r="C3775" s="74"/>
      <c r="D3775" s="74"/>
      <c r="F3775" s="7"/>
      <c r="G3775" s="74"/>
      <c r="H3775" s="74"/>
      <c r="J3775" s="7"/>
      <c r="K3775" s="74"/>
      <c r="L3775" s="74"/>
      <c r="N3775" s="7"/>
      <c r="O3775" s="74"/>
      <c r="P3775" s="74"/>
      <c r="R3775" s="7"/>
      <c r="S3775" s="7"/>
      <c r="T3775" s="66"/>
    </row>
    <row r="3776" spans="1:20" ht="13.2">
      <c r="A3776" s="7"/>
      <c r="B3776" s="7"/>
      <c r="C3776" s="74"/>
      <c r="D3776" s="74"/>
      <c r="F3776" s="7"/>
      <c r="G3776" s="74"/>
      <c r="H3776" s="74"/>
      <c r="J3776" s="7"/>
      <c r="K3776" s="74"/>
      <c r="L3776" s="74"/>
      <c r="N3776" s="7"/>
      <c r="O3776" s="74"/>
      <c r="P3776" s="74"/>
      <c r="R3776" s="7"/>
      <c r="S3776" s="7"/>
      <c r="T3776" s="66"/>
    </row>
    <row r="3777" spans="1:20" ht="13.2">
      <c r="A3777" s="7"/>
      <c r="B3777" s="7"/>
      <c r="C3777" s="74"/>
      <c r="D3777" s="74"/>
      <c r="F3777" s="7"/>
      <c r="G3777" s="74"/>
      <c r="H3777" s="74"/>
      <c r="J3777" s="7"/>
      <c r="K3777" s="74"/>
      <c r="L3777" s="74"/>
      <c r="N3777" s="7"/>
      <c r="O3777" s="74"/>
      <c r="P3777" s="74"/>
      <c r="R3777" s="7"/>
      <c r="S3777" s="7"/>
      <c r="T3777" s="66"/>
    </row>
    <row r="3778" spans="1:20" ht="13.2">
      <c r="A3778" s="7"/>
      <c r="B3778" s="7"/>
      <c r="C3778" s="74"/>
      <c r="D3778" s="74"/>
      <c r="F3778" s="7"/>
      <c r="G3778" s="74"/>
      <c r="H3778" s="74"/>
      <c r="J3778" s="7"/>
      <c r="K3778" s="74"/>
      <c r="L3778" s="74"/>
      <c r="N3778" s="7"/>
      <c r="O3778" s="74"/>
      <c r="P3778" s="74"/>
      <c r="R3778" s="7"/>
      <c r="S3778" s="7"/>
      <c r="T3778" s="66"/>
    </row>
    <row r="3779" spans="1:20" ht="13.2">
      <c r="A3779" s="7"/>
      <c r="B3779" s="7"/>
      <c r="C3779" s="74"/>
      <c r="D3779" s="74"/>
      <c r="F3779" s="7"/>
      <c r="G3779" s="74"/>
      <c r="H3779" s="74"/>
      <c r="J3779" s="7"/>
      <c r="K3779" s="74"/>
      <c r="L3779" s="74"/>
      <c r="N3779" s="7"/>
      <c r="O3779" s="74"/>
      <c r="P3779" s="74"/>
      <c r="R3779" s="7"/>
      <c r="S3779" s="7"/>
      <c r="T3779" s="66"/>
    </row>
    <row r="3780" spans="1:20" ht="13.2">
      <c r="A3780" s="7"/>
      <c r="B3780" s="7"/>
      <c r="C3780" s="74"/>
      <c r="D3780" s="74"/>
      <c r="F3780" s="7"/>
      <c r="G3780" s="74"/>
      <c r="H3780" s="74"/>
      <c r="J3780" s="7"/>
      <c r="K3780" s="74"/>
      <c r="L3780" s="74"/>
      <c r="N3780" s="7"/>
      <c r="O3780" s="74"/>
      <c r="P3780" s="74"/>
      <c r="R3780" s="7"/>
      <c r="S3780" s="7"/>
      <c r="T3780" s="66"/>
    </row>
    <row r="3781" spans="1:20" ht="13.2">
      <c r="A3781" s="7"/>
      <c r="B3781" s="7"/>
      <c r="C3781" s="74"/>
      <c r="D3781" s="74"/>
      <c r="F3781" s="7"/>
      <c r="G3781" s="74"/>
      <c r="H3781" s="74"/>
      <c r="J3781" s="7"/>
      <c r="K3781" s="74"/>
      <c r="L3781" s="74"/>
      <c r="N3781" s="7"/>
      <c r="O3781" s="74"/>
      <c r="P3781" s="74"/>
      <c r="R3781" s="7"/>
      <c r="S3781" s="7"/>
      <c r="T3781" s="66"/>
    </row>
    <row r="3782" spans="1:20" ht="13.2">
      <c r="A3782" s="7"/>
      <c r="B3782" s="7"/>
      <c r="C3782" s="74"/>
      <c r="D3782" s="74"/>
      <c r="F3782" s="7"/>
      <c r="G3782" s="74"/>
      <c r="H3782" s="74"/>
      <c r="J3782" s="7"/>
      <c r="K3782" s="74"/>
      <c r="L3782" s="74"/>
      <c r="N3782" s="7"/>
      <c r="O3782" s="74"/>
      <c r="P3782" s="74"/>
      <c r="R3782" s="7"/>
      <c r="S3782" s="7"/>
      <c r="T3782" s="66"/>
    </row>
    <row r="3783" spans="1:20" ht="13.2">
      <c r="A3783" s="7"/>
      <c r="B3783" s="7"/>
      <c r="C3783" s="74"/>
      <c r="D3783" s="74"/>
      <c r="F3783" s="7"/>
      <c r="G3783" s="74"/>
      <c r="H3783" s="74"/>
      <c r="J3783" s="7"/>
      <c r="K3783" s="74"/>
      <c r="L3783" s="74"/>
      <c r="N3783" s="7"/>
      <c r="O3783" s="74"/>
      <c r="P3783" s="74"/>
      <c r="R3783" s="7"/>
      <c r="S3783" s="7"/>
      <c r="T3783" s="66"/>
    </row>
    <row r="3784" spans="1:20" ht="13.2">
      <c r="A3784" s="7"/>
      <c r="B3784" s="7"/>
      <c r="C3784" s="74"/>
      <c r="D3784" s="74"/>
      <c r="F3784" s="7"/>
      <c r="G3784" s="74"/>
      <c r="H3784" s="74"/>
      <c r="J3784" s="7"/>
      <c r="K3784" s="74"/>
      <c r="L3784" s="74"/>
      <c r="N3784" s="7"/>
      <c r="O3784" s="74"/>
      <c r="P3784" s="74"/>
      <c r="R3784" s="7"/>
      <c r="S3784" s="7"/>
      <c r="T3784" s="66"/>
    </row>
    <row r="3785" spans="1:20" ht="13.2">
      <c r="A3785" s="7"/>
      <c r="B3785" s="7"/>
      <c r="C3785" s="74"/>
      <c r="D3785" s="74"/>
      <c r="F3785" s="7"/>
      <c r="G3785" s="74"/>
      <c r="H3785" s="74"/>
      <c r="J3785" s="7"/>
      <c r="K3785" s="74"/>
      <c r="L3785" s="74"/>
      <c r="N3785" s="7"/>
      <c r="O3785" s="74"/>
      <c r="P3785" s="74"/>
      <c r="R3785" s="7"/>
      <c r="S3785" s="7"/>
      <c r="T3785" s="66"/>
    </row>
    <row r="3786" spans="1:20" ht="13.2">
      <c r="A3786" s="7"/>
      <c r="B3786" s="7"/>
      <c r="C3786" s="74"/>
      <c r="D3786" s="74"/>
      <c r="F3786" s="7"/>
      <c r="G3786" s="74"/>
      <c r="H3786" s="74"/>
      <c r="J3786" s="7"/>
      <c r="K3786" s="74"/>
      <c r="L3786" s="74"/>
      <c r="N3786" s="7"/>
      <c r="O3786" s="74"/>
      <c r="P3786" s="74"/>
      <c r="R3786" s="7"/>
      <c r="S3786" s="7"/>
      <c r="T3786" s="66"/>
    </row>
    <row r="3787" spans="1:20" ht="13.2">
      <c r="A3787" s="7"/>
      <c r="B3787" s="7"/>
      <c r="C3787" s="74"/>
      <c r="D3787" s="74"/>
      <c r="F3787" s="7"/>
      <c r="G3787" s="74"/>
      <c r="H3787" s="74"/>
      <c r="J3787" s="7"/>
      <c r="K3787" s="74"/>
      <c r="L3787" s="74"/>
      <c r="N3787" s="7"/>
      <c r="O3787" s="74"/>
      <c r="P3787" s="74"/>
      <c r="R3787" s="7"/>
      <c r="S3787" s="7"/>
      <c r="T3787" s="66"/>
    </row>
    <row r="3788" spans="1:20" ht="13.2">
      <c r="A3788" s="7"/>
      <c r="B3788" s="7"/>
      <c r="C3788" s="74"/>
      <c r="D3788" s="74"/>
      <c r="F3788" s="7"/>
      <c r="G3788" s="74"/>
      <c r="H3788" s="74"/>
      <c r="J3788" s="7"/>
      <c r="K3788" s="74"/>
      <c r="L3788" s="74"/>
      <c r="N3788" s="7"/>
      <c r="O3788" s="74"/>
      <c r="P3788" s="74"/>
      <c r="R3788" s="7"/>
      <c r="S3788" s="7"/>
      <c r="T3788" s="66"/>
    </row>
    <row r="3789" spans="1:20" ht="13.2">
      <c r="A3789" s="7"/>
      <c r="B3789" s="7"/>
      <c r="C3789" s="74"/>
      <c r="D3789" s="74"/>
      <c r="F3789" s="7"/>
      <c r="G3789" s="74"/>
      <c r="H3789" s="74"/>
      <c r="J3789" s="7"/>
      <c r="K3789" s="74"/>
      <c r="L3789" s="74"/>
      <c r="N3789" s="7"/>
      <c r="O3789" s="74"/>
      <c r="P3789" s="74"/>
      <c r="R3789" s="7"/>
      <c r="S3789" s="7"/>
      <c r="T3789" s="66"/>
    </row>
    <row r="3790" spans="1:20" ht="13.2">
      <c r="A3790" s="7"/>
      <c r="B3790" s="7"/>
      <c r="C3790" s="74"/>
      <c r="D3790" s="74"/>
      <c r="F3790" s="7"/>
      <c r="G3790" s="74"/>
      <c r="H3790" s="74"/>
      <c r="J3790" s="7"/>
      <c r="K3790" s="74"/>
      <c r="L3790" s="74"/>
      <c r="N3790" s="7"/>
      <c r="O3790" s="74"/>
      <c r="P3790" s="74"/>
      <c r="R3790" s="7"/>
      <c r="S3790" s="7"/>
      <c r="T3790" s="66"/>
    </row>
    <row r="3791" spans="1:20" ht="13.2">
      <c r="A3791" s="7"/>
      <c r="B3791" s="7"/>
      <c r="C3791" s="74"/>
      <c r="D3791" s="74"/>
      <c r="F3791" s="7"/>
      <c r="G3791" s="74"/>
      <c r="H3791" s="74"/>
      <c r="J3791" s="7"/>
      <c r="K3791" s="74"/>
      <c r="L3791" s="74"/>
      <c r="N3791" s="7"/>
      <c r="O3791" s="74"/>
      <c r="P3791" s="74"/>
      <c r="R3791" s="7"/>
      <c r="S3791" s="7"/>
      <c r="T3791" s="66"/>
    </row>
    <row r="3792" spans="1:20" ht="13.2">
      <c r="A3792" s="7"/>
      <c r="B3792" s="7"/>
      <c r="C3792" s="74"/>
      <c r="D3792" s="74"/>
      <c r="F3792" s="7"/>
      <c r="G3792" s="74"/>
      <c r="H3792" s="74"/>
      <c r="J3792" s="7"/>
      <c r="K3792" s="74"/>
      <c r="L3792" s="74"/>
      <c r="N3792" s="7"/>
      <c r="O3792" s="74"/>
      <c r="P3792" s="74"/>
      <c r="R3792" s="7"/>
      <c r="S3792" s="7"/>
      <c r="T3792" s="66"/>
    </row>
    <row r="3793" spans="1:20" ht="13.2">
      <c r="A3793" s="7"/>
      <c r="B3793" s="7"/>
      <c r="C3793" s="74"/>
      <c r="D3793" s="74"/>
      <c r="F3793" s="7"/>
      <c r="G3793" s="74"/>
      <c r="H3793" s="74"/>
      <c r="J3793" s="7"/>
      <c r="K3793" s="74"/>
      <c r="L3793" s="74"/>
      <c r="N3793" s="7"/>
      <c r="O3793" s="74"/>
      <c r="P3793" s="74"/>
      <c r="R3793" s="7"/>
      <c r="S3793" s="7"/>
      <c r="T3793" s="66"/>
    </row>
    <row r="3794" spans="1:20" ht="13.2">
      <c r="A3794" s="7"/>
      <c r="B3794" s="7"/>
      <c r="C3794" s="74"/>
      <c r="D3794" s="74"/>
      <c r="F3794" s="7"/>
      <c r="G3794" s="74"/>
      <c r="H3794" s="74"/>
      <c r="J3794" s="7"/>
      <c r="K3794" s="74"/>
      <c r="L3794" s="74"/>
      <c r="N3794" s="7"/>
      <c r="O3794" s="74"/>
      <c r="P3794" s="74"/>
      <c r="R3794" s="7"/>
      <c r="S3794" s="7"/>
      <c r="T3794" s="66"/>
    </row>
    <row r="3795" spans="1:20" ht="13.2">
      <c r="A3795" s="7"/>
      <c r="B3795" s="7"/>
      <c r="C3795" s="74"/>
      <c r="D3795" s="74"/>
      <c r="F3795" s="7"/>
      <c r="G3795" s="74"/>
      <c r="H3795" s="74"/>
      <c r="J3795" s="7"/>
      <c r="K3795" s="74"/>
      <c r="L3795" s="74"/>
      <c r="N3795" s="7"/>
      <c r="O3795" s="74"/>
      <c r="P3795" s="74"/>
      <c r="R3795" s="7"/>
      <c r="S3795" s="7"/>
      <c r="T3795" s="66"/>
    </row>
    <row r="3796" spans="1:20" ht="13.2">
      <c r="A3796" s="7"/>
      <c r="B3796" s="7"/>
      <c r="C3796" s="74"/>
      <c r="D3796" s="74"/>
      <c r="F3796" s="7"/>
      <c r="G3796" s="74"/>
      <c r="H3796" s="74"/>
      <c r="J3796" s="7"/>
      <c r="K3796" s="74"/>
      <c r="L3796" s="74"/>
      <c r="N3796" s="7"/>
      <c r="O3796" s="74"/>
      <c r="P3796" s="74"/>
      <c r="R3796" s="7"/>
      <c r="S3796" s="7"/>
      <c r="T3796" s="66"/>
    </row>
    <row r="3797" spans="1:20" ht="13.2">
      <c r="A3797" s="7"/>
      <c r="B3797" s="7"/>
      <c r="C3797" s="74"/>
      <c r="D3797" s="74"/>
      <c r="F3797" s="7"/>
      <c r="G3797" s="74"/>
      <c r="H3797" s="74"/>
      <c r="J3797" s="7"/>
      <c r="K3797" s="74"/>
      <c r="L3797" s="74"/>
      <c r="N3797" s="7"/>
      <c r="O3797" s="74"/>
      <c r="P3797" s="74"/>
      <c r="R3797" s="7"/>
      <c r="S3797" s="7"/>
      <c r="T3797" s="66"/>
    </row>
    <row r="3798" spans="1:20" ht="13.2">
      <c r="A3798" s="7"/>
      <c r="B3798" s="7"/>
      <c r="C3798" s="74"/>
      <c r="D3798" s="74"/>
      <c r="F3798" s="7"/>
      <c r="G3798" s="74"/>
      <c r="H3798" s="74"/>
      <c r="J3798" s="7"/>
      <c r="K3798" s="74"/>
      <c r="L3798" s="74"/>
      <c r="N3798" s="7"/>
      <c r="O3798" s="74"/>
      <c r="P3798" s="74"/>
      <c r="R3798" s="7"/>
      <c r="S3798" s="7"/>
      <c r="T3798" s="66"/>
    </row>
    <row r="3799" spans="1:20" ht="13.2">
      <c r="A3799" s="7"/>
      <c r="B3799" s="7"/>
      <c r="C3799" s="74"/>
      <c r="D3799" s="74"/>
      <c r="F3799" s="7"/>
      <c r="G3799" s="74"/>
      <c r="H3799" s="74"/>
      <c r="J3799" s="7"/>
      <c r="K3799" s="74"/>
      <c r="L3799" s="74"/>
      <c r="N3799" s="7"/>
      <c r="O3799" s="74"/>
      <c r="P3799" s="74"/>
      <c r="R3799" s="7"/>
      <c r="S3799" s="7"/>
      <c r="T3799" s="66"/>
    </row>
    <row r="3800" spans="1:20" ht="13.2">
      <c r="A3800" s="7"/>
      <c r="B3800" s="7"/>
      <c r="C3800" s="74"/>
      <c r="D3800" s="74"/>
      <c r="F3800" s="7"/>
      <c r="G3800" s="74"/>
      <c r="H3800" s="74"/>
      <c r="J3800" s="7"/>
      <c r="K3800" s="74"/>
      <c r="L3800" s="74"/>
      <c r="N3800" s="7"/>
      <c r="O3800" s="74"/>
      <c r="P3800" s="74"/>
      <c r="R3800" s="7"/>
      <c r="S3800" s="7"/>
      <c r="T3800" s="66"/>
    </row>
    <row r="3801" spans="1:20" ht="13.2">
      <c r="A3801" s="7"/>
      <c r="B3801" s="7"/>
      <c r="C3801" s="74"/>
      <c r="D3801" s="74"/>
      <c r="F3801" s="7"/>
      <c r="G3801" s="74"/>
      <c r="H3801" s="74"/>
      <c r="J3801" s="7"/>
      <c r="K3801" s="74"/>
      <c r="L3801" s="74"/>
      <c r="N3801" s="7"/>
      <c r="O3801" s="74"/>
      <c r="P3801" s="74"/>
      <c r="R3801" s="7"/>
      <c r="S3801" s="7"/>
      <c r="T3801" s="66"/>
    </row>
    <row r="3802" spans="1:20" ht="13.2">
      <c r="A3802" s="7"/>
      <c r="B3802" s="7"/>
      <c r="C3802" s="74"/>
      <c r="D3802" s="74"/>
      <c r="F3802" s="7"/>
      <c r="G3802" s="74"/>
      <c r="H3802" s="74"/>
      <c r="J3802" s="7"/>
      <c r="K3802" s="74"/>
      <c r="L3802" s="74"/>
      <c r="N3802" s="7"/>
      <c r="O3802" s="74"/>
      <c r="P3802" s="74"/>
      <c r="R3802" s="7"/>
      <c r="S3802" s="7"/>
      <c r="T3802" s="66"/>
    </row>
    <row r="3803" spans="1:20" ht="13.2">
      <c r="A3803" s="7"/>
      <c r="B3803" s="7"/>
      <c r="C3803" s="74"/>
      <c r="D3803" s="74"/>
      <c r="F3803" s="7"/>
      <c r="G3803" s="74"/>
      <c r="H3803" s="74"/>
      <c r="J3803" s="7"/>
      <c r="K3803" s="74"/>
      <c r="L3803" s="74"/>
      <c r="N3803" s="7"/>
      <c r="O3803" s="74"/>
      <c r="P3803" s="74"/>
      <c r="R3803" s="7"/>
      <c r="S3803" s="7"/>
      <c r="T3803" s="66"/>
    </row>
    <row r="3804" spans="1:20" ht="13.2">
      <c r="A3804" s="7"/>
      <c r="B3804" s="7"/>
      <c r="C3804" s="74"/>
      <c r="D3804" s="74"/>
      <c r="F3804" s="7"/>
      <c r="G3804" s="74"/>
      <c r="H3804" s="74"/>
      <c r="J3804" s="7"/>
      <c r="K3804" s="74"/>
      <c r="L3804" s="74"/>
      <c r="N3804" s="7"/>
      <c r="O3804" s="74"/>
      <c r="P3804" s="74"/>
      <c r="R3804" s="7"/>
      <c r="S3804" s="7"/>
      <c r="T3804" s="66"/>
    </row>
    <row r="3805" spans="1:20" ht="13.2">
      <c r="A3805" s="7"/>
      <c r="B3805" s="7"/>
      <c r="C3805" s="74"/>
      <c r="D3805" s="74"/>
      <c r="F3805" s="7"/>
      <c r="G3805" s="74"/>
      <c r="H3805" s="74"/>
      <c r="J3805" s="7"/>
      <c r="K3805" s="74"/>
      <c r="L3805" s="74"/>
      <c r="N3805" s="7"/>
      <c r="O3805" s="74"/>
      <c r="P3805" s="74"/>
      <c r="R3805" s="7"/>
      <c r="S3805" s="7"/>
      <c r="T3805" s="66"/>
    </row>
    <row r="3806" spans="1:20" ht="13.2">
      <c r="A3806" s="7"/>
      <c r="B3806" s="7"/>
      <c r="C3806" s="74"/>
      <c r="D3806" s="74"/>
      <c r="F3806" s="7"/>
      <c r="G3806" s="74"/>
      <c r="H3806" s="74"/>
      <c r="J3806" s="7"/>
      <c r="K3806" s="74"/>
      <c r="L3806" s="74"/>
      <c r="N3806" s="7"/>
      <c r="O3806" s="74"/>
      <c r="P3806" s="74"/>
      <c r="R3806" s="7"/>
      <c r="S3806" s="7"/>
      <c r="T3806" s="66"/>
    </row>
    <row r="3807" spans="1:20" ht="13.2">
      <c r="A3807" s="7"/>
      <c r="B3807" s="7"/>
      <c r="C3807" s="74"/>
      <c r="D3807" s="74"/>
      <c r="F3807" s="7"/>
      <c r="G3807" s="74"/>
      <c r="H3807" s="74"/>
      <c r="J3807" s="7"/>
      <c r="K3807" s="74"/>
      <c r="L3807" s="74"/>
      <c r="N3807" s="7"/>
      <c r="O3807" s="74"/>
      <c r="P3807" s="74"/>
      <c r="R3807" s="7"/>
      <c r="S3807" s="7"/>
      <c r="T3807" s="66"/>
    </row>
    <row r="3808" spans="1:20" ht="13.2">
      <c r="A3808" s="7"/>
      <c r="B3808" s="7"/>
      <c r="C3808" s="74"/>
      <c r="D3808" s="74"/>
      <c r="F3808" s="7"/>
      <c r="G3808" s="74"/>
      <c r="H3808" s="74"/>
      <c r="J3808" s="7"/>
      <c r="K3808" s="74"/>
      <c r="L3808" s="74"/>
      <c r="N3808" s="7"/>
      <c r="O3808" s="74"/>
      <c r="P3808" s="74"/>
      <c r="R3808" s="7"/>
      <c r="S3808" s="7"/>
      <c r="T3808" s="66"/>
    </row>
    <row r="3809" spans="1:20" ht="13.2">
      <c r="A3809" s="7"/>
      <c r="B3809" s="7"/>
      <c r="C3809" s="74"/>
      <c r="D3809" s="74"/>
      <c r="F3809" s="7"/>
      <c r="G3809" s="74"/>
      <c r="H3809" s="74"/>
      <c r="J3809" s="7"/>
      <c r="K3809" s="74"/>
      <c r="L3809" s="74"/>
      <c r="N3809" s="7"/>
      <c r="O3809" s="74"/>
      <c r="P3809" s="74"/>
      <c r="R3809" s="7"/>
      <c r="S3809" s="7"/>
      <c r="T3809" s="66"/>
    </row>
    <row r="3810" spans="1:20" ht="13.2">
      <c r="A3810" s="7"/>
      <c r="B3810" s="7"/>
      <c r="C3810" s="74"/>
      <c r="D3810" s="74"/>
      <c r="F3810" s="7"/>
      <c r="G3810" s="74"/>
      <c r="H3810" s="74"/>
      <c r="J3810" s="7"/>
      <c r="K3810" s="74"/>
      <c r="L3810" s="74"/>
      <c r="N3810" s="7"/>
      <c r="O3810" s="74"/>
      <c r="P3810" s="74"/>
      <c r="R3810" s="7"/>
      <c r="S3810" s="7"/>
      <c r="T3810" s="66"/>
    </row>
    <row r="3811" spans="1:20" ht="13.2">
      <c r="A3811" s="7"/>
      <c r="B3811" s="7"/>
      <c r="C3811" s="74"/>
      <c r="D3811" s="74"/>
      <c r="F3811" s="7"/>
      <c r="G3811" s="74"/>
      <c r="H3811" s="74"/>
      <c r="J3811" s="7"/>
      <c r="K3811" s="74"/>
      <c r="L3811" s="74"/>
      <c r="N3811" s="7"/>
      <c r="O3811" s="74"/>
      <c r="P3811" s="74"/>
      <c r="R3811" s="7"/>
      <c r="S3811" s="7"/>
      <c r="T3811" s="66"/>
    </row>
    <row r="3812" spans="1:20" ht="13.2">
      <c r="A3812" s="7"/>
      <c r="B3812" s="7"/>
      <c r="C3812" s="74"/>
      <c r="D3812" s="74"/>
      <c r="F3812" s="7"/>
      <c r="G3812" s="74"/>
      <c r="H3812" s="74"/>
      <c r="J3812" s="7"/>
      <c r="K3812" s="74"/>
      <c r="L3812" s="74"/>
      <c r="N3812" s="7"/>
      <c r="O3812" s="74"/>
      <c r="P3812" s="74"/>
      <c r="R3812" s="7"/>
      <c r="S3812" s="7"/>
      <c r="T3812" s="66"/>
    </row>
    <row r="3813" spans="1:20" ht="13.2">
      <c r="A3813" s="7"/>
      <c r="B3813" s="7"/>
      <c r="C3813" s="74"/>
      <c r="D3813" s="74"/>
      <c r="F3813" s="7"/>
      <c r="G3813" s="74"/>
      <c r="H3813" s="74"/>
      <c r="J3813" s="7"/>
      <c r="K3813" s="74"/>
      <c r="L3813" s="74"/>
      <c r="N3813" s="7"/>
      <c r="O3813" s="74"/>
      <c r="P3813" s="74"/>
      <c r="R3813" s="7"/>
      <c r="S3813" s="7"/>
      <c r="T3813" s="66"/>
    </row>
    <row r="3814" spans="1:20" ht="13.2">
      <c r="A3814" s="7"/>
      <c r="B3814" s="7"/>
      <c r="C3814" s="74"/>
      <c r="D3814" s="74"/>
      <c r="F3814" s="7"/>
      <c r="G3814" s="74"/>
      <c r="H3814" s="74"/>
      <c r="J3814" s="7"/>
      <c r="K3814" s="74"/>
      <c r="L3814" s="74"/>
      <c r="N3814" s="7"/>
      <c r="O3814" s="74"/>
      <c r="P3814" s="74"/>
      <c r="R3814" s="7"/>
      <c r="S3814" s="7"/>
      <c r="T3814" s="66"/>
    </row>
    <row r="3815" spans="1:20" ht="13.2">
      <c r="A3815" s="7"/>
      <c r="B3815" s="7"/>
      <c r="C3815" s="74"/>
      <c r="D3815" s="74"/>
      <c r="F3815" s="7"/>
      <c r="G3815" s="74"/>
      <c r="H3815" s="74"/>
      <c r="J3815" s="7"/>
      <c r="K3815" s="74"/>
      <c r="L3815" s="74"/>
      <c r="N3815" s="7"/>
      <c r="O3815" s="74"/>
      <c r="P3815" s="74"/>
      <c r="R3815" s="7"/>
      <c r="S3815" s="7"/>
      <c r="T3815" s="66"/>
    </row>
    <row r="3816" spans="1:20" ht="13.2">
      <c r="A3816" s="7"/>
      <c r="B3816" s="7"/>
      <c r="C3816" s="74"/>
      <c r="D3816" s="74"/>
      <c r="F3816" s="7"/>
      <c r="G3816" s="74"/>
      <c r="H3816" s="74"/>
      <c r="J3816" s="7"/>
      <c r="K3816" s="74"/>
      <c r="L3816" s="74"/>
      <c r="N3816" s="7"/>
      <c r="O3816" s="74"/>
      <c r="P3816" s="74"/>
      <c r="R3816" s="7"/>
      <c r="S3816" s="7"/>
      <c r="T3816" s="66"/>
    </row>
    <row r="3817" spans="1:20" ht="13.2">
      <c r="A3817" s="7"/>
      <c r="B3817" s="7"/>
      <c r="C3817" s="74"/>
      <c r="D3817" s="74"/>
      <c r="F3817" s="7"/>
      <c r="G3817" s="74"/>
      <c r="H3817" s="74"/>
      <c r="J3817" s="7"/>
      <c r="K3817" s="74"/>
      <c r="L3817" s="74"/>
      <c r="N3817" s="7"/>
      <c r="O3817" s="74"/>
      <c r="P3817" s="74"/>
      <c r="R3817" s="7"/>
      <c r="S3817" s="7"/>
      <c r="T3817" s="66"/>
    </row>
    <row r="3818" spans="1:20" ht="13.2">
      <c r="A3818" s="7"/>
      <c r="B3818" s="7"/>
      <c r="C3818" s="74"/>
      <c r="D3818" s="74"/>
      <c r="F3818" s="7"/>
      <c r="G3818" s="74"/>
      <c r="H3818" s="74"/>
      <c r="J3818" s="7"/>
      <c r="K3818" s="74"/>
      <c r="L3818" s="74"/>
      <c r="N3818" s="7"/>
      <c r="O3818" s="74"/>
      <c r="P3818" s="74"/>
      <c r="R3818" s="7"/>
      <c r="S3818" s="7"/>
      <c r="T3818" s="66"/>
    </row>
    <row r="3819" spans="1:20" ht="13.2">
      <c r="A3819" s="7"/>
      <c r="B3819" s="7"/>
      <c r="C3819" s="74"/>
      <c r="D3819" s="74"/>
      <c r="F3819" s="7"/>
      <c r="G3819" s="74"/>
      <c r="H3819" s="74"/>
      <c r="J3819" s="7"/>
      <c r="K3819" s="74"/>
      <c r="L3819" s="74"/>
      <c r="N3819" s="7"/>
      <c r="O3819" s="74"/>
      <c r="P3819" s="74"/>
      <c r="R3819" s="7"/>
      <c r="S3819" s="7"/>
      <c r="T3819" s="66"/>
    </row>
    <row r="3820" spans="1:20" ht="13.2">
      <c r="A3820" s="7"/>
      <c r="B3820" s="7"/>
      <c r="C3820" s="74"/>
      <c r="D3820" s="74"/>
      <c r="F3820" s="7"/>
      <c r="G3820" s="74"/>
      <c r="H3820" s="74"/>
      <c r="J3820" s="7"/>
      <c r="K3820" s="74"/>
      <c r="L3820" s="74"/>
      <c r="N3820" s="7"/>
      <c r="O3820" s="74"/>
      <c r="P3820" s="74"/>
      <c r="R3820" s="7"/>
      <c r="S3820" s="7"/>
      <c r="T3820" s="66"/>
    </row>
    <row r="3821" spans="1:20" ht="13.2">
      <c r="A3821" s="7"/>
      <c r="B3821" s="7"/>
      <c r="C3821" s="74"/>
      <c r="D3821" s="74"/>
      <c r="F3821" s="7"/>
      <c r="G3821" s="74"/>
      <c r="H3821" s="74"/>
      <c r="J3821" s="7"/>
      <c r="K3821" s="74"/>
      <c r="L3821" s="74"/>
      <c r="N3821" s="7"/>
      <c r="O3821" s="74"/>
      <c r="P3821" s="74"/>
      <c r="R3821" s="7"/>
      <c r="S3821" s="7"/>
      <c r="T3821" s="66"/>
    </row>
    <row r="3822" spans="1:20" ht="13.2">
      <c r="A3822" s="7"/>
      <c r="B3822" s="7"/>
      <c r="C3822" s="74"/>
      <c r="D3822" s="74"/>
      <c r="F3822" s="7"/>
      <c r="G3822" s="74"/>
      <c r="H3822" s="74"/>
      <c r="J3822" s="7"/>
      <c r="K3822" s="74"/>
      <c r="L3822" s="74"/>
      <c r="N3822" s="7"/>
      <c r="O3822" s="74"/>
      <c r="P3822" s="74"/>
      <c r="R3822" s="7"/>
      <c r="S3822" s="7"/>
      <c r="T3822" s="66"/>
    </row>
    <row r="3823" spans="1:20" ht="13.2">
      <c r="A3823" s="7"/>
      <c r="B3823" s="7"/>
      <c r="C3823" s="74"/>
      <c r="D3823" s="74"/>
      <c r="F3823" s="7"/>
      <c r="G3823" s="74"/>
      <c r="H3823" s="74"/>
      <c r="J3823" s="7"/>
      <c r="K3823" s="74"/>
      <c r="L3823" s="74"/>
      <c r="N3823" s="7"/>
      <c r="O3823" s="74"/>
      <c r="P3823" s="74"/>
      <c r="R3823" s="7"/>
      <c r="S3823" s="7"/>
      <c r="T3823" s="66"/>
    </row>
    <row r="3824" spans="1:20" ht="13.2">
      <c r="A3824" s="7"/>
      <c r="B3824" s="7"/>
      <c r="C3824" s="74"/>
      <c r="D3824" s="74"/>
      <c r="F3824" s="7"/>
      <c r="G3824" s="74"/>
      <c r="H3824" s="74"/>
      <c r="J3824" s="7"/>
      <c r="K3824" s="74"/>
      <c r="L3824" s="74"/>
      <c r="N3824" s="7"/>
      <c r="O3824" s="74"/>
      <c r="P3824" s="74"/>
      <c r="R3824" s="7"/>
      <c r="S3824" s="7"/>
      <c r="T3824" s="66"/>
    </row>
    <row r="3825" spans="1:20" ht="13.2">
      <c r="A3825" s="7"/>
      <c r="B3825" s="7"/>
      <c r="C3825" s="74"/>
      <c r="D3825" s="74"/>
      <c r="F3825" s="7"/>
      <c r="G3825" s="74"/>
      <c r="H3825" s="74"/>
      <c r="J3825" s="7"/>
      <c r="K3825" s="74"/>
      <c r="L3825" s="74"/>
      <c r="N3825" s="7"/>
      <c r="O3825" s="74"/>
      <c r="P3825" s="74"/>
      <c r="R3825" s="7"/>
      <c r="S3825" s="7"/>
      <c r="T3825" s="66"/>
    </row>
    <row r="3826" spans="1:20" ht="13.2">
      <c r="A3826" s="7"/>
      <c r="B3826" s="7"/>
      <c r="C3826" s="74"/>
      <c r="D3826" s="74"/>
      <c r="F3826" s="7"/>
      <c r="G3826" s="74"/>
      <c r="H3826" s="74"/>
      <c r="J3826" s="7"/>
      <c r="K3826" s="74"/>
      <c r="L3826" s="74"/>
      <c r="N3826" s="7"/>
      <c r="O3826" s="74"/>
      <c r="P3826" s="74"/>
      <c r="R3826" s="7"/>
      <c r="S3826" s="7"/>
      <c r="T3826" s="66"/>
    </row>
    <row r="3827" spans="1:20" ht="13.2">
      <c r="A3827" s="7"/>
      <c r="B3827" s="7"/>
      <c r="C3827" s="74"/>
      <c r="D3827" s="74"/>
      <c r="F3827" s="7"/>
      <c r="G3827" s="74"/>
      <c r="H3827" s="74"/>
      <c r="J3827" s="7"/>
      <c r="K3827" s="74"/>
      <c r="L3827" s="74"/>
      <c r="N3827" s="7"/>
      <c r="O3827" s="74"/>
      <c r="P3827" s="74"/>
      <c r="R3827" s="7"/>
      <c r="S3827" s="7"/>
      <c r="T3827" s="66"/>
    </row>
    <row r="3828" spans="1:20" ht="13.2">
      <c r="A3828" s="7"/>
      <c r="B3828" s="7"/>
      <c r="C3828" s="74"/>
      <c r="D3828" s="74"/>
      <c r="F3828" s="7"/>
      <c r="G3828" s="74"/>
      <c r="H3828" s="74"/>
      <c r="J3828" s="7"/>
      <c r="K3828" s="74"/>
      <c r="L3828" s="74"/>
      <c r="N3828" s="7"/>
      <c r="O3828" s="74"/>
      <c r="P3828" s="74"/>
      <c r="R3828" s="7"/>
      <c r="S3828" s="7"/>
      <c r="T3828" s="66"/>
    </row>
    <row r="3829" spans="1:20" ht="13.2">
      <c r="A3829" s="7"/>
      <c r="B3829" s="7"/>
      <c r="C3829" s="74"/>
      <c r="D3829" s="74"/>
      <c r="F3829" s="7"/>
      <c r="G3829" s="74"/>
      <c r="H3829" s="74"/>
      <c r="J3829" s="7"/>
      <c r="K3829" s="74"/>
      <c r="L3829" s="74"/>
      <c r="N3829" s="7"/>
      <c r="O3829" s="74"/>
      <c r="P3829" s="74"/>
      <c r="R3829" s="7"/>
      <c r="S3829" s="7"/>
      <c r="T3829" s="66"/>
    </row>
    <row r="3830" spans="1:20" ht="13.2">
      <c r="A3830" s="7"/>
      <c r="B3830" s="7"/>
      <c r="C3830" s="74"/>
      <c r="D3830" s="74"/>
      <c r="F3830" s="7"/>
      <c r="G3830" s="74"/>
      <c r="H3830" s="74"/>
      <c r="J3830" s="7"/>
      <c r="K3830" s="74"/>
      <c r="L3830" s="74"/>
      <c r="N3830" s="7"/>
      <c r="O3830" s="74"/>
      <c r="P3830" s="74"/>
      <c r="R3830" s="7"/>
      <c r="S3830" s="7"/>
      <c r="T3830" s="66"/>
    </row>
    <row r="3831" spans="1:20" ht="13.2">
      <c r="A3831" s="7"/>
      <c r="B3831" s="7"/>
      <c r="C3831" s="74"/>
      <c r="D3831" s="74"/>
      <c r="F3831" s="7"/>
      <c r="G3831" s="74"/>
      <c r="H3831" s="74"/>
      <c r="J3831" s="7"/>
      <c r="K3831" s="74"/>
      <c r="L3831" s="74"/>
      <c r="N3831" s="7"/>
      <c r="O3831" s="74"/>
      <c r="P3831" s="74"/>
      <c r="R3831" s="7"/>
      <c r="S3831" s="7"/>
      <c r="T3831" s="66"/>
    </row>
    <row r="3832" spans="1:20" ht="13.2">
      <c r="A3832" s="7"/>
      <c r="B3832" s="7"/>
      <c r="C3832" s="74"/>
      <c r="D3832" s="74"/>
      <c r="F3832" s="7"/>
      <c r="G3832" s="74"/>
      <c r="H3832" s="74"/>
      <c r="J3832" s="7"/>
      <c r="K3832" s="74"/>
      <c r="L3832" s="74"/>
      <c r="N3832" s="7"/>
      <c r="O3832" s="74"/>
      <c r="P3832" s="74"/>
      <c r="R3832" s="7"/>
      <c r="S3832" s="7"/>
      <c r="T3832" s="66"/>
    </row>
    <row r="3833" spans="1:20" ht="13.2">
      <c r="A3833" s="7"/>
      <c r="B3833" s="7"/>
      <c r="C3833" s="74"/>
      <c r="D3833" s="74"/>
      <c r="F3833" s="7"/>
      <c r="G3833" s="74"/>
      <c r="H3833" s="74"/>
      <c r="J3833" s="7"/>
      <c r="K3833" s="74"/>
      <c r="L3833" s="74"/>
      <c r="N3833" s="7"/>
      <c r="O3833" s="74"/>
      <c r="P3833" s="74"/>
      <c r="R3833" s="7"/>
      <c r="S3833" s="7"/>
      <c r="T3833" s="66"/>
    </row>
    <row r="3834" spans="1:20" ht="13.2">
      <c r="A3834" s="7"/>
      <c r="B3834" s="7"/>
      <c r="C3834" s="74"/>
      <c r="D3834" s="74"/>
      <c r="F3834" s="7"/>
      <c r="G3834" s="74"/>
      <c r="H3834" s="74"/>
      <c r="J3834" s="7"/>
      <c r="K3834" s="74"/>
      <c r="L3834" s="74"/>
      <c r="N3834" s="7"/>
      <c r="O3834" s="74"/>
      <c r="P3834" s="74"/>
      <c r="R3834" s="7"/>
      <c r="S3834" s="7"/>
      <c r="T3834" s="66"/>
    </row>
    <row r="3835" spans="1:20" ht="13.2">
      <c r="A3835" s="7"/>
      <c r="B3835" s="7"/>
      <c r="C3835" s="74"/>
      <c r="D3835" s="74"/>
      <c r="F3835" s="7"/>
      <c r="G3835" s="74"/>
      <c r="H3835" s="74"/>
      <c r="J3835" s="7"/>
      <c r="K3835" s="74"/>
      <c r="L3835" s="74"/>
      <c r="N3835" s="7"/>
      <c r="O3835" s="74"/>
      <c r="P3835" s="74"/>
      <c r="R3835" s="7"/>
      <c r="S3835" s="7"/>
      <c r="T3835" s="66"/>
    </row>
    <row r="3836" spans="1:20" ht="13.2">
      <c r="A3836" s="7"/>
      <c r="B3836" s="7"/>
      <c r="C3836" s="74"/>
      <c r="D3836" s="74"/>
      <c r="F3836" s="7"/>
      <c r="G3836" s="74"/>
      <c r="H3836" s="74"/>
      <c r="J3836" s="7"/>
      <c r="K3836" s="74"/>
      <c r="L3836" s="74"/>
      <c r="N3836" s="7"/>
      <c r="O3836" s="74"/>
      <c r="P3836" s="74"/>
      <c r="R3836" s="7"/>
      <c r="S3836" s="7"/>
      <c r="T3836" s="66"/>
    </row>
    <row r="3837" spans="1:20" ht="13.2">
      <c r="A3837" s="7"/>
      <c r="B3837" s="7"/>
      <c r="C3837" s="74"/>
      <c r="D3837" s="74"/>
      <c r="F3837" s="7"/>
      <c r="G3837" s="74"/>
      <c r="H3837" s="74"/>
      <c r="J3837" s="7"/>
      <c r="K3837" s="74"/>
      <c r="L3837" s="74"/>
      <c r="N3837" s="7"/>
      <c r="O3837" s="74"/>
      <c r="P3837" s="74"/>
      <c r="R3837" s="7"/>
      <c r="S3837" s="7"/>
      <c r="T3837" s="66"/>
    </row>
    <row r="3838" spans="1:20" ht="13.2">
      <c r="A3838" s="7"/>
      <c r="B3838" s="7"/>
      <c r="C3838" s="74"/>
      <c r="D3838" s="74"/>
      <c r="F3838" s="7"/>
      <c r="G3838" s="74"/>
      <c r="H3838" s="74"/>
      <c r="J3838" s="7"/>
      <c r="K3838" s="74"/>
      <c r="L3838" s="74"/>
      <c r="N3838" s="7"/>
      <c r="O3838" s="74"/>
      <c r="P3838" s="74"/>
      <c r="R3838" s="7"/>
      <c r="S3838" s="7"/>
      <c r="T3838" s="66"/>
    </row>
    <row r="3839" spans="1:20" ht="13.2">
      <c r="A3839" s="7"/>
      <c r="B3839" s="7"/>
      <c r="C3839" s="74"/>
      <c r="D3839" s="74"/>
      <c r="F3839" s="7"/>
      <c r="G3839" s="74"/>
      <c r="H3839" s="74"/>
      <c r="J3839" s="7"/>
      <c r="K3839" s="74"/>
      <c r="L3839" s="74"/>
      <c r="N3839" s="7"/>
      <c r="O3839" s="74"/>
      <c r="P3839" s="74"/>
      <c r="R3839" s="7"/>
      <c r="S3839" s="7"/>
      <c r="T3839" s="66"/>
    </row>
    <row r="3840" spans="1:20" ht="13.2">
      <c r="A3840" s="7"/>
      <c r="B3840" s="7"/>
      <c r="C3840" s="74"/>
      <c r="D3840" s="74"/>
      <c r="F3840" s="7"/>
      <c r="G3840" s="74"/>
      <c r="H3840" s="74"/>
      <c r="J3840" s="7"/>
      <c r="K3840" s="74"/>
      <c r="L3840" s="74"/>
      <c r="N3840" s="7"/>
      <c r="O3840" s="74"/>
      <c r="P3840" s="74"/>
      <c r="R3840" s="7"/>
      <c r="S3840" s="7"/>
      <c r="T3840" s="66"/>
    </row>
    <row r="3841" spans="1:20" ht="13.2">
      <c r="A3841" s="7"/>
      <c r="B3841" s="7"/>
      <c r="C3841" s="74"/>
      <c r="D3841" s="74"/>
      <c r="F3841" s="7"/>
      <c r="G3841" s="74"/>
      <c r="H3841" s="74"/>
      <c r="J3841" s="7"/>
      <c r="K3841" s="74"/>
      <c r="L3841" s="74"/>
      <c r="N3841" s="7"/>
      <c r="O3841" s="74"/>
      <c r="P3841" s="74"/>
      <c r="R3841" s="7"/>
      <c r="S3841" s="7"/>
      <c r="T3841" s="66"/>
    </row>
    <row r="3842" spans="1:20" ht="13.2">
      <c r="A3842" s="7"/>
      <c r="B3842" s="7"/>
      <c r="C3842" s="74"/>
      <c r="D3842" s="74"/>
      <c r="F3842" s="7"/>
      <c r="G3842" s="74"/>
      <c r="H3842" s="74"/>
      <c r="J3842" s="7"/>
      <c r="K3842" s="74"/>
      <c r="L3842" s="74"/>
      <c r="N3842" s="7"/>
      <c r="O3842" s="74"/>
      <c r="P3842" s="74"/>
      <c r="R3842" s="7"/>
      <c r="S3842" s="7"/>
      <c r="T3842" s="66"/>
    </row>
    <row r="3843" spans="1:20" ht="13.2">
      <c r="A3843" s="7"/>
      <c r="B3843" s="7"/>
      <c r="C3843" s="74"/>
      <c r="D3843" s="74"/>
      <c r="F3843" s="7"/>
      <c r="G3843" s="74"/>
      <c r="H3843" s="74"/>
      <c r="J3843" s="7"/>
      <c r="K3843" s="74"/>
      <c r="L3843" s="74"/>
      <c r="N3843" s="7"/>
      <c r="O3843" s="74"/>
      <c r="P3843" s="74"/>
      <c r="R3843" s="7"/>
      <c r="S3843" s="7"/>
      <c r="T3843" s="66"/>
    </row>
    <row r="3844" spans="1:20" ht="13.2">
      <c r="A3844" s="7"/>
      <c r="B3844" s="7"/>
      <c r="C3844" s="74"/>
      <c r="D3844" s="74"/>
      <c r="F3844" s="7"/>
      <c r="G3844" s="74"/>
      <c r="H3844" s="74"/>
      <c r="J3844" s="7"/>
      <c r="K3844" s="74"/>
      <c r="L3844" s="74"/>
      <c r="N3844" s="7"/>
      <c r="O3844" s="74"/>
      <c r="P3844" s="74"/>
      <c r="R3844" s="7"/>
      <c r="S3844" s="7"/>
      <c r="T3844" s="66"/>
    </row>
    <row r="3845" spans="1:20" ht="13.2">
      <c r="A3845" s="7"/>
      <c r="B3845" s="7"/>
      <c r="C3845" s="74"/>
      <c r="D3845" s="74"/>
      <c r="F3845" s="7"/>
      <c r="G3845" s="74"/>
      <c r="H3845" s="74"/>
      <c r="J3845" s="7"/>
      <c r="K3845" s="74"/>
      <c r="L3845" s="74"/>
      <c r="N3845" s="7"/>
      <c r="O3845" s="74"/>
      <c r="P3845" s="74"/>
      <c r="R3845" s="7"/>
      <c r="S3845" s="7"/>
      <c r="T3845" s="66"/>
    </row>
    <row r="3846" spans="1:20" ht="13.2">
      <c r="A3846" s="7"/>
      <c r="B3846" s="7"/>
      <c r="C3846" s="74"/>
      <c r="D3846" s="74"/>
      <c r="F3846" s="7"/>
      <c r="G3846" s="74"/>
      <c r="H3846" s="74"/>
      <c r="J3846" s="7"/>
      <c r="K3846" s="74"/>
      <c r="L3846" s="74"/>
      <c r="N3846" s="7"/>
      <c r="O3846" s="74"/>
      <c r="P3846" s="74"/>
      <c r="R3846" s="7"/>
      <c r="S3846" s="7"/>
      <c r="T3846" s="66"/>
    </row>
    <row r="3847" spans="1:20" ht="13.2">
      <c r="A3847" s="7"/>
      <c r="B3847" s="7"/>
      <c r="C3847" s="74"/>
      <c r="D3847" s="74"/>
      <c r="F3847" s="7"/>
      <c r="G3847" s="74"/>
      <c r="H3847" s="74"/>
      <c r="J3847" s="7"/>
      <c r="K3847" s="74"/>
      <c r="L3847" s="74"/>
      <c r="N3847" s="7"/>
      <c r="O3847" s="74"/>
      <c r="P3847" s="74"/>
      <c r="R3847" s="7"/>
      <c r="S3847" s="7"/>
      <c r="T3847" s="66"/>
    </row>
    <row r="3848" spans="1:20" ht="13.2">
      <c r="A3848" s="7"/>
      <c r="B3848" s="7"/>
      <c r="C3848" s="74"/>
      <c r="D3848" s="74"/>
      <c r="F3848" s="7"/>
      <c r="G3848" s="74"/>
      <c r="H3848" s="74"/>
      <c r="J3848" s="7"/>
      <c r="K3848" s="74"/>
      <c r="L3848" s="74"/>
      <c r="N3848" s="7"/>
      <c r="O3848" s="74"/>
      <c r="P3848" s="74"/>
      <c r="R3848" s="7"/>
      <c r="S3848" s="7"/>
      <c r="T3848" s="66"/>
    </row>
    <row r="3849" spans="1:20" ht="13.2">
      <c r="A3849" s="7"/>
      <c r="B3849" s="7"/>
      <c r="C3849" s="74"/>
      <c r="D3849" s="74"/>
      <c r="F3849" s="7"/>
      <c r="G3849" s="74"/>
      <c r="H3849" s="74"/>
      <c r="J3849" s="7"/>
      <c r="K3849" s="74"/>
      <c r="L3849" s="74"/>
      <c r="N3849" s="7"/>
      <c r="O3849" s="74"/>
      <c r="P3849" s="74"/>
      <c r="R3849" s="7"/>
      <c r="S3849" s="7"/>
      <c r="T3849" s="66"/>
    </row>
    <row r="3850" spans="1:20" ht="13.2">
      <c r="A3850" s="7"/>
      <c r="B3850" s="7"/>
      <c r="C3850" s="74"/>
      <c r="D3850" s="74"/>
      <c r="F3850" s="7"/>
      <c r="G3850" s="74"/>
      <c r="H3850" s="74"/>
      <c r="J3850" s="7"/>
      <c r="K3850" s="74"/>
      <c r="L3850" s="74"/>
      <c r="N3850" s="7"/>
      <c r="O3850" s="74"/>
      <c r="P3850" s="74"/>
      <c r="R3850" s="7"/>
      <c r="S3850" s="7"/>
      <c r="T3850" s="66"/>
    </row>
    <row r="3851" spans="1:20" ht="13.2">
      <c r="A3851" s="7"/>
      <c r="B3851" s="7"/>
      <c r="C3851" s="74"/>
      <c r="D3851" s="74"/>
      <c r="F3851" s="7"/>
      <c r="G3851" s="74"/>
      <c r="H3851" s="74"/>
      <c r="J3851" s="7"/>
      <c r="K3851" s="74"/>
      <c r="L3851" s="74"/>
      <c r="N3851" s="7"/>
      <c r="O3851" s="74"/>
      <c r="P3851" s="74"/>
      <c r="R3851" s="7"/>
      <c r="S3851" s="7"/>
      <c r="T3851" s="66"/>
    </row>
    <row r="3852" spans="1:20" ht="13.2">
      <c r="A3852" s="7"/>
      <c r="B3852" s="7"/>
      <c r="C3852" s="74"/>
      <c r="D3852" s="74"/>
      <c r="F3852" s="7"/>
      <c r="G3852" s="74"/>
      <c r="H3852" s="74"/>
      <c r="J3852" s="7"/>
      <c r="K3852" s="74"/>
      <c r="L3852" s="74"/>
      <c r="N3852" s="7"/>
      <c r="O3852" s="74"/>
      <c r="P3852" s="74"/>
      <c r="R3852" s="7"/>
      <c r="S3852" s="7"/>
      <c r="T3852" s="66"/>
    </row>
    <row r="3853" spans="1:20" ht="13.2">
      <c r="A3853" s="7"/>
      <c r="B3853" s="7"/>
      <c r="C3853" s="74"/>
      <c r="D3853" s="74"/>
      <c r="F3853" s="7"/>
      <c r="G3853" s="74"/>
      <c r="H3853" s="74"/>
      <c r="J3853" s="7"/>
      <c r="K3853" s="74"/>
      <c r="L3853" s="74"/>
      <c r="N3853" s="7"/>
      <c r="O3853" s="74"/>
      <c r="P3853" s="74"/>
      <c r="R3853" s="7"/>
      <c r="S3853" s="7"/>
      <c r="T3853" s="66"/>
    </row>
    <row r="3854" spans="1:20" ht="13.2">
      <c r="A3854" s="7"/>
      <c r="B3854" s="7"/>
      <c r="C3854" s="74"/>
      <c r="D3854" s="74"/>
      <c r="F3854" s="7"/>
      <c r="G3854" s="74"/>
      <c r="H3854" s="74"/>
      <c r="J3854" s="7"/>
      <c r="K3854" s="74"/>
      <c r="L3854" s="74"/>
      <c r="N3854" s="7"/>
      <c r="O3854" s="74"/>
      <c r="P3854" s="74"/>
      <c r="R3854" s="7"/>
      <c r="S3854" s="7"/>
      <c r="T3854" s="66"/>
    </row>
    <row r="3855" spans="1:20" ht="13.2">
      <c r="A3855" s="7"/>
      <c r="B3855" s="7"/>
      <c r="C3855" s="74"/>
      <c r="D3855" s="74"/>
      <c r="F3855" s="7"/>
      <c r="G3855" s="74"/>
      <c r="H3855" s="74"/>
      <c r="J3855" s="7"/>
      <c r="K3855" s="74"/>
      <c r="L3855" s="74"/>
      <c r="N3855" s="7"/>
      <c r="O3855" s="74"/>
      <c r="P3855" s="74"/>
      <c r="R3855" s="7"/>
      <c r="S3855" s="7"/>
      <c r="T3855" s="66"/>
    </row>
    <row r="3856" spans="1:20" ht="13.2">
      <c r="A3856" s="7"/>
      <c r="B3856" s="7"/>
      <c r="C3856" s="74"/>
      <c r="D3856" s="74"/>
      <c r="F3856" s="7"/>
      <c r="G3856" s="74"/>
      <c r="H3856" s="74"/>
      <c r="J3856" s="7"/>
      <c r="K3856" s="74"/>
      <c r="L3856" s="74"/>
      <c r="N3856" s="7"/>
      <c r="O3856" s="74"/>
      <c r="P3856" s="74"/>
      <c r="R3856" s="7"/>
      <c r="S3856" s="7"/>
      <c r="T3856" s="66"/>
    </row>
    <row r="3857" spans="1:20" ht="13.2">
      <c r="A3857" s="7"/>
      <c r="B3857" s="7"/>
      <c r="C3857" s="74"/>
      <c r="D3857" s="74"/>
      <c r="F3857" s="7"/>
      <c r="G3857" s="74"/>
      <c r="H3857" s="74"/>
      <c r="J3857" s="7"/>
      <c r="K3857" s="74"/>
      <c r="L3857" s="74"/>
      <c r="N3857" s="7"/>
      <c r="O3857" s="74"/>
      <c r="P3857" s="74"/>
      <c r="R3857" s="7"/>
      <c r="S3857" s="7"/>
      <c r="T3857" s="66"/>
    </row>
    <row r="3858" spans="1:20" ht="13.2">
      <c r="A3858" s="7"/>
      <c r="B3858" s="7"/>
      <c r="C3858" s="74"/>
      <c r="D3858" s="74"/>
      <c r="F3858" s="7"/>
      <c r="G3858" s="74"/>
      <c r="H3858" s="74"/>
      <c r="J3858" s="7"/>
      <c r="K3858" s="74"/>
      <c r="L3858" s="74"/>
      <c r="N3858" s="7"/>
      <c r="O3858" s="74"/>
      <c r="P3858" s="74"/>
      <c r="R3858" s="7"/>
      <c r="S3858" s="7"/>
      <c r="T3858" s="66"/>
    </row>
    <row r="3859" spans="1:20" ht="13.2">
      <c r="A3859" s="7"/>
      <c r="B3859" s="7"/>
      <c r="C3859" s="74"/>
      <c r="D3859" s="74"/>
      <c r="F3859" s="7"/>
      <c r="G3859" s="74"/>
      <c r="H3859" s="74"/>
      <c r="J3859" s="7"/>
      <c r="K3859" s="74"/>
      <c r="L3859" s="74"/>
      <c r="N3859" s="7"/>
      <c r="O3859" s="74"/>
      <c r="P3859" s="74"/>
      <c r="R3859" s="7"/>
      <c r="S3859" s="7"/>
      <c r="T3859" s="66"/>
    </row>
    <row r="3860" spans="1:20" ht="13.2">
      <c r="A3860" s="7"/>
      <c r="B3860" s="7"/>
      <c r="C3860" s="74"/>
      <c r="D3860" s="74"/>
      <c r="F3860" s="7"/>
      <c r="G3860" s="74"/>
      <c r="H3860" s="74"/>
      <c r="J3860" s="7"/>
      <c r="K3860" s="74"/>
      <c r="L3860" s="74"/>
      <c r="N3860" s="7"/>
      <c r="O3860" s="74"/>
      <c r="P3860" s="74"/>
      <c r="R3860" s="7"/>
      <c r="S3860" s="7"/>
      <c r="T3860" s="66"/>
    </row>
    <row r="3861" spans="1:20" ht="13.2">
      <c r="A3861" s="7"/>
      <c r="B3861" s="7"/>
      <c r="C3861" s="74"/>
      <c r="D3861" s="74"/>
      <c r="F3861" s="7"/>
      <c r="G3861" s="74"/>
      <c r="H3861" s="74"/>
      <c r="J3861" s="7"/>
      <c r="K3861" s="74"/>
      <c r="L3861" s="74"/>
      <c r="N3861" s="7"/>
      <c r="O3861" s="74"/>
      <c r="P3861" s="74"/>
      <c r="R3861" s="7"/>
      <c r="S3861" s="7"/>
      <c r="T3861" s="66"/>
    </row>
    <row r="3862" spans="1:20" ht="13.2">
      <c r="A3862" s="7"/>
      <c r="B3862" s="7"/>
      <c r="C3862" s="74"/>
      <c r="D3862" s="74"/>
      <c r="F3862" s="7"/>
      <c r="G3862" s="74"/>
      <c r="H3862" s="74"/>
      <c r="J3862" s="7"/>
      <c r="K3862" s="74"/>
      <c r="L3862" s="74"/>
      <c r="N3862" s="7"/>
      <c r="O3862" s="74"/>
      <c r="P3862" s="74"/>
      <c r="R3862" s="7"/>
      <c r="S3862" s="7"/>
      <c r="T3862" s="66"/>
    </row>
    <row r="3863" spans="1:20" ht="13.2">
      <c r="A3863" s="7"/>
      <c r="B3863" s="7"/>
      <c r="C3863" s="74"/>
      <c r="D3863" s="74"/>
      <c r="F3863" s="7"/>
      <c r="G3863" s="74"/>
      <c r="H3863" s="74"/>
      <c r="J3863" s="7"/>
      <c r="K3863" s="74"/>
      <c r="L3863" s="74"/>
      <c r="N3863" s="7"/>
      <c r="O3863" s="74"/>
      <c r="P3863" s="74"/>
      <c r="R3863" s="7"/>
      <c r="S3863" s="7"/>
      <c r="T3863" s="66"/>
    </row>
    <row r="3864" spans="1:20" ht="13.2">
      <c r="A3864" s="7"/>
      <c r="B3864" s="7"/>
      <c r="C3864" s="74"/>
      <c r="D3864" s="74"/>
      <c r="F3864" s="7"/>
      <c r="G3864" s="74"/>
      <c r="H3864" s="74"/>
      <c r="J3864" s="7"/>
      <c r="K3864" s="74"/>
      <c r="L3864" s="74"/>
      <c r="N3864" s="7"/>
      <c r="O3864" s="74"/>
      <c r="P3864" s="74"/>
      <c r="R3864" s="7"/>
      <c r="S3864" s="7"/>
      <c r="T3864" s="66"/>
    </row>
    <row r="3865" spans="1:20" ht="13.2">
      <c r="A3865" s="7"/>
      <c r="B3865" s="7"/>
      <c r="C3865" s="74"/>
      <c r="D3865" s="74"/>
      <c r="F3865" s="7"/>
      <c r="G3865" s="74"/>
      <c r="H3865" s="74"/>
      <c r="J3865" s="7"/>
      <c r="K3865" s="74"/>
      <c r="L3865" s="74"/>
      <c r="N3865" s="7"/>
      <c r="O3865" s="74"/>
      <c r="P3865" s="74"/>
      <c r="R3865" s="7"/>
      <c r="S3865" s="7"/>
      <c r="T3865" s="66"/>
    </row>
    <row r="3866" spans="1:20" ht="13.2">
      <c r="A3866" s="7"/>
      <c r="B3866" s="7"/>
      <c r="C3866" s="74"/>
      <c r="D3866" s="74"/>
      <c r="F3866" s="7"/>
      <c r="G3866" s="74"/>
      <c r="H3866" s="74"/>
      <c r="J3866" s="7"/>
      <c r="K3866" s="74"/>
      <c r="L3866" s="74"/>
      <c r="N3866" s="7"/>
      <c r="O3866" s="74"/>
      <c r="P3866" s="74"/>
      <c r="R3866" s="7"/>
      <c r="S3866" s="7"/>
      <c r="T3866" s="66"/>
    </row>
    <row r="3867" spans="1:20" ht="13.2">
      <c r="A3867" s="7"/>
      <c r="B3867" s="7"/>
      <c r="C3867" s="74"/>
      <c r="D3867" s="74"/>
      <c r="F3867" s="7"/>
      <c r="G3867" s="74"/>
      <c r="H3867" s="74"/>
      <c r="J3867" s="7"/>
      <c r="K3867" s="74"/>
      <c r="L3867" s="74"/>
      <c r="N3867" s="7"/>
      <c r="O3867" s="74"/>
      <c r="P3867" s="74"/>
      <c r="R3867" s="7"/>
      <c r="S3867" s="7"/>
      <c r="T3867" s="66"/>
    </row>
    <row r="3868" spans="1:20" ht="13.2">
      <c r="A3868" s="7"/>
      <c r="B3868" s="7"/>
      <c r="C3868" s="74"/>
      <c r="D3868" s="74"/>
      <c r="F3868" s="7"/>
      <c r="G3868" s="74"/>
      <c r="H3868" s="74"/>
      <c r="J3868" s="7"/>
      <c r="K3868" s="74"/>
      <c r="L3868" s="74"/>
      <c r="N3868" s="7"/>
      <c r="O3868" s="74"/>
      <c r="P3868" s="74"/>
      <c r="R3868" s="7"/>
      <c r="S3868" s="7"/>
      <c r="T3868" s="66"/>
    </row>
    <row r="3869" spans="1:20" ht="13.2">
      <c r="A3869" s="7"/>
      <c r="B3869" s="7"/>
      <c r="C3869" s="74"/>
      <c r="D3869" s="74"/>
      <c r="F3869" s="7"/>
      <c r="G3869" s="74"/>
      <c r="H3869" s="74"/>
      <c r="J3869" s="7"/>
      <c r="K3869" s="74"/>
      <c r="L3869" s="74"/>
      <c r="N3869" s="7"/>
      <c r="O3869" s="74"/>
      <c r="P3869" s="74"/>
      <c r="R3869" s="7"/>
      <c r="S3869" s="7"/>
      <c r="T3869" s="66"/>
    </row>
    <row r="3870" spans="1:20" ht="13.2">
      <c r="A3870" s="7"/>
      <c r="B3870" s="7"/>
      <c r="C3870" s="74"/>
      <c r="D3870" s="74"/>
      <c r="F3870" s="7"/>
      <c r="G3870" s="74"/>
      <c r="H3870" s="74"/>
      <c r="J3870" s="7"/>
      <c r="K3870" s="74"/>
      <c r="L3870" s="74"/>
      <c r="N3870" s="7"/>
      <c r="O3870" s="74"/>
      <c r="P3870" s="74"/>
      <c r="R3870" s="7"/>
      <c r="S3870" s="7"/>
      <c r="T3870" s="66"/>
    </row>
    <row r="3871" spans="1:20" ht="13.2">
      <c r="A3871" s="7"/>
      <c r="B3871" s="7"/>
      <c r="C3871" s="74"/>
      <c r="D3871" s="74"/>
      <c r="F3871" s="7"/>
      <c r="G3871" s="74"/>
      <c r="H3871" s="74"/>
      <c r="J3871" s="7"/>
      <c r="K3871" s="74"/>
      <c r="L3871" s="74"/>
      <c r="N3871" s="7"/>
      <c r="O3871" s="74"/>
      <c r="P3871" s="74"/>
      <c r="R3871" s="7"/>
      <c r="S3871" s="7"/>
      <c r="T3871" s="66"/>
    </row>
    <row r="3872" spans="1:20" ht="13.2">
      <c r="A3872" s="7"/>
      <c r="B3872" s="7"/>
      <c r="C3872" s="74"/>
      <c r="D3872" s="74"/>
      <c r="F3872" s="7"/>
      <c r="G3872" s="74"/>
      <c r="H3872" s="74"/>
      <c r="J3872" s="7"/>
      <c r="K3872" s="74"/>
      <c r="L3872" s="74"/>
      <c r="N3872" s="7"/>
      <c r="O3872" s="74"/>
      <c r="P3872" s="74"/>
      <c r="R3872" s="7"/>
      <c r="S3872" s="7"/>
      <c r="T3872" s="66"/>
    </row>
    <row r="3873" spans="1:20" ht="13.2">
      <c r="A3873" s="7"/>
      <c r="B3873" s="7"/>
      <c r="C3873" s="74"/>
      <c r="D3873" s="74"/>
      <c r="F3873" s="7"/>
      <c r="G3873" s="74"/>
      <c r="H3873" s="74"/>
      <c r="J3873" s="7"/>
      <c r="K3873" s="74"/>
      <c r="L3873" s="74"/>
      <c r="N3873" s="7"/>
      <c r="O3873" s="74"/>
      <c r="P3873" s="74"/>
      <c r="R3873" s="7"/>
      <c r="S3873" s="7"/>
      <c r="T3873" s="66"/>
    </row>
    <row r="3874" spans="1:20" ht="13.2">
      <c r="A3874" s="7"/>
      <c r="B3874" s="7"/>
      <c r="C3874" s="74"/>
      <c r="D3874" s="74"/>
      <c r="F3874" s="7"/>
      <c r="G3874" s="74"/>
      <c r="H3874" s="74"/>
      <c r="J3874" s="7"/>
      <c r="K3874" s="74"/>
      <c r="L3874" s="74"/>
      <c r="N3874" s="7"/>
      <c r="O3874" s="74"/>
      <c r="P3874" s="74"/>
      <c r="R3874" s="7"/>
      <c r="S3874" s="7"/>
      <c r="T3874" s="66"/>
    </row>
    <row r="3875" spans="1:20" ht="13.2">
      <c r="A3875" s="7"/>
      <c r="B3875" s="7"/>
      <c r="C3875" s="74"/>
      <c r="D3875" s="74"/>
      <c r="F3875" s="7"/>
      <c r="G3875" s="74"/>
      <c r="H3875" s="74"/>
      <c r="J3875" s="7"/>
      <c r="K3875" s="74"/>
      <c r="L3875" s="74"/>
      <c r="N3875" s="7"/>
      <c r="O3875" s="74"/>
      <c r="P3875" s="74"/>
      <c r="R3875" s="7"/>
      <c r="S3875" s="7"/>
      <c r="T3875" s="66"/>
    </row>
    <row r="3876" spans="1:20" ht="13.2">
      <c r="A3876" s="7"/>
      <c r="B3876" s="7"/>
      <c r="C3876" s="74"/>
      <c r="D3876" s="74"/>
      <c r="F3876" s="7"/>
      <c r="G3876" s="74"/>
      <c r="H3876" s="74"/>
      <c r="J3876" s="7"/>
      <c r="K3876" s="74"/>
      <c r="L3876" s="74"/>
      <c r="N3876" s="7"/>
      <c r="O3876" s="74"/>
      <c r="P3876" s="74"/>
      <c r="R3876" s="7"/>
      <c r="S3876" s="7"/>
      <c r="T3876" s="66"/>
    </row>
    <row r="3877" spans="1:20" ht="13.2">
      <c r="A3877" s="7"/>
      <c r="B3877" s="7"/>
      <c r="C3877" s="74"/>
      <c r="D3877" s="74"/>
      <c r="F3877" s="7"/>
      <c r="G3877" s="74"/>
      <c r="H3877" s="74"/>
      <c r="J3877" s="7"/>
      <c r="K3877" s="74"/>
      <c r="L3877" s="74"/>
      <c r="N3877" s="7"/>
      <c r="O3877" s="74"/>
      <c r="P3877" s="74"/>
      <c r="R3877" s="7"/>
      <c r="S3877" s="7"/>
      <c r="T3877" s="66"/>
    </row>
    <row r="3878" spans="1:20" ht="13.2">
      <c r="A3878" s="7"/>
      <c r="B3878" s="7"/>
      <c r="C3878" s="74"/>
      <c r="D3878" s="74"/>
      <c r="F3878" s="7"/>
      <c r="G3878" s="74"/>
      <c r="H3878" s="74"/>
      <c r="J3878" s="7"/>
      <c r="K3878" s="74"/>
      <c r="L3878" s="74"/>
      <c r="N3878" s="7"/>
      <c r="O3878" s="74"/>
      <c r="P3878" s="74"/>
      <c r="R3878" s="7"/>
      <c r="S3878" s="7"/>
      <c r="T3878" s="66"/>
    </row>
    <row r="3879" spans="1:20" ht="13.2">
      <c r="A3879" s="7"/>
      <c r="B3879" s="7"/>
      <c r="C3879" s="74"/>
      <c r="D3879" s="74"/>
      <c r="F3879" s="7"/>
      <c r="G3879" s="74"/>
      <c r="H3879" s="74"/>
      <c r="J3879" s="7"/>
      <c r="K3879" s="74"/>
      <c r="L3879" s="74"/>
      <c r="N3879" s="7"/>
      <c r="O3879" s="74"/>
      <c r="P3879" s="74"/>
      <c r="R3879" s="7"/>
      <c r="S3879" s="7"/>
      <c r="T3879" s="66"/>
    </row>
    <row r="3880" spans="1:20" ht="13.2">
      <c r="A3880" s="7"/>
      <c r="B3880" s="7"/>
      <c r="C3880" s="74"/>
      <c r="D3880" s="74"/>
      <c r="F3880" s="7"/>
      <c r="G3880" s="74"/>
      <c r="H3880" s="74"/>
      <c r="J3880" s="7"/>
      <c r="K3880" s="74"/>
      <c r="L3880" s="74"/>
      <c r="N3880" s="7"/>
      <c r="O3880" s="74"/>
      <c r="P3880" s="74"/>
      <c r="R3880" s="7"/>
      <c r="S3880" s="7"/>
      <c r="T3880" s="66"/>
    </row>
    <row r="3881" spans="1:20" ht="13.2">
      <c r="A3881" s="7"/>
      <c r="B3881" s="7"/>
      <c r="C3881" s="74"/>
      <c r="D3881" s="74"/>
      <c r="F3881" s="7"/>
      <c r="G3881" s="74"/>
      <c r="H3881" s="74"/>
      <c r="J3881" s="7"/>
      <c r="K3881" s="74"/>
      <c r="L3881" s="74"/>
      <c r="N3881" s="7"/>
      <c r="O3881" s="74"/>
      <c r="P3881" s="74"/>
      <c r="R3881" s="7"/>
      <c r="S3881" s="7"/>
      <c r="T3881" s="66"/>
    </row>
    <row r="3882" spans="1:20" ht="13.2">
      <c r="A3882" s="7"/>
      <c r="B3882" s="7"/>
      <c r="C3882" s="74"/>
      <c r="D3882" s="74"/>
      <c r="F3882" s="7"/>
      <c r="G3882" s="74"/>
      <c r="H3882" s="74"/>
      <c r="J3882" s="7"/>
      <c r="K3882" s="74"/>
      <c r="L3882" s="74"/>
      <c r="N3882" s="7"/>
      <c r="O3882" s="74"/>
      <c r="P3882" s="74"/>
      <c r="R3882" s="7"/>
      <c r="S3882" s="7"/>
      <c r="T3882" s="66"/>
    </row>
    <row r="3883" spans="1:20" ht="13.2">
      <c r="A3883" s="7"/>
      <c r="B3883" s="7"/>
      <c r="C3883" s="74"/>
      <c r="D3883" s="74"/>
      <c r="F3883" s="7"/>
      <c r="G3883" s="74"/>
      <c r="H3883" s="74"/>
      <c r="J3883" s="7"/>
      <c r="K3883" s="74"/>
      <c r="L3883" s="74"/>
      <c r="N3883" s="7"/>
      <c r="O3883" s="74"/>
      <c r="P3883" s="74"/>
      <c r="R3883" s="7"/>
      <c r="S3883" s="7"/>
      <c r="T3883" s="66"/>
    </row>
    <row r="3884" spans="1:20" ht="13.2">
      <c r="A3884" s="7"/>
      <c r="B3884" s="7"/>
      <c r="C3884" s="74"/>
      <c r="D3884" s="74"/>
      <c r="F3884" s="7"/>
      <c r="G3884" s="74"/>
      <c r="H3884" s="74"/>
      <c r="J3884" s="7"/>
      <c r="K3884" s="74"/>
      <c r="L3884" s="74"/>
      <c r="N3884" s="7"/>
      <c r="O3884" s="74"/>
      <c r="P3884" s="74"/>
      <c r="R3884" s="7"/>
      <c r="S3884" s="7"/>
      <c r="T3884" s="66"/>
    </row>
    <row r="3885" spans="1:20" ht="13.2">
      <c r="A3885" s="7"/>
      <c r="B3885" s="7"/>
      <c r="C3885" s="74"/>
      <c r="D3885" s="74"/>
      <c r="F3885" s="7"/>
      <c r="G3885" s="74"/>
      <c r="H3885" s="74"/>
      <c r="J3885" s="7"/>
      <c r="K3885" s="74"/>
      <c r="L3885" s="74"/>
      <c r="N3885" s="7"/>
      <c r="O3885" s="74"/>
      <c r="P3885" s="74"/>
      <c r="R3885" s="7"/>
      <c r="S3885" s="7"/>
      <c r="T3885" s="66"/>
    </row>
    <row r="3886" spans="1:20" ht="13.2">
      <c r="A3886" s="7"/>
      <c r="B3886" s="7"/>
      <c r="C3886" s="74"/>
      <c r="D3886" s="74"/>
      <c r="F3886" s="7"/>
      <c r="G3886" s="74"/>
      <c r="H3886" s="74"/>
      <c r="J3886" s="7"/>
      <c r="K3886" s="74"/>
      <c r="L3886" s="74"/>
      <c r="N3886" s="7"/>
      <c r="O3886" s="74"/>
      <c r="P3886" s="74"/>
      <c r="R3886" s="7"/>
      <c r="S3886" s="7"/>
      <c r="T3886" s="66"/>
    </row>
    <row r="3887" spans="1:20" ht="13.2">
      <c r="A3887" s="7"/>
      <c r="B3887" s="7"/>
      <c r="C3887" s="74"/>
      <c r="D3887" s="74"/>
      <c r="F3887" s="7"/>
      <c r="G3887" s="74"/>
      <c r="H3887" s="74"/>
      <c r="J3887" s="7"/>
      <c r="K3887" s="74"/>
      <c r="L3887" s="74"/>
      <c r="N3887" s="7"/>
      <c r="O3887" s="74"/>
      <c r="P3887" s="74"/>
      <c r="R3887" s="7"/>
      <c r="S3887" s="7"/>
      <c r="T3887" s="66"/>
    </row>
    <row r="3888" spans="1:20" ht="13.2">
      <c r="A3888" s="7"/>
      <c r="B3888" s="7"/>
      <c r="C3888" s="74"/>
      <c r="D3888" s="74"/>
      <c r="F3888" s="7"/>
      <c r="G3888" s="74"/>
      <c r="H3888" s="74"/>
      <c r="J3888" s="7"/>
      <c r="K3888" s="74"/>
      <c r="L3888" s="74"/>
      <c r="N3888" s="7"/>
      <c r="O3888" s="74"/>
      <c r="P3888" s="74"/>
      <c r="R3888" s="7"/>
      <c r="S3888" s="7"/>
      <c r="T3888" s="66"/>
    </row>
    <row r="3889" spans="1:20" ht="13.2">
      <c r="A3889" s="7"/>
      <c r="B3889" s="7"/>
      <c r="C3889" s="74"/>
      <c r="D3889" s="74"/>
      <c r="F3889" s="7"/>
      <c r="G3889" s="74"/>
      <c r="H3889" s="74"/>
      <c r="J3889" s="7"/>
      <c r="K3889" s="74"/>
      <c r="L3889" s="74"/>
      <c r="N3889" s="7"/>
      <c r="O3889" s="74"/>
      <c r="P3889" s="74"/>
      <c r="R3889" s="7"/>
      <c r="S3889" s="7"/>
      <c r="T3889" s="66"/>
    </row>
    <row r="3890" spans="1:20" ht="13.2">
      <c r="A3890" s="7"/>
      <c r="B3890" s="7"/>
      <c r="C3890" s="74"/>
      <c r="D3890" s="74"/>
      <c r="F3890" s="7"/>
      <c r="G3890" s="74"/>
      <c r="H3890" s="74"/>
      <c r="J3890" s="7"/>
      <c r="K3890" s="74"/>
      <c r="L3890" s="74"/>
      <c r="N3890" s="7"/>
      <c r="O3890" s="74"/>
      <c r="P3890" s="74"/>
      <c r="R3890" s="7"/>
      <c r="S3890" s="7"/>
      <c r="T3890" s="66"/>
    </row>
    <row r="3891" spans="1:20" ht="13.2">
      <c r="A3891" s="7"/>
      <c r="B3891" s="7"/>
      <c r="C3891" s="74"/>
      <c r="D3891" s="74"/>
      <c r="F3891" s="7"/>
      <c r="G3891" s="74"/>
      <c r="H3891" s="74"/>
      <c r="J3891" s="7"/>
      <c r="K3891" s="74"/>
      <c r="L3891" s="74"/>
      <c r="N3891" s="7"/>
      <c r="O3891" s="74"/>
      <c r="P3891" s="74"/>
      <c r="R3891" s="7"/>
      <c r="S3891" s="7"/>
      <c r="T3891" s="66"/>
    </row>
    <row r="3892" spans="1:20" ht="13.2">
      <c r="A3892" s="7"/>
      <c r="B3892" s="7"/>
      <c r="C3892" s="74"/>
      <c r="D3892" s="74"/>
      <c r="F3892" s="7"/>
      <c r="G3892" s="74"/>
      <c r="H3892" s="74"/>
      <c r="J3892" s="7"/>
      <c r="K3892" s="74"/>
      <c r="L3892" s="74"/>
      <c r="N3892" s="7"/>
      <c r="O3892" s="74"/>
      <c r="P3892" s="74"/>
      <c r="R3892" s="7"/>
      <c r="S3892" s="7"/>
      <c r="T3892" s="66"/>
    </row>
    <row r="3893" spans="1:20" ht="13.2">
      <c r="A3893" s="7"/>
      <c r="B3893" s="7"/>
      <c r="C3893" s="74"/>
      <c r="D3893" s="74"/>
      <c r="F3893" s="7"/>
      <c r="G3893" s="74"/>
      <c r="H3893" s="74"/>
      <c r="J3893" s="7"/>
      <c r="K3893" s="74"/>
      <c r="L3893" s="74"/>
      <c r="N3893" s="7"/>
      <c r="O3893" s="74"/>
      <c r="P3893" s="74"/>
      <c r="R3893" s="7"/>
      <c r="S3893" s="7"/>
      <c r="T3893" s="66"/>
    </row>
    <row r="3894" spans="1:20" ht="13.2">
      <c r="A3894" s="7"/>
      <c r="B3894" s="7"/>
      <c r="C3894" s="74"/>
      <c r="D3894" s="74"/>
      <c r="F3894" s="7"/>
      <c r="G3894" s="74"/>
      <c r="H3894" s="74"/>
      <c r="J3894" s="7"/>
      <c r="K3894" s="74"/>
      <c r="L3894" s="74"/>
      <c r="N3894" s="7"/>
      <c r="O3894" s="74"/>
      <c r="P3894" s="74"/>
      <c r="R3894" s="7"/>
      <c r="S3894" s="7"/>
      <c r="T3894" s="66"/>
    </row>
    <row r="3895" spans="1:20" ht="13.2">
      <c r="A3895" s="7"/>
      <c r="B3895" s="7"/>
      <c r="C3895" s="74"/>
      <c r="D3895" s="74"/>
      <c r="F3895" s="7"/>
      <c r="G3895" s="74"/>
      <c r="H3895" s="74"/>
      <c r="J3895" s="7"/>
      <c r="K3895" s="74"/>
      <c r="L3895" s="74"/>
      <c r="N3895" s="7"/>
      <c r="O3895" s="74"/>
      <c r="P3895" s="74"/>
      <c r="R3895" s="7"/>
      <c r="S3895" s="7"/>
      <c r="T3895" s="66"/>
    </row>
    <row r="3896" spans="1:20" ht="13.2">
      <c r="A3896" s="7"/>
      <c r="B3896" s="7"/>
      <c r="C3896" s="74"/>
      <c r="D3896" s="74"/>
      <c r="F3896" s="7"/>
      <c r="G3896" s="74"/>
      <c r="H3896" s="74"/>
      <c r="J3896" s="7"/>
      <c r="K3896" s="74"/>
      <c r="L3896" s="74"/>
      <c r="N3896" s="7"/>
      <c r="O3896" s="74"/>
      <c r="P3896" s="74"/>
      <c r="R3896" s="7"/>
      <c r="S3896" s="7"/>
      <c r="T3896" s="66"/>
    </row>
    <row r="3897" spans="1:20" ht="13.2">
      <c r="A3897" s="7"/>
      <c r="B3897" s="7"/>
      <c r="C3897" s="74"/>
      <c r="D3897" s="74"/>
      <c r="F3897" s="7"/>
      <c r="G3897" s="74"/>
      <c r="H3897" s="74"/>
      <c r="J3897" s="7"/>
      <c r="K3897" s="74"/>
      <c r="L3897" s="74"/>
      <c r="N3897" s="7"/>
      <c r="O3897" s="74"/>
      <c r="P3897" s="74"/>
      <c r="R3897" s="7"/>
      <c r="S3897" s="7"/>
      <c r="T3897" s="66"/>
    </row>
    <row r="3898" spans="1:20" ht="13.2">
      <c r="A3898" s="7"/>
      <c r="B3898" s="7"/>
      <c r="C3898" s="74"/>
      <c r="D3898" s="74"/>
      <c r="F3898" s="7"/>
      <c r="G3898" s="74"/>
      <c r="H3898" s="74"/>
      <c r="J3898" s="7"/>
      <c r="K3898" s="74"/>
      <c r="L3898" s="74"/>
      <c r="N3898" s="7"/>
      <c r="O3898" s="74"/>
      <c r="P3898" s="74"/>
      <c r="R3898" s="7"/>
      <c r="S3898" s="7"/>
      <c r="T3898" s="66"/>
    </row>
    <row r="3899" spans="1:20" ht="13.2">
      <c r="A3899" s="7"/>
      <c r="B3899" s="7"/>
      <c r="C3899" s="74"/>
      <c r="D3899" s="74"/>
      <c r="F3899" s="7"/>
      <c r="G3899" s="74"/>
      <c r="H3899" s="74"/>
      <c r="J3899" s="7"/>
      <c r="K3899" s="74"/>
      <c r="L3899" s="74"/>
      <c r="N3899" s="7"/>
      <c r="O3899" s="74"/>
      <c r="P3899" s="74"/>
      <c r="R3899" s="7"/>
      <c r="S3899" s="7"/>
      <c r="T3899" s="66"/>
    </row>
    <row r="3900" spans="1:20" ht="13.2">
      <c r="A3900" s="7"/>
      <c r="B3900" s="7"/>
      <c r="C3900" s="74"/>
      <c r="D3900" s="74"/>
      <c r="F3900" s="7"/>
      <c r="G3900" s="74"/>
      <c r="H3900" s="74"/>
      <c r="J3900" s="7"/>
      <c r="K3900" s="74"/>
      <c r="L3900" s="74"/>
      <c r="N3900" s="7"/>
      <c r="O3900" s="74"/>
      <c r="P3900" s="74"/>
      <c r="R3900" s="7"/>
      <c r="S3900" s="7"/>
      <c r="T3900" s="66"/>
    </row>
    <row r="3901" spans="1:20" ht="13.2">
      <c r="A3901" s="7"/>
      <c r="B3901" s="7"/>
      <c r="C3901" s="74"/>
      <c r="D3901" s="74"/>
      <c r="F3901" s="7"/>
      <c r="G3901" s="74"/>
      <c r="H3901" s="74"/>
      <c r="J3901" s="7"/>
      <c r="K3901" s="74"/>
      <c r="L3901" s="74"/>
      <c r="N3901" s="7"/>
      <c r="O3901" s="74"/>
      <c r="P3901" s="74"/>
      <c r="R3901" s="7"/>
      <c r="S3901" s="7"/>
      <c r="T3901" s="66"/>
    </row>
    <row r="3902" spans="1:20" ht="13.2">
      <c r="A3902" s="7"/>
      <c r="B3902" s="7"/>
      <c r="C3902" s="74"/>
      <c r="D3902" s="74"/>
      <c r="F3902" s="7"/>
      <c r="G3902" s="74"/>
      <c r="H3902" s="74"/>
      <c r="J3902" s="7"/>
      <c r="K3902" s="74"/>
      <c r="L3902" s="74"/>
      <c r="N3902" s="7"/>
      <c r="O3902" s="74"/>
      <c r="P3902" s="74"/>
      <c r="R3902" s="7"/>
      <c r="S3902" s="7"/>
      <c r="T3902" s="66"/>
    </row>
    <row r="3903" spans="1:20" ht="13.2">
      <c r="A3903" s="7"/>
      <c r="B3903" s="7"/>
      <c r="C3903" s="74"/>
      <c r="D3903" s="74"/>
      <c r="F3903" s="7"/>
      <c r="G3903" s="74"/>
      <c r="H3903" s="74"/>
      <c r="J3903" s="7"/>
      <c r="K3903" s="74"/>
      <c r="L3903" s="74"/>
      <c r="N3903" s="7"/>
      <c r="O3903" s="74"/>
      <c r="P3903" s="74"/>
      <c r="R3903" s="7"/>
      <c r="S3903" s="7"/>
      <c r="T3903" s="66"/>
    </row>
    <row r="3904" spans="1:20" ht="13.2">
      <c r="A3904" s="7"/>
      <c r="B3904" s="7"/>
      <c r="C3904" s="74"/>
      <c r="D3904" s="74"/>
      <c r="F3904" s="7"/>
      <c r="G3904" s="74"/>
      <c r="H3904" s="74"/>
      <c r="J3904" s="7"/>
      <c r="K3904" s="74"/>
      <c r="L3904" s="74"/>
      <c r="N3904" s="7"/>
      <c r="O3904" s="74"/>
      <c r="P3904" s="74"/>
      <c r="R3904" s="7"/>
      <c r="S3904" s="7"/>
      <c r="T3904" s="66"/>
    </row>
    <row r="3905" spans="1:20" ht="13.2">
      <c r="A3905" s="7"/>
      <c r="B3905" s="7"/>
      <c r="C3905" s="74"/>
      <c r="D3905" s="74"/>
      <c r="F3905" s="7"/>
      <c r="G3905" s="74"/>
      <c r="H3905" s="74"/>
      <c r="J3905" s="7"/>
      <c r="K3905" s="74"/>
      <c r="L3905" s="74"/>
      <c r="N3905" s="7"/>
      <c r="O3905" s="74"/>
      <c r="P3905" s="74"/>
      <c r="R3905" s="7"/>
      <c r="S3905" s="7"/>
      <c r="T3905" s="66"/>
    </row>
    <row r="3906" spans="1:20" ht="13.2">
      <c r="A3906" s="7"/>
      <c r="B3906" s="7"/>
      <c r="C3906" s="74"/>
      <c r="D3906" s="74"/>
      <c r="F3906" s="7"/>
      <c r="G3906" s="74"/>
      <c r="H3906" s="74"/>
      <c r="J3906" s="7"/>
      <c r="K3906" s="74"/>
      <c r="L3906" s="74"/>
      <c r="N3906" s="7"/>
      <c r="O3906" s="74"/>
      <c r="P3906" s="74"/>
      <c r="R3906" s="7"/>
      <c r="S3906" s="7"/>
      <c r="T3906" s="66"/>
    </row>
    <row r="3907" spans="1:20" ht="13.2">
      <c r="A3907" s="7"/>
      <c r="B3907" s="7"/>
      <c r="C3907" s="74"/>
      <c r="D3907" s="74"/>
      <c r="F3907" s="7"/>
      <c r="G3907" s="74"/>
      <c r="H3907" s="74"/>
      <c r="J3907" s="7"/>
      <c r="K3907" s="74"/>
      <c r="L3907" s="74"/>
      <c r="N3907" s="7"/>
      <c r="O3907" s="74"/>
      <c r="P3907" s="74"/>
      <c r="R3907" s="7"/>
      <c r="S3907" s="7"/>
      <c r="T3907" s="66"/>
    </row>
    <row r="3908" spans="1:20" ht="13.2">
      <c r="A3908" s="7"/>
      <c r="B3908" s="7"/>
      <c r="C3908" s="74"/>
      <c r="D3908" s="74"/>
      <c r="F3908" s="7"/>
      <c r="G3908" s="74"/>
      <c r="H3908" s="74"/>
      <c r="J3908" s="7"/>
      <c r="K3908" s="74"/>
      <c r="L3908" s="74"/>
      <c r="N3908" s="7"/>
      <c r="O3908" s="74"/>
      <c r="P3908" s="74"/>
      <c r="R3908" s="7"/>
      <c r="S3908" s="7"/>
      <c r="T3908" s="66"/>
    </row>
    <row r="3909" spans="1:20" ht="13.2">
      <c r="A3909" s="7"/>
      <c r="B3909" s="7"/>
      <c r="C3909" s="74"/>
      <c r="D3909" s="74"/>
      <c r="F3909" s="7"/>
      <c r="G3909" s="74"/>
      <c r="H3909" s="74"/>
      <c r="J3909" s="7"/>
      <c r="K3909" s="74"/>
      <c r="L3909" s="74"/>
      <c r="N3909" s="7"/>
      <c r="O3909" s="74"/>
      <c r="P3909" s="74"/>
      <c r="R3909" s="7"/>
      <c r="S3909" s="7"/>
      <c r="T3909" s="66"/>
    </row>
    <row r="3910" spans="1:20" ht="13.2">
      <c r="A3910" s="7"/>
      <c r="B3910" s="7"/>
      <c r="C3910" s="74"/>
      <c r="D3910" s="74"/>
      <c r="F3910" s="7"/>
      <c r="G3910" s="74"/>
      <c r="H3910" s="74"/>
      <c r="J3910" s="7"/>
      <c r="K3910" s="74"/>
      <c r="L3910" s="74"/>
      <c r="N3910" s="7"/>
      <c r="O3910" s="74"/>
      <c r="P3910" s="74"/>
      <c r="R3910" s="7"/>
      <c r="S3910" s="7"/>
      <c r="T3910" s="66"/>
    </row>
    <row r="3911" spans="1:20" ht="13.2">
      <c r="A3911" s="7"/>
      <c r="B3911" s="7"/>
      <c r="C3911" s="74"/>
      <c r="D3911" s="74"/>
      <c r="F3911" s="7"/>
      <c r="G3911" s="74"/>
      <c r="H3911" s="74"/>
      <c r="J3911" s="7"/>
      <c r="K3911" s="74"/>
      <c r="L3911" s="74"/>
      <c r="N3911" s="7"/>
      <c r="O3911" s="74"/>
      <c r="P3911" s="74"/>
      <c r="R3911" s="7"/>
      <c r="S3911" s="7"/>
      <c r="T3911" s="66"/>
    </row>
    <row r="3912" spans="1:20" ht="13.2">
      <c r="A3912" s="7"/>
      <c r="B3912" s="7"/>
      <c r="C3912" s="74"/>
      <c r="D3912" s="74"/>
      <c r="F3912" s="7"/>
      <c r="G3912" s="74"/>
      <c r="H3912" s="74"/>
      <c r="J3912" s="7"/>
      <c r="K3912" s="74"/>
      <c r="L3912" s="74"/>
      <c r="N3912" s="7"/>
      <c r="O3912" s="74"/>
      <c r="P3912" s="74"/>
      <c r="R3912" s="7"/>
      <c r="S3912" s="7"/>
      <c r="T3912" s="66"/>
    </row>
    <row r="3913" spans="1:20" ht="13.2">
      <c r="A3913" s="7"/>
      <c r="B3913" s="7"/>
      <c r="C3913" s="74"/>
      <c r="D3913" s="74"/>
      <c r="F3913" s="7"/>
      <c r="G3913" s="74"/>
      <c r="H3913" s="74"/>
      <c r="J3913" s="7"/>
      <c r="K3913" s="74"/>
      <c r="L3913" s="74"/>
      <c r="N3913" s="7"/>
      <c r="O3913" s="74"/>
      <c r="P3913" s="74"/>
      <c r="R3913" s="7"/>
      <c r="S3913" s="7"/>
      <c r="T3913" s="66"/>
    </row>
    <row r="3914" spans="1:20" ht="13.2">
      <c r="A3914" s="7"/>
      <c r="B3914" s="7"/>
      <c r="C3914" s="74"/>
      <c r="D3914" s="74"/>
      <c r="F3914" s="7"/>
      <c r="G3914" s="74"/>
      <c r="H3914" s="74"/>
      <c r="J3914" s="7"/>
      <c r="K3914" s="74"/>
      <c r="L3914" s="74"/>
      <c r="N3914" s="7"/>
      <c r="O3914" s="74"/>
      <c r="P3914" s="74"/>
      <c r="R3914" s="7"/>
      <c r="S3914" s="7"/>
      <c r="T3914" s="66"/>
    </row>
    <row r="3915" spans="1:20" ht="13.2">
      <c r="A3915" s="7"/>
      <c r="B3915" s="7"/>
      <c r="C3915" s="74"/>
      <c r="D3915" s="74"/>
      <c r="F3915" s="7"/>
      <c r="G3915" s="74"/>
      <c r="H3915" s="74"/>
      <c r="J3915" s="7"/>
      <c r="K3915" s="74"/>
      <c r="L3915" s="74"/>
      <c r="N3915" s="7"/>
      <c r="O3915" s="74"/>
      <c r="P3915" s="74"/>
      <c r="R3915" s="7"/>
      <c r="S3915" s="7"/>
      <c r="T3915" s="66"/>
    </row>
    <row r="3916" spans="1:20" ht="13.2">
      <c r="A3916" s="7"/>
      <c r="B3916" s="7"/>
      <c r="C3916" s="74"/>
      <c r="D3916" s="74"/>
      <c r="F3916" s="7"/>
      <c r="G3916" s="74"/>
      <c r="H3916" s="74"/>
      <c r="J3916" s="7"/>
      <c r="K3916" s="74"/>
      <c r="L3916" s="74"/>
      <c r="N3916" s="7"/>
      <c r="O3916" s="74"/>
      <c r="P3916" s="74"/>
      <c r="R3916" s="7"/>
      <c r="S3916" s="7"/>
      <c r="T3916" s="66"/>
    </row>
    <row r="3917" spans="1:20" ht="13.2">
      <c r="A3917" s="7"/>
      <c r="B3917" s="7"/>
      <c r="C3917" s="74"/>
      <c r="D3917" s="74"/>
      <c r="F3917" s="7"/>
      <c r="G3917" s="74"/>
      <c r="H3917" s="74"/>
      <c r="J3917" s="7"/>
      <c r="K3917" s="74"/>
      <c r="L3917" s="74"/>
      <c r="N3917" s="7"/>
      <c r="O3917" s="74"/>
      <c r="P3917" s="74"/>
      <c r="R3917" s="7"/>
      <c r="S3917" s="7"/>
      <c r="T3917" s="66"/>
    </row>
    <row r="3918" spans="1:20" ht="13.2">
      <c r="A3918" s="7"/>
      <c r="B3918" s="7"/>
      <c r="C3918" s="74"/>
      <c r="D3918" s="74"/>
      <c r="F3918" s="7"/>
      <c r="G3918" s="74"/>
      <c r="H3918" s="74"/>
      <c r="J3918" s="7"/>
      <c r="K3918" s="74"/>
      <c r="L3918" s="74"/>
      <c r="N3918" s="7"/>
      <c r="O3918" s="74"/>
      <c r="P3918" s="74"/>
      <c r="R3918" s="7"/>
      <c r="S3918" s="7"/>
      <c r="T3918" s="66"/>
    </row>
    <row r="3919" spans="1:20" ht="13.2">
      <c r="A3919" s="7"/>
      <c r="B3919" s="7"/>
      <c r="C3919" s="74"/>
      <c r="D3919" s="74"/>
      <c r="F3919" s="7"/>
      <c r="G3919" s="74"/>
      <c r="H3919" s="74"/>
      <c r="J3919" s="7"/>
      <c r="K3919" s="74"/>
      <c r="L3919" s="74"/>
      <c r="N3919" s="7"/>
      <c r="O3919" s="74"/>
      <c r="P3919" s="74"/>
      <c r="R3919" s="7"/>
      <c r="S3919" s="7"/>
      <c r="T3919" s="66"/>
    </row>
    <row r="3920" spans="1:20" ht="13.2">
      <c r="A3920" s="7"/>
      <c r="B3920" s="7"/>
      <c r="C3920" s="74"/>
      <c r="D3920" s="74"/>
      <c r="F3920" s="7"/>
      <c r="G3920" s="74"/>
      <c r="H3920" s="74"/>
      <c r="J3920" s="7"/>
      <c r="K3920" s="74"/>
      <c r="L3920" s="74"/>
      <c r="N3920" s="7"/>
      <c r="O3920" s="74"/>
      <c r="P3920" s="74"/>
      <c r="R3920" s="7"/>
      <c r="S3920" s="7"/>
      <c r="T3920" s="66"/>
    </row>
    <row r="3921" spans="1:20" ht="13.2">
      <c r="A3921" s="7"/>
      <c r="B3921" s="7"/>
      <c r="C3921" s="74"/>
      <c r="D3921" s="74"/>
      <c r="F3921" s="7"/>
      <c r="G3921" s="74"/>
      <c r="H3921" s="74"/>
      <c r="J3921" s="7"/>
      <c r="K3921" s="74"/>
      <c r="L3921" s="74"/>
      <c r="N3921" s="7"/>
      <c r="O3921" s="74"/>
      <c r="P3921" s="74"/>
      <c r="R3921" s="7"/>
      <c r="S3921" s="7"/>
      <c r="T3921" s="66"/>
    </row>
    <row r="3922" spans="1:20" ht="13.2">
      <c r="A3922" s="7"/>
      <c r="B3922" s="7"/>
      <c r="C3922" s="74"/>
      <c r="D3922" s="74"/>
      <c r="F3922" s="7"/>
      <c r="G3922" s="74"/>
      <c r="H3922" s="74"/>
      <c r="J3922" s="7"/>
      <c r="K3922" s="74"/>
      <c r="L3922" s="74"/>
      <c r="N3922" s="7"/>
      <c r="O3922" s="74"/>
      <c r="P3922" s="74"/>
      <c r="R3922" s="7"/>
      <c r="S3922" s="7"/>
      <c r="T3922" s="66"/>
    </row>
    <row r="3923" spans="1:20" ht="13.2">
      <c r="A3923" s="7"/>
      <c r="B3923" s="7"/>
      <c r="C3923" s="74"/>
      <c r="D3923" s="74"/>
      <c r="F3923" s="7"/>
      <c r="G3923" s="74"/>
      <c r="H3923" s="74"/>
      <c r="J3923" s="7"/>
      <c r="K3923" s="74"/>
      <c r="L3923" s="74"/>
      <c r="N3923" s="7"/>
      <c r="O3923" s="74"/>
      <c r="P3923" s="74"/>
      <c r="R3923" s="7"/>
      <c r="S3923" s="7"/>
      <c r="T3923" s="66"/>
    </row>
    <row r="3924" spans="1:20" ht="13.2">
      <c r="A3924" s="7"/>
      <c r="B3924" s="7"/>
      <c r="C3924" s="74"/>
      <c r="D3924" s="74"/>
      <c r="F3924" s="7"/>
      <c r="G3924" s="74"/>
      <c r="H3924" s="74"/>
      <c r="J3924" s="7"/>
      <c r="K3924" s="74"/>
      <c r="L3924" s="74"/>
      <c r="N3924" s="7"/>
      <c r="O3924" s="74"/>
      <c r="P3924" s="74"/>
      <c r="R3924" s="7"/>
      <c r="S3924" s="7"/>
      <c r="T3924" s="66"/>
    </row>
    <row r="3925" spans="1:20" ht="13.2">
      <c r="A3925" s="7"/>
      <c r="B3925" s="7"/>
      <c r="C3925" s="74"/>
      <c r="D3925" s="74"/>
      <c r="F3925" s="7"/>
      <c r="G3925" s="74"/>
      <c r="H3925" s="74"/>
      <c r="J3925" s="7"/>
      <c r="K3925" s="74"/>
      <c r="L3925" s="74"/>
      <c r="N3925" s="7"/>
      <c r="O3925" s="74"/>
      <c r="P3925" s="74"/>
      <c r="R3925" s="7"/>
      <c r="S3925" s="7"/>
      <c r="T3925" s="66"/>
    </row>
    <row r="3926" spans="1:20" ht="13.2">
      <c r="A3926" s="7"/>
      <c r="B3926" s="7"/>
      <c r="C3926" s="74"/>
      <c r="D3926" s="74"/>
      <c r="F3926" s="7"/>
      <c r="G3926" s="74"/>
      <c r="H3926" s="74"/>
      <c r="J3926" s="7"/>
      <c r="K3926" s="74"/>
      <c r="L3926" s="74"/>
      <c r="N3926" s="7"/>
      <c r="O3926" s="74"/>
      <c r="P3926" s="74"/>
      <c r="R3926" s="7"/>
      <c r="S3926" s="7"/>
      <c r="T3926" s="66"/>
    </row>
    <row r="3927" spans="1:20" ht="13.2">
      <c r="A3927" s="7"/>
      <c r="B3927" s="7"/>
      <c r="C3927" s="74"/>
      <c r="D3927" s="74"/>
      <c r="F3927" s="7"/>
      <c r="G3927" s="74"/>
      <c r="H3927" s="74"/>
      <c r="J3927" s="7"/>
      <c r="K3927" s="74"/>
      <c r="L3927" s="74"/>
      <c r="N3927" s="7"/>
      <c r="O3927" s="74"/>
      <c r="P3927" s="74"/>
      <c r="R3927" s="7"/>
      <c r="S3927" s="7"/>
      <c r="T3927" s="66"/>
    </row>
    <row r="3928" spans="1:20" ht="13.2">
      <c r="A3928" s="7"/>
      <c r="B3928" s="7"/>
      <c r="C3928" s="74"/>
      <c r="D3928" s="74"/>
      <c r="F3928" s="7"/>
      <c r="G3928" s="74"/>
      <c r="H3928" s="74"/>
      <c r="J3928" s="7"/>
      <c r="K3928" s="74"/>
      <c r="L3928" s="74"/>
      <c r="N3928" s="7"/>
      <c r="O3928" s="74"/>
      <c r="P3928" s="74"/>
      <c r="R3928" s="7"/>
      <c r="S3928" s="7"/>
      <c r="T3928" s="66"/>
    </row>
    <row r="3929" spans="1:20" ht="13.2">
      <c r="A3929" s="7"/>
      <c r="B3929" s="7"/>
      <c r="C3929" s="74"/>
      <c r="D3929" s="74"/>
      <c r="F3929" s="7"/>
      <c r="G3929" s="74"/>
      <c r="H3929" s="74"/>
      <c r="J3929" s="7"/>
      <c r="K3929" s="74"/>
      <c r="L3929" s="74"/>
      <c r="N3929" s="7"/>
      <c r="O3929" s="74"/>
      <c r="P3929" s="74"/>
      <c r="R3929" s="7"/>
      <c r="S3929" s="7"/>
      <c r="T3929" s="66"/>
    </row>
    <row r="3930" spans="1:20" ht="13.2">
      <c r="A3930" s="7"/>
      <c r="B3930" s="7"/>
      <c r="C3930" s="74"/>
      <c r="D3930" s="74"/>
      <c r="F3930" s="7"/>
      <c r="G3930" s="74"/>
      <c r="H3930" s="74"/>
      <c r="J3930" s="7"/>
      <c r="K3930" s="74"/>
      <c r="L3930" s="74"/>
      <c r="N3930" s="7"/>
      <c r="O3930" s="74"/>
      <c r="P3930" s="74"/>
      <c r="R3930" s="7"/>
      <c r="S3930" s="7"/>
      <c r="T3930" s="66"/>
    </row>
    <row r="3931" spans="1:20" ht="13.2">
      <c r="A3931" s="7"/>
      <c r="B3931" s="7"/>
      <c r="C3931" s="74"/>
      <c r="D3931" s="74"/>
      <c r="F3931" s="7"/>
      <c r="G3931" s="74"/>
      <c r="H3931" s="74"/>
      <c r="J3931" s="7"/>
      <c r="K3931" s="74"/>
      <c r="L3931" s="74"/>
      <c r="N3931" s="7"/>
      <c r="O3931" s="74"/>
      <c r="P3931" s="74"/>
      <c r="R3931" s="7"/>
      <c r="S3931" s="7"/>
      <c r="T3931" s="66"/>
    </row>
    <row r="3932" spans="1:20" ht="13.2">
      <c r="A3932" s="7"/>
      <c r="B3932" s="7"/>
      <c r="C3932" s="74"/>
      <c r="D3932" s="74"/>
      <c r="F3932" s="7"/>
      <c r="G3932" s="74"/>
      <c r="H3932" s="74"/>
      <c r="J3932" s="7"/>
      <c r="K3932" s="74"/>
      <c r="L3932" s="74"/>
      <c r="N3932" s="7"/>
      <c r="O3932" s="74"/>
      <c r="P3932" s="74"/>
      <c r="R3932" s="7"/>
      <c r="S3932" s="7"/>
      <c r="T3932" s="66"/>
    </row>
    <row r="3933" spans="1:20" ht="13.2">
      <c r="A3933" s="7"/>
      <c r="B3933" s="7"/>
      <c r="C3933" s="74"/>
      <c r="D3933" s="74"/>
      <c r="F3933" s="7"/>
      <c r="G3933" s="74"/>
      <c r="H3933" s="74"/>
      <c r="J3933" s="7"/>
      <c r="K3933" s="74"/>
      <c r="L3933" s="74"/>
      <c r="N3933" s="7"/>
      <c r="O3933" s="74"/>
      <c r="P3933" s="74"/>
      <c r="R3933" s="7"/>
      <c r="S3933" s="7"/>
      <c r="T3933" s="66"/>
    </row>
    <row r="3934" spans="1:20" ht="13.2">
      <c r="A3934" s="7"/>
      <c r="B3934" s="7"/>
      <c r="C3934" s="74"/>
      <c r="D3934" s="74"/>
      <c r="F3934" s="7"/>
      <c r="G3934" s="74"/>
      <c r="H3934" s="74"/>
      <c r="J3934" s="7"/>
      <c r="K3934" s="74"/>
      <c r="L3934" s="74"/>
      <c r="N3934" s="7"/>
      <c r="O3934" s="74"/>
      <c r="P3934" s="74"/>
      <c r="R3934" s="7"/>
      <c r="S3934" s="7"/>
      <c r="T3934" s="66"/>
    </row>
    <row r="3935" spans="1:20" ht="13.2">
      <c r="A3935" s="7"/>
      <c r="B3935" s="7"/>
      <c r="C3935" s="74"/>
      <c r="D3935" s="74"/>
      <c r="F3935" s="7"/>
      <c r="G3935" s="74"/>
      <c r="H3935" s="74"/>
      <c r="J3935" s="7"/>
      <c r="K3935" s="74"/>
      <c r="L3935" s="74"/>
      <c r="N3935" s="7"/>
      <c r="O3935" s="74"/>
      <c r="P3935" s="74"/>
      <c r="R3935" s="7"/>
      <c r="S3935" s="7"/>
      <c r="T3935" s="66"/>
    </row>
    <row r="3936" spans="1:20" ht="13.2">
      <c r="A3936" s="7"/>
      <c r="B3936" s="7"/>
      <c r="C3936" s="74"/>
      <c r="D3936" s="74"/>
      <c r="F3936" s="7"/>
      <c r="G3936" s="74"/>
      <c r="H3936" s="74"/>
      <c r="J3936" s="7"/>
      <c r="K3936" s="74"/>
      <c r="L3936" s="74"/>
      <c r="N3936" s="7"/>
      <c r="O3936" s="74"/>
      <c r="P3936" s="74"/>
      <c r="R3936" s="7"/>
      <c r="S3936" s="7"/>
      <c r="T3936" s="66"/>
    </row>
    <row r="3937" spans="1:20" ht="13.2">
      <c r="A3937" s="7"/>
      <c r="B3937" s="7"/>
      <c r="C3937" s="74"/>
      <c r="D3937" s="74"/>
      <c r="F3937" s="7"/>
      <c r="G3937" s="74"/>
      <c r="H3937" s="74"/>
      <c r="J3937" s="7"/>
      <c r="K3937" s="74"/>
      <c r="L3937" s="74"/>
      <c r="N3937" s="7"/>
      <c r="O3937" s="74"/>
      <c r="P3937" s="74"/>
      <c r="R3937" s="7"/>
      <c r="S3937" s="7"/>
      <c r="T3937" s="66"/>
    </row>
    <row r="3938" spans="1:20" ht="13.2">
      <c r="A3938" s="7"/>
      <c r="B3938" s="7"/>
      <c r="C3938" s="74"/>
      <c r="D3938" s="74"/>
      <c r="F3938" s="7"/>
      <c r="G3938" s="74"/>
      <c r="H3938" s="74"/>
      <c r="J3938" s="7"/>
      <c r="K3938" s="74"/>
      <c r="L3938" s="74"/>
      <c r="N3938" s="7"/>
      <c r="O3938" s="74"/>
      <c r="P3938" s="74"/>
      <c r="R3938" s="7"/>
      <c r="S3938" s="7"/>
      <c r="T3938" s="66"/>
    </row>
    <row r="3939" spans="1:20" ht="13.2">
      <c r="A3939" s="7"/>
      <c r="B3939" s="7"/>
      <c r="C3939" s="74"/>
      <c r="D3939" s="74"/>
      <c r="F3939" s="7"/>
      <c r="G3939" s="74"/>
      <c r="H3939" s="74"/>
      <c r="J3939" s="7"/>
      <c r="K3939" s="74"/>
      <c r="L3939" s="74"/>
      <c r="N3939" s="7"/>
      <c r="O3939" s="74"/>
      <c r="P3939" s="74"/>
      <c r="R3939" s="7"/>
      <c r="S3939" s="7"/>
      <c r="T3939" s="66"/>
    </row>
    <row r="3940" spans="1:20" ht="13.2">
      <c r="A3940" s="7"/>
      <c r="B3940" s="7"/>
      <c r="C3940" s="74"/>
      <c r="D3940" s="74"/>
      <c r="F3940" s="7"/>
      <c r="G3940" s="74"/>
      <c r="H3940" s="74"/>
      <c r="J3940" s="7"/>
      <c r="K3940" s="74"/>
      <c r="L3940" s="74"/>
      <c r="N3940" s="7"/>
      <c r="O3940" s="74"/>
      <c r="P3940" s="74"/>
      <c r="R3940" s="7"/>
      <c r="S3940" s="7"/>
      <c r="T3940" s="66"/>
    </row>
    <row r="3941" spans="1:20" ht="13.2">
      <c r="A3941" s="7"/>
      <c r="B3941" s="7"/>
      <c r="C3941" s="74"/>
      <c r="D3941" s="74"/>
      <c r="F3941" s="7"/>
      <c r="G3941" s="74"/>
      <c r="H3941" s="74"/>
      <c r="J3941" s="7"/>
      <c r="K3941" s="74"/>
      <c r="L3941" s="74"/>
      <c r="N3941" s="7"/>
      <c r="O3941" s="74"/>
      <c r="P3941" s="74"/>
      <c r="R3941" s="7"/>
      <c r="S3941" s="7"/>
      <c r="T3941" s="66"/>
    </row>
    <row r="3942" spans="1:20" ht="13.2">
      <c r="A3942" s="7"/>
      <c r="B3942" s="7"/>
      <c r="C3942" s="74"/>
      <c r="D3942" s="74"/>
      <c r="F3942" s="7"/>
      <c r="G3942" s="74"/>
      <c r="H3942" s="74"/>
      <c r="J3942" s="7"/>
      <c r="K3942" s="74"/>
      <c r="L3942" s="74"/>
      <c r="N3942" s="7"/>
      <c r="O3942" s="74"/>
      <c r="P3942" s="74"/>
      <c r="R3942" s="7"/>
      <c r="S3942" s="7"/>
      <c r="T3942" s="66"/>
    </row>
    <row r="3943" spans="1:20" ht="13.2">
      <c r="A3943" s="7"/>
      <c r="B3943" s="7"/>
      <c r="C3943" s="74"/>
      <c r="D3943" s="74"/>
      <c r="F3943" s="7"/>
      <c r="G3943" s="74"/>
      <c r="H3943" s="74"/>
      <c r="J3943" s="7"/>
      <c r="K3943" s="74"/>
      <c r="L3943" s="74"/>
      <c r="N3943" s="7"/>
      <c r="O3943" s="74"/>
      <c r="P3943" s="74"/>
      <c r="R3943" s="7"/>
      <c r="S3943" s="7"/>
      <c r="T3943" s="66"/>
    </row>
    <row r="3944" spans="1:20" ht="13.2">
      <c r="A3944" s="7"/>
      <c r="B3944" s="7"/>
      <c r="C3944" s="74"/>
      <c r="D3944" s="74"/>
      <c r="F3944" s="7"/>
      <c r="G3944" s="74"/>
      <c r="H3944" s="74"/>
      <c r="J3944" s="7"/>
      <c r="K3944" s="74"/>
      <c r="L3944" s="74"/>
      <c r="N3944" s="7"/>
      <c r="O3944" s="74"/>
      <c r="P3944" s="74"/>
      <c r="R3944" s="7"/>
      <c r="S3944" s="7"/>
      <c r="T3944" s="66"/>
    </row>
    <row r="3945" spans="1:20" ht="13.2">
      <c r="A3945" s="7"/>
      <c r="B3945" s="7"/>
      <c r="C3945" s="74"/>
      <c r="D3945" s="74"/>
      <c r="F3945" s="7"/>
      <c r="G3945" s="74"/>
      <c r="H3945" s="74"/>
      <c r="J3945" s="7"/>
      <c r="K3945" s="74"/>
      <c r="L3945" s="74"/>
      <c r="N3945" s="7"/>
      <c r="O3945" s="74"/>
      <c r="P3945" s="74"/>
      <c r="R3945" s="7"/>
      <c r="S3945" s="7"/>
      <c r="T3945" s="66"/>
    </row>
    <row r="3946" spans="1:20" ht="13.2">
      <c r="A3946" s="7"/>
      <c r="B3946" s="7"/>
      <c r="C3946" s="74"/>
      <c r="D3946" s="74"/>
      <c r="F3946" s="7"/>
      <c r="G3946" s="74"/>
      <c r="H3946" s="74"/>
      <c r="J3946" s="7"/>
      <c r="K3946" s="74"/>
      <c r="L3946" s="74"/>
      <c r="N3946" s="7"/>
      <c r="O3946" s="74"/>
      <c r="P3946" s="74"/>
      <c r="R3946" s="7"/>
      <c r="S3946" s="7"/>
      <c r="T3946" s="66"/>
    </row>
    <row r="3947" spans="1:20" ht="13.2">
      <c r="A3947" s="7"/>
      <c r="B3947" s="7"/>
      <c r="C3947" s="74"/>
      <c r="D3947" s="74"/>
      <c r="F3947" s="7"/>
      <c r="G3947" s="74"/>
      <c r="H3947" s="74"/>
      <c r="J3947" s="7"/>
      <c r="K3947" s="74"/>
      <c r="L3947" s="74"/>
      <c r="N3947" s="7"/>
      <c r="O3947" s="74"/>
      <c r="P3947" s="74"/>
      <c r="R3947" s="7"/>
      <c r="S3947" s="7"/>
      <c r="T3947" s="66"/>
    </row>
    <row r="3948" spans="1:20" ht="13.2">
      <c r="A3948" s="7"/>
      <c r="B3948" s="7"/>
      <c r="C3948" s="74"/>
      <c r="D3948" s="74"/>
      <c r="F3948" s="7"/>
      <c r="G3948" s="74"/>
      <c r="H3948" s="74"/>
      <c r="J3948" s="7"/>
      <c r="K3948" s="74"/>
      <c r="L3948" s="74"/>
      <c r="N3948" s="7"/>
      <c r="O3948" s="74"/>
      <c r="P3948" s="74"/>
      <c r="R3948" s="7"/>
      <c r="S3948" s="7"/>
      <c r="T3948" s="66"/>
    </row>
    <row r="3949" spans="1:20" ht="13.2">
      <c r="A3949" s="7"/>
      <c r="B3949" s="7"/>
      <c r="C3949" s="74"/>
      <c r="D3949" s="74"/>
      <c r="F3949" s="7"/>
      <c r="G3949" s="74"/>
      <c r="H3949" s="74"/>
      <c r="J3949" s="7"/>
      <c r="K3949" s="74"/>
      <c r="L3949" s="74"/>
      <c r="N3949" s="7"/>
      <c r="O3949" s="74"/>
      <c r="P3949" s="74"/>
      <c r="R3949" s="7"/>
      <c r="S3949" s="7"/>
      <c r="T3949" s="66"/>
    </row>
    <row r="3950" spans="1:20" ht="13.2">
      <c r="A3950" s="7"/>
      <c r="B3950" s="7"/>
      <c r="C3950" s="74"/>
      <c r="D3950" s="74"/>
      <c r="F3950" s="7"/>
      <c r="G3950" s="74"/>
      <c r="H3950" s="74"/>
      <c r="J3950" s="7"/>
      <c r="K3950" s="74"/>
      <c r="L3950" s="74"/>
      <c r="N3950" s="7"/>
      <c r="O3950" s="74"/>
      <c r="P3950" s="74"/>
      <c r="R3950" s="7"/>
      <c r="S3950" s="7"/>
      <c r="T3950" s="66"/>
    </row>
    <row r="3951" spans="1:20" ht="13.2">
      <c r="A3951" s="7"/>
      <c r="B3951" s="7"/>
      <c r="C3951" s="74"/>
      <c r="D3951" s="74"/>
      <c r="F3951" s="7"/>
      <c r="G3951" s="74"/>
      <c r="H3951" s="74"/>
      <c r="J3951" s="7"/>
      <c r="K3951" s="74"/>
      <c r="L3951" s="74"/>
      <c r="N3951" s="7"/>
      <c r="O3951" s="74"/>
      <c r="P3951" s="74"/>
      <c r="R3951" s="7"/>
      <c r="S3951" s="7"/>
      <c r="T3951" s="66"/>
    </row>
    <row r="3952" spans="1:20" ht="13.2">
      <c r="A3952" s="7"/>
      <c r="B3952" s="7"/>
      <c r="C3952" s="74"/>
      <c r="D3952" s="74"/>
      <c r="F3952" s="7"/>
      <c r="G3952" s="74"/>
      <c r="H3952" s="74"/>
      <c r="J3952" s="7"/>
      <c r="K3952" s="74"/>
      <c r="L3952" s="74"/>
      <c r="N3952" s="7"/>
      <c r="O3952" s="74"/>
      <c r="P3952" s="74"/>
      <c r="R3952" s="7"/>
      <c r="S3952" s="7"/>
      <c r="T3952" s="66"/>
    </row>
    <row r="3953" spans="1:20" ht="13.2">
      <c r="A3953" s="7"/>
      <c r="B3953" s="7"/>
      <c r="C3953" s="74"/>
      <c r="D3953" s="74"/>
      <c r="F3953" s="7"/>
      <c r="G3953" s="74"/>
      <c r="H3953" s="74"/>
      <c r="J3953" s="7"/>
      <c r="K3953" s="74"/>
      <c r="L3953" s="74"/>
      <c r="N3953" s="7"/>
      <c r="O3953" s="74"/>
      <c r="P3953" s="74"/>
      <c r="R3953" s="7"/>
      <c r="S3953" s="7"/>
      <c r="T3953" s="66"/>
    </row>
    <row r="3954" spans="1:20" ht="13.2">
      <c r="A3954" s="7"/>
      <c r="B3954" s="7"/>
      <c r="C3954" s="74"/>
      <c r="D3954" s="74"/>
      <c r="F3954" s="7"/>
      <c r="G3954" s="74"/>
      <c r="H3954" s="74"/>
      <c r="J3954" s="7"/>
      <c r="K3954" s="74"/>
      <c r="L3954" s="74"/>
      <c r="N3954" s="7"/>
      <c r="O3954" s="74"/>
      <c r="P3954" s="74"/>
      <c r="R3954" s="7"/>
      <c r="S3954" s="7"/>
      <c r="T3954" s="66"/>
    </row>
    <row r="3955" spans="1:20" ht="13.2">
      <c r="A3955" s="7"/>
      <c r="B3955" s="7"/>
      <c r="C3955" s="74"/>
      <c r="D3955" s="74"/>
      <c r="F3955" s="7"/>
      <c r="G3955" s="74"/>
      <c r="H3955" s="74"/>
      <c r="J3955" s="7"/>
      <c r="K3955" s="74"/>
      <c r="L3955" s="74"/>
      <c r="N3955" s="7"/>
      <c r="O3955" s="74"/>
      <c r="P3955" s="74"/>
      <c r="R3955" s="7"/>
      <c r="S3955" s="7"/>
      <c r="T3955" s="66"/>
    </row>
    <row r="3956" spans="1:20" ht="13.2">
      <c r="A3956" s="7"/>
      <c r="B3956" s="7"/>
      <c r="C3956" s="74"/>
      <c r="D3956" s="74"/>
      <c r="F3956" s="7"/>
      <c r="G3956" s="74"/>
      <c r="H3956" s="74"/>
      <c r="J3956" s="7"/>
      <c r="K3956" s="74"/>
      <c r="L3956" s="74"/>
      <c r="N3956" s="7"/>
      <c r="O3956" s="74"/>
      <c r="P3956" s="74"/>
      <c r="R3956" s="7"/>
      <c r="S3956" s="7"/>
      <c r="T3956" s="66"/>
    </row>
    <row r="3957" spans="1:20" ht="13.2">
      <c r="A3957" s="7"/>
      <c r="B3957" s="7"/>
      <c r="C3957" s="74"/>
      <c r="D3957" s="74"/>
      <c r="F3957" s="7"/>
      <c r="G3957" s="74"/>
      <c r="H3957" s="74"/>
      <c r="J3957" s="7"/>
      <c r="K3957" s="74"/>
      <c r="L3957" s="74"/>
      <c r="N3957" s="7"/>
      <c r="O3957" s="74"/>
      <c r="P3957" s="74"/>
      <c r="R3957" s="7"/>
      <c r="S3957" s="7"/>
      <c r="T3957" s="66"/>
    </row>
    <row r="3958" spans="1:20" ht="13.2">
      <c r="A3958" s="7"/>
      <c r="B3958" s="7"/>
      <c r="C3958" s="74"/>
      <c r="D3958" s="74"/>
      <c r="F3958" s="7"/>
      <c r="G3958" s="74"/>
      <c r="H3958" s="74"/>
      <c r="J3958" s="7"/>
      <c r="K3958" s="74"/>
      <c r="L3958" s="74"/>
      <c r="N3958" s="7"/>
      <c r="O3958" s="74"/>
      <c r="P3958" s="74"/>
      <c r="R3958" s="7"/>
      <c r="S3958" s="7"/>
      <c r="T3958" s="66"/>
    </row>
    <row r="3959" spans="1:20" ht="13.2">
      <c r="A3959" s="7"/>
      <c r="B3959" s="7"/>
      <c r="C3959" s="74"/>
      <c r="D3959" s="74"/>
      <c r="F3959" s="7"/>
      <c r="G3959" s="74"/>
      <c r="H3959" s="74"/>
      <c r="J3959" s="7"/>
      <c r="K3959" s="74"/>
      <c r="L3959" s="74"/>
      <c r="N3959" s="7"/>
      <c r="O3959" s="74"/>
      <c r="P3959" s="74"/>
      <c r="R3959" s="7"/>
      <c r="S3959" s="7"/>
      <c r="T3959" s="66"/>
    </row>
    <row r="3960" spans="1:20" ht="13.2">
      <c r="A3960" s="7"/>
      <c r="B3960" s="7"/>
      <c r="C3960" s="74"/>
      <c r="D3960" s="74"/>
      <c r="F3960" s="7"/>
      <c r="G3960" s="74"/>
      <c r="H3960" s="74"/>
      <c r="J3960" s="7"/>
      <c r="K3960" s="74"/>
      <c r="L3960" s="74"/>
      <c r="N3960" s="7"/>
      <c r="O3960" s="74"/>
      <c r="P3960" s="74"/>
      <c r="R3960" s="7"/>
      <c r="S3960" s="7"/>
      <c r="T3960" s="66"/>
    </row>
    <row r="3961" spans="1:20" ht="13.2">
      <c r="A3961" s="7"/>
      <c r="B3961" s="7"/>
      <c r="C3961" s="74"/>
      <c r="D3961" s="74"/>
      <c r="F3961" s="7"/>
      <c r="G3961" s="74"/>
      <c r="H3961" s="74"/>
      <c r="J3961" s="7"/>
      <c r="K3961" s="74"/>
      <c r="L3961" s="74"/>
      <c r="N3961" s="7"/>
      <c r="O3961" s="74"/>
      <c r="P3961" s="74"/>
      <c r="R3961" s="7"/>
      <c r="S3961" s="7"/>
      <c r="T3961" s="66"/>
    </row>
    <row r="3962" spans="1:20" ht="13.2">
      <c r="A3962" s="7"/>
      <c r="B3962" s="7"/>
      <c r="C3962" s="74"/>
      <c r="D3962" s="74"/>
      <c r="F3962" s="7"/>
      <c r="G3962" s="74"/>
      <c r="H3962" s="74"/>
      <c r="J3962" s="7"/>
      <c r="K3962" s="74"/>
      <c r="L3962" s="74"/>
      <c r="N3962" s="7"/>
      <c r="O3962" s="74"/>
      <c r="P3962" s="74"/>
      <c r="R3962" s="7"/>
      <c r="S3962" s="7"/>
      <c r="T3962" s="66"/>
    </row>
    <row r="3963" spans="1:20" ht="13.2">
      <c r="A3963" s="7"/>
      <c r="B3963" s="7"/>
      <c r="C3963" s="74"/>
      <c r="D3963" s="74"/>
      <c r="F3963" s="7"/>
      <c r="G3963" s="74"/>
      <c r="H3963" s="74"/>
      <c r="J3963" s="7"/>
      <c r="K3963" s="74"/>
      <c r="L3963" s="74"/>
      <c r="N3963" s="7"/>
      <c r="O3963" s="74"/>
      <c r="P3963" s="74"/>
      <c r="R3963" s="7"/>
      <c r="S3963" s="7"/>
      <c r="T3963" s="66"/>
    </row>
    <row r="3964" spans="1:20" ht="13.2">
      <c r="A3964" s="7"/>
      <c r="B3964" s="7"/>
      <c r="C3964" s="74"/>
      <c r="D3964" s="74"/>
      <c r="F3964" s="7"/>
      <c r="G3964" s="74"/>
      <c r="H3964" s="74"/>
      <c r="J3964" s="7"/>
      <c r="K3964" s="74"/>
      <c r="L3964" s="74"/>
      <c r="N3964" s="7"/>
      <c r="O3964" s="74"/>
      <c r="P3964" s="74"/>
      <c r="R3964" s="7"/>
      <c r="S3964" s="7"/>
      <c r="T3964" s="66"/>
    </row>
    <row r="3965" spans="1:20" ht="13.2">
      <c r="A3965" s="7"/>
      <c r="B3965" s="7"/>
      <c r="C3965" s="74"/>
      <c r="D3965" s="74"/>
      <c r="F3965" s="7"/>
      <c r="G3965" s="74"/>
      <c r="H3965" s="74"/>
      <c r="J3965" s="7"/>
      <c r="K3965" s="74"/>
      <c r="L3965" s="74"/>
      <c r="N3965" s="7"/>
      <c r="O3965" s="74"/>
      <c r="P3965" s="74"/>
      <c r="R3965" s="7"/>
      <c r="S3965" s="7"/>
      <c r="T3965" s="66"/>
    </row>
    <row r="3966" spans="1:20" ht="13.2">
      <c r="A3966" s="7"/>
      <c r="B3966" s="7"/>
      <c r="C3966" s="74"/>
      <c r="D3966" s="74"/>
      <c r="F3966" s="7"/>
      <c r="G3966" s="74"/>
      <c r="H3966" s="74"/>
      <c r="J3966" s="7"/>
      <c r="K3966" s="74"/>
      <c r="L3966" s="74"/>
      <c r="N3966" s="7"/>
      <c r="O3966" s="74"/>
      <c r="P3966" s="74"/>
      <c r="R3966" s="7"/>
      <c r="S3966" s="7"/>
      <c r="T3966" s="66"/>
    </row>
    <row r="3967" spans="1:20" ht="13.2">
      <c r="A3967" s="7"/>
      <c r="B3967" s="7"/>
      <c r="C3967" s="74"/>
      <c r="D3967" s="74"/>
      <c r="F3967" s="7"/>
      <c r="G3967" s="74"/>
      <c r="H3967" s="74"/>
      <c r="J3967" s="7"/>
      <c r="K3967" s="74"/>
      <c r="L3967" s="74"/>
      <c r="N3967" s="7"/>
      <c r="O3967" s="74"/>
      <c r="P3967" s="74"/>
      <c r="R3967" s="7"/>
      <c r="S3967" s="7"/>
      <c r="T3967" s="66"/>
    </row>
    <row r="3968" spans="1:20" ht="13.2">
      <c r="A3968" s="7"/>
      <c r="B3968" s="7"/>
      <c r="C3968" s="74"/>
      <c r="D3968" s="74"/>
      <c r="F3968" s="7"/>
      <c r="G3968" s="74"/>
      <c r="H3968" s="74"/>
      <c r="J3968" s="7"/>
      <c r="K3968" s="74"/>
      <c r="L3968" s="74"/>
      <c r="N3968" s="7"/>
      <c r="O3968" s="74"/>
      <c r="P3968" s="74"/>
      <c r="R3968" s="7"/>
      <c r="S3968" s="7"/>
      <c r="T3968" s="66"/>
    </row>
    <row r="3969" spans="1:20" ht="13.2">
      <c r="A3969" s="7"/>
      <c r="B3969" s="7"/>
      <c r="C3969" s="74"/>
      <c r="D3969" s="74"/>
      <c r="F3969" s="7"/>
      <c r="G3969" s="74"/>
      <c r="H3969" s="74"/>
      <c r="J3969" s="7"/>
      <c r="K3969" s="74"/>
      <c r="L3969" s="74"/>
      <c r="N3969" s="7"/>
      <c r="O3969" s="74"/>
      <c r="P3969" s="74"/>
      <c r="R3969" s="7"/>
      <c r="S3969" s="7"/>
      <c r="T3969" s="66"/>
    </row>
    <row r="3970" spans="1:20" ht="13.2">
      <c r="A3970" s="7"/>
      <c r="B3970" s="7"/>
      <c r="C3970" s="74"/>
      <c r="D3970" s="74"/>
      <c r="F3970" s="7"/>
      <c r="G3970" s="74"/>
      <c r="H3970" s="74"/>
      <c r="J3970" s="7"/>
      <c r="K3970" s="74"/>
      <c r="L3970" s="74"/>
      <c r="N3970" s="7"/>
      <c r="O3970" s="74"/>
      <c r="P3970" s="74"/>
      <c r="R3970" s="7"/>
      <c r="S3970" s="7"/>
      <c r="T3970" s="66"/>
    </row>
    <row r="3971" spans="1:20" ht="13.2">
      <c r="A3971" s="7"/>
      <c r="B3971" s="7"/>
      <c r="C3971" s="74"/>
      <c r="D3971" s="74"/>
      <c r="F3971" s="7"/>
      <c r="G3971" s="74"/>
      <c r="H3971" s="74"/>
      <c r="J3971" s="7"/>
      <c r="K3971" s="74"/>
      <c r="L3971" s="74"/>
      <c r="N3971" s="7"/>
      <c r="O3971" s="74"/>
      <c r="P3971" s="74"/>
      <c r="R3971" s="7"/>
      <c r="S3971" s="7"/>
      <c r="T3971" s="66"/>
    </row>
    <row r="3972" spans="1:20" ht="13.2">
      <c r="A3972" s="7"/>
      <c r="B3972" s="7"/>
      <c r="C3972" s="74"/>
      <c r="D3972" s="74"/>
      <c r="F3972" s="7"/>
      <c r="G3972" s="74"/>
      <c r="H3972" s="74"/>
      <c r="J3972" s="7"/>
      <c r="K3972" s="74"/>
      <c r="L3972" s="74"/>
      <c r="N3972" s="7"/>
      <c r="O3972" s="74"/>
      <c r="P3972" s="74"/>
      <c r="R3972" s="7"/>
      <c r="S3972" s="7"/>
      <c r="T3972" s="66"/>
    </row>
    <row r="3973" spans="1:20" ht="13.2">
      <c r="A3973" s="7"/>
      <c r="B3973" s="7"/>
      <c r="C3973" s="74"/>
      <c r="D3973" s="74"/>
      <c r="F3973" s="7"/>
      <c r="G3973" s="74"/>
      <c r="H3973" s="74"/>
      <c r="J3973" s="7"/>
      <c r="K3973" s="74"/>
      <c r="L3973" s="74"/>
      <c r="N3973" s="7"/>
      <c r="O3973" s="74"/>
      <c r="P3973" s="74"/>
      <c r="R3973" s="7"/>
      <c r="S3973" s="7"/>
      <c r="T3973" s="66"/>
    </row>
    <row r="3974" spans="1:20" ht="13.2">
      <c r="A3974" s="7"/>
      <c r="B3974" s="7"/>
      <c r="C3974" s="74"/>
      <c r="D3974" s="74"/>
      <c r="F3974" s="7"/>
      <c r="G3974" s="74"/>
      <c r="H3974" s="74"/>
      <c r="J3974" s="7"/>
      <c r="K3974" s="74"/>
      <c r="L3974" s="74"/>
      <c r="N3974" s="7"/>
      <c r="O3974" s="74"/>
      <c r="P3974" s="74"/>
      <c r="R3974" s="7"/>
      <c r="S3974" s="7"/>
      <c r="T3974" s="66"/>
    </row>
    <row r="3975" spans="1:20" ht="13.2">
      <c r="A3975" s="7"/>
      <c r="B3975" s="7"/>
      <c r="C3975" s="74"/>
      <c r="D3975" s="74"/>
      <c r="F3975" s="7"/>
      <c r="G3975" s="74"/>
      <c r="H3975" s="74"/>
      <c r="J3975" s="7"/>
      <c r="K3975" s="74"/>
      <c r="L3975" s="74"/>
      <c r="N3975" s="7"/>
      <c r="O3975" s="74"/>
      <c r="P3975" s="74"/>
      <c r="R3975" s="7"/>
      <c r="S3975" s="7"/>
      <c r="T3975" s="66"/>
    </row>
    <row r="3976" spans="1:20" ht="13.2">
      <c r="A3976" s="7"/>
      <c r="B3976" s="7"/>
      <c r="C3976" s="74"/>
      <c r="D3976" s="74"/>
      <c r="F3976" s="7"/>
      <c r="G3976" s="74"/>
      <c r="H3976" s="74"/>
      <c r="J3976" s="7"/>
      <c r="K3976" s="74"/>
      <c r="L3976" s="74"/>
      <c r="N3976" s="7"/>
      <c r="O3976" s="74"/>
      <c r="P3976" s="74"/>
      <c r="R3976" s="7"/>
      <c r="S3976" s="7"/>
      <c r="T3976" s="66"/>
    </row>
    <row r="3977" spans="1:20" ht="13.2">
      <c r="A3977" s="7"/>
      <c r="B3977" s="7"/>
      <c r="C3977" s="74"/>
      <c r="D3977" s="74"/>
      <c r="F3977" s="7"/>
      <c r="G3977" s="74"/>
      <c r="H3977" s="74"/>
      <c r="J3977" s="7"/>
      <c r="K3977" s="74"/>
      <c r="L3977" s="74"/>
      <c r="N3977" s="7"/>
      <c r="O3977" s="74"/>
      <c r="P3977" s="74"/>
      <c r="R3977" s="7"/>
      <c r="S3977" s="7"/>
      <c r="T3977" s="66"/>
    </row>
    <row r="3978" spans="1:20" ht="13.2">
      <c r="A3978" s="7"/>
      <c r="B3978" s="7"/>
      <c r="C3978" s="74"/>
      <c r="D3978" s="74"/>
      <c r="F3978" s="7"/>
      <c r="G3978" s="74"/>
      <c r="H3978" s="74"/>
      <c r="J3978" s="7"/>
      <c r="K3978" s="74"/>
      <c r="L3978" s="74"/>
      <c r="N3978" s="7"/>
      <c r="O3978" s="74"/>
      <c r="P3978" s="74"/>
      <c r="R3978" s="7"/>
      <c r="S3978" s="7"/>
      <c r="T3978" s="66"/>
    </row>
    <row r="3979" spans="1:20" ht="13.2">
      <c r="A3979" s="7"/>
      <c r="B3979" s="7"/>
      <c r="C3979" s="74"/>
      <c r="D3979" s="74"/>
      <c r="F3979" s="7"/>
      <c r="G3979" s="74"/>
      <c r="H3979" s="74"/>
      <c r="J3979" s="7"/>
      <c r="K3979" s="74"/>
      <c r="L3979" s="74"/>
      <c r="N3979" s="7"/>
      <c r="O3979" s="74"/>
      <c r="P3979" s="74"/>
      <c r="R3979" s="7"/>
      <c r="S3979" s="7"/>
      <c r="T3979" s="66"/>
    </row>
    <row r="3980" spans="1:20" ht="13.2">
      <c r="A3980" s="7"/>
      <c r="B3980" s="7"/>
      <c r="C3980" s="74"/>
      <c r="D3980" s="74"/>
      <c r="F3980" s="7"/>
      <c r="G3980" s="74"/>
      <c r="H3980" s="74"/>
      <c r="J3980" s="7"/>
      <c r="K3980" s="74"/>
      <c r="L3980" s="74"/>
      <c r="N3980" s="7"/>
      <c r="O3980" s="74"/>
      <c r="P3980" s="74"/>
      <c r="R3980" s="7"/>
      <c r="S3980" s="7"/>
      <c r="T3980" s="66"/>
    </row>
    <row r="3981" spans="1:20" ht="13.2">
      <c r="A3981" s="7"/>
      <c r="B3981" s="7"/>
      <c r="C3981" s="74"/>
      <c r="D3981" s="74"/>
      <c r="F3981" s="7"/>
      <c r="G3981" s="74"/>
      <c r="H3981" s="74"/>
      <c r="J3981" s="7"/>
      <c r="K3981" s="74"/>
      <c r="L3981" s="74"/>
      <c r="N3981" s="7"/>
      <c r="O3981" s="74"/>
      <c r="P3981" s="74"/>
      <c r="R3981" s="7"/>
      <c r="S3981" s="7"/>
      <c r="T3981" s="66"/>
    </row>
    <row r="3982" spans="1:20" ht="13.2">
      <c r="A3982" s="7"/>
      <c r="B3982" s="7"/>
      <c r="C3982" s="74"/>
      <c r="D3982" s="74"/>
      <c r="F3982" s="7"/>
      <c r="G3982" s="74"/>
      <c r="H3982" s="74"/>
      <c r="J3982" s="7"/>
      <c r="K3982" s="74"/>
      <c r="L3982" s="74"/>
      <c r="N3982" s="7"/>
      <c r="O3982" s="74"/>
      <c r="P3982" s="74"/>
      <c r="R3982" s="7"/>
      <c r="S3982" s="7"/>
      <c r="T3982" s="66"/>
    </row>
    <row r="3983" spans="1:20" ht="13.2">
      <c r="A3983" s="7"/>
      <c r="B3983" s="7"/>
      <c r="C3983" s="74"/>
      <c r="D3983" s="74"/>
      <c r="F3983" s="7"/>
      <c r="G3983" s="74"/>
      <c r="H3983" s="74"/>
      <c r="J3983" s="7"/>
      <c r="K3983" s="74"/>
      <c r="L3983" s="74"/>
      <c r="N3983" s="7"/>
      <c r="O3983" s="74"/>
      <c r="P3983" s="74"/>
      <c r="R3983" s="7"/>
      <c r="S3983" s="7"/>
      <c r="T3983" s="66"/>
    </row>
    <row r="3984" spans="1:20" ht="13.2">
      <c r="A3984" s="7"/>
      <c r="B3984" s="7"/>
      <c r="C3984" s="74"/>
      <c r="D3984" s="74"/>
      <c r="F3984" s="7"/>
      <c r="G3984" s="74"/>
      <c r="H3984" s="74"/>
      <c r="J3984" s="7"/>
      <c r="K3984" s="74"/>
      <c r="L3984" s="74"/>
      <c r="N3984" s="7"/>
      <c r="O3984" s="74"/>
      <c r="P3984" s="74"/>
      <c r="R3984" s="7"/>
      <c r="S3984" s="7"/>
      <c r="T3984" s="66"/>
    </row>
    <row r="3985" spans="1:20" ht="13.2">
      <c r="A3985" s="7"/>
      <c r="B3985" s="7"/>
      <c r="C3985" s="74"/>
      <c r="D3985" s="74"/>
      <c r="F3985" s="7"/>
      <c r="G3985" s="74"/>
      <c r="H3985" s="74"/>
      <c r="J3985" s="7"/>
      <c r="K3985" s="74"/>
      <c r="L3985" s="74"/>
      <c r="N3985" s="7"/>
      <c r="O3985" s="74"/>
      <c r="P3985" s="74"/>
      <c r="R3985" s="7"/>
      <c r="S3985" s="7"/>
      <c r="T3985" s="66"/>
    </row>
    <row r="3986" spans="1:20" ht="13.2">
      <c r="A3986" s="7"/>
      <c r="B3986" s="7"/>
      <c r="C3986" s="74"/>
      <c r="D3986" s="74"/>
      <c r="F3986" s="7"/>
      <c r="G3986" s="74"/>
      <c r="H3986" s="74"/>
      <c r="J3986" s="7"/>
      <c r="K3986" s="74"/>
      <c r="L3986" s="74"/>
      <c r="N3986" s="7"/>
      <c r="O3986" s="74"/>
      <c r="P3986" s="74"/>
      <c r="R3986" s="7"/>
      <c r="S3986" s="7"/>
      <c r="T3986" s="66"/>
    </row>
    <row r="3987" spans="1:20" ht="13.2">
      <c r="A3987" s="7"/>
      <c r="B3987" s="7"/>
      <c r="C3987" s="74"/>
      <c r="D3987" s="74"/>
      <c r="F3987" s="7"/>
      <c r="G3987" s="74"/>
      <c r="H3987" s="74"/>
      <c r="J3987" s="7"/>
      <c r="K3987" s="74"/>
      <c r="L3987" s="74"/>
      <c r="N3987" s="7"/>
      <c r="O3987" s="74"/>
      <c r="P3987" s="74"/>
      <c r="R3987" s="7"/>
      <c r="S3987" s="7"/>
      <c r="T3987" s="66"/>
    </row>
    <row r="3988" spans="1:20" ht="13.2">
      <c r="A3988" s="7"/>
      <c r="B3988" s="7"/>
      <c r="C3988" s="74"/>
      <c r="D3988" s="74"/>
      <c r="F3988" s="7"/>
      <c r="G3988" s="74"/>
      <c r="H3988" s="74"/>
      <c r="J3988" s="7"/>
      <c r="K3988" s="74"/>
      <c r="L3988" s="74"/>
      <c r="N3988" s="7"/>
      <c r="O3988" s="74"/>
      <c r="P3988" s="74"/>
      <c r="R3988" s="7"/>
      <c r="S3988" s="7"/>
      <c r="T3988" s="66"/>
    </row>
    <row r="3989" spans="1:20" ht="13.2">
      <c r="A3989" s="7"/>
      <c r="B3989" s="7"/>
      <c r="C3989" s="74"/>
      <c r="D3989" s="74"/>
      <c r="F3989" s="7"/>
      <c r="G3989" s="74"/>
      <c r="H3989" s="74"/>
      <c r="J3989" s="7"/>
      <c r="K3989" s="74"/>
      <c r="L3989" s="74"/>
      <c r="N3989" s="7"/>
      <c r="O3989" s="74"/>
      <c r="P3989" s="74"/>
      <c r="R3989" s="7"/>
      <c r="S3989" s="7"/>
      <c r="T3989" s="66"/>
    </row>
    <row r="3990" spans="1:20" ht="13.2">
      <c r="A3990" s="7"/>
      <c r="B3990" s="7"/>
      <c r="C3990" s="74"/>
      <c r="D3990" s="74"/>
      <c r="F3990" s="7"/>
      <c r="G3990" s="74"/>
      <c r="H3990" s="74"/>
      <c r="J3990" s="7"/>
      <c r="K3990" s="74"/>
      <c r="L3990" s="74"/>
      <c r="N3990" s="7"/>
      <c r="O3990" s="74"/>
      <c r="P3990" s="74"/>
      <c r="R3990" s="7"/>
      <c r="S3990" s="7"/>
      <c r="T3990" s="66"/>
    </row>
    <row r="3991" spans="1:20" ht="13.2">
      <c r="A3991" s="7"/>
      <c r="B3991" s="7"/>
      <c r="C3991" s="74"/>
      <c r="D3991" s="74"/>
      <c r="F3991" s="7"/>
      <c r="G3991" s="74"/>
      <c r="H3991" s="74"/>
      <c r="J3991" s="7"/>
      <c r="K3991" s="74"/>
      <c r="L3991" s="74"/>
      <c r="N3991" s="7"/>
      <c r="O3991" s="74"/>
      <c r="P3991" s="74"/>
      <c r="R3991" s="7"/>
      <c r="S3991" s="7"/>
      <c r="T3991" s="66"/>
    </row>
    <row r="3992" spans="1:20" ht="13.2">
      <c r="A3992" s="7"/>
      <c r="B3992" s="7"/>
      <c r="C3992" s="74"/>
      <c r="D3992" s="74"/>
      <c r="F3992" s="7"/>
      <c r="G3992" s="74"/>
      <c r="H3992" s="74"/>
      <c r="J3992" s="7"/>
      <c r="K3992" s="74"/>
      <c r="L3992" s="74"/>
      <c r="N3992" s="7"/>
      <c r="O3992" s="74"/>
      <c r="P3992" s="74"/>
      <c r="R3992" s="7"/>
      <c r="S3992" s="7"/>
      <c r="T3992" s="66"/>
    </row>
    <row r="3993" spans="1:20" ht="13.2">
      <c r="A3993" s="7" t="s">
        <v>700</v>
      </c>
      <c r="B3993" s="7">
        <v>1</v>
      </c>
      <c r="C3993" s="74"/>
      <c r="D3993" s="74"/>
      <c r="F3993" s="7"/>
      <c r="G3993" s="74"/>
      <c r="H3993" s="74"/>
      <c r="J3993" s="7"/>
      <c r="K3993" s="74"/>
      <c r="L3993" s="74"/>
      <c r="N3993" s="7"/>
      <c r="O3993" s="74"/>
      <c r="P3993" s="74"/>
      <c r="R3993" s="7"/>
      <c r="S3993" s="7"/>
      <c r="T3993" s="66"/>
    </row>
    <row r="3994" spans="1:20" ht="13.2">
      <c r="A3994" s="7"/>
      <c r="B3994" s="7"/>
      <c r="C3994" s="74"/>
      <c r="D3994" s="74"/>
      <c r="F3994" s="7"/>
      <c r="G3994" s="74"/>
      <c r="H3994" s="74"/>
      <c r="J3994" s="7"/>
      <c r="K3994" s="74"/>
      <c r="L3994" s="74"/>
      <c r="N3994" s="7"/>
      <c r="O3994" s="74"/>
      <c r="P3994" s="74"/>
      <c r="R3994" s="7"/>
      <c r="S3994" s="7"/>
      <c r="T3994" s="66"/>
    </row>
    <row r="3995" spans="1:20" ht="13.2">
      <c r="A3995" s="7"/>
      <c r="B3995" s="7"/>
      <c r="C3995" s="74"/>
      <c r="D3995" s="74"/>
      <c r="F3995" s="7"/>
      <c r="G3995" s="74"/>
      <c r="H3995" s="74"/>
      <c r="J3995" s="7"/>
      <c r="K3995" s="74"/>
      <c r="L3995" s="74"/>
      <c r="N3995" s="7"/>
      <c r="O3995" s="74"/>
      <c r="P3995" s="74"/>
      <c r="R3995" s="7"/>
      <c r="S3995" s="7"/>
      <c r="T3995" s="66"/>
    </row>
    <row r="3996" spans="1:20" ht="13.2">
      <c r="A3996" s="7"/>
      <c r="B3996" s="7"/>
      <c r="C3996" s="74"/>
      <c r="D3996" s="74"/>
      <c r="F3996" s="7"/>
      <c r="G3996" s="74"/>
      <c r="H3996" s="74"/>
      <c r="J3996" s="7"/>
      <c r="K3996" s="74"/>
      <c r="L3996" s="74"/>
      <c r="N3996" s="7"/>
      <c r="O3996" s="74"/>
      <c r="P3996" s="74"/>
      <c r="R3996" s="7"/>
      <c r="S3996" s="7"/>
      <c r="T3996" s="66"/>
    </row>
    <row r="3997" spans="1:20" ht="13.2">
      <c r="A3997" s="7"/>
      <c r="B3997" s="7"/>
      <c r="C3997" s="74"/>
      <c r="D3997" s="74"/>
      <c r="F3997" s="7"/>
      <c r="G3997" s="74"/>
      <c r="H3997" s="74"/>
      <c r="J3997" s="7"/>
      <c r="K3997" s="74"/>
      <c r="L3997" s="74"/>
      <c r="N3997" s="7"/>
      <c r="O3997" s="74"/>
      <c r="P3997" s="74"/>
      <c r="R3997" s="7"/>
      <c r="S3997" s="7"/>
      <c r="T3997" s="66"/>
    </row>
    <row r="3998" spans="1:20" ht="13.2">
      <c r="A3998" s="7"/>
      <c r="B3998" s="7"/>
      <c r="C3998" s="74"/>
      <c r="D3998" s="74"/>
      <c r="F3998" s="7"/>
      <c r="G3998" s="74"/>
      <c r="H3998" s="74"/>
      <c r="J3998" s="7"/>
      <c r="K3998" s="74"/>
      <c r="L3998" s="74"/>
      <c r="N3998" s="7"/>
      <c r="O3998" s="74"/>
      <c r="P3998" s="74"/>
      <c r="R3998" s="7"/>
      <c r="S3998" s="7"/>
      <c r="T3998" s="66"/>
    </row>
    <row r="3999" spans="1:20" ht="13.2">
      <c r="A3999" s="7"/>
      <c r="B3999" s="7"/>
      <c r="C3999" s="74"/>
      <c r="D3999" s="74"/>
      <c r="F3999" s="7"/>
      <c r="G3999" s="74"/>
      <c r="H3999" s="74"/>
      <c r="J3999" s="7"/>
      <c r="K3999" s="74"/>
      <c r="L3999" s="74"/>
      <c r="N3999" s="7"/>
      <c r="O3999" s="74"/>
      <c r="P3999" s="74"/>
      <c r="R3999" s="7"/>
      <c r="S3999" s="7"/>
      <c r="T3999" s="66"/>
    </row>
    <row r="4000" spans="1:20" ht="13.2">
      <c r="A4000" s="7"/>
      <c r="B4000" s="7"/>
      <c r="C4000" s="74"/>
      <c r="D4000" s="74"/>
      <c r="F4000" s="7"/>
      <c r="G4000" s="74"/>
      <c r="H4000" s="74"/>
      <c r="J4000" s="7"/>
      <c r="K4000" s="74"/>
      <c r="L4000" s="74"/>
      <c r="N4000" s="7"/>
      <c r="O4000" s="74"/>
      <c r="P4000" s="74"/>
      <c r="R4000" s="7"/>
      <c r="S4000" s="7"/>
      <c r="T4000" s="66"/>
    </row>
    <row r="4001" spans="1:20" ht="13.2">
      <c r="A4001" s="7"/>
      <c r="B4001" s="7"/>
      <c r="C4001" s="74"/>
      <c r="D4001" s="74"/>
      <c r="F4001" s="7"/>
      <c r="G4001" s="74"/>
      <c r="H4001" s="74"/>
      <c r="J4001" s="7"/>
      <c r="K4001" s="74"/>
      <c r="L4001" s="74"/>
      <c r="N4001" s="7"/>
      <c r="O4001" s="74"/>
      <c r="P4001" s="74"/>
      <c r="R4001" s="7"/>
      <c r="S4001" s="7"/>
      <c r="T4001" s="66"/>
    </row>
    <row r="4002" spans="1:20" ht="13.2">
      <c r="A4002" s="7"/>
      <c r="B4002" s="7"/>
      <c r="C4002" s="74"/>
      <c r="D4002" s="74"/>
      <c r="F4002" s="7"/>
      <c r="G4002" s="74"/>
      <c r="H4002" s="74"/>
      <c r="J4002" s="7"/>
      <c r="K4002" s="74"/>
      <c r="L4002" s="74"/>
      <c r="N4002" s="7"/>
      <c r="O4002" s="74"/>
      <c r="P4002" s="74"/>
      <c r="R4002" s="7"/>
      <c r="S4002" s="7"/>
      <c r="T4002" s="66"/>
    </row>
    <row r="4003" spans="1:20" ht="13.2">
      <c r="A4003" s="7"/>
      <c r="B4003" s="7"/>
      <c r="C4003" s="74"/>
      <c r="D4003" s="74"/>
      <c r="F4003" s="7"/>
      <c r="G4003" s="74"/>
      <c r="H4003" s="74"/>
      <c r="J4003" s="7"/>
      <c r="K4003" s="74"/>
      <c r="L4003" s="74"/>
      <c r="N4003" s="7"/>
      <c r="O4003" s="74"/>
      <c r="P4003" s="74"/>
      <c r="R4003" s="7"/>
      <c r="S4003" s="7"/>
      <c r="T4003" s="66"/>
    </row>
    <row r="4004" spans="1:20" ht="13.2">
      <c r="A4004" s="7"/>
      <c r="B4004" s="7"/>
      <c r="C4004" s="74"/>
      <c r="D4004" s="74"/>
      <c r="F4004" s="7"/>
      <c r="G4004" s="74"/>
      <c r="H4004" s="74"/>
      <c r="J4004" s="7"/>
      <c r="K4004" s="74"/>
      <c r="L4004" s="74"/>
      <c r="N4004" s="7"/>
      <c r="O4004" s="74"/>
      <c r="P4004" s="74"/>
      <c r="R4004" s="7"/>
      <c r="S4004" s="7"/>
      <c r="T4004" s="66"/>
    </row>
    <row r="4005" spans="1:20" ht="13.2">
      <c r="A4005" s="7"/>
      <c r="B4005" s="7"/>
      <c r="C4005" s="74"/>
      <c r="D4005" s="74"/>
      <c r="F4005" s="7"/>
      <c r="G4005" s="74"/>
      <c r="H4005" s="74"/>
      <c r="J4005" s="7"/>
      <c r="K4005" s="74"/>
      <c r="L4005" s="74"/>
      <c r="N4005" s="7"/>
      <c r="O4005" s="74"/>
      <c r="P4005" s="74"/>
      <c r="R4005" s="7"/>
      <c r="S4005" s="7"/>
      <c r="T4005" s="66"/>
    </row>
    <row r="4006" spans="1:20" ht="13.2">
      <c r="A4006" s="7"/>
      <c r="B4006" s="7"/>
      <c r="C4006" s="74"/>
      <c r="D4006" s="74"/>
      <c r="F4006" s="7"/>
      <c r="G4006" s="74"/>
      <c r="H4006" s="74"/>
      <c r="J4006" s="7"/>
      <c r="K4006" s="74"/>
      <c r="L4006" s="74"/>
      <c r="N4006" s="7"/>
      <c r="O4006" s="74"/>
      <c r="P4006" s="74"/>
      <c r="R4006" s="7"/>
      <c r="S4006" s="7"/>
      <c r="T4006" s="66"/>
    </row>
    <row r="4007" spans="1:20" ht="13.2">
      <c r="A4007" s="7"/>
      <c r="B4007" s="7"/>
      <c r="C4007" s="74"/>
      <c r="D4007" s="74"/>
      <c r="F4007" s="7"/>
      <c r="G4007" s="74"/>
      <c r="H4007" s="74"/>
      <c r="J4007" s="7"/>
      <c r="K4007" s="74"/>
      <c r="L4007" s="74"/>
      <c r="N4007" s="7"/>
      <c r="O4007" s="74"/>
      <c r="P4007" s="74"/>
      <c r="R4007" s="7"/>
      <c r="S4007" s="7"/>
      <c r="T4007" s="66"/>
    </row>
    <row r="4008" spans="1:20" ht="13.2">
      <c r="A4008" s="7"/>
      <c r="B4008" s="7"/>
      <c r="C4008" s="74"/>
      <c r="D4008" s="74"/>
      <c r="F4008" s="7"/>
      <c r="G4008" s="74"/>
      <c r="H4008" s="74"/>
      <c r="J4008" s="7"/>
      <c r="K4008" s="74"/>
      <c r="L4008" s="74"/>
      <c r="N4008" s="7"/>
      <c r="O4008" s="74"/>
      <c r="P4008" s="74"/>
      <c r="R4008" s="7"/>
      <c r="S4008" s="7"/>
      <c r="T4008" s="66"/>
    </row>
    <row r="4009" spans="1:20" ht="13.2">
      <c r="A4009" s="7"/>
      <c r="B4009" s="7"/>
      <c r="C4009" s="74"/>
      <c r="D4009" s="74"/>
      <c r="F4009" s="7"/>
      <c r="G4009" s="74"/>
      <c r="H4009" s="74"/>
      <c r="J4009" s="7"/>
      <c r="K4009" s="74"/>
      <c r="L4009" s="74"/>
      <c r="N4009" s="7"/>
      <c r="O4009" s="74"/>
      <c r="P4009" s="74"/>
      <c r="R4009" s="7"/>
      <c r="S4009" s="7"/>
      <c r="T4009" s="66"/>
    </row>
    <row r="4010" spans="1:20" ht="13.2">
      <c r="A4010" s="7"/>
      <c r="B4010" s="7"/>
      <c r="C4010" s="74"/>
      <c r="D4010" s="74"/>
      <c r="F4010" s="7"/>
      <c r="G4010" s="74"/>
      <c r="H4010" s="74"/>
      <c r="J4010" s="7"/>
      <c r="K4010" s="74"/>
      <c r="L4010" s="74"/>
      <c r="N4010" s="7"/>
      <c r="O4010" s="74"/>
      <c r="P4010" s="74"/>
      <c r="R4010" s="7"/>
      <c r="S4010" s="7"/>
      <c r="T4010" s="66"/>
    </row>
    <row r="4011" spans="1:20" ht="13.2">
      <c r="A4011" s="7"/>
      <c r="B4011" s="7"/>
      <c r="C4011" s="74"/>
      <c r="D4011" s="74"/>
      <c r="F4011" s="7"/>
      <c r="G4011" s="74"/>
      <c r="H4011" s="74"/>
      <c r="J4011" s="7"/>
      <c r="K4011" s="74"/>
      <c r="L4011" s="74"/>
      <c r="N4011" s="7"/>
      <c r="O4011" s="74"/>
      <c r="P4011" s="74"/>
      <c r="R4011" s="7"/>
      <c r="S4011" s="7"/>
      <c r="T4011" s="66"/>
    </row>
    <row r="4012" spans="1:20" ht="13.2">
      <c r="A4012" s="7"/>
      <c r="B4012" s="7"/>
      <c r="C4012" s="74"/>
      <c r="D4012" s="74"/>
      <c r="F4012" s="7"/>
      <c r="G4012" s="74"/>
      <c r="H4012" s="74"/>
      <c r="J4012" s="7"/>
      <c r="K4012" s="74"/>
      <c r="L4012" s="74"/>
      <c r="N4012" s="7"/>
      <c r="O4012" s="74"/>
      <c r="P4012" s="74"/>
      <c r="R4012" s="7"/>
      <c r="S4012" s="7"/>
      <c r="T4012" s="66"/>
    </row>
    <row r="4013" spans="1:20" ht="13.2">
      <c r="A4013" s="7"/>
      <c r="B4013" s="7"/>
      <c r="C4013" s="74"/>
      <c r="D4013" s="74"/>
      <c r="F4013" s="7"/>
      <c r="G4013" s="74"/>
      <c r="H4013" s="74"/>
      <c r="J4013" s="7"/>
      <c r="K4013" s="74"/>
      <c r="L4013" s="74"/>
      <c r="N4013" s="7"/>
      <c r="O4013" s="74"/>
      <c r="P4013" s="74"/>
      <c r="R4013" s="7"/>
      <c r="S4013" s="7"/>
      <c r="T4013" s="66"/>
    </row>
    <row r="4014" spans="1:20" ht="13.2">
      <c r="A4014" s="7"/>
      <c r="B4014" s="7"/>
      <c r="C4014" s="74"/>
      <c r="D4014" s="74"/>
      <c r="F4014" s="7"/>
      <c r="G4014" s="74"/>
      <c r="H4014" s="74"/>
      <c r="J4014" s="7"/>
      <c r="K4014" s="74"/>
      <c r="L4014" s="74"/>
      <c r="N4014" s="7"/>
      <c r="O4014" s="74"/>
      <c r="P4014" s="74"/>
      <c r="R4014" s="7"/>
      <c r="S4014" s="7"/>
      <c r="T4014" s="66"/>
    </row>
    <row r="4015" spans="1:20" ht="13.2">
      <c r="A4015" s="7"/>
      <c r="B4015" s="7"/>
      <c r="C4015" s="74"/>
      <c r="D4015" s="74"/>
      <c r="F4015" s="7"/>
      <c r="G4015" s="74"/>
      <c r="H4015" s="74"/>
      <c r="J4015" s="7"/>
      <c r="K4015" s="74"/>
      <c r="L4015" s="74"/>
      <c r="N4015" s="7"/>
      <c r="O4015" s="74"/>
      <c r="P4015" s="74"/>
      <c r="R4015" s="7"/>
      <c r="S4015" s="7"/>
      <c r="T4015" s="66"/>
    </row>
    <row r="4016" spans="1:20" ht="13.2">
      <c r="A4016" s="7"/>
      <c r="B4016" s="7"/>
      <c r="C4016" s="74"/>
      <c r="D4016" s="74"/>
      <c r="F4016" s="7"/>
      <c r="G4016" s="74"/>
      <c r="H4016" s="74"/>
      <c r="J4016" s="7"/>
      <c r="K4016" s="74"/>
      <c r="L4016" s="74"/>
      <c r="N4016" s="7"/>
      <c r="O4016" s="74"/>
      <c r="P4016" s="74"/>
      <c r="R4016" s="7"/>
      <c r="S4016" s="7"/>
      <c r="T4016" s="66"/>
    </row>
    <row r="4017" spans="1:20" ht="13.2">
      <c r="A4017" s="7"/>
      <c r="B4017" s="7"/>
      <c r="C4017" s="74"/>
      <c r="D4017" s="74"/>
      <c r="F4017" s="7"/>
      <c r="G4017" s="74"/>
      <c r="H4017" s="74"/>
      <c r="J4017" s="7"/>
      <c r="K4017" s="74"/>
      <c r="L4017" s="74"/>
      <c r="N4017" s="7"/>
      <c r="O4017" s="74"/>
      <c r="P4017" s="74"/>
      <c r="R4017" s="7"/>
      <c r="S4017" s="7"/>
      <c r="T4017" s="66"/>
    </row>
    <row r="4018" spans="1:20" ht="13.2">
      <c r="A4018" s="7"/>
      <c r="B4018" s="7"/>
      <c r="C4018" s="74"/>
      <c r="D4018" s="74"/>
      <c r="F4018" s="7"/>
      <c r="G4018" s="74"/>
      <c r="H4018" s="74"/>
      <c r="J4018" s="7"/>
      <c r="K4018" s="74"/>
      <c r="L4018" s="74"/>
      <c r="N4018" s="7"/>
      <c r="O4018" s="74"/>
      <c r="P4018" s="74"/>
      <c r="R4018" s="7"/>
      <c r="S4018" s="7"/>
      <c r="T4018" s="66"/>
    </row>
    <row r="4019" spans="1:20" ht="13.2">
      <c r="A4019" s="7"/>
      <c r="B4019" s="7"/>
      <c r="C4019" s="74"/>
      <c r="D4019" s="74"/>
      <c r="F4019" s="7"/>
      <c r="G4019" s="74"/>
      <c r="H4019" s="74"/>
      <c r="J4019" s="7"/>
      <c r="K4019" s="74"/>
      <c r="L4019" s="74"/>
      <c r="N4019" s="7"/>
      <c r="O4019" s="74"/>
      <c r="P4019" s="74"/>
      <c r="R4019" s="7"/>
      <c r="S4019" s="7"/>
      <c r="T4019" s="66"/>
    </row>
    <row r="4020" spans="1:20" ht="13.2">
      <c r="A4020" s="7"/>
      <c r="B4020" s="7"/>
      <c r="C4020" s="74"/>
      <c r="D4020" s="74"/>
      <c r="F4020" s="7"/>
      <c r="G4020" s="74"/>
      <c r="H4020" s="74"/>
      <c r="J4020" s="7"/>
      <c r="K4020" s="74"/>
      <c r="L4020" s="74"/>
      <c r="N4020" s="7"/>
      <c r="O4020" s="74"/>
      <c r="P4020" s="74"/>
      <c r="R4020" s="7"/>
      <c r="S4020" s="7"/>
      <c r="T4020" s="66"/>
    </row>
    <row r="4021" spans="1:20" ht="13.2">
      <c r="A4021" s="7"/>
      <c r="B4021" s="7"/>
      <c r="C4021" s="74"/>
      <c r="D4021" s="74"/>
      <c r="F4021" s="7"/>
      <c r="G4021" s="74"/>
      <c r="H4021" s="74"/>
      <c r="J4021" s="7"/>
      <c r="K4021" s="74"/>
      <c r="L4021" s="74"/>
      <c r="N4021" s="7"/>
      <c r="O4021" s="74"/>
      <c r="P4021" s="74"/>
      <c r="R4021" s="7"/>
      <c r="S4021" s="7"/>
      <c r="T4021" s="66"/>
    </row>
    <row r="4022" spans="1:20" ht="13.2">
      <c r="A4022" s="7"/>
      <c r="B4022" s="7"/>
      <c r="C4022" s="74"/>
      <c r="D4022" s="74"/>
      <c r="F4022" s="7"/>
      <c r="G4022" s="74"/>
      <c r="H4022" s="74"/>
      <c r="J4022" s="7"/>
      <c r="K4022" s="74"/>
      <c r="L4022" s="74"/>
      <c r="N4022" s="7"/>
      <c r="O4022" s="74"/>
      <c r="P4022" s="74"/>
      <c r="R4022" s="7"/>
      <c r="S4022" s="7"/>
      <c r="T4022" s="66"/>
    </row>
    <row r="4023" spans="1:20" ht="13.2">
      <c r="A4023" s="7"/>
      <c r="B4023" s="7"/>
      <c r="C4023" s="74"/>
      <c r="D4023" s="74"/>
      <c r="F4023" s="7"/>
      <c r="G4023" s="74"/>
      <c r="H4023" s="74"/>
      <c r="J4023" s="7"/>
      <c r="K4023" s="74"/>
      <c r="L4023" s="74"/>
      <c r="N4023" s="7"/>
      <c r="O4023" s="74"/>
      <c r="P4023" s="74"/>
      <c r="R4023" s="7"/>
      <c r="S4023" s="7"/>
      <c r="T4023" s="66"/>
    </row>
    <row r="4024" spans="1:20" ht="13.2">
      <c r="A4024" s="7"/>
      <c r="B4024" s="7"/>
      <c r="C4024" s="74"/>
      <c r="D4024" s="74"/>
      <c r="F4024" s="7"/>
      <c r="G4024" s="74"/>
      <c r="H4024" s="74"/>
      <c r="J4024" s="7"/>
      <c r="K4024" s="74"/>
      <c r="L4024" s="74"/>
      <c r="N4024" s="7"/>
      <c r="O4024" s="74"/>
      <c r="P4024" s="74"/>
      <c r="R4024" s="7"/>
      <c r="S4024" s="7"/>
      <c r="T4024" s="66"/>
    </row>
    <row r="4025" spans="1:20" ht="13.2">
      <c r="A4025" s="7"/>
      <c r="B4025" s="7"/>
      <c r="C4025" s="74"/>
      <c r="D4025" s="74"/>
      <c r="F4025" s="7"/>
      <c r="G4025" s="74"/>
      <c r="H4025" s="74"/>
      <c r="J4025" s="7"/>
      <c r="K4025" s="74"/>
      <c r="L4025" s="74"/>
      <c r="N4025" s="7"/>
      <c r="O4025" s="74"/>
      <c r="P4025" s="74"/>
      <c r="R4025" s="7"/>
      <c r="S4025" s="7"/>
      <c r="T4025" s="66"/>
    </row>
    <row r="4026" spans="1:20" ht="13.2">
      <c r="A4026" s="7"/>
      <c r="B4026" s="7"/>
      <c r="C4026" s="74"/>
      <c r="D4026" s="74"/>
      <c r="F4026" s="7"/>
      <c r="G4026" s="74"/>
      <c r="H4026" s="74"/>
      <c r="J4026" s="7"/>
      <c r="K4026" s="74"/>
      <c r="L4026" s="74"/>
      <c r="N4026" s="7"/>
      <c r="O4026" s="74"/>
      <c r="P4026" s="74"/>
      <c r="R4026" s="7"/>
      <c r="S4026" s="7"/>
      <c r="T4026" s="66"/>
    </row>
    <row r="4027" spans="1:20" ht="13.2">
      <c r="A4027" s="7"/>
      <c r="B4027" s="7"/>
      <c r="C4027" s="74"/>
      <c r="D4027" s="74"/>
      <c r="F4027" s="7"/>
      <c r="G4027" s="74"/>
      <c r="H4027" s="74"/>
      <c r="J4027" s="7"/>
      <c r="K4027" s="74"/>
      <c r="L4027" s="74"/>
      <c r="N4027" s="7"/>
      <c r="O4027" s="74"/>
      <c r="P4027" s="74"/>
      <c r="R4027" s="7"/>
      <c r="S4027" s="7"/>
      <c r="T4027" s="66"/>
    </row>
    <row r="4028" spans="1:20" ht="13.2">
      <c r="A4028" s="7"/>
      <c r="B4028" s="7"/>
      <c r="C4028" s="74"/>
      <c r="D4028" s="74"/>
      <c r="F4028" s="7"/>
      <c r="G4028" s="74"/>
      <c r="H4028" s="74"/>
      <c r="J4028" s="7"/>
      <c r="K4028" s="74"/>
      <c r="L4028" s="74"/>
      <c r="N4028" s="7"/>
      <c r="O4028" s="74"/>
      <c r="P4028" s="74"/>
      <c r="R4028" s="7"/>
      <c r="S4028" s="7"/>
      <c r="T4028" s="66"/>
    </row>
    <row r="4029" spans="1:20" ht="13.2">
      <c r="A4029" s="7"/>
      <c r="B4029" s="7"/>
      <c r="C4029" s="74"/>
      <c r="D4029" s="74"/>
      <c r="F4029" s="7"/>
      <c r="G4029" s="74"/>
      <c r="H4029" s="74"/>
      <c r="J4029" s="7"/>
      <c r="K4029" s="74"/>
      <c r="L4029" s="74"/>
      <c r="N4029" s="7"/>
      <c r="O4029" s="74"/>
      <c r="P4029" s="74"/>
      <c r="R4029" s="7"/>
      <c r="S4029" s="7"/>
      <c r="T4029" s="66"/>
    </row>
    <row r="4030" spans="1:20" ht="13.2">
      <c r="A4030" s="7"/>
      <c r="B4030" s="7"/>
      <c r="C4030" s="74"/>
      <c r="D4030" s="74"/>
      <c r="F4030" s="7"/>
      <c r="G4030" s="74"/>
      <c r="H4030" s="74"/>
      <c r="J4030" s="7"/>
      <c r="K4030" s="74"/>
      <c r="L4030" s="74"/>
      <c r="N4030" s="7"/>
      <c r="O4030" s="74"/>
      <c r="P4030" s="74"/>
      <c r="R4030" s="7"/>
      <c r="S4030" s="7"/>
      <c r="T4030" s="66"/>
    </row>
    <row r="4031" spans="1:20" ht="13.2">
      <c r="A4031" s="7"/>
      <c r="B4031" s="7"/>
      <c r="C4031" s="74"/>
      <c r="D4031" s="74"/>
      <c r="F4031" s="7"/>
      <c r="G4031" s="74"/>
      <c r="H4031" s="74"/>
      <c r="J4031" s="7"/>
      <c r="K4031" s="74"/>
      <c r="L4031" s="74"/>
      <c r="N4031" s="7"/>
      <c r="O4031" s="74"/>
      <c r="P4031" s="74"/>
      <c r="R4031" s="7"/>
      <c r="S4031" s="7"/>
      <c r="T4031" s="66"/>
    </row>
    <row r="4032" spans="1:20" ht="13.2">
      <c r="A4032" s="7"/>
      <c r="B4032" s="7"/>
      <c r="C4032" s="74"/>
      <c r="D4032" s="74"/>
      <c r="F4032" s="7"/>
      <c r="G4032" s="74"/>
      <c r="H4032" s="74"/>
      <c r="J4032" s="7"/>
      <c r="K4032" s="74"/>
      <c r="L4032" s="74"/>
      <c r="N4032" s="7"/>
      <c r="O4032" s="74"/>
      <c r="P4032" s="74"/>
      <c r="R4032" s="7"/>
      <c r="S4032" s="7"/>
      <c r="T4032" s="66"/>
    </row>
    <row r="4033" spans="1:20" ht="13.2">
      <c r="A4033" s="7"/>
      <c r="B4033" s="7"/>
      <c r="C4033" s="74"/>
      <c r="D4033" s="74"/>
      <c r="F4033" s="7"/>
      <c r="G4033" s="74"/>
      <c r="H4033" s="74"/>
      <c r="J4033" s="7"/>
      <c r="K4033" s="74"/>
      <c r="L4033" s="74"/>
      <c r="N4033" s="7"/>
      <c r="O4033" s="74"/>
      <c r="P4033" s="74"/>
      <c r="R4033" s="7"/>
      <c r="S4033" s="7"/>
      <c r="T4033" s="66"/>
    </row>
    <row r="4034" spans="1:20" ht="13.2">
      <c r="A4034" s="7"/>
      <c r="B4034" s="7"/>
      <c r="C4034" s="74"/>
      <c r="D4034" s="74"/>
      <c r="F4034" s="7"/>
      <c r="G4034" s="74"/>
      <c r="H4034" s="74"/>
      <c r="J4034" s="7"/>
      <c r="K4034" s="74"/>
      <c r="L4034" s="74"/>
      <c r="N4034" s="7"/>
      <c r="O4034" s="74"/>
      <c r="P4034" s="74"/>
      <c r="R4034" s="7"/>
      <c r="S4034" s="7"/>
      <c r="T4034" s="66"/>
    </row>
    <row r="4035" spans="1:20" ht="13.2">
      <c r="A4035" s="7"/>
      <c r="B4035" s="7"/>
      <c r="C4035" s="74"/>
      <c r="D4035" s="74"/>
      <c r="F4035" s="7"/>
      <c r="G4035" s="74"/>
      <c r="H4035" s="74"/>
      <c r="J4035" s="7"/>
      <c r="K4035" s="74"/>
      <c r="L4035" s="74"/>
      <c r="N4035" s="7"/>
      <c r="O4035" s="74"/>
      <c r="P4035" s="74"/>
      <c r="R4035" s="7"/>
      <c r="S4035" s="7"/>
      <c r="T4035" s="66"/>
    </row>
    <row r="4036" spans="1:20" ht="13.2">
      <c r="A4036" s="7"/>
      <c r="B4036" s="7"/>
      <c r="C4036" s="74"/>
      <c r="D4036" s="74"/>
      <c r="F4036" s="7"/>
      <c r="G4036" s="74"/>
      <c r="H4036" s="74"/>
      <c r="J4036" s="7"/>
      <c r="K4036" s="74"/>
      <c r="L4036" s="74"/>
      <c r="N4036" s="7"/>
      <c r="O4036" s="74"/>
      <c r="P4036" s="74"/>
      <c r="R4036" s="7"/>
      <c r="S4036" s="7"/>
      <c r="T4036" s="66"/>
    </row>
    <row r="4037" spans="1:20" ht="13.2">
      <c r="A4037" s="7"/>
      <c r="B4037" s="7"/>
      <c r="C4037" s="74"/>
      <c r="D4037" s="74"/>
      <c r="F4037" s="7"/>
      <c r="G4037" s="74"/>
      <c r="H4037" s="74"/>
      <c r="J4037" s="7"/>
      <c r="K4037" s="74"/>
      <c r="L4037" s="74"/>
      <c r="N4037" s="7"/>
      <c r="O4037" s="74"/>
      <c r="P4037" s="74"/>
      <c r="R4037" s="7"/>
      <c r="S4037" s="7"/>
      <c r="T4037" s="66"/>
    </row>
    <row r="4038" spans="1:20" ht="13.2">
      <c r="A4038" s="7"/>
      <c r="B4038" s="7"/>
      <c r="C4038" s="74"/>
      <c r="D4038" s="74"/>
      <c r="F4038" s="7"/>
      <c r="G4038" s="74"/>
      <c r="H4038" s="74"/>
      <c r="J4038" s="7"/>
      <c r="K4038" s="74"/>
      <c r="L4038" s="74"/>
      <c r="N4038" s="7"/>
      <c r="O4038" s="74"/>
      <c r="P4038" s="74"/>
      <c r="R4038" s="7"/>
      <c r="S4038" s="7"/>
      <c r="T4038" s="66"/>
    </row>
    <row r="4039" spans="1:20" ht="13.2">
      <c r="A4039" s="7"/>
      <c r="B4039" s="7"/>
      <c r="C4039" s="74"/>
      <c r="D4039" s="74"/>
      <c r="F4039" s="7"/>
      <c r="G4039" s="74"/>
      <c r="H4039" s="74"/>
      <c r="J4039" s="7"/>
      <c r="K4039" s="74"/>
      <c r="L4039" s="74"/>
      <c r="N4039" s="7"/>
      <c r="O4039" s="74"/>
      <c r="P4039" s="74"/>
      <c r="R4039" s="7"/>
      <c r="S4039" s="7"/>
      <c r="T4039" s="66"/>
    </row>
    <row r="4040" spans="1:20" ht="13.2">
      <c r="A4040" s="7"/>
      <c r="B4040" s="7"/>
      <c r="C4040" s="74"/>
      <c r="D4040" s="74"/>
      <c r="F4040" s="7"/>
      <c r="G4040" s="74"/>
      <c r="H4040" s="74"/>
      <c r="J4040" s="7"/>
      <c r="K4040" s="74"/>
      <c r="L4040" s="74"/>
      <c r="N4040" s="7"/>
      <c r="O4040" s="74"/>
      <c r="P4040" s="74"/>
      <c r="R4040" s="7"/>
      <c r="S4040" s="7"/>
      <c r="T4040" s="66"/>
    </row>
    <row r="4041" spans="1:20" ht="13.2">
      <c r="A4041" s="7"/>
      <c r="B4041" s="7"/>
      <c r="C4041" s="74"/>
      <c r="D4041" s="74"/>
      <c r="F4041" s="7"/>
      <c r="G4041" s="74"/>
      <c r="H4041" s="74"/>
      <c r="J4041" s="7"/>
      <c r="K4041" s="74"/>
      <c r="L4041" s="74"/>
      <c r="N4041" s="7"/>
      <c r="O4041" s="74"/>
      <c r="P4041" s="74"/>
      <c r="R4041" s="7"/>
      <c r="S4041" s="7"/>
      <c r="T4041" s="66"/>
    </row>
    <row r="4042" spans="1:20" ht="13.2">
      <c r="A4042" s="7"/>
      <c r="B4042" s="7"/>
      <c r="C4042" s="74"/>
      <c r="D4042" s="74"/>
      <c r="F4042" s="7"/>
      <c r="G4042" s="74"/>
      <c r="H4042" s="74"/>
      <c r="J4042" s="7"/>
      <c r="K4042" s="74"/>
      <c r="L4042" s="74"/>
      <c r="N4042" s="7"/>
      <c r="O4042" s="74"/>
      <c r="P4042" s="74"/>
      <c r="R4042" s="7"/>
      <c r="S4042" s="7"/>
      <c r="T4042" s="66"/>
    </row>
    <row r="4043" spans="1:20" ht="13.2">
      <c r="A4043" s="7"/>
      <c r="B4043" s="7"/>
      <c r="C4043" s="74"/>
      <c r="D4043" s="74"/>
      <c r="F4043" s="7"/>
      <c r="G4043" s="74"/>
      <c r="H4043" s="74"/>
      <c r="J4043" s="7"/>
      <c r="K4043" s="74"/>
      <c r="L4043" s="74"/>
      <c r="N4043" s="7"/>
      <c r="O4043" s="74"/>
      <c r="P4043" s="74"/>
      <c r="R4043" s="7"/>
      <c r="S4043" s="7"/>
      <c r="T4043" s="66"/>
    </row>
    <row r="4044" spans="1:20" ht="13.2">
      <c r="A4044" s="7"/>
      <c r="B4044" s="7"/>
      <c r="C4044" s="74"/>
      <c r="D4044" s="74"/>
      <c r="F4044" s="7"/>
      <c r="G4044" s="74"/>
      <c r="H4044" s="74"/>
      <c r="J4044" s="7"/>
      <c r="K4044" s="74"/>
      <c r="L4044" s="74"/>
      <c r="N4044" s="7"/>
      <c r="O4044" s="74"/>
      <c r="P4044" s="74"/>
      <c r="R4044" s="7"/>
      <c r="S4044" s="7"/>
      <c r="T4044" s="66"/>
    </row>
    <row r="4045" spans="1:20" ht="13.2">
      <c r="A4045" s="7"/>
      <c r="B4045" s="7"/>
      <c r="C4045" s="74"/>
      <c r="D4045" s="74"/>
      <c r="F4045" s="7"/>
      <c r="G4045" s="74"/>
      <c r="H4045" s="74"/>
      <c r="J4045" s="7"/>
      <c r="K4045" s="74"/>
      <c r="L4045" s="74"/>
      <c r="N4045" s="7"/>
      <c r="O4045" s="74"/>
      <c r="P4045" s="74"/>
      <c r="R4045" s="7"/>
      <c r="S4045" s="7"/>
      <c r="T4045" s="66"/>
    </row>
    <row r="4046" spans="1:20" ht="13.2">
      <c r="A4046" s="7"/>
      <c r="B4046" s="7"/>
      <c r="C4046" s="74"/>
      <c r="D4046" s="74"/>
      <c r="F4046" s="7"/>
      <c r="G4046" s="74"/>
      <c r="H4046" s="74"/>
      <c r="J4046" s="7"/>
      <c r="K4046" s="74"/>
      <c r="L4046" s="74"/>
      <c r="N4046" s="7"/>
      <c r="O4046" s="74"/>
      <c r="P4046" s="74"/>
      <c r="R4046" s="7"/>
      <c r="S4046" s="7"/>
      <c r="T4046" s="66"/>
    </row>
    <row r="4047" spans="1:20" ht="13.2">
      <c r="A4047" s="7"/>
      <c r="B4047" s="7"/>
      <c r="C4047" s="74"/>
      <c r="D4047" s="74"/>
      <c r="F4047" s="7"/>
      <c r="G4047" s="74"/>
      <c r="H4047" s="74"/>
      <c r="J4047" s="7"/>
      <c r="K4047" s="74"/>
      <c r="L4047" s="74"/>
      <c r="N4047" s="7"/>
      <c r="O4047" s="74"/>
      <c r="P4047" s="74"/>
      <c r="R4047" s="7"/>
      <c r="S4047" s="7"/>
      <c r="T4047" s="66"/>
    </row>
    <row r="4048" spans="1:20" ht="13.2">
      <c r="A4048" s="7"/>
      <c r="B4048" s="7"/>
      <c r="C4048" s="74"/>
      <c r="D4048" s="74"/>
      <c r="F4048" s="7"/>
      <c r="G4048" s="74"/>
      <c r="H4048" s="74"/>
      <c r="J4048" s="7"/>
      <c r="K4048" s="74"/>
      <c r="L4048" s="74"/>
      <c r="N4048" s="7"/>
      <c r="O4048" s="74"/>
      <c r="P4048" s="74"/>
      <c r="R4048" s="7"/>
      <c r="S4048" s="7"/>
      <c r="T4048" s="66"/>
    </row>
    <row r="4049" spans="1:20" ht="13.2">
      <c r="A4049" s="7"/>
      <c r="B4049" s="7"/>
      <c r="C4049" s="74"/>
      <c r="D4049" s="74"/>
      <c r="F4049" s="7"/>
      <c r="G4049" s="74"/>
      <c r="H4049" s="74"/>
      <c r="J4049" s="7"/>
      <c r="K4049" s="74"/>
      <c r="L4049" s="74"/>
      <c r="N4049" s="7"/>
      <c r="O4049" s="74"/>
      <c r="P4049" s="74"/>
      <c r="R4049" s="7"/>
      <c r="S4049" s="7"/>
      <c r="T4049" s="66"/>
    </row>
    <row r="4050" spans="1:20" ht="13.2">
      <c r="A4050" s="7"/>
      <c r="B4050" s="7"/>
      <c r="C4050" s="74"/>
      <c r="D4050" s="74"/>
      <c r="F4050" s="7"/>
      <c r="G4050" s="74"/>
      <c r="H4050" s="74"/>
      <c r="J4050" s="7"/>
      <c r="K4050" s="74"/>
      <c r="L4050" s="74"/>
      <c r="N4050" s="7"/>
      <c r="O4050" s="74"/>
      <c r="P4050" s="74"/>
      <c r="R4050" s="7"/>
      <c r="S4050" s="7"/>
      <c r="T4050" s="66"/>
    </row>
    <row r="4051" spans="1:20" ht="13.2">
      <c r="A4051" s="7"/>
      <c r="B4051" s="7"/>
      <c r="C4051" s="74"/>
      <c r="D4051" s="74"/>
      <c r="F4051" s="7"/>
      <c r="G4051" s="74"/>
      <c r="H4051" s="74"/>
      <c r="J4051" s="7"/>
      <c r="K4051" s="74"/>
      <c r="L4051" s="74"/>
      <c r="N4051" s="7"/>
      <c r="O4051" s="74"/>
      <c r="P4051" s="74"/>
      <c r="R4051" s="7"/>
      <c r="S4051" s="7"/>
      <c r="T4051" s="66"/>
    </row>
    <row r="4052" spans="1:20" ht="13.2">
      <c r="A4052" s="7"/>
      <c r="B4052" s="7"/>
      <c r="C4052" s="74"/>
      <c r="D4052" s="74"/>
      <c r="F4052" s="7"/>
      <c r="G4052" s="74"/>
      <c r="H4052" s="74"/>
      <c r="J4052" s="7"/>
      <c r="K4052" s="74"/>
      <c r="L4052" s="74"/>
      <c r="N4052" s="7"/>
      <c r="O4052" s="74"/>
      <c r="P4052" s="74"/>
      <c r="R4052" s="7"/>
      <c r="S4052" s="7"/>
      <c r="T4052" s="66"/>
    </row>
    <row r="4053" spans="1:20" ht="13.2">
      <c r="A4053" s="7"/>
      <c r="B4053" s="7"/>
      <c r="C4053" s="74"/>
      <c r="D4053" s="74"/>
      <c r="F4053" s="7"/>
      <c r="G4053" s="74"/>
      <c r="H4053" s="74"/>
      <c r="J4053" s="7"/>
      <c r="K4053" s="74"/>
      <c r="L4053" s="74"/>
      <c r="N4053" s="7"/>
      <c r="O4053" s="74"/>
      <c r="P4053" s="74"/>
      <c r="R4053" s="7"/>
      <c r="S4053" s="7"/>
      <c r="T4053" s="66"/>
    </row>
    <row r="4054" spans="1:20" ht="13.2">
      <c r="A4054" s="7"/>
      <c r="B4054" s="7"/>
      <c r="C4054" s="74"/>
      <c r="D4054" s="74"/>
      <c r="F4054" s="7"/>
      <c r="G4054" s="74"/>
      <c r="H4054" s="74"/>
      <c r="J4054" s="7"/>
      <c r="K4054" s="74"/>
      <c r="L4054" s="74"/>
      <c r="N4054" s="7"/>
      <c r="O4054" s="74"/>
      <c r="P4054" s="74"/>
      <c r="R4054" s="7"/>
      <c r="S4054" s="7"/>
      <c r="T4054" s="66"/>
    </row>
    <row r="4055" spans="1:20" ht="13.2">
      <c r="A4055" s="7"/>
      <c r="B4055" s="7"/>
      <c r="C4055" s="74"/>
      <c r="D4055" s="74"/>
      <c r="F4055" s="7"/>
      <c r="G4055" s="74"/>
      <c r="H4055" s="74"/>
      <c r="J4055" s="7"/>
      <c r="K4055" s="74"/>
      <c r="L4055" s="74"/>
      <c r="N4055" s="7"/>
      <c r="O4055" s="74"/>
      <c r="P4055" s="74"/>
      <c r="R4055" s="7"/>
      <c r="S4055" s="7"/>
      <c r="T4055" s="66"/>
    </row>
    <row r="4056" spans="1:20" ht="13.2">
      <c r="A4056" s="7"/>
      <c r="B4056" s="7"/>
      <c r="C4056" s="74"/>
      <c r="D4056" s="74"/>
      <c r="F4056" s="7"/>
      <c r="G4056" s="74"/>
      <c r="H4056" s="74"/>
      <c r="J4056" s="7"/>
      <c r="K4056" s="74"/>
      <c r="L4056" s="74"/>
      <c r="N4056" s="7"/>
      <c r="O4056" s="74"/>
      <c r="P4056" s="74"/>
      <c r="R4056" s="7"/>
      <c r="S4056" s="7"/>
      <c r="T4056" s="66"/>
    </row>
    <row r="4057" spans="1:20" ht="13.2">
      <c r="A4057" s="7"/>
      <c r="B4057" s="7"/>
      <c r="C4057" s="74"/>
      <c r="D4057" s="74"/>
      <c r="F4057" s="7"/>
      <c r="G4057" s="74"/>
      <c r="H4057" s="74"/>
      <c r="J4057" s="7"/>
      <c r="K4057" s="74"/>
      <c r="L4057" s="74"/>
      <c r="N4057" s="7"/>
      <c r="O4057" s="74"/>
      <c r="P4057" s="74"/>
      <c r="R4057" s="7"/>
      <c r="S4057" s="7"/>
      <c r="T4057" s="66"/>
    </row>
    <row r="4058" spans="1:20" ht="13.2">
      <c r="A4058" s="7"/>
      <c r="B4058" s="7"/>
      <c r="C4058" s="74"/>
      <c r="D4058" s="74"/>
      <c r="F4058" s="7"/>
      <c r="G4058" s="74"/>
      <c r="H4058" s="74"/>
      <c r="J4058" s="7"/>
      <c r="K4058" s="74"/>
      <c r="L4058" s="74"/>
      <c r="N4058" s="7"/>
      <c r="O4058" s="74"/>
      <c r="P4058" s="74"/>
      <c r="R4058" s="7"/>
      <c r="S4058" s="7"/>
      <c r="T4058" s="66"/>
    </row>
    <row r="4059" spans="1:20" ht="13.2">
      <c r="A4059" s="7"/>
      <c r="B4059" s="7"/>
      <c r="C4059" s="74"/>
      <c r="D4059" s="74"/>
      <c r="F4059" s="7"/>
      <c r="G4059" s="74"/>
      <c r="H4059" s="74"/>
      <c r="J4059" s="7"/>
      <c r="K4059" s="74"/>
      <c r="L4059" s="74"/>
      <c r="N4059" s="7"/>
      <c r="O4059" s="74"/>
      <c r="P4059" s="74"/>
      <c r="R4059" s="7"/>
      <c r="S4059" s="7"/>
      <c r="T4059" s="66"/>
    </row>
    <row r="4060" spans="1:20" ht="13.2">
      <c r="A4060" s="7"/>
      <c r="B4060" s="7"/>
      <c r="C4060" s="74"/>
      <c r="D4060" s="74"/>
      <c r="F4060" s="7"/>
      <c r="G4060" s="74"/>
      <c r="H4060" s="74"/>
      <c r="J4060" s="7"/>
      <c r="K4060" s="74"/>
      <c r="L4060" s="74"/>
      <c r="N4060" s="7"/>
      <c r="O4060" s="74"/>
      <c r="P4060" s="74"/>
      <c r="R4060" s="7"/>
      <c r="S4060" s="7"/>
      <c r="T4060" s="66"/>
    </row>
    <row r="4061" spans="1:20" ht="13.2">
      <c r="A4061" s="7"/>
      <c r="B4061" s="7"/>
      <c r="C4061" s="74"/>
      <c r="D4061" s="74"/>
      <c r="F4061" s="7"/>
      <c r="G4061" s="74"/>
      <c r="H4061" s="74"/>
      <c r="J4061" s="7"/>
      <c r="K4061" s="74"/>
      <c r="L4061" s="74"/>
      <c r="N4061" s="7"/>
      <c r="O4061" s="74"/>
      <c r="P4061" s="74"/>
      <c r="R4061" s="7"/>
      <c r="S4061" s="7"/>
      <c r="T4061" s="66"/>
    </row>
    <row r="4062" spans="1:20" ht="13.2">
      <c r="A4062" s="7"/>
      <c r="B4062" s="7"/>
      <c r="C4062" s="74"/>
      <c r="D4062" s="74"/>
      <c r="F4062" s="7"/>
      <c r="G4062" s="74"/>
      <c r="H4062" s="74"/>
      <c r="J4062" s="7"/>
      <c r="K4062" s="74"/>
      <c r="L4062" s="74"/>
      <c r="N4062" s="7"/>
      <c r="O4062" s="74"/>
      <c r="P4062" s="74"/>
      <c r="R4062" s="7"/>
      <c r="S4062" s="7"/>
      <c r="T4062" s="66"/>
    </row>
    <row r="4063" spans="1:20" ht="13.2">
      <c r="A4063" s="7"/>
      <c r="B4063" s="7"/>
      <c r="C4063" s="74"/>
      <c r="D4063" s="74"/>
      <c r="F4063" s="7"/>
      <c r="G4063" s="74"/>
      <c r="H4063" s="74"/>
      <c r="J4063" s="7"/>
      <c r="K4063" s="74"/>
      <c r="L4063" s="74"/>
      <c r="N4063" s="7"/>
      <c r="O4063" s="74"/>
      <c r="P4063" s="74"/>
      <c r="R4063" s="7"/>
      <c r="S4063" s="7"/>
      <c r="T4063" s="66"/>
    </row>
    <row r="4064" spans="1:20" ht="13.2">
      <c r="A4064" s="7"/>
      <c r="B4064" s="7"/>
      <c r="C4064" s="74"/>
      <c r="D4064" s="74"/>
      <c r="F4064" s="7"/>
      <c r="G4064" s="74"/>
      <c r="H4064" s="74"/>
      <c r="J4064" s="7"/>
      <c r="K4064" s="74"/>
      <c r="L4064" s="74"/>
      <c r="N4064" s="7"/>
      <c r="O4064" s="74"/>
      <c r="P4064" s="74"/>
      <c r="R4064" s="7"/>
      <c r="S4064" s="7"/>
      <c r="T4064" s="66"/>
    </row>
    <row r="4065" spans="1:20" ht="13.2">
      <c r="A4065" s="7"/>
      <c r="B4065" s="7"/>
      <c r="C4065" s="74"/>
      <c r="D4065" s="74"/>
      <c r="F4065" s="7"/>
      <c r="G4065" s="74"/>
      <c r="H4065" s="74"/>
      <c r="J4065" s="7"/>
      <c r="K4065" s="74"/>
      <c r="L4065" s="74"/>
      <c r="N4065" s="7"/>
      <c r="O4065" s="74"/>
      <c r="P4065" s="74"/>
      <c r="R4065" s="7"/>
      <c r="S4065" s="7"/>
      <c r="T4065" s="66"/>
    </row>
    <row r="4066" spans="1:20" ht="13.2">
      <c r="A4066" s="7"/>
      <c r="B4066" s="7"/>
      <c r="C4066" s="74"/>
      <c r="D4066" s="74"/>
      <c r="F4066" s="7"/>
      <c r="G4066" s="74"/>
      <c r="H4066" s="74"/>
      <c r="J4066" s="7"/>
      <c r="K4066" s="74"/>
      <c r="L4066" s="74"/>
      <c r="N4066" s="7"/>
      <c r="O4066" s="74"/>
      <c r="P4066" s="74"/>
      <c r="R4066" s="7"/>
      <c r="S4066" s="7"/>
      <c r="T4066" s="66"/>
    </row>
    <row r="4067" spans="1:20" ht="13.2">
      <c r="A4067" s="7"/>
      <c r="B4067" s="7"/>
      <c r="C4067" s="74"/>
      <c r="D4067" s="74"/>
      <c r="F4067" s="7"/>
      <c r="G4067" s="74"/>
      <c r="H4067" s="74"/>
      <c r="J4067" s="7"/>
      <c r="K4067" s="74"/>
      <c r="L4067" s="74"/>
      <c r="N4067" s="7"/>
      <c r="O4067" s="74"/>
      <c r="P4067" s="74"/>
      <c r="R4067" s="7"/>
      <c r="S4067" s="7"/>
      <c r="T4067" s="66"/>
    </row>
    <row r="4068" spans="1:20" ht="13.2">
      <c r="A4068" s="7"/>
      <c r="B4068" s="7"/>
      <c r="C4068" s="74"/>
      <c r="D4068" s="74"/>
      <c r="F4068" s="7"/>
      <c r="G4068" s="74"/>
      <c r="H4068" s="74"/>
      <c r="J4068" s="7"/>
      <c r="K4068" s="74"/>
      <c r="L4068" s="74"/>
      <c r="N4068" s="7"/>
      <c r="O4068" s="74"/>
      <c r="P4068" s="74"/>
      <c r="R4068" s="7"/>
      <c r="S4068" s="7"/>
      <c r="T4068" s="66"/>
    </row>
    <row r="4069" spans="1:20" ht="13.2">
      <c r="A4069" s="7"/>
      <c r="B4069" s="7"/>
      <c r="C4069" s="74"/>
      <c r="D4069" s="74"/>
      <c r="F4069" s="7"/>
      <c r="G4069" s="74"/>
      <c r="H4069" s="74"/>
      <c r="J4069" s="7"/>
      <c r="K4069" s="74"/>
      <c r="L4069" s="74"/>
      <c r="N4069" s="7"/>
      <c r="O4069" s="74"/>
      <c r="P4069" s="74"/>
      <c r="R4069" s="7"/>
      <c r="S4069" s="7"/>
      <c r="T4069" s="66"/>
    </row>
    <row r="4070" spans="1:20" ht="13.2">
      <c r="A4070" s="7"/>
      <c r="B4070" s="7"/>
      <c r="C4070" s="74"/>
      <c r="D4070" s="74"/>
      <c r="F4070" s="7"/>
      <c r="G4070" s="74"/>
      <c r="H4070" s="74"/>
      <c r="J4070" s="7"/>
      <c r="K4070" s="74"/>
      <c r="L4070" s="74"/>
      <c r="N4070" s="7"/>
      <c r="O4070" s="74"/>
      <c r="P4070" s="74"/>
      <c r="R4070" s="7"/>
      <c r="S4070" s="7"/>
      <c r="T4070" s="66"/>
    </row>
    <row r="4071" spans="1:20" ht="13.2">
      <c r="A4071" s="7"/>
      <c r="B4071" s="7"/>
      <c r="C4071" s="74"/>
      <c r="D4071" s="74"/>
      <c r="F4071" s="7"/>
      <c r="G4071" s="74"/>
      <c r="H4071" s="74"/>
      <c r="J4071" s="7"/>
      <c r="K4071" s="74"/>
      <c r="L4071" s="74"/>
      <c r="N4071" s="7"/>
      <c r="O4071" s="74"/>
      <c r="P4071" s="74"/>
      <c r="R4071" s="7"/>
      <c r="S4071" s="7"/>
      <c r="T4071" s="66"/>
    </row>
    <row r="4072" spans="1:20" ht="13.2">
      <c r="A4072" s="7"/>
      <c r="B4072" s="7"/>
      <c r="C4072" s="74"/>
      <c r="D4072" s="74"/>
      <c r="F4072" s="7"/>
      <c r="G4072" s="74"/>
      <c r="H4072" s="74"/>
      <c r="J4072" s="7"/>
      <c r="K4072" s="74"/>
      <c r="L4072" s="74"/>
      <c r="N4072" s="7"/>
      <c r="O4072" s="74"/>
      <c r="P4072" s="74"/>
      <c r="R4072" s="7"/>
      <c r="S4072" s="7"/>
      <c r="T4072" s="66"/>
    </row>
    <row r="4073" spans="1:20" ht="13.2">
      <c r="A4073" s="7"/>
      <c r="B4073" s="7"/>
      <c r="C4073" s="74"/>
      <c r="D4073" s="74"/>
      <c r="F4073" s="7"/>
      <c r="G4073" s="74"/>
      <c r="H4073" s="74"/>
      <c r="J4073" s="7"/>
      <c r="K4073" s="74"/>
      <c r="L4073" s="74"/>
      <c r="N4073" s="7"/>
      <c r="O4073" s="74"/>
      <c r="P4073" s="74"/>
      <c r="R4073" s="7"/>
      <c r="S4073" s="7"/>
      <c r="T4073" s="66"/>
    </row>
    <row r="4074" spans="1:20" ht="13.2">
      <c r="A4074" s="7"/>
      <c r="B4074" s="7"/>
      <c r="C4074" s="74"/>
      <c r="D4074" s="74"/>
      <c r="F4074" s="7"/>
      <c r="G4074" s="74"/>
      <c r="H4074" s="74"/>
      <c r="J4074" s="7"/>
      <c r="K4074" s="74"/>
      <c r="L4074" s="74"/>
      <c r="N4074" s="7"/>
      <c r="O4074" s="74"/>
      <c r="P4074" s="74"/>
      <c r="R4074" s="7"/>
      <c r="S4074" s="7"/>
      <c r="T4074" s="66"/>
    </row>
    <row r="4075" spans="1:20" ht="13.2">
      <c r="A4075" s="7"/>
      <c r="B4075" s="7"/>
      <c r="C4075" s="74"/>
      <c r="D4075" s="74"/>
      <c r="F4075" s="7"/>
      <c r="G4075" s="74"/>
      <c r="H4075" s="74"/>
      <c r="J4075" s="7"/>
      <c r="K4075" s="74"/>
      <c r="L4075" s="74"/>
      <c r="N4075" s="7"/>
      <c r="O4075" s="74"/>
      <c r="P4075" s="74"/>
      <c r="R4075" s="7"/>
      <c r="S4075" s="7"/>
      <c r="T4075" s="66"/>
    </row>
    <row r="4076" spans="1:20" ht="13.2">
      <c r="A4076" s="7"/>
      <c r="B4076" s="7"/>
      <c r="C4076" s="74"/>
      <c r="D4076" s="74"/>
      <c r="F4076" s="7"/>
      <c r="G4076" s="74"/>
      <c r="H4076" s="74"/>
      <c r="J4076" s="7"/>
      <c r="K4076" s="74"/>
      <c r="L4076" s="74"/>
      <c r="N4076" s="7"/>
      <c r="O4076" s="74"/>
      <c r="P4076" s="74"/>
      <c r="R4076" s="7"/>
      <c r="S4076" s="7"/>
      <c r="T4076" s="66"/>
    </row>
    <row r="4077" spans="1:20" ht="13.2">
      <c r="A4077" s="7"/>
      <c r="B4077" s="7"/>
      <c r="C4077" s="74"/>
      <c r="D4077" s="74"/>
      <c r="F4077" s="7"/>
      <c r="G4077" s="74"/>
      <c r="H4077" s="74"/>
      <c r="J4077" s="7"/>
      <c r="K4077" s="74"/>
      <c r="L4077" s="74"/>
      <c r="N4077" s="7"/>
      <c r="O4077" s="74"/>
      <c r="P4077" s="74"/>
      <c r="R4077" s="7"/>
      <c r="S4077" s="7"/>
      <c r="T4077" s="66"/>
    </row>
    <row r="4078" spans="1:20" ht="13.2">
      <c r="A4078" s="7"/>
      <c r="B4078" s="7"/>
      <c r="C4078" s="74"/>
      <c r="D4078" s="74"/>
      <c r="F4078" s="7"/>
      <c r="G4078" s="74"/>
      <c r="H4078" s="74"/>
      <c r="J4078" s="7"/>
      <c r="K4078" s="74"/>
      <c r="L4078" s="74"/>
      <c r="N4078" s="7"/>
      <c r="O4078" s="74"/>
      <c r="P4078" s="74"/>
      <c r="R4078" s="7"/>
      <c r="S4078" s="7"/>
      <c r="T4078" s="66"/>
    </row>
    <row r="4079" spans="1:20" ht="13.2">
      <c r="A4079" s="7"/>
      <c r="B4079" s="7"/>
      <c r="C4079" s="74"/>
      <c r="D4079" s="74"/>
      <c r="F4079" s="7"/>
      <c r="G4079" s="74"/>
      <c r="H4079" s="74"/>
      <c r="J4079" s="7"/>
      <c r="K4079" s="74"/>
      <c r="L4079" s="74"/>
      <c r="N4079" s="7"/>
      <c r="O4079" s="74"/>
      <c r="P4079" s="74"/>
      <c r="R4079" s="7"/>
      <c r="S4079" s="7"/>
      <c r="T4079" s="66"/>
    </row>
    <row r="4080" spans="1:20" ht="13.2">
      <c r="A4080" s="7"/>
      <c r="B4080" s="7"/>
      <c r="C4080" s="74"/>
      <c r="D4080" s="74"/>
      <c r="F4080" s="7"/>
      <c r="G4080" s="74"/>
      <c r="H4080" s="74"/>
      <c r="J4080" s="7"/>
      <c r="K4080" s="74"/>
      <c r="L4080" s="74"/>
      <c r="N4080" s="7"/>
      <c r="O4080" s="74"/>
      <c r="P4080" s="74"/>
      <c r="R4080" s="7"/>
      <c r="S4080" s="7"/>
      <c r="T4080" s="66"/>
    </row>
    <row r="4081" spans="1:20" ht="13.2">
      <c r="A4081" s="7"/>
      <c r="B4081" s="7"/>
      <c r="C4081" s="74"/>
      <c r="D4081" s="74"/>
      <c r="F4081" s="7"/>
      <c r="G4081" s="74"/>
      <c r="H4081" s="74"/>
      <c r="J4081" s="7"/>
      <c r="K4081" s="74"/>
      <c r="L4081" s="74"/>
      <c r="N4081" s="7"/>
      <c r="O4081" s="74"/>
      <c r="P4081" s="74"/>
      <c r="R4081" s="7"/>
      <c r="S4081" s="7"/>
      <c r="T4081" s="66"/>
    </row>
    <row r="4082" spans="1:20" ht="13.2">
      <c r="A4082" s="7"/>
      <c r="B4082" s="7"/>
      <c r="C4082" s="74"/>
      <c r="D4082" s="74"/>
      <c r="F4082" s="7"/>
      <c r="G4082" s="74"/>
      <c r="H4082" s="74"/>
      <c r="J4082" s="7"/>
      <c r="K4082" s="74"/>
      <c r="L4082" s="74"/>
      <c r="N4082" s="7"/>
      <c r="O4082" s="74"/>
      <c r="P4082" s="74"/>
      <c r="R4082" s="7"/>
      <c r="S4082" s="7"/>
      <c r="T4082" s="66"/>
    </row>
    <row r="4083" spans="1:20" ht="13.2">
      <c r="A4083" s="7"/>
      <c r="B4083" s="7"/>
      <c r="C4083" s="74"/>
      <c r="D4083" s="74"/>
      <c r="F4083" s="7"/>
      <c r="G4083" s="74"/>
      <c r="H4083" s="74"/>
      <c r="J4083" s="7"/>
      <c r="K4083" s="74"/>
      <c r="L4083" s="74"/>
      <c r="N4083" s="7"/>
      <c r="O4083" s="74"/>
      <c r="P4083" s="74"/>
      <c r="R4083" s="7"/>
      <c r="S4083" s="7"/>
      <c r="T4083" s="66"/>
    </row>
    <row r="4084" spans="1:20" ht="13.2">
      <c r="A4084" s="7"/>
      <c r="B4084" s="7"/>
      <c r="C4084" s="74"/>
      <c r="D4084" s="74"/>
      <c r="F4084" s="7"/>
      <c r="G4084" s="74"/>
      <c r="H4084" s="74"/>
      <c r="J4084" s="7"/>
      <c r="K4084" s="74"/>
      <c r="L4084" s="74"/>
      <c r="N4084" s="7"/>
      <c r="O4084" s="74"/>
      <c r="P4084" s="74"/>
      <c r="R4084" s="7"/>
      <c r="S4084" s="7"/>
      <c r="T4084" s="66"/>
    </row>
    <row r="4085" spans="1:20" ht="13.2">
      <c r="A4085" s="7"/>
      <c r="B4085" s="7"/>
      <c r="C4085" s="74"/>
      <c r="D4085" s="74"/>
      <c r="F4085" s="7"/>
      <c r="G4085" s="74"/>
      <c r="H4085" s="74"/>
      <c r="J4085" s="7"/>
      <c r="K4085" s="74"/>
      <c r="L4085" s="74"/>
      <c r="N4085" s="7"/>
      <c r="O4085" s="74"/>
      <c r="P4085" s="74"/>
      <c r="R4085" s="7"/>
      <c r="S4085" s="7"/>
      <c r="T4085" s="66"/>
    </row>
    <row r="4086" spans="1:20" ht="13.2">
      <c r="A4086" s="7"/>
      <c r="B4086" s="7"/>
      <c r="C4086" s="74"/>
      <c r="D4086" s="74"/>
      <c r="F4086" s="7"/>
      <c r="G4086" s="74"/>
      <c r="H4086" s="74"/>
      <c r="J4086" s="7"/>
      <c r="K4086" s="74"/>
      <c r="L4086" s="74"/>
      <c r="N4086" s="7"/>
      <c r="O4086" s="74"/>
      <c r="P4086" s="74"/>
      <c r="R4086" s="7"/>
      <c r="S4086" s="7"/>
      <c r="T4086" s="66"/>
    </row>
    <row r="4087" spans="1:20" ht="13.2">
      <c r="A4087" s="7"/>
      <c r="B4087" s="7"/>
      <c r="C4087" s="74"/>
      <c r="D4087" s="74"/>
      <c r="F4087" s="7"/>
      <c r="G4087" s="74"/>
      <c r="H4087" s="74"/>
      <c r="J4087" s="7"/>
      <c r="K4087" s="74"/>
      <c r="L4087" s="74"/>
      <c r="N4087" s="7"/>
      <c r="O4087" s="74"/>
      <c r="P4087" s="74"/>
      <c r="R4087" s="7"/>
      <c r="S4087" s="7"/>
      <c r="T4087" s="66"/>
    </row>
    <row r="4088" spans="1:20" ht="13.2">
      <c r="A4088" s="7"/>
      <c r="B4088" s="7"/>
      <c r="C4088" s="74"/>
      <c r="D4088" s="74"/>
      <c r="F4088" s="7"/>
      <c r="G4088" s="74"/>
      <c r="H4088" s="74"/>
      <c r="J4088" s="7"/>
      <c r="K4088" s="74"/>
      <c r="L4088" s="74"/>
      <c r="N4088" s="7"/>
      <c r="O4088" s="74"/>
      <c r="P4088" s="74"/>
      <c r="R4088" s="7"/>
      <c r="S4088" s="7"/>
      <c r="T4088" s="66"/>
    </row>
    <row r="4089" spans="1:20" ht="13.2">
      <c r="A4089" s="7"/>
      <c r="B4089" s="7"/>
      <c r="C4089" s="74"/>
      <c r="D4089" s="74"/>
      <c r="F4089" s="7"/>
      <c r="G4089" s="74"/>
      <c r="H4089" s="74"/>
      <c r="J4089" s="7"/>
      <c r="K4089" s="74"/>
      <c r="L4089" s="74"/>
      <c r="N4089" s="7"/>
      <c r="O4089" s="74"/>
      <c r="P4089" s="74"/>
      <c r="R4089" s="7"/>
      <c r="S4089" s="7"/>
      <c r="T4089" s="66"/>
    </row>
    <row r="4090" spans="1:20" ht="13.2">
      <c r="A4090" s="7"/>
      <c r="B4090" s="7"/>
      <c r="C4090" s="74"/>
      <c r="D4090" s="74"/>
      <c r="F4090" s="7"/>
      <c r="G4090" s="74"/>
      <c r="H4090" s="74"/>
      <c r="J4090" s="7"/>
      <c r="K4090" s="74"/>
      <c r="L4090" s="74"/>
      <c r="N4090" s="7"/>
      <c r="O4090" s="74"/>
      <c r="P4090" s="74"/>
      <c r="R4090" s="7"/>
      <c r="S4090" s="7"/>
      <c r="T4090" s="66"/>
    </row>
    <row r="4091" spans="1:20" ht="13.2">
      <c r="A4091" s="7"/>
      <c r="B4091" s="7"/>
      <c r="C4091" s="74"/>
      <c r="D4091" s="74"/>
      <c r="F4091" s="7"/>
      <c r="G4091" s="74"/>
      <c r="H4091" s="74"/>
      <c r="J4091" s="7"/>
      <c r="K4091" s="74"/>
      <c r="L4091" s="74"/>
      <c r="N4091" s="7"/>
      <c r="O4091" s="74"/>
      <c r="P4091" s="74"/>
      <c r="R4091" s="7"/>
      <c r="S4091" s="7"/>
      <c r="T4091" s="66"/>
    </row>
    <row r="4092" spans="1:20" ht="13.2">
      <c r="A4092" s="7"/>
      <c r="B4092" s="7"/>
      <c r="C4092" s="74"/>
      <c r="D4092" s="74"/>
      <c r="F4092" s="7"/>
      <c r="G4092" s="74"/>
      <c r="H4092" s="74"/>
      <c r="J4092" s="7"/>
      <c r="K4092" s="74"/>
      <c r="L4092" s="74"/>
      <c r="N4092" s="7"/>
      <c r="O4092" s="74"/>
      <c r="P4092" s="74"/>
      <c r="R4092" s="7"/>
      <c r="S4092" s="7"/>
      <c r="T4092" s="66"/>
    </row>
    <row r="4093" spans="1:20" ht="13.2">
      <c r="A4093" s="7"/>
      <c r="B4093" s="7"/>
      <c r="C4093" s="74"/>
      <c r="D4093" s="74"/>
      <c r="F4093" s="7"/>
      <c r="G4093" s="74"/>
      <c r="H4093" s="74"/>
      <c r="J4093" s="7"/>
      <c r="K4093" s="74"/>
      <c r="L4093" s="74"/>
      <c r="N4093" s="7"/>
      <c r="O4093" s="74"/>
      <c r="P4093" s="74"/>
      <c r="R4093" s="7"/>
      <c r="S4093" s="7"/>
      <c r="T4093" s="66"/>
    </row>
    <row r="4094" spans="1:20" ht="13.2">
      <c r="A4094" s="7"/>
      <c r="B4094" s="7"/>
      <c r="C4094" s="74"/>
      <c r="D4094" s="74"/>
      <c r="F4094" s="7"/>
      <c r="G4094" s="74"/>
      <c r="H4094" s="74"/>
      <c r="J4094" s="7"/>
      <c r="K4094" s="74"/>
      <c r="L4094" s="74"/>
      <c r="N4094" s="7"/>
      <c r="O4094" s="74"/>
      <c r="P4094" s="74"/>
      <c r="R4094" s="7"/>
      <c r="S4094" s="7"/>
      <c r="T4094" s="66"/>
    </row>
    <row r="4095" spans="1:20" ht="13.2">
      <c r="A4095" s="7"/>
      <c r="B4095" s="7"/>
      <c r="C4095" s="74"/>
      <c r="D4095" s="74"/>
      <c r="F4095" s="7"/>
      <c r="G4095" s="74"/>
      <c r="H4095" s="74"/>
      <c r="J4095" s="7"/>
      <c r="K4095" s="74"/>
      <c r="L4095" s="74"/>
      <c r="N4095" s="7"/>
      <c r="O4095" s="74"/>
      <c r="P4095" s="74"/>
      <c r="R4095" s="7"/>
      <c r="S4095" s="7"/>
      <c r="T4095" s="66"/>
    </row>
    <row r="4096" spans="1:20" ht="13.2">
      <c r="A4096" s="7"/>
      <c r="B4096" s="7"/>
      <c r="C4096" s="74"/>
      <c r="D4096" s="74"/>
      <c r="F4096" s="7"/>
      <c r="G4096" s="74"/>
      <c r="H4096" s="74"/>
      <c r="J4096" s="7"/>
      <c r="K4096" s="74"/>
      <c r="L4096" s="74"/>
      <c r="N4096" s="7"/>
      <c r="O4096" s="74"/>
      <c r="P4096" s="74"/>
      <c r="R4096" s="7"/>
      <c r="S4096" s="7"/>
      <c r="T4096" s="66"/>
    </row>
    <row r="4097" spans="1:20" ht="13.2">
      <c r="A4097" s="7"/>
      <c r="B4097" s="7"/>
      <c r="C4097" s="74"/>
      <c r="D4097" s="74"/>
      <c r="F4097" s="7"/>
      <c r="G4097" s="74"/>
      <c r="H4097" s="74"/>
      <c r="J4097" s="7"/>
      <c r="K4097" s="74"/>
      <c r="L4097" s="74"/>
      <c r="N4097" s="7"/>
      <c r="O4097" s="74"/>
      <c r="P4097" s="74"/>
      <c r="R4097" s="7"/>
      <c r="S4097" s="7"/>
      <c r="T4097" s="66"/>
    </row>
    <row r="4098" spans="1:20" ht="13.2">
      <c r="A4098" s="7"/>
      <c r="B4098" s="7"/>
      <c r="C4098" s="74"/>
      <c r="D4098" s="74"/>
      <c r="F4098" s="7"/>
      <c r="G4098" s="74"/>
      <c r="H4098" s="74"/>
      <c r="J4098" s="7"/>
      <c r="K4098" s="74"/>
      <c r="L4098" s="74"/>
      <c r="N4098" s="7"/>
      <c r="O4098" s="74"/>
      <c r="P4098" s="74"/>
      <c r="R4098" s="7"/>
      <c r="S4098" s="7"/>
      <c r="T4098" s="66"/>
    </row>
    <row r="4099" spans="1:20" ht="13.2">
      <c r="A4099" s="7"/>
      <c r="B4099" s="7"/>
      <c r="C4099" s="74"/>
      <c r="D4099" s="74"/>
      <c r="F4099" s="7"/>
      <c r="G4099" s="74"/>
      <c r="H4099" s="74"/>
      <c r="J4099" s="7"/>
      <c r="K4099" s="74"/>
      <c r="L4099" s="74"/>
      <c r="N4099" s="7"/>
      <c r="O4099" s="74"/>
      <c r="P4099" s="74"/>
      <c r="R4099" s="7"/>
      <c r="S4099" s="7"/>
      <c r="T4099" s="66"/>
    </row>
    <row r="4100" spans="1:20" ht="13.2">
      <c r="A4100" s="7"/>
      <c r="B4100" s="7"/>
      <c r="C4100" s="74"/>
      <c r="D4100" s="74"/>
      <c r="F4100" s="7"/>
      <c r="G4100" s="74"/>
      <c r="H4100" s="74"/>
      <c r="J4100" s="7"/>
      <c r="K4100" s="74"/>
      <c r="L4100" s="74"/>
      <c r="N4100" s="7"/>
      <c r="O4100" s="74"/>
      <c r="P4100" s="74"/>
      <c r="R4100" s="7"/>
      <c r="S4100" s="7"/>
      <c r="T4100" s="66"/>
    </row>
    <row r="4101" spans="1:20" ht="13.2">
      <c r="A4101" s="7"/>
      <c r="B4101" s="7"/>
      <c r="C4101" s="74"/>
      <c r="D4101" s="74"/>
      <c r="F4101" s="7"/>
      <c r="G4101" s="74"/>
      <c r="H4101" s="74"/>
      <c r="J4101" s="7"/>
      <c r="K4101" s="74"/>
      <c r="L4101" s="74"/>
      <c r="N4101" s="7"/>
      <c r="O4101" s="74"/>
      <c r="P4101" s="74"/>
      <c r="R4101" s="7"/>
      <c r="S4101" s="7"/>
      <c r="T4101" s="66"/>
    </row>
    <row r="4102" spans="1:20" ht="13.2">
      <c r="A4102" s="7"/>
      <c r="B4102" s="7"/>
      <c r="C4102" s="74"/>
      <c r="D4102" s="74"/>
      <c r="F4102" s="7"/>
      <c r="G4102" s="74"/>
      <c r="H4102" s="74"/>
      <c r="J4102" s="7"/>
      <c r="K4102" s="74"/>
      <c r="L4102" s="74"/>
      <c r="N4102" s="7"/>
      <c r="O4102" s="74"/>
      <c r="P4102" s="74"/>
      <c r="R4102" s="7"/>
      <c r="S4102" s="7"/>
      <c r="T4102" s="66"/>
    </row>
    <row r="4103" spans="1:20" ht="13.2">
      <c r="A4103" s="7"/>
      <c r="B4103" s="7"/>
      <c r="C4103" s="74"/>
      <c r="D4103" s="74"/>
      <c r="F4103" s="7"/>
      <c r="G4103" s="74"/>
      <c r="H4103" s="74"/>
      <c r="J4103" s="7"/>
      <c r="K4103" s="74"/>
      <c r="L4103" s="74"/>
      <c r="N4103" s="7"/>
      <c r="O4103" s="74"/>
      <c r="P4103" s="74"/>
      <c r="R4103" s="7"/>
      <c r="S4103" s="7"/>
      <c r="T4103" s="66"/>
    </row>
    <row r="4104" spans="1:20" ht="13.2">
      <c r="A4104" s="7"/>
      <c r="B4104" s="7"/>
      <c r="C4104" s="74"/>
      <c r="D4104" s="74"/>
      <c r="F4104" s="7"/>
      <c r="G4104" s="74"/>
      <c r="H4104" s="74"/>
      <c r="J4104" s="7"/>
      <c r="K4104" s="74"/>
      <c r="L4104" s="74"/>
      <c r="N4104" s="7"/>
      <c r="O4104" s="74"/>
      <c r="P4104" s="74"/>
      <c r="R4104" s="7"/>
      <c r="S4104" s="7"/>
      <c r="T4104" s="66"/>
    </row>
    <row r="4105" spans="1:20" ht="13.2">
      <c r="A4105" s="7"/>
      <c r="B4105" s="7"/>
      <c r="C4105" s="74"/>
      <c r="D4105" s="74"/>
      <c r="F4105" s="7"/>
      <c r="G4105" s="74"/>
      <c r="H4105" s="74"/>
      <c r="J4105" s="7"/>
      <c r="K4105" s="74"/>
      <c r="L4105" s="74"/>
      <c r="N4105" s="7"/>
      <c r="O4105" s="74"/>
      <c r="P4105" s="74"/>
      <c r="R4105" s="7"/>
      <c r="S4105" s="7"/>
      <c r="T4105" s="66"/>
    </row>
    <row r="4106" spans="1:20" ht="13.2">
      <c r="A4106" s="7"/>
      <c r="B4106" s="7"/>
      <c r="C4106" s="74"/>
      <c r="D4106" s="74"/>
      <c r="F4106" s="7"/>
      <c r="G4106" s="74"/>
      <c r="H4106" s="74"/>
      <c r="J4106" s="7"/>
      <c r="K4106" s="74"/>
      <c r="L4106" s="74"/>
      <c r="N4106" s="7"/>
      <c r="O4106" s="74"/>
      <c r="P4106" s="74"/>
      <c r="R4106" s="7"/>
      <c r="S4106" s="7"/>
      <c r="T4106" s="66"/>
    </row>
    <row r="4107" spans="1:20" ht="13.2">
      <c r="A4107" s="7"/>
      <c r="B4107" s="7"/>
      <c r="C4107" s="74"/>
      <c r="D4107" s="74"/>
      <c r="F4107" s="7"/>
      <c r="G4107" s="74"/>
      <c r="H4107" s="74"/>
      <c r="J4107" s="7"/>
      <c r="K4107" s="74"/>
      <c r="L4107" s="74"/>
      <c r="N4107" s="7"/>
      <c r="O4107" s="74"/>
      <c r="P4107" s="74"/>
      <c r="R4107" s="7"/>
      <c r="S4107" s="7"/>
      <c r="T4107" s="66"/>
    </row>
    <row r="4108" spans="1:20" ht="13.2">
      <c r="A4108" s="7"/>
      <c r="B4108" s="7"/>
      <c r="C4108" s="74"/>
      <c r="D4108" s="74"/>
      <c r="F4108" s="7"/>
      <c r="G4108" s="74"/>
      <c r="H4108" s="74"/>
      <c r="J4108" s="7"/>
      <c r="K4108" s="74"/>
      <c r="L4108" s="74"/>
      <c r="N4108" s="7"/>
      <c r="O4108" s="74"/>
      <c r="P4108" s="74"/>
      <c r="R4108" s="7"/>
      <c r="S4108" s="7"/>
      <c r="T4108" s="66"/>
    </row>
    <row r="4109" spans="1:20" ht="13.2">
      <c r="A4109" s="7"/>
      <c r="B4109" s="7"/>
      <c r="C4109" s="74"/>
      <c r="D4109" s="74"/>
      <c r="F4109" s="7"/>
      <c r="G4109" s="74"/>
      <c r="H4109" s="74"/>
      <c r="J4109" s="7"/>
      <c r="K4109" s="74"/>
      <c r="L4109" s="74"/>
      <c r="N4109" s="7"/>
      <c r="O4109" s="74"/>
      <c r="P4109" s="74"/>
      <c r="R4109" s="7"/>
      <c r="S4109" s="7"/>
      <c r="T4109" s="66"/>
    </row>
    <row r="4110" spans="1:20" ht="13.2">
      <c r="A4110" s="7"/>
      <c r="B4110" s="7"/>
      <c r="C4110" s="74"/>
      <c r="D4110" s="74"/>
      <c r="F4110" s="7"/>
      <c r="G4110" s="74"/>
      <c r="H4110" s="74"/>
      <c r="J4110" s="7"/>
      <c r="K4110" s="74"/>
      <c r="L4110" s="74"/>
      <c r="N4110" s="7"/>
      <c r="O4110" s="74"/>
      <c r="P4110" s="74"/>
      <c r="R4110" s="7"/>
      <c r="S4110" s="7"/>
      <c r="T4110" s="66"/>
    </row>
    <row r="4111" spans="1:20" ht="13.2">
      <c r="A4111" s="7"/>
      <c r="B4111" s="7"/>
      <c r="C4111" s="74"/>
      <c r="D4111" s="74"/>
      <c r="F4111" s="7"/>
      <c r="G4111" s="74"/>
      <c r="H4111" s="74"/>
      <c r="J4111" s="7"/>
      <c r="K4111" s="74"/>
      <c r="L4111" s="74"/>
      <c r="N4111" s="7"/>
      <c r="O4111" s="74"/>
      <c r="P4111" s="74"/>
      <c r="R4111" s="7"/>
      <c r="S4111" s="7"/>
      <c r="T4111" s="66"/>
    </row>
    <row r="4112" spans="1:20" ht="13.2">
      <c r="A4112" s="7"/>
      <c r="B4112" s="7"/>
      <c r="C4112" s="74"/>
      <c r="D4112" s="74"/>
      <c r="F4112" s="7"/>
      <c r="G4112" s="74"/>
      <c r="H4112" s="74"/>
      <c r="J4112" s="7"/>
      <c r="K4112" s="74"/>
      <c r="L4112" s="74"/>
      <c r="N4112" s="7"/>
      <c r="O4112" s="74"/>
      <c r="P4112" s="74"/>
      <c r="R4112" s="7"/>
      <c r="S4112" s="7"/>
      <c r="T4112" s="66"/>
    </row>
    <row r="4113" spans="1:20" ht="13.2">
      <c r="A4113" s="7"/>
      <c r="B4113" s="7"/>
      <c r="C4113" s="74"/>
      <c r="D4113" s="74"/>
      <c r="F4113" s="7"/>
      <c r="G4113" s="74"/>
      <c r="H4113" s="74"/>
      <c r="J4113" s="7"/>
      <c r="K4113" s="74"/>
      <c r="L4113" s="74"/>
      <c r="N4113" s="7"/>
      <c r="O4113" s="74"/>
      <c r="P4113" s="74"/>
      <c r="R4113" s="7"/>
      <c r="S4113" s="7"/>
      <c r="T4113" s="66"/>
    </row>
    <row r="4114" spans="1:20" ht="13.2">
      <c r="A4114" s="7"/>
      <c r="B4114" s="7"/>
      <c r="C4114" s="74"/>
      <c r="D4114" s="74"/>
      <c r="F4114" s="7"/>
      <c r="G4114" s="74"/>
      <c r="H4114" s="74"/>
      <c r="J4114" s="7"/>
      <c r="K4114" s="74"/>
      <c r="L4114" s="74"/>
      <c r="N4114" s="7"/>
      <c r="O4114" s="74"/>
      <c r="P4114" s="74"/>
      <c r="R4114" s="7"/>
      <c r="S4114" s="7"/>
      <c r="T4114" s="66"/>
    </row>
    <row r="4115" spans="1:20" ht="13.2">
      <c r="A4115" s="7"/>
      <c r="B4115" s="7"/>
      <c r="C4115" s="74"/>
      <c r="D4115" s="74"/>
      <c r="F4115" s="7"/>
      <c r="G4115" s="74"/>
      <c r="H4115" s="74"/>
      <c r="J4115" s="7"/>
      <c r="K4115" s="74"/>
      <c r="L4115" s="74"/>
      <c r="N4115" s="7"/>
      <c r="O4115" s="74"/>
      <c r="P4115" s="74"/>
      <c r="R4115" s="7"/>
      <c r="S4115" s="7"/>
      <c r="T4115" s="66"/>
    </row>
    <row r="4116" spans="1:20" ht="13.2">
      <c r="A4116" s="7"/>
      <c r="B4116" s="7"/>
      <c r="C4116" s="74"/>
      <c r="D4116" s="74"/>
      <c r="F4116" s="7"/>
      <c r="G4116" s="74"/>
      <c r="H4116" s="74"/>
      <c r="J4116" s="7"/>
      <c r="K4116" s="74"/>
      <c r="L4116" s="74"/>
      <c r="N4116" s="7"/>
      <c r="O4116" s="74"/>
      <c r="P4116" s="74"/>
      <c r="R4116" s="7"/>
      <c r="S4116" s="7"/>
      <c r="T4116" s="66"/>
    </row>
    <row r="4117" spans="1:20" ht="13.2">
      <c r="A4117" s="7"/>
      <c r="B4117" s="7"/>
      <c r="C4117" s="74"/>
      <c r="D4117" s="74"/>
      <c r="F4117" s="7"/>
      <c r="G4117" s="74"/>
      <c r="H4117" s="74"/>
      <c r="J4117" s="7"/>
      <c r="K4117" s="74"/>
      <c r="L4117" s="74"/>
      <c r="N4117" s="7"/>
      <c r="O4117" s="74"/>
      <c r="P4117" s="74"/>
      <c r="R4117" s="7"/>
      <c r="S4117" s="7"/>
      <c r="T4117" s="66"/>
    </row>
    <row r="4118" spans="1:20" ht="13.2">
      <c r="A4118" s="7"/>
      <c r="B4118" s="7"/>
      <c r="C4118" s="74"/>
      <c r="D4118" s="74"/>
      <c r="F4118" s="7"/>
      <c r="G4118" s="74"/>
      <c r="H4118" s="74"/>
      <c r="J4118" s="7"/>
      <c r="K4118" s="74"/>
      <c r="L4118" s="74"/>
      <c r="N4118" s="7"/>
      <c r="O4118" s="74"/>
      <c r="P4118" s="74"/>
      <c r="R4118" s="7"/>
      <c r="S4118" s="7"/>
      <c r="T4118" s="66"/>
    </row>
    <row r="4119" spans="1:20" ht="13.2">
      <c r="A4119" s="7"/>
      <c r="B4119" s="7"/>
      <c r="C4119" s="74"/>
      <c r="D4119" s="74"/>
      <c r="F4119" s="7"/>
      <c r="G4119" s="74"/>
      <c r="H4119" s="74"/>
      <c r="J4119" s="7"/>
      <c r="K4119" s="74"/>
      <c r="L4119" s="74"/>
      <c r="N4119" s="7"/>
      <c r="O4119" s="74"/>
      <c r="P4119" s="74"/>
      <c r="R4119" s="7"/>
      <c r="S4119" s="7"/>
      <c r="T4119" s="66"/>
    </row>
    <row r="4120" spans="1:20" ht="13.2">
      <c r="A4120" s="7"/>
      <c r="B4120" s="7"/>
      <c r="C4120" s="74"/>
      <c r="D4120" s="74"/>
      <c r="F4120" s="7"/>
      <c r="G4120" s="74"/>
      <c r="H4120" s="74"/>
      <c r="J4120" s="7"/>
      <c r="K4120" s="74"/>
      <c r="L4120" s="74"/>
      <c r="N4120" s="7"/>
      <c r="O4120" s="74"/>
      <c r="P4120" s="74"/>
      <c r="R4120" s="7"/>
      <c r="S4120" s="7"/>
      <c r="T4120" s="66"/>
    </row>
    <row r="4121" spans="1:20" ht="13.2">
      <c r="A4121" s="7"/>
      <c r="B4121" s="7"/>
      <c r="C4121" s="74"/>
      <c r="D4121" s="74"/>
      <c r="F4121" s="7"/>
      <c r="G4121" s="74"/>
      <c r="H4121" s="74"/>
      <c r="J4121" s="7"/>
      <c r="K4121" s="74"/>
      <c r="L4121" s="74"/>
      <c r="N4121" s="7"/>
      <c r="O4121" s="74"/>
      <c r="P4121" s="74"/>
      <c r="R4121" s="7"/>
      <c r="S4121" s="7"/>
      <c r="T4121" s="66"/>
    </row>
    <row r="4122" spans="1:20" ht="13.2">
      <c r="A4122" s="7"/>
      <c r="B4122" s="7"/>
      <c r="C4122" s="74"/>
      <c r="D4122" s="74"/>
      <c r="F4122" s="7"/>
      <c r="G4122" s="74"/>
      <c r="H4122" s="74"/>
      <c r="J4122" s="7"/>
      <c r="K4122" s="74"/>
      <c r="L4122" s="74"/>
      <c r="N4122" s="7"/>
      <c r="O4122" s="74"/>
      <c r="P4122" s="74"/>
      <c r="R4122" s="7"/>
      <c r="S4122" s="7"/>
      <c r="T4122" s="66"/>
    </row>
    <row r="4123" spans="1:20" ht="13.2">
      <c r="A4123" s="7"/>
      <c r="B4123" s="7"/>
      <c r="C4123" s="74"/>
      <c r="D4123" s="74"/>
      <c r="F4123" s="7"/>
      <c r="G4123" s="74"/>
      <c r="H4123" s="74"/>
      <c r="J4123" s="7"/>
      <c r="K4123" s="74"/>
      <c r="L4123" s="74"/>
      <c r="N4123" s="7"/>
      <c r="O4123" s="74"/>
      <c r="P4123" s="74"/>
      <c r="R4123" s="7"/>
      <c r="S4123" s="7"/>
      <c r="T4123" s="66"/>
    </row>
    <row r="4124" spans="1:20" ht="13.2">
      <c r="A4124" s="7"/>
      <c r="B4124" s="7"/>
      <c r="C4124" s="74"/>
      <c r="D4124" s="74"/>
      <c r="F4124" s="7"/>
      <c r="G4124" s="74"/>
      <c r="H4124" s="74"/>
      <c r="J4124" s="7"/>
      <c r="K4124" s="74"/>
      <c r="L4124" s="74"/>
      <c r="N4124" s="7"/>
      <c r="O4124" s="74"/>
      <c r="P4124" s="74"/>
      <c r="R4124" s="7"/>
      <c r="S4124" s="7"/>
      <c r="T4124" s="66"/>
    </row>
    <row r="4125" spans="1:20" ht="13.2">
      <c r="A4125" s="7"/>
      <c r="B4125" s="7"/>
      <c r="C4125" s="74"/>
      <c r="D4125" s="74"/>
      <c r="F4125" s="7"/>
      <c r="G4125" s="74"/>
      <c r="H4125" s="74"/>
      <c r="J4125" s="7"/>
      <c r="K4125" s="74"/>
      <c r="L4125" s="74"/>
      <c r="N4125" s="7"/>
      <c r="O4125" s="74"/>
      <c r="P4125" s="74"/>
      <c r="R4125" s="7"/>
      <c r="S4125" s="7"/>
      <c r="T4125" s="66"/>
    </row>
    <row r="4126" spans="1:20" ht="13.2">
      <c r="A4126" s="7"/>
      <c r="B4126" s="7"/>
      <c r="C4126" s="74"/>
      <c r="D4126" s="74"/>
      <c r="F4126" s="7"/>
      <c r="G4126" s="74"/>
      <c r="H4126" s="74"/>
      <c r="J4126" s="7"/>
      <c r="K4126" s="74"/>
      <c r="L4126" s="74"/>
      <c r="N4126" s="7"/>
      <c r="O4126" s="74"/>
      <c r="P4126" s="74"/>
      <c r="R4126" s="7"/>
      <c r="S4126" s="7"/>
      <c r="T4126" s="66"/>
    </row>
    <row r="4127" spans="1:20" ht="13.2">
      <c r="A4127" s="7"/>
      <c r="B4127" s="7"/>
      <c r="C4127" s="74"/>
      <c r="D4127" s="74"/>
      <c r="F4127" s="7"/>
      <c r="G4127" s="74"/>
      <c r="H4127" s="74"/>
      <c r="J4127" s="7"/>
      <c r="K4127" s="74"/>
      <c r="L4127" s="74"/>
      <c r="N4127" s="7"/>
      <c r="O4127" s="74"/>
      <c r="P4127" s="74"/>
      <c r="R4127" s="7"/>
      <c r="S4127" s="7"/>
      <c r="T4127" s="66"/>
    </row>
    <row r="4128" spans="1:20" ht="13.2">
      <c r="A4128" s="7"/>
      <c r="B4128" s="7"/>
      <c r="C4128" s="74"/>
      <c r="D4128" s="74"/>
      <c r="F4128" s="7"/>
      <c r="G4128" s="74"/>
      <c r="H4128" s="74"/>
      <c r="J4128" s="7"/>
      <c r="K4128" s="74"/>
      <c r="L4128" s="74"/>
      <c r="N4128" s="7"/>
      <c r="O4128" s="74"/>
      <c r="P4128" s="74"/>
      <c r="R4128" s="7"/>
      <c r="S4128" s="7"/>
      <c r="T4128" s="66"/>
    </row>
    <row r="4129" spans="1:20" ht="13.2">
      <c r="A4129" s="7"/>
      <c r="B4129" s="7"/>
      <c r="C4129" s="74"/>
      <c r="D4129" s="74"/>
      <c r="F4129" s="7"/>
      <c r="G4129" s="74"/>
      <c r="H4129" s="74"/>
      <c r="J4129" s="7"/>
      <c r="K4129" s="74"/>
      <c r="L4129" s="74"/>
      <c r="N4129" s="7"/>
      <c r="O4129" s="74"/>
      <c r="P4129" s="74"/>
      <c r="R4129" s="7"/>
      <c r="S4129" s="7"/>
      <c r="T4129" s="66"/>
    </row>
    <row r="4130" spans="1:20" ht="13.2">
      <c r="A4130" s="7"/>
      <c r="B4130" s="7"/>
      <c r="C4130" s="74"/>
      <c r="D4130" s="74"/>
      <c r="F4130" s="7"/>
      <c r="G4130" s="74"/>
      <c r="H4130" s="74"/>
      <c r="J4130" s="7"/>
      <c r="K4130" s="74"/>
      <c r="L4130" s="74"/>
      <c r="N4130" s="7"/>
      <c r="O4130" s="74"/>
      <c r="P4130" s="74"/>
      <c r="R4130" s="7"/>
      <c r="S4130" s="7"/>
      <c r="T4130" s="66"/>
    </row>
    <row r="4131" spans="1:20" ht="13.2">
      <c r="A4131" s="7"/>
      <c r="B4131" s="7"/>
      <c r="C4131" s="74"/>
      <c r="D4131" s="74"/>
      <c r="F4131" s="7"/>
      <c r="G4131" s="74"/>
      <c r="H4131" s="74"/>
      <c r="J4131" s="7"/>
      <c r="K4131" s="74"/>
      <c r="L4131" s="74"/>
      <c r="N4131" s="7"/>
      <c r="O4131" s="74"/>
      <c r="P4131" s="74"/>
      <c r="R4131" s="7"/>
      <c r="S4131" s="7"/>
      <c r="T4131" s="66"/>
    </row>
    <row r="4132" spans="1:20" ht="13.2">
      <c r="A4132" s="7"/>
      <c r="B4132" s="7"/>
      <c r="C4132" s="74"/>
      <c r="D4132" s="74"/>
      <c r="F4132" s="7"/>
      <c r="G4132" s="74"/>
      <c r="H4132" s="74"/>
      <c r="J4132" s="7"/>
      <c r="K4132" s="74"/>
      <c r="L4132" s="74"/>
      <c r="N4132" s="7"/>
      <c r="O4132" s="74"/>
      <c r="P4132" s="74"/>
      <c r="R4132" s="7"/>
      <c r="S4132" s="7"/>
      <c r="T4132" s="66"/>
    </row>
    <row r="4133" spans="1:20" ht="13.2">
      <c r="A4133" s="7"/>
      <c r="B4133" s="7"/>
      <c r="C4133" s="74"/>
      <c r="D4133" s="74"/>
      <c r="F4133" s="7"/>
      <c r="G4133" s="74"/>
      <c r="H4133" s="74"/>
      <c r="J4133" s="7"/>
      <c r="K4133" s="74"/>
      <c r="L4133" s="74"/>
      <c r="N4133" s="7"/>
      <c r="O4133" s="74"/>
      <c r="P4133" s="74"/>
      <c r="R4133" s="7"/>
      <c r="S4133" s="7"/>
      <c r="T4133" s="66"/>
    </row>
    <row r="4134" spans="1:20" ht="13.2">
      <c r="A4134" s="7"/>
      <c r="B4134" s="7"/>
      <c r="C4134" s="74"/>
      <c r="D4134" s="74"/>
      <c r="F4134" s="7"/>
      <c r="G4134" s="74"/>
      <c r="H4134" s="74"/>
      <c r="J4134" s="7"/>
      <c r="K4134" s="74"/>
      <c r="L4134" s="74"/>
      <c r="N4134" s="7"/>
      <c r="O4134" s="74"/>
      <c r="P4134" s="74"/>
      <c r="R4134" s="7"/>
      <c r="S4134" s="7"/>
      <c r="T4134" s="66"/>
    </row>
    <row r="4135" spans="1:20" ht="13.2">
      <c r="A4135" s="7"/>
      <c r="B4135" s="7"/>
      <c r="C4135" s="74"/>
      <c r="D4135" s="74"/>
      <c r="F4135" s="7"/>
      <c r="G4135" s="74"/>
      <c r="H4135" s="74"/>
      <c r="J4135" s="7"/>
      <c r="K4135" s="74"/>
      <c r="L4135" s="74"/>
      <c r="N4135" s="7"/>
      <c r="O4135" s="74"/>
      <c r="P4135" s="74"/>
      <c r="R4135" s="7"/>
      <c r="S4135" s="7"/>
      <c r="T4135" s="66"/>
    </row>
    <row r="4136" spans="1:20" ht="13.2">
      <c r="A4136" s="7"/>
      <c r="B4136" s="7"/>
      <c r="C4136" s="74"/>
      <c r="D4136" s="74"/>
      <c r="F4136" s="7"/>
      <c r="G4136" s="74"/>
      <c r="H4136" s="74"/>
      <c r="J4136" s="7"/>
      <c r="K4136" s="74"/>
      <c r="L4136" s="74"/>
      <c r="N4136" s="7"/>
      <c r="O4136" s="74"/>
      <c r="P4136" s="74"/>
      <c r="R4136" s="7"/>
      <c r="S4136" s="7"/>
      <c r="T4136" s="66"/>
    </row>
    <row r="4137" spans="1:20" ht="13.2">
      <c r="A4137" s="7"/>
      <c r="B4137" s="7"/>
      <c r="C4137" s="74"/>
      <c r="D4137" s="74"/>
      <c r="F4137" s="7"/>
      <c r="G4137" s="74"/>
      <c r="H4137" s="74"/>
      <c r="J4137" s="7"/>
      <c r="K4137" s="74"/>
      <c r="L4137" s="74"/>
      <c r="N4137" s="7"/>
      <c r="O4137" s="74"/>
      <c r="P4137" s="74"/>
      <c r="R4137" s="7"/>
      <c r="S4137" s="7"/>
      <c r="T4137" s="66"/>
    </row>
    <row r="4138" spans="1:20" ht="13.2">
      <c r="A4138" s="7"/>
      <c r="B4138" s="7"/>
      <c r="C4138" s="74"/>
      <c r="D4138" s="74"/>
      <c r="F4138" s="7"/>
      <c r="G4138" s="74"/>
      <c r="H4138" s="74"/>
      <c r="J4138" s="7"/>
      <c r="K4138" s="74"/>
      <c r="L4138" s="74"/>
      <c r="N4138" s="7"/>
      <c r="O4138" s="74"/>
      <c r="P4138" s="74"/>
      <c r="R4138" s="7"/>
      <c r="S4138" s="7"/>
      <c r="T4138" s="66"/>
    </row>
    <row r="4139" spans="1:20" ht="13.2">
      <c r="A4139" s="7"/>
      <c r="B4139" s="7"/>
      <c r="C4139" s="74"/>
      <c r="D4139" s="74"/>
      <c r="F4139" s="7"/>
      <c r="G4139" s="74"/>
      <c r="H4139" s="74"/>
      <c r="J4139" s="7"/>
      <c r="K4139" s="74"/>
      <c r="L4139" s="74"/>
      <c r="N4139" s="7"/>
      <c r="O4139" s="74"/>
      <c r="P4139" s="74"/>
      <c r="R4139" s="7"/>
      <c r="S4139" s="7"/>
      <c r="T4139" s="66"/>
    </row>
    <row r="4140" spans="1:20" ht="13.2">
      <c r="A4140" s="7"/>
      <c r="B4140" s="7"/>
      <c r="C4140" s="74"/>
      <c r="D4140" s="74"/>
      <c r="F4140" s="7"/>
      <c r="G4140" s="74"/>
      <c r="H4140" s="74"/>
      <c r="J4140" s="7"/>
      <c r="K4140" s="74"/>
      <c r="L4140" s="74"/>
      <c r="N4140" s="7"/>
      <c r="O4140" s="74"/>
      <c r="P4140" s="74"/>
      <c r="R4140" s="7"/>
      <c r="S4140" s="7"/>
      <c r="T4140" s="66"/>
    </row>
    <row r="4141" spans="1:20" ht="13.2">
      <c r="A4141" s="7"/>
      <c r="B4141" s="7"/>
      <c r="C4141" s="74"/>
      <c r="D4141" s="74"/>
      <c r="F4141" s="7"/>
      <c r="G4141" s="74"/>
      <c r="H4141" s="74"/>
      <c r="J4141" s="7"/>
      <c r="K4141" s="74"/>
      <c r="L4141" s="74"/>
      <c r="N4141" s="7"/>
      <c r="O4141" s="74"/>
      <c r="P4141" s="74"/>
      <c r="R4141" s="7"/>
      <c r="S4141" s="7"/>
      <c r="T4141" s="66"/>
    </row>
    <row r="4142" spans="1:20" ht="13.2">
      <c r="A4142" s="7"/>
      <c r="B4142" s="7"/>
      <c r="C4142" s="74"/>
      <c r="D4142" s="74"/>
      <c r="F4142" s="7"/>
      <c r="G4142" s="74"/>
      <c r="H4142" s="74"/>
      <c r="J4142" s="7"/>
      <c r="K4142" s="74"/>
      <c r="L4142" s="74"/>
      <c r="N4142" s="7"/>
      <c r="O4142" s="74"/>
      <c r="P4142" s="74"/>
      <c r="R4142" s="7"/>
      <c r="S4142" s="7"/>
      <c r="T4142" s="66"/>
    </row>
    <row r="4143" spans="1:20" ht="13.2">
      <c r="A4143" s="7"/>
      <c r="B4143" s="7"/>
      <c r="C4143" s="74"/>
      <c r="D4143" s="74"/>
      <c r="F4143" s="7"/>
      <c r="G4143" s="74"/>
      <c r="H4143" s="74"/>
      <c r="J4143" s="7"/>
      <c r="K4143" s="74"/>
      <c r="L4143" s="74"/>
      <c r="N4143" s="7"/>
      <c r="O4143" s="74"/>
      <c r="P4143" s="74"/>
      <c r="R4143" s="7"/>
      <c r="S4143" s="7"/>
      <c r="T4143" s="66"/>
    </row>
    <row r="4144" spans="1:20" ht="13.2">
      <c r="A4144" s="7"/>
      <c r="B4144" s="7"/>
      <c r="C4144" s="74"/>
      <c r="D4144" s="74"/>
      <c r="F4144" s="7"/>
      <c r="G4144" s="74"/>
      <c r="H4144" s="74"/>
      <c r="J4144" s="7"/>
      <c r="K4144" s="74"/>
      <c r="L4144" s="74"/>
      <c r="N4144" s="7"/>
      <c r="O4144" s="74"/>
      <c r="P4144" s="74"/>
      <c r="R4144" s="7"/>
      <c r="S4144" s="7"/>
      <c r="T4144" s="66"/>
    </row>
    <row r="4145" spans="1:20" ht="13.2">
      <c r="A4145" s="7"/>
      <c r="B4145" s="7"/>
      <c r="C4145" s="74"/>
      <c r="D4145" s="74"/>
      <c r="F4145" s="7"/>
      <c r="G4145" s="74"/>
      <c r="H4145" s="74"/>
      <c r="J4145" s="7"/>
      <c r="K4145" s="74"/>
      <c r="L4145" s="74"/>
      <c r="N4145" s="7"/>
      <c r="O4145" s="74"/>
      <c r="P4145" s="74"/>
      <c r="R4145" s="7"/>
      <c r="S4145" s="7"/>
      <c r="T4145" s="66"/>
    </row>
    <row r="4146" spans="1:20" ht="13.2">
      <c r="A4146" s="7"/>
      <c r="B4146" s="7"/>
      <c r="C4146" s="74"/>
      <c r="D4146" s="74"/>
      <c r="F4146" s="7"/>
      <c r="G4146" s="74"/>
      <c r="H4146" s="74"/>
      <c r="J4146" s="7"/>
      <c r="K4146" s="74"/>
      <c r="L4146" s="74"/>
      <c r="N4146" s="7"/>
      <c r="O4146" s="74"/>
      <c r="P4146" s="74"/>
      <c r="R4146" s="7"/>
      <c r="S4146" s="7"/>
      <c r="T4146" s="66"/>
    </row>
    <row r="4147" spans="1:20" ht="13.2">
      <c r="A4147" s="7"/>
      <c r="B4147" s="7"/>
      <c r="C4147" s="74"/>
      <c r="D4147" s="74"/>
      <c r="F4147" s="7"/>
      <c r="G4147" s="74"/>
      <c r="H4147" s="74"/>
      <c r="J4147" s="7"/>
      <c r="K4147" s="74"/>
      <c r="L4147" s="74"/>
      <c r="N4147" s="7"/>
      <c r="O4147" s="74"/>
      <c r="P4147" s="74"/>
      <c r="R4147" s="7"/>
      <c r="S4147" s="7"/>
      <c r="T4147" s="66"/>
    </row>
    <row r="4148" spans="1:20" ht="13.2">
      <c r="A4148" s="7"/>
      <c r="B4148" s="7"/>
      <c r="C4148" s="74"/>
      <c r="D4148" s="74"/>
      <c r="F4148" s="7"/>
      <c r="G4148" s="74"/>
      <c r="H4148" s="74"/>
      <c r="J4148" s="7"/>
      <c r="K4148" s="74"/>
      <c r="L4148" s="74"/>
      <c r="N4148" s="7"/>
      <c r="O4148" s="74"/>
      <c r="P4148" s="74"/>
      <c r="R4148" s="7"/>
      <c r="S4148" s="7"/>
      <c r="T4148" s="66"/>
    </row>
    <row r="4149" spans="1:20" ht="13.2">
      <c r="A4149" s="7"/>
      <c r="B4149" s="7"/>
      <c r="C4149" s="74"/>
      <c r="D4149" s="74"/>
      <c r="F4149" s="7"/>
      <c r="G4149" s="74"/>
      <c r="H4149" s="74"/>
      <c r="J4149" s="7"/>
      <c r="K4149" s="74"/>
      <c r="L4149" s="74"/>
      <c r="N4149" s="7"/>
      <c r="O4149" s="74"/>
      <c r="P4149" s="74"/>
      <c r="R4149" s="7"/>
      <c r="S4149" s="7"/>
      <c r="T4149" s="66"/>
    </row>
    <row r="4150" spans="1:20" ht="13.2">
      <c r="A4150" s="7"/>
      <c r="B4150" s="7"/>
      <c r="C4150" s="74"/>
      <c r="D4150" s="74"/>
      <c r="F4150" s="7"/>
      <c r="G4150" s="74"/>
      <c r="H4150" s="74"/>
      <c r="J4150" s="7"/>
      <c r="K4150" s="74"/>
      <c r="L4150" s="74"/>
      <c r="N4150" s="7"/>
      <c r="O4150" s="74"/>
      <c r="P4150" s="74"/>
      <c r="R4150" s="7"/>
      <c r="S4150" s="7"/>
      <c r="T4150" s="66"/>
    </row>
    <row r="4151" spans="1:20" ht="13.2">
      <c r="A4151" s="7"/>
      <c r="B4151" s="7"/>
      <c r="C4151" s="74"/>
      <c r="D4151" s="74"/>
      <c r="F4151" s="7"/>
      <c r="G4151" s="74"/>
      <c r="H4151" s="74"/>
      <c r="J4151" s="7"/>
      <c r="K4151" s="74"/>
      <c r="L4151" s="74"/>
      <c r="N4151" s="7"/>
      <c r="O4151" s="74"/>
      <c r="P4151" s="74"/>
      <c r="R4151" s="7"/>
      <c r="S4151" s="7"/>
      <c r="T4151" s="66"/>
    </row>
    <row r="4152" spans="1:20" ht="13.2">
      <c r="A4152" s="7"/>
      <c r="B4152" s="7"/>
      <c r="C4152" s="74"/>
      <c r="D4152" s="74"/>
      <c r="F4152" s="7"/>
      <c r="G4152" s="74"/>
      <c r="H4152" s="74"/>
      <c r="J4152" s="7"/>
      <c r="K4152" s="74"/>
      <c r="L4152" s="74"/>
      <c r="N4152" s="7"/>
      <c r="O4152" s="74"/>
      <c r="P4152" s="74"/>
      <c r="R4152" s="7"/>
      <c r="S4152" s="7"/>
      <c r="T4152" s="66"/>
    </row>
    <row r="4153" spans="1:20" ht="13.2">
      <c r="A4153" s="7"/>
      <c r="B4153" s="7"/>
      <c r="C4153" s="74"/>
      <c r="D4153" s="74"/>
      <c r="F4153" s="7"/>
      <c r="G4153" s="74"/>
      <c r="H4153" s="74"/>
      <c r="J4153" s="7"/>
      <c r="K4153" s="74"/>
      <c r="L4153" s="74"/>
      <c r="N4153" s="7"/>
      <c r="O4153" s="74"/>
      <c r="P4153" s="74"/>
      <c r="R4153" s="7"/>
      <c r="S4153" s="7"/>
      <c r="T4153" s="66"/>
    </row>
    <row r="4154" spans="1:20" ht="13.2">
      <c r="A4154" s="7"/>
      <c r="B4154" s="7"/>
      <c r="C4154" s="74"/>
      <c r="D4154" s="74"/>
      <c r="F4154" s="7"/>
      <c r="G4154" s="74"/>
      <c r="H4154" s="74"/>
      <c r="J4154" s="7"/>
      <c r="K4154" s="74"/>
      <c r="L4154" s="74"/>
      <c r="N4154" s="7"/>
      <c r="O4154" s="74"/>
      <c r="P4154" s="74"/>
      <c r="R4154" s="7"/>
      <c r="S4154" s="7"/>
      <c r="T4154" s="66"/>
    </row>
    <row r="4155" spans="1:20" ht="13.2">
      <c r="A4155" s="7"/>
      <c r="B4155" s="7"/>
      <c r="C4155" s="74"/>
      <c r="D4155" s="74"/>
      <c r="F4155" s="7"/>
      <c r="G4155" s="74"/>
      <c r="H4155" s="74"/>
      <c r="J4155" s="7"/>
      <c r="K4155" s="74"/>
      <c r="L4155" s="74"/>
      <c r="N4155" s="7"/>
      <c r="O4155" s="74"/>
      <c r="P4155" s="74"/>
      <c r="R4155" s="7"/>
      <c r="S4155" s="7"/>
      <c r="T4155" s="66"/>
    </row>
    <row r="4156" spans="1:20" ht="13.2">
      <c r="A4156" s="7"/>
      <c r="B4156" s="7"/>
      <c r="C4156" s="74"/>
      <c r="D4156" s="74"/>
      <c r="F4156" s="7"/>
      <c r="G4156" s="74"/>
      <c r="H4156" s="74"/>
      <c r="J4156" s="7"/>
      <c r="K4156" s="74"/>
      <c r="L4156" s="74"/>
      <c r="N4156" s="7"/>
      <c r="O4156" s="74"/>
      <c r="P4156" s="74"/>
      <c r="R4156" s="7"/>
      <c r="S4156" s="7"/>
      <c r="T4156" s="66"/>
    </row>
    <row r="4157" spans="1:20" ht="13.2">
      <c r="A4157" s="7"/>
      <c r="B4157" s="7"/>
      <c r="C4157" s="74"/>
      <c r="D4157" s="74"/>
      <c r="F4157" s="7"/>
      <c r="G4157" s="74"/>
      <c r="H4157" s="74"/>
      <c r="J4157" s="7"/>
      <c r="K4157" s="74"/>
      <c r="L4157" s="74"/>
      <c r="N4157" s="7"/>
      <c r="O4157" s="74"/>
      <c r="P4157" s="74"/>
      <c r="R4157" s="7"/>
      <c r="S4157" s="7"/>
      <c r="T4157" s="66"/>
    </row>
    <row r="4158" spans="1:20" ht="13.2">
      <c r="A4158" s="7"/>
      <c r="B4158" s="7"/>
      <c r="C4158" s="74"/>
      <c r="D4158" s="74"/>
      <c r="F4158" s="7"/>
      <c r="G4158" s="74"/>
      <c r="H4158" s="74"/>
      <c r="J4158" s="7"/>
      <c r="K4158" s="74"/>
      <c r="L4158" s="74"/>
      <c r="N4158" s="7"/>
      <c r="O4158" s="74"/>
      <c r="P4158" s="74"/>
      <c r="R4158" s="7"/>
      <c r="S4158" s="7"/>
      <c r="T4158" s="66"/>
    </row>
    <row r="4159" spans="1:20" ht="13.2">
      <c r="A4159" s="7"/>
      <c r="B4159" s="7"/>
      <c r="C4159" s="74"/>
      <c r="D4159" s="74"/>
      <c r="F4159" s="7"/>
      <c r="G4159" s="74"/>
      <c r="H4159" s="74"/>
      <c r="J4159" s="7"/>
      <c r="K4159" s="74"/>
      <c r="L4159" s="74"/>
      <c r="N4159" s="7"/>
      <c r="O4159" s="74"/>
      <c r="P4159" s="74"/>
      <c r="R4159" s="7"/>
      <c r="S4159" s="7"/>
      <c r="T4159" s="66"/>
    </row>
    <row r="4160" spans="1:20" ht="13.2">
      <c r="A4160" s="7"/>
      <c r="B4160" s="7"/>
      <c r="C4160" s="74"/>
      <c r="D4160" s="74"/>
      <c r="F4160" s="7"/>
      <c r="G4160" s="74"/>
      <c r="H4160" s="74"/>
      <c r="J4160" s="7"/>
      <c r="K4160" s="74"/>
      <c r="L4160" s="74"/>
      <c r="N4160" s="7"/>
      <c r="O4160" s="74"/>
      <c r="P4160" s="74"/>
      <c r="R4160" s="7"/>
      <c r="S4160" s="7"/>
      <c r="T4160" s="66"/>
    </row>
    <row r="4161" spans="1:20" ht="13.2">
      <c r="A4161" s="7"/>
      <c r="B4161" s="7"/>
      <c r="C4161" s="74"/>
      <c r="D4161" s="74"/>
      <c r="F4161" s="7"/>
      <c r="G4161" s="74"/>
      <c r="H4161" s="74"/>
      <c r="J4161" s="7"/>
      <c r="K4161" s="74"/>
      <c r="L4161" s="74"/>
      <c r="N4161" s="7"/>
      <c r="O4161" s="74"/>
      <c r="P4161" s="74"/>
      <c r="R4161" s="7"/>
      <c r="S4161" s="7"/>
      <c r="T4161" s="66"/>
    </row>
    <row r="4162" spans="1:20" ht="13.2">
      <c r="A4162" s="7"/>
      <c r="B4162" s="7"/>
      <c r="C4162" s="74"/>
      <c r="D4162" s="74"/>
      <c r="F4162" s="7"/>
      <c r="G4162" s="74"/>
      <c r="H4162" s="74"/>
      <c r="J4162" s="7"/>
      <c r="K4162" s="74"/>
      <c r="L4162" s="74"/>
      <c r="N4162" s="7"/>
      <c r="O4162" s="74"/>
      <c r="P4162" s="74"/>
      <c r="R4162" s="7"/>
      <c r="S4162" s="7"/>
      <c r="T4162" s="66"/>
    </row>
    <row r="4163" spans="1:20" ht="13.2">
      <c r="A4163" s="7"/>
      <c r="B4163" s="7"/>
      <c r="C4163" s="74"/>
      <c r="D4163" s="74"/>
      <c r="F4163" s="7"/>
      <c r="G4163" s="74"/>
      <c r="H4163" s="74"/>
      <c r="J4163" s="7"/>
      <c r="K4163" s="74"/>
      <c r="L4163" s="74"/>
      <c r="N4163" s="7"/>
      <c r="O4163" s="74"/>
      <c r="P4163" s="74"/>
      <c r="R4163" s="7"/>
      <c r="S4163" s="7"/>
      <c r="T4163" s="66"/>
    </row>
    <row r="4164" spans="1:20" ht="13.2">
      <c r="A4164" s="7"/>
      <c r="B4164" s="7"/>
      <c r="C4164" s="74"/>
      <c r="D4164" s="74"/>
      <c r="F4164" s="7"/>
      <c r="G4164" s="74"/>
      <c r="H4164" s="74"/>
      <c r="J4164" s="7"/>
      <c r="K4164" s="74"/>
      <c r="L4164" s="74"/>
      <c r="N4164" s="7"/>
      <c r="O4164" s="74"/>
      <c r="P4164" s="74"/>
      <c r="R4164" s="7"/>
      <c r="S4164" s="7"/>
      <c r="T4164" s="66"/>
    </row>
    <row r="4165" spans="1:20" ht="13.2">
      <c r="A4165" s="7"/>
      <c r="B4165" s="7"/>
      <c r="C4165" s="74"/>
      <c r="D4165" s="74"/>
      <c r="F4165" s="7"/>
      <c r="G4165" s="74"/>
      <c r="H4165" s="74"/>
      <c r="J4165" s="7"/>
      <c r="K4165" s="74"/>
      <c r="L4165" s="74"/>
      <c r="N4165" s="7"/>
      <c r="O4165" s="74"/>
      <c r="P4165" s="74"/>
      <c r="R4165" s="7"/>
      <c r="S4165" s="7"/>
      <c r="T4165" s="66"/>
    </row>
    <row r="4166" spans="1:20" ht="13.2">
      <c r="A4166" s="7"/>
      <c r="B4166" s="7"/>
      <c r="C4166" s="74"/>
      <c r="D4166" s="74"/>
      <c r="F4166" s="7"/>
      <c r="G4166" s="74"/>
      <c r="H4166" s="74"/>
      <c r="J4166" s="7"/>
      <c r="K4166" s="74"/>
      <c r="L4166" s="74"/>
      <c r="N4166" s="7"/>
      <c r="O4166" s="74"/>
      <c r="P4166" s="74"/>
      <c r="R4166" s="7"/>
      <c r="S4166" s="7"/>
      <c r="T4166" s="66"/>
    </row>
    <row r="4167" spans="1:20" ht="13.2">
      <c r="A4167" s="7"/>
      <c r="B4167" s="7"/>
      <c r="C4167" s="74"/>
      <c r="D4167" s="74"/>
      <c r="F4167" s="7"/>
      <c r="G4167" s="74"/>
      <c r="H4167" s="74"/>
      <c r="J4167" s="7"/>
      <c r="K4167" s="74"/>
      <c r="L4167" s="74"/>
      <c r="N4167" s="7"/>
      <c r="O4167" s="74"/>
      <c r="P4167" s="74"/>
      <c r="R4167" s="7"/>
      <c r="S4167" s="7"/>
      <c r="T4167" s="66"/>
    </row>
    <row r="4168" spans="1:20" ht="13.2">
      <c r="A4168" s="7"/>
      <c r="B4168" s="7"/>
      <c r="C4168" s="74"/>
      <c r="D4168" s="74"/>
      <c r="F4168" s="7"/>
      <c r="G4168" s="74"/>
      <c r="H4168" s="74"/>
      <c r="J4168" s="7"/>
      <c r="K4168" s="74"/>
      <c r="L4168" s="74"/>
      <c r="N4168" s="7"/>
      <c r="O4168" s="74"/>
      <c r="P4168" s="74"/>
      <c r="R4168" s="7"/>
      <c r="S4168" s="7"/>
      <c r="T4168" s="66"/>
    </row>
    <row r="4169" spans="1:20" ht="13.2">
      <c r="A4169" s="7"/>
      <c r="B4169" s="7"/>
      <c r="C4169" s="74"/>
      <c r="D4169" s="74"/>
      <c r="F4169" s="7"/>
      <c r="G4169" s="74"/>
      <c r="H4169" s="74"/>
      <c r="J4169" s="7"/>
      <c r="K4169" s="74"/>
      <c r="L4169" s="74"/>
      <c r="N4169" s="7"/>
      <c r="O4169" s="74"/>
      <c r="P4169" s="74"/>
      <c r="R4169" s="7"/>
      <c r="S4169" s="7"/>
      <c r="T4169" s="66"/>
    </row>
    <row r="4170" spans="1:20" ht="13.2">
      <c r="A4170" s="7"/>
      <c r="B4170" s="7"/>
      <c r="C4170" s="74"/>
      <c r="D4170" s="74"/>
      <c r="F4170" s="7"/>
      <c r="G4170" s="74"/>
      <c r="H4170" s="74"/>
      <c r="J4170" s="7"/>
      <c r="K4170" s="74"/>
      <c r="L4170" s="74"/>
      <c r="N4170" s="7"/>
      <c r="O4170" s="74"/>
      <c r="P4170" s="74"/>
      <c r="R4170" s="7"/>
      <c r="S4170" s="7"/>
      <c r="T4170" s="66"/>
    </row>
    <row r="4171" spans="1:20" ht="13.2">
      <c r="A4171" s="7"/>
      <c r="B4171" s="7"/>
      <c r="C4171" s="74"/>
      <c r="D4171" s="74"/>
      <c r="F4171" s="7"/>
      <c r="G4171" s="74"/>
      <c r="H4171" s="74"/>
      <c r="J4171" s="7"/>
      <c r="K4171" s="74"/>
      <c r="L4171" s="74"/>
      <c r="N4171" s="7"/>
      <c r="O4171" s="74"/>
      <c r="P4171" s="74"/>
      <c r="R4171" s="7"/>
      <c r="S4171" s="7"/>
      <c r="T4171" s="66"/>
    </row>
    <row r="4172" spans="1:20" ht="13.2">
      <c r="A4172" s="7"/>
      <c r="B4172" s="7"/>
      <c r="C4172" s="74"/>
      <c r="D4172" s="74"/>
      <c r="F4172" s="7"/>
      <c r="G4172" s="74"/>
      <c r="H4172" s="74"/>
      <c r="J4172" s="7"/>
      <c r="K4172" s="74"/>
      <c r="L4172" s="74"/>
      <c r="N4172" s="7"/>
      <c r="O4172" s="74"/>
      <c r="P4172" s="74"/>
      <c r="R4172" s="7"/>
      <c r="S4172" s="7"/>
      <c r="T4172" s="66"/>
    </row>
    <row r="4173" spans="1:20" ht="13.2">
      <c r="A4173" s="7"/>
      <c r="B4173" s="7"/>
      <c r="C4173" s="74"/>
      <c r="D4173" s="74"/>
      <c r="F4173" s="7"/>
      <c r="G4173" s="74"/>
      <c r="H4173" s="74"/>
      <c r="J4173" s="7"/>
      <c r="K4173" s="74"/>
      <c r="L4173" s="74"/>
      <c r="N4173" s="7"/>
      <c r="O4173" s="74"/>
      <c r="P4173" s="74"/>
      <c r="R4173" s="7"/>
      <c r="S4173" s="7"/>
      <c r="T4173" s="66"/>
    </row>
    <row r="4174" spans="1:20" ht="13.2">
      <c r="A4174" s="7"/>
      <c r="B4174" s="7"/>
      <c r="C4174" s="74"/>
      <c r="D4174" s="74"/>
      <c r="F4174" s="7"/>
      <c r="G4174" s="74"/>
      <c r="H4174" s="74"/>
      <c r="J4174" s="7"/>
      <c r="K4174" s="74"/>
      <c r="L4174" s="74"/>
      <c r="N4174" s="7"/>
      <c r="O4174" s="74"/>
      <c r="P4174" s="74"/>
      <c r="R4174" s="7"/>
      <c r="S4174" s="7"/>
      <c r="T4174" s="66"/>
    </row>
    <row r="4175" spans="1:20" ht="13.2">
      <c r="A4175" s="7"/>
      <c r="B4175" s="7"/>
      <c r="C4175" s="74"/>
      <c r="D4175" s="74"/>
      <c r="F4175" s="7"/>
      <c r="G4175" s="74"/>
      <c r="H4175" s="74"/>
      <c r="J4175" s="7"/>
      <c r="K4175" s="74"/>
      <c r="L4175" s="74"/>
      <c r="N4175" s="7"/>
      <c r="O4175" s="74"/>
      <c r="P4175" s="74"/>
      <c r="R4175" s="7"/>
      <c r="S4175" s="7"/>
      <c r="T4175" s="66"/>
    </row>
    <row r="4176" spans="1:20" ht="13.2">
      <c r="A4176" s="7"/>
      <c r="B4176" s="7"/>
      <c r="C4176" s="74"/>
      <c r="D4176" s="74"/>
      <c r="F4176" s="7"/>
      <c r="G4176" s="74"/>
      <c r="H4176" s="74"/>
      <c r="J4176" s="7"/>
      <c r="K4176" s="74"/>
      <c r="L4176" s="74"/>
      <c r="N4176" s="7"/>
      <c r="O4176" s="74"/>
      <c r="P4176" s="74"/>
      <c r="R4176" s="7"/>
      <c r="S4176" s="7"/>
      <c r="T4176" s="66"/>
    </row>
    <row r="4177" spans="1:20" ht="13.2">
      <c r="A4177" s="7"/>
      <c r="B4177" s="7"/>
      <c r="C4177" s="74"/>
      <c r="D4177" s="74"/>
      <c r="F4177" s="7"/>
      <c r="G4177" s="74"/>
      <c r="H4177" s="74"/>
      <c r="J4177" s="7"/>
      <c r="K4177" s="74"/>
      <c r="L4177" s="74"/>
      <c r="N4177" s="7"/>
      <c r="O4177" s="74"/>
      <c r="P4177" s="74"/>
      <c r="R4177" s="7"/>
      <c r="S4177" s="7"/>
      <c r="T4177" s="66"/>
    </row>
    <row r="4178" spans="1:20" ht="13.2">
      <c r="A4178" s="7"/>
      <c r="B4178" s="7"/>
      <c r="C4178" s="74"/>
      <c r="D4178" s="74"/>
      <c r="F4178" s="7"/>
      <c r="G4178" s="74"/>
      <c r="H4178" s="74"/>
      <c r="J4178" s="7"/>
      <c r="K4178" s="74"/>
      <c r="L4178" s="74"/>
      <c r="N4178" s="7"/>
      <c r="O4178" s="74"/>
      <c r="P4178" s="74"/>
      <c r="R4178" s="7"/>
      <c r="S4178" s="7"/>
      <c r="T4178" s="66"/>
    </row>
    <row r="4179" spans="1:20" ht="13.2">
      <c r="A4179" s="7"/>
      <c r="B4179" s="7"/>
      <c r="C4179" s="74"/>
      <c r="D4179" s="74"/>
      <c r="F4179" s="7"/>
      <c r="G4179" s="74"/>
      <c r="H4179" s="74"/>
      <c r="J4179" s="7"/>
      <c r="K4179" s="74"/>
      <c r="L4179" s="74"/>
      <c r="N4179" s="7"/>
      <c r="O4179" s="74"/>
      <c r="P4179" s="74"/>
      <c r="R4179" s="7"/>
      <c r="S4179" s="7"/>
      <c r="T4179" s="66"/>
    </row>
    <row r="4180" spans="1:20" ht="13.2">
      <c r="A4180" s="7"/>
      <c r="B4180" s="7"/>
      <c r="C4180" s="74"/>
      <c r="D4180" s="74"/>
      <c r="F4180" s="7"/>
      <c r="G4180" s="74"/>
      <c r="H4180" s="74"/>
      <c r="J4180" s="7"/>
      <c r="K4180" s="74"/>
      <c r="L4180" s="74"/>
      <c r="N4180" s="7"/>
      <c r="O4180" s="74"/>
      <c r="P4180" s="74"/>
      <c r="R4180" s="7"/>
      <c r="S4180" s="7"/>
      <c r="T4180" s="66"/>
    </row>
    <row r="4181" spans="1:20" ht="13.2">
      <c r="A4181" s="7"/>
      <c r="B4181" s="7"/>
      <c r="C4181" s="74"/>
      <c r="D4181" s="74"/>
      <c r="F4181" s="7"/>
      <c r="G4181" s="74"/>
      <c r="H4181" s="74"/>
      <c r="J4181" s="7"/>
      <c r="K4181" s="74"/>
      <c r="L4181" s="74"/>
      <c r="N4181" s="7"/>
      <c r="O4181" s="74"/>
      <c r="P4181" s="74"/>
      <c r="R4181" s="7"/>
      <c r="S4181" s="7"/>
      <c r="T4181" s="66"/>
    </row>
    <row r="4182" spans="1:20" ht="13.2">
      <c r="A4182" s="7"/>
      <c r="B4182" s="7"/>
      <c r="C4182" s="74"/>
      <c r="D4182" s="74"/>
      <c r="F4182" s="7"/>
      <c r="G4182" s="74"/>
      <c r="H4182" s="74"/>
      <c r="J4182" s="7"/>
      <c r="K4182" s="74"/>
      <c r="L4182" s="74"/>
      <c r="N4182" s="7"/>
      <c r="O4182" s="74"/>
      <c r="P4182" s="74"/>
      <c r="R4182" s="7"/>
      <c r="S4182" s="7"/>
      <c r="T4182" s="66"/>
    </row>
    <row r="4183" spans="1:20" ht="13.2">
      <c r="A4183" s="7"/>
      <c r="B4183" s="7"/>
      <c r="C4183" s="74"/>
      <c r="D4183" s="74"/>
      <c r="F4183" s="7"/>
      <c r="G4183" s="74"/>
      <c r="H4183" s="74"/>
      <c r="J4183" s="7"/>
      <c r="K4183" s="74"/>
      <c r="L4183" s="74"/>
      <c r="N4183" s="7"/>
      <c r="O4183" s="74"/>
      <c r="P4183" s="74"/>
      <c r="R4183" s="7"/>
      <c r="S4183" s="7"/>
      <c r="T4183" s="66"/>
    </row>
    <row r="4184" spans="1:20" ht="13.2">
      <c r="A4184" s="7"/>
      <c r="B4184" s="7"/>
      <c r="C4184" s="74"/>
      <c r="D4184" s="74"/>
      <c r="F4184" s="7"/>
      <c r="G4184" s="74"/>
      <c r="H4184" s="74"/>
      <c r="J4184" s="7"/>
      <c r="K4184" s="74"/>
      <c r="L4184" s="74"/>
      <c r="N4184" s="7"/>
      <c r="O4184" s="74"/>
      <c r="P4184" s="74"/>
      <c r="R4184" s="7"/>
      <c r="S4184" s="7"/>
      <c r="T4184" s="66"/>
    </row>
    <row r="4185" spans="1:20" ht="13.2">
      <c r="A4185" s="7"/>
      <c r="B4185" s="7"/>
      <c r="C4185" s="74"/>
      <c r="D4185" s="74"/>
      <c r="F4185" s="7"/>
      <c r="G4185" s="74"/>
      <c r="H4185" s="74"/>
      <c r="J4185" s="7"/>
      <c r="K4185" s="74"/>
      <c r="L4185" s="74"/>
      <c r="N4185" s="7"/>
      <c r="O4185" s="74"/>
      <c r="P4185" s="74"/>
      <c r="R4185" s="7"/>
      <c r="S4185" s="7"/>
      <c r="T4185" s="66"/>
    </row>
    <row r="4186" spans="1:20" ht="13.2">
      <c r="A4186" s="7"/>
      <c r="B4186" s="7"/>
      <c r="C4186" s="74"/>
      <c r="D4186" s="74"/>
      <c r="F4186" s="7"/>
      <c r="G4186" s="74"/>
      <c r="H4186" s="74"/>
      <c r="J4186" s="7"/>
      <c r="K4186" s="74"/>
      <c r="L4186" s="74"/>
      <c r="N4186" s="7"/>
      <c r="O4186" s="74"/>
      <c r="P4186" s="74"/>
      <c r="R4186" s="7"/>
      <c r="S4186" s="7"/>
      <c r="T4186" s="66"/>
    </row>
    <row r="4187" spans="1:20" ht="13.2">
      <c r="A4187" s="7"/>
      <c r="B4187" s="7"/>
      <c r="C4187" s="74"/>
      <c r="D4187" s="74"/>
      <c r="F4187" s="7"/>
      <c r="G4187" s="74"/>
      <c r="H4187" s="74"/>
      <c r="J4187" s="7"/>
      <c r="K4187" s="74"/>
      <c r="L4187" s="74"/>
      <c r="N4187" s="7"/>
      <c r="O4187" s="74"/>
      <c r="P4187" s="74"/>
      <c r="R4187" s="7"/>
      <c r="S4187" s="7"/>
      <c r="T4187" s="66"/>
    </row>
    <row r="4188" spans="1:20" ht="13.2">
      <c r="A4188" s="7"/>
      <c r="B4188" s="7"/>
      <c r="C4188" s="74"/>
      <c r="D4188" s="74"/>
      <c r="F4188" s="7"/>
      <c r="G4188" s="74"/>
      <c r="H4188" s="74"/>
      <c r="J4188" s="7"/>
      <c r="K4188" s="74"/>
      <c r="L4188" s="74"/>
      <c r="N4188" s="7"/>
      <c r="O4188" s="74"/>
      <c r="P4188" s="74"/>
      <c r="R4188" s="7"/>
      <c r="S4188" s="7"/>
      <c r="T4188" s="66"/>
    </row>
    <row r="4189" spans="1:20" ht="13.2">
      <c r="A4189" s="7"/>
      <c r="B4189" s="7"/>
      <c r="C4189" s="74"/>
      <c r="D4189" s="74"/>
      <c r="F4189" s="7"/>
      <c r="G4189" s="74"/>
      <c r="H4189" s="74"/>
      <c r="J4189" s="7"/>
      <c r="K4189" s="74"/>
      <c r="L4189" s="74"/>
      <c r="N4189" s="7"/>
      <c r="O4189" s="74"/>
      <c r="P4189" s="74"/>
      <c r="R4189" s="7"/>
      <c r="S4189" s="7"/>
      <c r="T4189" s="66"/>
    </row>
    <row r="4190" spans="1:20" ht="13.2">
      <c r="A4190" s="7"/>
      <c r="B4190" s="7"/>
      <c r="C4190" s="74"/>
      <c r="D4190" s="74"/>
      <c r="F4190" s="7"/>
      <c r="G4190" s="74"/>
      <c r="H4190" s="74"/>
      <c r="J4190" s="7"/>
      <c r="K4190" s="74"/>
      <c r="L4190" s="74"/>
      <c r="N4190" s="7"/>
      <c r="O4190" s="74"/>
      <c r="P4190" s="74"/>
      <c r="R4190" s="7"/>
      <c r="S4190" s="7"/>
      <c r="T4190" s="66"/>
    </row>
    <row r="4191" spans="1:20" ht="13.2">
      <c r="A4191" s="7"/>
      <c r="B4191" s="7"/>
      <c r="C4191" s="74"/>
      <c r="D4191" s="74"/>
      <c r="F4191" s="7"/>
      <c r="G4191" s="74"/>
      <c r="H4191" s="74"/>
      <c r="J4191" s="7"/>
      <c r="K4191" s="74"/>
      <c r="L4191" s="74"/>
      <c r="N4191" s="7"/>
      <c r="O4191" s="74"/>
      <c r="P4191" s="74"/>
      <c r="R4191" s="7"/>
      <c r="S4191" s="7"/>
      <c r="T4191" s="66"/>
    </row>
    <row r="4192" spans="1:20" ht="13.2">
      <c r="A4192" s="7"/>
      <c r="B4192" s="7"/>
      <c r="C4192" s="74"/>
      <c r="D4192" s="74"/>
      <c r="F4192" s="7"/>
      <c r="G4192" s="74"/>
      <c r="H4192" s="74"/>
      <c r="J4192" s="7"/>
      <c r="K4192" s="74"/>
      <c r="L4192" s="74"/>
      <c r="N4192" s="7"/>
      <c r="O4192" s="74"/>
      <c r="P4192" s="74"/>
      <c r="R4192" s="7"/>
      <c r="S4192" s="7"/>
      <c r="T4192" s="66"/>
    </row>
    <row r="4193" spans="1:20" ht="13.2">
      <c r="A4193" s="7"/>
      <c r="B4193" s="7"/>
      <c r="C4193" s="74"/>
      <c r="D4193" s="74"/>
      <c r="F4193" s="7"/>
      <c r="G4193" s="74"/>
      <c r="H4193" s="74"/>
      <c r="J4193" s="7"/>
      <c r="K4193" s="74"/>
      <c r="L4193" s="74"/>
      <c r="N4193" s="7"/>
      <c r="O4193" s="74"/>
      <c r="P4193" s="74"/>
      <c r="R4193" s="7"/>
      <c r="S4193" s="7"/>
      <c r="T4193" s="66"/>
    </row>
    <row r="4194" spans="1:20" ht="13.2">
      <c r="A4194" s="7"/>
      <c r="B4194" s="7"/>
      <c r="C4194" s="74"/>
      <c r="D4194" s="74"/>
      <c r="F4194" s="7"/>
      <c r="G4194" s="74"/>
      <c r="H4194" s="74"/>
      <c r="J4194" s="7"/>
      <c r="K4194" s="74"/>
      <c r="L4194" s="74"/>
      <c r="N4194" s="7"/>
      <c r="O4194" s="74"/>
      <c r="P4194" s="74"/>
      <c r="R4194" s="7"/>
      <c r="S4194" s="7"/>
      <c r="T4194" s="66"/>
    </row>
    <row r="4195" spans="1:20" ht="13.2">
      <c r="A4195" s="7"/>
      <c r="B4195" s="7"/>
      <c r="C4195" s="74"/>
      <c r="D4195" s="74"/>
      <c r="F4195" s="7"/>
      <c r="G4195" s="74"/>
      <c r="H4195" s="74"/>
      <c r="J4195" s="7"/>
      <c r="K4195" s="74"/>
      <c r="L4195" s="74"/>
      <c r="N4195" s="7"/>
      <c r="O4195" s="74"/>
      <c r="P4195" s="74"/>
      <c r="R4195" s="7"/>
      <c r="S4195" s="7"/>
      <c r="T4195" s="66"/>
    </row>
    <row r="4196" spans="1:20" ht="13.2">
      <c r="A4196" s="7"/>
      <c r="B4196" s="7"/>
      <c r="C4196" s="74"/>
      <c r="D4196" s="74"/>
      <c r="F4196" s="7"/>
      <c r="G4196" s="74"/>
      <c r="H4196" s="74"/>
      <c r="J4196" s="7"/>
      <c r="K4196" s="74"/>
      <c r="L4196" s="74"/>
      <c r="N4196" s="7"/>
      <c r="O4196" s="74"/>
      <c r="P4196" s="74"/>
      <c r="R4196" s="7"/>
      <c r="S4196" s="7"/>
      <c r="T4196" s="66"/>
    </row>
    <row r="4197" spans="1:20" ht="13.2">
      <c r="A4197" s="7"/>
      <c r="B4197" s="7"/>
      <c r="C4197" s="74"/>
      <c r="D4197" s="74"/>
      <c r="F4197" s="7"/>
      <c r="G4197" s="74"/>
      <c r="H4197" s="74"/>
      <c r="J4197" s="7"/>
      <c r="K4197" s="74"/>
      <c r="L4197" s="74"/>
      <c r="N4197" s="7"/>
      <c r="O4197" s="74"/>
      <c r="P4197" s="74"/>
      <c r="R4197" s="7"/>
      <c r="S4197" s="7"/>
      <c r="T4197" s="66"/>
    </row>
    <row r="4198" spans="1:20" ht="13.2">
      <c r="A4198" s="7"/>
      <c r="B4198" s="7"/>
      <c r="C4198" s="74"/>
      <c r="D4198" s="74"/>
      <c r="F4198" s="7"/>
      <c r="G4198" s="74"/>
      <c r="H4198" s="74"/>
      <c r="J4198" s="7"/>
      <c r="K4198" s="74"/>
      <c r="L4198" s="74"/>
      <c r="N4198" s="7"/>
      <c r="O4198" s="74"/>
      <c r="P4198" s="74"/>
      <c r="R4198" s="7"/>
      <c r="S4198" s="7"/>
      <c r="T4198" s="66"/>
    </row>
    <row r="4199" spans="1:20" ht="13.2">
      <c r="A4199" s="7"/>
      <c r="B4199" s="7"/>
      <c r="C4199" s="74"/>
      <c r="D4199" s="74"/>
      <c r="F4199" s="7"/>
      <c r="G4199" s="74"/>
      <c r="H4199" s="74"/>
      <c r="J4199" s="7"/>
      <c r="K4199" s="74"/>
      <c r="L4199" s="74"/>
      <c r="N4199" s="7"/>
      <c r="O4199" s="74"/>
      <c r="P4199" s="74"/>
      <c r="R4199" s="7"/>
      <c r="S4199" s="7"/>
      <c r="T4199" s="66"/>
    </row>
    <row r="4200" spans="1:20" ht="13.2">
      <c r="A4200" s="7"/>
      <c r="B4200" s="7"/>
      <c r="C4200" s="74"/>
      <c r="D4200" s="74"/>
      <c r="F4200" s="7"/>
      <c r="G4200" s="74"/>
      <c r="H4200" s="74"/>
      <c r="J4200" s="7"/>
      <c r="K4200" s="74"/>
      <c r="L4200" s="74"/>
      <c r="N4200" s="7"/>
      <c r="O4200" s="74"/>
      <c r="P4200" s="74"/>
      <c r="R4200" s="7"/>
      <c r="S4200" s="7"/>
      <c r="T4200" s="66"/>
    </row>
    <row r="4201" spans="1:20" ht="13.2">
      <c r="A4201" s="7"/>
      <c r="B4201" s="7"/>
      <c r="C4201" s="74"/>
      <c r="D4201" s="74"/>
      <c r="F4201" s="7"/>
      <c r="G4201" s="74"/>
      <c r="H4201" s="74"/>
      <c r="J4201" s="7"/>
      <c r="K4201" s="74"/>
      <c r="L4201" s="74"/>
      <c r="N4201" s="7"/>
      <c r="O4201" s="74"/>
      <c r="P4201" s="74"/>
      <c r="R4201" s="7"/>
      <c r="S4201" s="7"/>
      <c r="T4201" s="66"/>
    </row>
    <row r="4202" spans="1:20" ht="13.2">
      <c r="A4202" s="7"/>
      <c r="B4202" s="7"/>
      <c r="C4202" s="74"/>
      <c r="D4202" s="74"/>
      <c r="F4202" s="7"/>
      <c r="G4202" s="74"/>
      <c r="H4202" s="74"/>
      <c r="J4202" s="7"/>
      <c r="K4202" s="74"/>
      <c r="L4202" s="74"/>
      <c r="N4202" s="7"/>
      <c r="O4202" s="74"/>
      <c r="P4202" s="74"/>
      <c r="R4202" s="7"/>
      <c r="S4202" s="7"/>
      <c r="T4202" s="66"/>
    </row>
    <row r="4203" spans="1:20" ht="13.2">
      <c r="A4203" s="7"/>
      <c r="B4203" s="7"/>
      <c r="C4203" s="74"/>
      <c r="D4203" s="74"/>
      <c r="F4203" s="7"/>
      <c r="G4203" s="74"/>
      <c r="H4203" s="74"/>
      <c r="J4203" s="7"/>
      <c r="K4203" s="74"/>
      <c r="L4203" s="74"/>
      <c r="N4203" s="7"/>
      <c r="O4203" s="74"/>
      <c r="P4203" s="74"/>
      <c r="R4203" s="7"/>
      <c r="S4203" s="7"/>
      <c r="T4203" s="66"/>
    </row>
    <row r="4204" spans="1:20" ht="13.2">
      <c r="A4204" s="7"/>
      <c r="B4204" s="7"/>
      <c r="C4204" s="74"/>
      <c r="D4204" s="74"/>
      <c r="F4204" s="7"/>
      <c r="G4204" s="74"/>
      <c r="H4204" s="74"/>
      <c r="J4204" s="7"/>
      <c r="K4204" s="74"/>
      <c r="L4204" s="74"/>
      <c r="N4204" s="7"/>
      <c r="O4204" s="74"/>
      <c r="P4204" s="74"/>
      <c r="R4204" s="7"/>
      <c r="S4204" s="7"/>
      <c r="T4204" s="66"/>
    </row>
    <row r="4205" spans="1:20" ht="13.2">
      <c r="A4205" s="7"/>
      <c r="B4205" s="7"/>
      <c r="C4205" s="74"/>
      <c r="D4205" s="74"/>
      <c r="F4205" s="7"/>
      <c r="G4205" s="74"/>
      <c r="H4205" s="74"/>
      <c r="J4205" s="7"/>
      <c r="K4205" s="74"/>
      <c r="L4205" s="74"/>
      <c r="N4205" s="7"/>
      <c r="O4205" s="74"/>
      <c r="P4205" s="74"/>
      <c r="R4205" s="7"/>
      <c r="S4205" s="7"/>
      <c r="T4205" s="66"/>
    </row>
    <row r="4206" spans="1:20" ht="13.2">
      <c r="A4206" s="7"/>
      <c r="B4206" s="7"/>
      <c r="C4206" s="74"/>
      <c r="D4206" s="74"/>
      <c r="F4206" s="7"/>
      <c r="G4206" s="74"/>
      <c r="H4206" s="74"/>
      <c r="J4206" s="7"/>
      <c r="K4206" s="74"/>
      <c r="L4206" s="74"/>
      <c r="N4206" s="7"/>
      <c r="O4206" s="74"/>
      <c r="P4206" s="74"/>
      <c r="R4206" s="7"/>
      <c r="S4206" s="7"/>
      <c r="T4206" s="66"/>
    </row>
    <row r="4207" spans="1:20" ht="13.2">
      <c r="A4207" s="7"/>
      <c r="B4207" s="7"/>
      <c r="C4207" s="74"/>
      <c r="D4207" s="74"/>
      <c r="F4207" s="7"/>
      <c r="G4207" s="74"/>
      <c r="H4207" s="74"/>
      <c r="J4207" s="7"/>
      <c r="K4207" s="74"/>
      <c r="L4207" s="74"/>
      <c r="N4207" s="7"/>
      <c r="O4207" s="74"/>
      <c r="P4207" s="74"/>
      <c r="R4207" s="7"/>
      <c r="S4207" s="7"/>
      <c r="T4207" s="66"/>
    </row>
    <row r="4208" spans="1:20" ht="13.2">
      <c r="A4208" s="7"/>
      <c r="B4208" s="7"/>
      <c r="C4208" s="74"/>
      <c r="D4208" s="74"/>
      <c r="F4208" s="7"/>
      <c r="G4208" s="74"/>
      <c r="H4208" s="74"/>
      <c r="J4208" s="7"/>
      <c r="K4208" s="74"/>
      <c r="L4208" s="74"/>
      <c r="N4208" s="7"/>
      <c r="O4208" s="74"/>
      <c r="P4208" s="74"/>
      <c r="R4208" s="7"/>
      <c r="S4208" s="7"/>
      <c r="T4208" s="66"/>
    </row>
    <row r="4209" spans="1:20" ht="13.2">
      <c r="A4209" s="7"/>
      <c r="B4209" s="7"/>
      <c r="C4209" s="74"/>
      <c r="D4209" s="74"/>
      <c r="F4209" s="7"/>
      <c r="G4209" s="74"/>
      <c r="H4209" s="74"/>
      <c r="J4209" s="7"/>
      <c r="K4209" s="74"/>
      <c r="L4209" s="74"/>
      <c r="N4209" s="7"/>
      <c r="O4209" s="74"/>
      <c r="P4209" s="74"/>
      <c r="R4209" s="7"/>
      <c r="S4209" s="7"/>
      <c r="T4209" s="66"/>
    </row>
    <row r="4210" spans="1:20" ht="13.2">
      <c r="A4210" s="7"/>
      <c r="B4210" s="7"/>
      <c r="C4210" s="74"/>
      <c r="D4210" s="74"/>
      <c r="F4210" s="7"/>
      <c r="G4210" s="74"/>
      <c r="H4210" s="74"/>
      <c r="J4210" s="7"/>
      <c r="K4210" s="74"/>
      <c r="L4210" s="74"/>
      <c r="N4210" s="7"/>
      <c r="O4210" s="74"/>
      <c r="P4210" s="74"/>
      <c r="R4210" s="7"/>
      <c r="S4210" s="7"/>
      <c r="T4210" s="66"/>
    </row>
    <row r="4211" spans="1:20" ht="13.2">
      <c r="A4211" s="7"/>
      <c r="B4211" s="7"/>
      <c r="C4211" s="74"/>
      <c r="D4211" s="74"/>
      <c r="F4211" s="7"/>
      <c r="G4211" s="74"/>
      <c r="H4211" s="74"/>
      <c r="J4211" s="7"/>
      <c r="K4211" s="74"/>
      <c r="L4211" s="74"/>
      <c r="N4211" s="7"/>
      <c r="O4211" s="74"/>
      <c r="P4211" s="74"/>
      <c r="R4211" s="7"/>
      <c r="S4211" s="7"/>
      <c r="T4211" s="66"/>
    </row>
    <row r="4212" spans="1:20" ht="13.2">
      <c r="A4212" s="7"/>
      <c r="B4212" s="7"/>
      <c r="C4212" s="74"/>
      <c r="D4212" s="74"/>
      <c r="F4212" s="7"/>
      <c r="G4212" s="74"/>
      <c r="H4212" s="74"/>
      <c r="J4212" s="7"/>
      <c r="K4212" s="74"/>
      <c r="L4212" s="74"/>
      <c r="N4212" s="7"/>
      <c r="O4212" s="74"/>
      <c r="P4212" s="74"/>
      <c r="R4212" s="7"/>
      <c r="S4212" s="7"/>
      <c r="T4212" s="66"/>
    </row>
    <row r="4213" spans="1:20" ht="13.2">
      <c r="A4213" s="7"/>
      <c r="B4213" s="7"/>
      <c r="C4213" s="74"/>
      <c r="D4213" s="74"/>
      <c r="F4213" s="7"/>
      <c r="G4213" s="74"/>
      <c r="H4213" s="74"/>
      <c r="J4213" s="7"/>
      <c r="K4213" s="74"/>
      <c r="L4213" s="74"/>
      <c r="N4213" s="7"/>
      <c r="O4213" s="74"/>
      <c r="P4213" s="74"/>
      <c r="R4213" s="7"/>
      <c r="S4213" s="7"/>
      <c r="T4213" s="66"/>
    </row>
    <row r="4214" spans="1:20" ht="13.2">
      <c r="A4214" s="7"/>
      <c r="B4214" s="7"/>
      <c r="C4214" s="74"/>
      <c r="D4214" s="74"/>
      <c r="F4214" s="7"/>
      <c r="G4214" s="74"/>
      <c r="H4214" s="74"/>
      <c r="J4214" s="7"/>
      <c r="K4214" s="74"/>
      <c r="L4214" s="74"/>
      <c r="N4214" s="7"/>
      <c r="O4214" s="74"/>
      <c r="P4214" s="74"/>
      <c r="R4214" s="7"/>
      <c r="S4214" s="7"/>
      <c r="T4214" s="66"/>
    </row>
    <row r="4215" spans="1:20" ht="13.2">
      <c r="A4215" s="7"/>
      <c r="B4215" s="7"/>
      <c r="C4215" s="74"/>
      <c r="D4215" s="74"/>
      <c r="F4215" s="7"/>
      <c r="G4215" s="74"/>
      <c r="H4215" s="74"/>
      <c r="J4215" s="7"/>
      <c r="K4215" s="74"/>
      <c r="L4215" s="74"/>
      <c r="N4215" s="7"/>
      <c r="O4215" s="74"/>
      <c r="P4215" s="74"/>
      <c r="R4215" s="7"/>
      <c r="S4215" s="7"/>
      <c r="T4215" s="66"/>
    </row>
    <row r="4216" spans="1:20" ht="13.2">
      <c r="A4216" s="7"/>
      <c r="B4216" s="7"/>
      <c r="C4216" s="74"/>
      <c r="D4216" s="74"/>
      <c r="F4216" s="7"/>
      <c r="G4216" s="74"/>
      <c r="H4216" s="74"/>
      <c r="J4216" s="7"/>
      <c r="K4216" s="74"/>
      <c r="L4216" s="74"/>
      <c r="N4216" s="7"/>
      <c r="O4216" s="74"/>
      <c r="P4216" s="74"/>
      <c r="R4216" s="7"/>
      <c r="S4216" s="7"/>
      <c r="T4216" s="66"/>
    </row>
    <row r="4217" spans="1:20" ht="13.2">
      <c r="A4217" s="7"/>
      <c r="B4217" s="7"/>
      <c r="C4217" s="74"/>
      <c r="D4217" s="74"/>
      <c r="F4217" s="7"/>
      <c r="G4217" s="74"/>
      <c r="H4217" s="74"/>
      <c r="J4217" s="7"/>
      <c r="K4217" s="74"/>
      <c r="L4217" s="74"/>
      <c r="N4217" s="7"/>
      <c r="O4217" s="74"/>
      <c r="P4217" s="74"/>
      <c r="R4217" s="7"/>
      <c r="S4217" s="7"/>
      <c r="T4217" s="66"/>
    </row>
    <row r="4218" spans="1:20" ht="13.2">
      <c r="A4218" s="7"/>
      <c r="B4218" s="7"/>
      <c r="C4218" s="74"/>
      <c r="D4218" s="74"/>
      <c r="F4218" s="7"/>
      <c r="G4218" s="74"/>
      <c r="H4218" s="74"/>
      <c r="J4218" s="7"/>
      <c r="K4218" s="74"/>
      <c r="L4218" s="74"/>
      <c r="N4218" s="7"/>
      <c r="O4218" s="74"/>
      <c r="P4218" s="74"/>
      <c r="R4218" s="7"/>
      <c r="S4218" s="7"/>
      <c r="T4218" s="66"/>
    </row>
    <row r="4219" spans="1:20" ht="13.2">
      <c r="A4219" s="7"/>
      <c r="B4219" s="7"/>
      <c r="C4219" s="74"/>
      <c r="D4219" s="74"/>
      <c r="F4219" s="7"/>
      <c r="G4219" s="74"/>
      <c r="H4219" s="74"/>
      <c r="J4219" s="7"/>
      <c r="K4219" s="74"/>
      <c r="L4219" s="74"/>
      <c r="N4219" s="7"/>
      <c r="O4219" s="74"/>
      <c r="P4219" s="74"/>
      <c r="R4219" s="7"/>
      <c r="S4219" s="7"/>
      <c r="T4219" s="66"/>
    </row>
    <row r="4220" spans="1:20" ht="13.2">
      <c r="A4220" s="7"/>
      <c r="B4220" s="7"/>
      <c r="C4220" s="74"/>
      <c r="D4220" s="74"/>
      <c r="F4220" s="7"/>
      <c r="G4220" s="74"/>
      <c r="H4220" s="74"/>
      <c r="J4220" s="7"/>
      <c r="K4220" s="74"/>
      <c r="L4220" s="74"/>
      <c r="N4220" s="7"/>
      <c r="O4220" s="74"/>
      <c r="P4220" s="74"/>
      <c r="R4220" s="7"/>
      <c r="S4220" s="7"/>
      <c r="T4220" s="66"/>
    </row>
    <row r="4221" spans="1:20" ht="13.2">
      <c r="A4221" s="7"/>
      <c r="B4221" s="7"/>
      <c r="C4221" s="74"/>
      <c r="D4221" s="74"/>
      <c r="F4221" s="7"/>
      <c r="G4221" s="74"/>
      <c r="H4221" s="74"/>
      <c r="J4221" s="7"/>
      <c r="K4221" s="74"/>
      <c r="L4221" s="74"/>
      <c r="N4221" s="7"/>
      <c r="O4221" s="74"/>
      <c r="P4221" s="74"/>
      <c r="R4221" s="7"/>
      <c r="S4221" s="7"/>
      <c r="T4221" s="66"/>
    </row>
    <row r="4222" spans="1:20" ht="13.2">
      <c r="A4222" s="7"/>
      <c r="B4222" s="7"/>
      <c r="C4222" s="74"/>
      <c r="D4222" s="74"/>
      <c r="F4222" s="7"/>
      <c r="G4222" s="74"/>
      <c r="H4222" s="74"/>
      <c r="J4222" s="7"/>
      <c r="K4222" s="74"/>
      <c r="L4222" s="74"/>
      <c r="N4222" s="7"/>
      <c r="O4222" s="74"/>
      <c r="P4222" s="74"/>
      <c r="R4222" s="7"/>
      <c r="S4222" s="7"/>
      <c r="T4222" s="66"/>
    </row>
    <row r="4223" spans="1:20" ht="13.2">
      <c r="A4223" s="7"/>
      <c r="B4223" s="7"/>
      <c r="C4223" s="74"/>
      <c r="D4223" s="74"/>
      <c r="F4223" s="7"/>
      <c r="G4223" s="74"/>
      <c r="H4223" s="74"/>
      <c r="J4223" s="7"/>
      <c r="K4223" s="74"/>
      <c r="L4223" s="74"/>
      <c r="N4223" s="7"/>
      <c r="O4223" s="74"/>
      <c r="P4223" s="74"/>
      <c r="R4223" s="7"/>
      <c r="S4223" s="7"/>
      <c r="T4223" s="66"/>
    </row>
    <row r="4224" spans="1:20" ht="13.2">
      <c r="A4224" s="7"/>
      <c r="B4224" s="7"/>
      <c r="C4224" s="74"/>
      <c r="D4224" s="74"/>
      <c r="F4224" s="7"/>
      <c r="G4224" s="74"/>
      <c r="H4224" s="74"/>
      <c r="J4224" s="7"/>
      <c r="K4224" s="74"/>
      <c r="L4224" s="74"/>
      <c r="N4224" s="7"/>
      <c r="O4224" s="74"/>
      <c r="P4224" s="74"/>
      <c r="R4224" s="7"/>
      <c r="S4224" s="7"/>
      <c r="T4224" s="66"/>
    </row>
    <row r="4225" spans="1:20" ht="13.2">
      <c r="A4225" s="7"/>
      <c r="B4225" s="7"/>
      <c r="C4225" s="74"/>
      <c r="D4225" s="74"/>
      <c r="F4225" s="7"/>
      <c r="G4225" s="74"/>
      <c r="H4225" s="74"/>
      <c r="J4225" s="7"/>
      <c r="K4225" s="74"/>
      <c r="L4225" s="74"/>
      <c r="N4225" s="7"/>
      <c r="O4225" s="74"/>
      <c r="P4225" s="74"/>
      <c r="R4225" s="7"/>
      <c r="S4225" s="7"/>
      <c r="T4225" s="66"/>
    </row>
    <row r="4226" spans="1:20" ht="13.2">
      <c r="A4226" s="7"/>
      <c r="B4226" s="7"/>
      <c r="C4226" s="74"/>
      <c r="D4226" s="74"/>
      <c r="F4226" s="7"/>
      <c r="G4226" s="74"/>
      <c r="H4226" s="74"/>
      <c r="J4226" s="7"/>
      <c r="K4226" s="74"/>
      <c r="L4226" s="74"/>
      <c r="N4226" s="7"/>
      <c r="O4226" s="74"/>
      <c r="P4226" s="74"/>
      <c r="R4226" s="7"/>
      <c r="S4226" s="7"/>
      <c r="T4226" s="66"/>
    </row>
    <row r="4227" spans="1:20" ht="13.2">
      <c r="A4227" s="7"/>
      <c r="B4227" s="7"/>
      <c r="C4227" s="74"/>
      <c r="D4227" s="74"/>
      <c r="F4227" s="7"/>
      <c r="G4227" s="74"/>
      <c r="H4227" s="74"/>
      <c r="J4227" s="7"/>
      <c r="K4227" s="74"/>
      <c r="L4227" s="74"/>
      <c r="N4227" s="7"/>
      <c r="O4227" s="74"/>
      <c r="P4227" s="74"/>
      <c r="R4227" s="7"/>
      <c r="S4227" s="7"/>
      <c r="T4227" s="66"/>
    </row>
    <row r="4228" spans="1:20" ht="13.2">
      <c r="A4228" s="7"/>
      <c r="B4228" s="7"/>
      <c r="C4228" s="74"/>
      <c r="D4228" s="74"/>
      <c r="F4228" s="7"/>
      <c r="G4228" s="74"/>
      <c r="H4228" s="74"/>
      <c r="J4228" s="7"/>
      <c r="K4228" s="74"/>
      <c r="L4228" s="74"/>
      <c r="N4228" s="7"/>
      <c r="O4228" s="74"/>
      <c r="P4228" s="74"/>
      <c r="R4228" s="7"/>
      <c r="S4228" s="7"/>
      <c r="T4228" s="66"/>
    </row>
    <row r="4229" spans="1:20" ht="13.2">
      <c r="A4229" s="7"/>
      <c r="B4229" s="7"/>
      <c r="C4229" s="74"/>
      <c r="D4229" s="74"/>
      <c r="F4229" s="7"/>
      <c r="G4229" s="74"/>
      <c r="H4229" s="74"/>
      <c r="J4229" s="7"/>
      <c r="K4229" s="74"/>
      <c r="L4229" s="74"/>
      <c r="N4229" s="7"/>
      <c r="O4229" s="74"/>
      <c r="P4229" s="74"/>
      <c r="R4229" s="7"/>
      <c r="S4229" s="7"/>
      <c r="T4229" s="66"/>
    </row>
    <row r="4230" spans="1:20" ht="13.2">
      <c r="A4230" s="7"/>
      <c r="B4230" s="7"/>
      <c r="C4230" s="74"/>
      <c r="D4230" s="74"/>
      <c r="F4230" s="7"/>
      <c r="G4230" s="74"/>
      <c r="H4230" s="74"/>
      <c r="J4230" s="7"/>
      <c r="K4230" s="74"/>
      <c r="L4230" s="74"/>
      <c r="N4230" s="7"/>
      <c r="O4230" s="74"/>
      <c r="P4230" s="74"/>
      <c r="R4230" s="7"/>
      <c r="S4230" s="7"/>
      <c r="T4230" s="66"/>
    </row>
    <row r="4231" spans="1:20" ht="13.2">
      <c r="A4231" s="7"/>
      <c r="B4231" s="7"/>
      <c r="C4231" s="74"/>
      <c r="D4231" s="74"/>
      <c r="F4231" s="7"/>
      <c r="G4231" s="74"/>
      <c r="H4231" s="74"/>
      <c r="J4231" s="7"/>
      <c r="K4231" s="74"/>
      <c r="L4231" s="74"/>
      <c r="N4231" s="7"/>
      <c r="O4231" s="74"/>
      <c r="P4231" s="74"/>
      <c r="R4231" s="7"/>
      <c r="S4231" s="7"/>
      <c r="T4231" s="66"/>
    </row>
    <row r="4232" spans="1:20" ht="13.2">
      <c r="A4232" s="7"/>
      <c r="B4232" s="7"/>
      <c r="C4232" s="74"/>
      <c r="D4232" s="74"/>
      <c r="F4232" s="7"/>
      <c r="G4232" s="74"/>
      <c r="H4232" s="74"/>
      <c r="J4232" s="7"/>
      <c r="K4232" s="74"/>
      <c r="L4232" s="74"/>
      <c r="N4232" s="7"/>
      <c r="O4232" s="74"/>
      <c r="P4232" s="74"/>
      <c r="R4232" s="7"/>
      <c r="S4232" s="7"/>
      <c r="T4232" s="66"/>
    </row>
    <row r="4233" spans="1:20" ht="13.2">
      <c r="A4233" s="7"/>
      <c r="B4233" s="7"/>
      <c r="C4233" s="74"/>
      <c r="D4233" s="74"/>
      <c r="F4233" s="7"/>
      <c r="G4233" s="74"/>
      <c r="H4233" s="74"/>
      <c r="J4233" s="7"/>
      <c r="K4233" s="74"/>
      <c r="L4233" s="74"/>
      <c r="N4233" s="7"/>
      <c r="O4233" s="74"/>
      <c r="P4233" s="74"/>
      <c r="R4233" s="7"/>
      <c r="S4233" s="7"/>
      <c r="T4233" s="66"/>
    </row>
    <row r="4234" spans="1:20" ht="13.2">
      <c r="A4234" s="7"/>
      <c r="B4234" s="7"/>
      <c r="C4234" s="74"/>
      <c r="D4234" s="74"/>
      <c r="F4234" s="7"/>
      <c r="G4234" s="74"/>
      <c r="H4234" s="74"/>
      <c r="J4234" s="7"/>
      <c r="K4234" s="74"/>
      <c r="L4234" s="74"/>
      <c r="N4234" s="7"/>
      <c r="O4234" s="74"/>
      <c r="P4234" s="74"/>
      <c r="R4234" s="7"/>
      <c r="S4234" s="7"/>
      <c r="T4234" s="66"/>
    </row>
    <row r="4235" spans="1:20" ht="13.2">
      <c r="A4235" s="7"/>
      <c r="B4235" s="7"/>
      <c r="C4235" s="74"/>
      <c r="D4235" s="74"/>
      <c r="F4235" s="7"/>
      <c r="G4235" s="74"/>
      <c r="H4235" s="74"/>
      <c r="J4235" s="7"/>
      <c r="K4235" s="74"/>
      <c r="L4235" s="74"/>
      <c r="N4235" s="7"/>
      <c r="O4235" s="74"/>
      <c r="P4235" s="74"/>
      <c r="R4235" s="7"/>
      <c r="S4235" s="7"/>
      <c r="T4235" s="66"/>
    </row>
    <row r="4236" spans="1:20" ht="13.2">
      <c r="A4236" s="7"/>
      <c r="B4236" s="7"/>
      <c r="C4236" s="74"/>
      <c r="D4236" s="74"/>
      <c r="F4236" s="7"/>
      <c r="G4236" s="74"/>
      <c r="H4236" s="74"/>
      <c r="J4236" s="7"/>
      <c r="K4236" s="74"/>
      <c r="L4236" s="74"/>
      <c r="N4236" s="7"/>
      <c r="O4236" s="74"/>
      <c r="P4236" s="74"/>
      <c r="R4236" s="7"/>
      <c r="S4236" s="7"/>
      <c r="T4236" s="66"/>
    </row>
    <row r="4237" spans="1:20" ht="13.2">
      <c r="A4237" s="7"/>
      <c r="B4237" s="7"/>
      <c r="C4237" s="74"/>
      <c r="D4237" s="74"/>
      <c r="F4237" s="7"/>
      <c r="G4237" s="74"/>
      <c r="H4237" s="74"/>
      <c r="J4237" s="7"/>
      <c r="K4237" s="74"/>
      <c r="L4237" s="74"/>
      <c r="N4237" s="7"/>
      <c r="O4237" s="74"/>
      <c r="P4237" s="74"/>
      <c r="R4237" s="7"/>
      <c r="S4237" s="7"/>
      <c r="T4237" s="66"/>
    </row>
    <row r="4238" spans="1:20" ht="13.2">
      <c r="A4238" s="7"/>
      <c r="B4238" s="7"/>
      <c r="C4238" s="74"/>
      <c r="D4238" s="74"/>
      <c r="F4238" s="7"/>
      <c r="G4238" s="74"/>
      <c r="H4238" s="74"/>
      <c r="J4238" s="7"/>
      <c r="K4238" s="74"/>
      <c r="L4238" s="74"/>
      <c r="N4238" s="7"/>
      <c r="O4238" s="74"/>
      <c r="P4238" s="74"/>
      <c r="R4238" s="7"/>
      <c r="S4238" s="7"/>
      <c r="T4238" s="66"/>
    </row>
    <row r="4239" spans="1:20" ht="13.2">
      <c r="A4239" s="7"/>
      <c r="B4239" s="7"/>
      <c r="C4239" s="74"/>
      <c r="D4239" s="74"/>
      <c r="F4239" s="7"/>
      <c r="G4239" s="74"/>
      <c r="H4239" s="74"/>
      <c r="J4239" s="7"/>
      <c r="K4239" s="74"/>
      <c r="L4239" s="74"/>
      <c r="N4239" s="7"/>
      <c r="O4239" s="74"/>
      <c r="P4239" s="74"/>
      <c r="R4239" s="7"/>
      <c r="S4239" s="7"/>
      <c r="T4239" s="66"/>
    </row>
    <row r="4240" spans="1:20" ht="13.2">
      <c r="A4240" s="7"/>
      <c r="B4240" s="7"/>
      <c r="C4240" s="74"/>
      <c r="D4240" s="74"/>
      <c r="F4240" s="7"/>
      <c r="G4240" s="74"/>
      <c r="H4240" s="74"/>
      <c r="J4240" s="7"/>
      <c r="K4240" s="74"/>
      <c r="L4240" s="74"/>
      <c r="N4240" s="7"/>
      <c r="O4240" s="74"/>
      <c r="P4240" s="74"/>
      <c r="R4240" s="7"/>
      <c r="S4240" s="7"/>
      <c r="T4240" s="66"/>
    </row>
    <row r="4241" spans="1:20" ht="13.2">
      <c r="A4241" s="7"/>
      <c r="B4241" s="7"/>
      <c r="C4241" s="74"/>
      <c r="D4241" s="74"/>
      <c r="F4241" s="7"/>
      <c r="G4241" s="74"/>
      <c r="H4241" s="74"/>
      <c r="J4241" s="7"/>
      <c r="K4241" s="74"/>
      <c r="L4241" s="74"/>
      <c r="N4241" s="7"/>
      <c r="O4241" s="74"/>
      <c r="P4241" s="74"/>
      <c r="R4241" s="7"/>
      <c r="S4241" s="7"/>
      <c r="T4241" s="66"/>
    </row>
    <row r="4242" spans="1:20" ht="13.2">
      <c r="A4242" s="7"/>
      <c r="B4242" s="7"/>
      <c r="C4242" s="74"/>
      <c r="D4242" s="74"/>
      <c r="F4242" s="7"/>
      <c r="G4242" s="74"/>
      <c r="H4242" s="74"/>
      <c r="J4242" s="7"/>
      <c r="K4242" s="74"/>
      <c r="L4242" s="74"/>
      <c r="N4242" s="7"/>
      <c r="O4242" s="74"/>
      <c r="P4242" s="74"/>
      <c r="R4242" s="7"/>
      <c r="S4242" s="7"/>
      <c r="T4242" s="66"/>
    </row>
    <row r="4243" spans="1:20" ht="13.2">
      <c r="A4243" s="7"/>
      <c r="B4243" s="7"/>
      <c r="C4243" s="74"/>
      <c r="D4243" s="74"/>
      <c r="F4243" s="7"/>
      <c r="G4243" s="74"/>
      <c r="H4243" s="74"/>
      <c r="J4243" s="7"/>
      <c r="K4243" s="74"/>
      <c r="L4243" s="74"/>
      <c r="N4243" s="7"/>
      <c r="O4243" s="74"/>
      <c r="P4243" s="74"/>
      <c r="R4243" s="7"/>
      <c r="S4243" s="7"/>
      <c r="T4243" s="66"/>
    </row>
    <row r="4244" spans="1:20" ht="13.2">
      <c r="A4244" s="7"/>
      <c r="B4244" s="7"/>
      <c r="C4244" s="74"/>
      <c r="D4244" s="74"/>
      <c r="F4244" s="7"/>
      <c r="G4244" s="74"/>
      <c r="H4244" s="74"/>
      <c r="J4244" s="7"/>
      <c r="K4244" s="74"/>
      <c r="L4244" s="74"/>
      <c r="N4244" s="7"/>
      <c r="O4244" s="74"/>
      <c r="P4244" s="74"/>
      <c r="R4244" s="7"/>
      <c r="S4244" s="7"/>
      <c r="T4244" s="66"/>
    </row>
    <row r="4245" spans="1:20" ht="13.2">
      <c r="A4245" s="7"/>
      <c r="B4245" s="7"/>
      <c r="C4245" s="74"/>
      <c r="D4245" s="74"/>
      <c r="F4245" s="7"/>
      <c r="G4245" s="74"/>
      <c r="H4245" s="74"/>
      <c r="J4245" s="7"/>
      <c r="K4245" s="74"/>
      <c r="L4245" s="74"/>
      <c r="N4245" s="7"/>
      <c r="O4245" s="74"/>
      <c r="P4245" s="74"/>
      <c r="R4245" s="7"/>
      <c r="S4245" s="7"/>
      <c r="T4245" s="66"/>
    </row>
    <row r="4246" spans="1:20" ht="13.2">
      <c r="A4246" s="7"/>
      <c r="B4246" s="7"/>
      <c r="C4246" s="74"/>
      <c r="D4246" s="74"/>
      <c r="F4246" s="7"/>
      <c r="G4246" s="74"/>
      <c r="H4246" s="74"/>
      <c r="J4246" s="7"/>
      <c r="K4246" s="74"/>
      <c r="L4246" s="74"/>
      <c r="N4246" s="7"/>
      <c r="O4246" s="74"/>
      <c r="P4246" s="74"/>
      <c r="R4246" s="7"/>
      <c r="S4246" s="7"/>
      <c r="T4246" s="66"/>
    </row>
    <row r="4247" spans="1:20" ht="13.2">
      <c r="A4247" s="7"/>
      <c r="B4247" s="7"/>
      <c r="C4247" s="74"/>
      <c r="D4247" s="74"/>
      <c r="F4247" s="7"/>
      <c r="G4247" s="74"/>
      <c r="H4247" s="74"/>
      <c r="J4247" s="7"/>
      <c r="K4247" s="74"/>
      <c r="L4247" s="74"/>
      <c r="N4247" s="7"/>
      <c r="O4247" s="74"/>
      <c r="P4247" s="74"/>
      <c r="R4247" s="7"/>
      <c r="S4247" s="7"/>
      <c r="T4247" s="66"/>
    </row>
    <row r="4248" spans="1:20" ht="13.2">
      <c r="A4248" s="7"/>
      <c r="B4248" s="7"/>
      <c r="C4248" s="74"/>
      <c r="D4248" s="74"/>
      <c r="F4248" s="7"/>
      <c r="G4248" s="74"/>
      <c r="H4248" s="74"/>
      <c r="J4248" s="7"/>
      <c r="K4248" s="74"/>
      <c r="L4248" s="74"/>
      <c r="N4248" s="7"/>
      <c r="O4248" s="74"/>
      <c r="P4248" s="74"/>
      <c r="R4248" s="7"/>
      <c r="S4248" s="7"/>
      <c r="T4248" s="66"/>
    </row>
    <row r="4249" spans="1:20" ht="13.2">
      <c r="A4249" s="7"/>
      <c r="B4249" s="7"/>
      <c r="C4249" s="74"/>
      <c r="D4249" s="74"/>
      <c r="F4249" s="7"/>
      <c r="G4249" s="74"/>
      <c r="H4249" s="74"/>
      <c r="J4249" s="7"/>
      <c r="K4249" s="74"/>
      <c r="L4249" s="74"/>
      <c r="N4249" s="7"/>
      <c r="O4249" s="74"/>
      <c r="P4249" s="74"/>
      <c r="R4249" s="7"/>
      <c r="S4249" s="7"/>
      <c r="T4249" s="66"/>
    </row>
    <row r="4250" spans="1:20" ht="13.2">
      <c r="A4250" s="7"/>
      <c r="B4250" s="7"/>
      <c r="C4250" s="74"/>
      <c r="D4250" s="74"/>
      <c r="F4250" s="7"/>
      <c r="G4250" s="74"/>
      <c r="H4250" s="74"/>
      <c r="J4250" s="7"/>
      <c r="K4250" s="74"/>
      <c r="L4250" s="74"/>
      <c r="N4250" s="7"/>
      <c r="O4250" s="74"/>
      <c r="P4250" s="74"/>
      <c r="R4250" s="7"/>
      <c r="S4250" s="7"/>
      <c r="T4250" s="66"/>
    </row>
    <row r="4251" spans="1:20" ht="13.2">
      <c r="A4251" s="7"/>
      <c r="B4251" s="7"/>
      <c r="C4251" s="74"/>
      <c r="D4251" s="74"/>
      <c r="F4251" s="7"/>
      <c r="G4251" s="74"/>
      <c r="H4251" s="74"/>
      <c r="J4251" s="7"/>
      <c r="K4251" s="74"/>
      <c r="L4251" s="74"/>
      <c r="N4251" s="7"/>
      <c r="O4251" s="74"/>
      <c r="P4251" s="74"/>
      <c r="R4251" s="7"/>
      <c r="S4251" s="7"/>
      <c r="T4251" s="66"/>
    </row>
    <row r="4252" spans="1:20" ht="13.2">
      <c r="A4252" s="7"/>
      <c r="B4252" s="7"/>
      <c r="C4252" s="74"/>
      <c r="D4252" s="74"/>
      <c r="F4252" s="7"/>
      <c r="G4252" s="74"/>
      <c r="H4252" s="74"/>
      <c r="J4252" s="7"/>
      <c r="K4252" s="74"/>
      <c r="L4252" s="74"/>
      <c r="N4252" s="7"/>
      <c r="O4252" s="74"/>
      <c r="P4252" s="74"/>
      <c r="R4252" s="7"/>
      <c r="S4252" s="7"/>
      <c r="T4252" s="66"/>
    </row>
    <row r="4253" spans="1:20" ht="13.2">
      <c r="A4253" s="7"/>
      <c r="B4253" s="7"/>
      <c r="C4253" s="74"/>
      <c r="D4253" s="74"/>
      <c r="F4253" s="7"/>
      <c r="G4253" s="74"/>
      <c r="H4253" s="74"/>
      <c r="J4253" s="7"/>
      <c r="K4253" s="74"/>
      <c r="L4253" s="74"/>
      <c r="N4253" s="7"/>
      <c r="O4253" s="74"/>
      <c r="P4253" s="74"/>
      <c r="R4253" s="7"/>
      <c r="S4253" s="7"/>
      <c r="T4253" s="66"/>
    </row>
    <row r="4254" spans="1:20" ht="13.2">
      <c r="A4254" s="7"/>
      <c r="B4254" s="7"/>
      <c r="C4254" s="74"/>
      <c r="D4254" s="74"/>
      <c r="F4254" s="7"/>
      <c r="G4254" s="74"/>
      <c r="H4254" s="74"/>
      <c r="J4254" s="7"/>
      <c r="K4254" s="74"/>
      <c r="L4254" s="74"/>
      <c r="N4254" s="7"/>
      <c r="O4254" s="74"/>
      <c r="P4254" s="74"/>
      <c r="R4254" s="7"/>
      <c r="S4254" s="7"/>
      <c r="T4254" s="66"/>
    </row>
    <row r="4255" spans="1:20" ht="13.2">
      <c r="A4255" s="7"/>
      <c r="B4255" s="7"/>
      <c r="C4255" s="74"/>
      <c r="D4255" s="74"/>
      <c r="F4255" s="7"/>
      <c r="G4255" s="74"/>
      <c r="H4255" s="74"/>
      <c r="J4255" s="7"/>
      <c r="K4255" s="74"/>
      <c r="L4255" s="74"/>
      <c r="N4255" s="7"/>
      <c r="O4255" s="74"/>
      <c r="P4255" s="74"/>
      <c r="R4255" s="7"/>
      <c r="S4255" s="7"/>
      <c r="T4255" s="66"/>
    </row>
    <row r="4256" spans="1:20" ht="13.2">
      <c r="A4256" s="7"/>
      <c r="B4256" s="7"/>
      <c r="C4256" s="74"/>
      <c r="D4256" s="74"/>
      <c r="F4256" s="7"/>
      <c r="G4256" s="74"/>
      <c r="H4256" s="74"/>
      <c r="J4256" s="7"/>
      <c r="K4256" s="74"/>
      <c r="L4256" s="74"/>
      <c r="N4256" s="7"/>
      <c r="O4256" s="74"/>
      <c r="P4256" s="74"/>
      <c r="R4256" s="7"/>
      <c r="S4256" s="7"/>
      <c r="T4256" s="66"/>
    </row>
    <row r="4257" spans="1:20" ht="13.2">
      <c r="A4257" s="7"/>
      <c r="B4257" s="7"/>
      <c r="C4257" s="74"/>
      <c r="D4257" s="74"/>
      <c r="F4257" s="7"/>
      <c r="G4257" s="74"/>
      <c r="H4257" s="74"/>
      <c r="J4257" s="7"/>
      <c r="K4257" s="74"/>
      <c r="L4257" s="74"/>
      <c r="N4257" s="7"/>
      <c r="O4257" s="74"/>
      <c r="P4257" s="74"/>
      <c r="R4257" s="7"/>
      <c r="S4257" s="7"/>
      <c r="T4257" s="66"/>
    </row>
    <row r="4258" spans="1:20" ht="13.2">
      <c r="A4258" s="7"/>
      <c r="B4258" s="7"/>
      <c r="C4258" s="74"/>
      <c r="D4258" s="74"/>
      <c r="F4258" s="7"/>
      <c r="G4258" s="74"/>
      <c r="H4258" s="74"/>
      <c r="J4258" s="7"/>
      <c r="K4258" s="74"/>
      <c r="L4258" s="74"/>
      <c r="N4258" s="7"/>
      <c r="O4258" s="74"/>
      <c r="P4258" s="74"/>
      <c r="R4258" s="7"/>
      <c r="S4258" s="7"/>
      <c r="T4258" s="66"/>
    </row>
    <row r="4259" spans="1:20" ht="13.2">
      <c r="A4259" s="7"/>
      <c r="B4259" s="7"/>
      <c r="C4259" s="74"/>
      <c r="D4259" s="74"/>
      <c r="F4259" s="7"/>
      <c r="G4259" s="74"/>
      <c r="H4259" s="74"/>
      <c r="J4259" s="7"/>
      <c r="K4259" s="74"/>
      <c r="L4259" s="74"/>
      <c r="N4259" s="7"/>
      <c r="O4259" s="74"/>
      <c r="P4259" s="74"/>
      <c r="R4259" s="7"/>
      <c r="S4259" s="7"/>
      <c r="T4259" s="66"/>
    </row>
    <row r="4260" spans="1:20" ht="13.2">
      <c r="A4260" s="7"/>
      <c r="B4260" s="7"/>
      <c r="C4260" s="74"/>
      <c r="D4260" s="74"/>
      <c r="F4260" s="7"/>
      <c r="G4260" s="74"/>
      <c r="H4260" s="74"/>
      <c r="J4260" s="7"/>
      <c r="K4260" s="74"/>
      <c r="L4260" s="74"/>
      <c r="N4260" s="7"/>
      <c r="O4260" s="74"/>
      <c r="P4260" s="74"/>
      <c r="R4260" s="7"/>
      <c r="S4260" s="7"/>
      <c r="T4260" s="66"/>
    </row>
    <row r="4261" spans="1:20" ht="13.2">
      <c r="A4261" s="7"/>
      <c r="B4261" s="7"/>
      <c r="C4261" s="74"/>
      <c r="D4261" s="74"/>
      <c r="F4261" s="7"/>
      <c r="G4261" s="74"/>
      <c r="H4261" s="74"/>
      <c r="J4261" s="7"/>
      <c r="K4261" s="74"/>
      <c r="L4261" s="74"/>
      <c r="N4261" s="7"/>
      <c r="O4261" s="74"/>
      <c r="P4261" s="74"/>
      <c r="R4261" s="7"/>
      <c r="S4261" s="7"/>
      <c r="T4261" s="66"/>
    </row>
    <row r="4262" spans="1:20" ht="13.2">
      <c r="A4262" s="7"/>
      <c r="B4262" s="7"/>
      <c r="C4262" s="74"/>
      <c r="D4262" s="74"/>
      <c r="F4262" s="7"/>
      <c r="G4262" s="74"/>
      <c r="H4262" s="74"/>
      <c r="J4262" s="7"/>
      <c r="K4262" s="74"/>
      <c r="L4262" s="74"/>
      <c r="N4262" s="7"/>
      <c r="O4262" s="74"/>
      <c r="P4262" s="74"/>
      <c r="R4262" s="7"/>
      <c r="S4262" s="7"/>
      <c r="T4262" s="66"/>
    </row>
    <row r="4263" spans="1:20" ht="13.2">
      <c r="A4263" s="7"/>
      <c r="B4263" s="7"/>
      <c r="C4263" s="74"/>
      <c r="D4263" s="74"/>
      <c r="F4263" s="7"/>
      <c r="G4263" s="74"/>
      <c r="H4263" s="74"/>
      <c r="J4263" s="7"/>
      <c r="K4263" s="74"/>
      <c r="L4263" s="74"/>
      <c r="N4263" s="7"/>
      <c r="O4263" s="74"/>
      <c r="P4263" s="74"/>
      <c r="R4263" s="7"/>
      <c r="S4263" s="7"/>
      <c r="T4263" s="66"/>
    </row>
    <row r="4264" spans="1:20" ht="13.2">
      <c r="A4264" s="7"/>
      <c r="B4264" s="7"/>
      <c r="C4264" s="74"/>
      <c r="D4264" s="74"/>
      <c r="F4264" s="7"/>
      <c r="G4264" s="74"/>
      <c r="H4264" s="74"/>
      <c r="J4264" s="7"/>
      <c r="K4264" s="74"/>
      <c r="L4264" s="74"/>
      <c r="N4264" s="7"/>
      <c r="O4264" s="74"/>
      <c r="P4264" s="74"/>
      <c r="R4264" s="7"/>
      <c r="S4264" s="7"/>
      <c r="T4264" s="66"/>
    </row>
    <row r="4265" spans="1:20" ht="13.2">
      <c r="A4265" s="7"/>
      <c r="B4265" s="7"/>
      <c r="C4265" s="74"/>
      <c r="D4265" s="74"/>
      <c r="F4265" s="7"/>
      <c r="G4265" s="74"/>
      <c r="H4265" s="74"/>
      <c r="J4265" s="7"/>
      <c r="K4265" s="74"/>
      <c r="L4265" s="74"/>
      <c r="N4265" s="7"/>
      <c r="O4265" s="74"/>
      <c r="P4265" s="74"/>
      <c r="R4265" s="7"/>
      <c r="S4265" s="7"/>
      <c r="T4265" s="66"/>
    </row>
    <row r="4266" spans="1:20" ht="13.2">
      <c r="A4266" s="7"/>
      <c r="B4266" s="7"/>
      <c r="C4266" s="74"/>
      <c r="D4266" s="74"/>
      <c r="F4266" s="7"/>
      <c r="G4266" s="74"/>
      <c r="H4266" s="74"/>
      <c r="J4266" s="7"/>
      <c r="K4266" s="74"/>
      <c r="L4266" s="74"/>
      <c r="N4266" s="7"/>
      <c r="O4266" s="74"/>
      <c r="P4266" s="74"/>
      <c r="R4266" s="7"/>
      <c r="S4266" s="7"/>
      <c r="T4266" s="66"/>
    </row>
    <row r="4267" spans="1:20" ht="13.2">
      <c r="A4267" s="7"/>
      <c r="B4267" s="7"/>
      <c r="C4267" s="74"/>
      <c r="D4267" s="74"/>
      <c r="F4267" s="7"/>
      <c r="G4267" s="74"/>
      <c r="H4267" s="74"/>
      <c r="J4267" s="7"/>
      <c r="K4267" s="74"/>
      <c r="L4267" s="74"/>
      <c r="N4267" s="7"/>
      <c r="O4267" s="74"/>
      <c r="P4267" s="74"/>
      <c r="R4267" s="7"/>
      <c r="S4267" s="7"/>
      <c r="T4267" s="66"/>
    </row>
    <row r="4268" spans="1:20" ht="13.2">
      <c r="A4268" s="7"/>
      <c r="B4268" s="7"/>
      <c r="C4268" s="74"/>
      <c r="D4268" s="74"/>
      <c r="F4268" s="7"/>
      <c r="G4268" s="74"/>
      <c r="H4268" s="74"/>
      <c r="J4268" s="7"/>
      <c r="K4268" s="74"/>
      <c r="L4268" s="74"/>
      <c r="N4268" s="7"/>
      <c r="O4268" s="74"/>
      <c r="P4268" s="74"/>
      <c r="R4268" s="7"/>
      <c r="S4268" s="7"/>
      <c r="T4268" s="66"/>
    </row>
    <row r="4269" spans="1:20" ht="13.2">
      <c r="A4269" s="7"/>
      <c r="B4269" s="7"/>
      <c r="C4269" s="74"/>
      <c r="D4269" s="74"/>
      <c r="F4269" s="7"/>
      <c r="G4269" s="74"/>
      <c r="H4269" s="74"/>
      <c r="J4269" s="7"/>
      <c r="K4269" s="74"/>
      <c r="L4269" s="74"/>
      <c r="N4269" s="7"/>
      <c r="O4269" s="74"/>
      <c r="P4269" s="74"/>
      <c r="R4269" s="7"/>
      <c r="S4269" s="7"/>
      <c r="T4269" s="66"/>
    </row>
    <row r="4270" spans="1:20" ht="13.2">
      <c r="A4270" s="7"/>
      <c r="B4270" s="7"/>
      <c r="C4270" s="74"/>
      <c r="D4270" s="74"/>
      <c r="F4270" s="7"/>
      <c r="G4270" s="74"/>
      <c r="H4270" s="74"/>
      <c r="J4270" s="7"/>
      <c r="K4270" s="74"/>
      <c r="L4270" s="74"/>
      <c r="N4270" s="7"/>
      <c r="O4270" s="74"/>
      <c r="P4270" s="74"/>
      <c r="R4270" s="7"/>
      <c r="S4270" s="7"/>
      <c r="T4270" s="66"/>
    </row>
    <row r="4271" spans="1:20" ht="13.2">
      <c r="A4271" s="7"/>
      <c r="B4271" s="7"/>
      <c r="C4271" s="74"/>
      <c r="D4271" s="74"/>
      <c r="F4271" s="7"/>
      <c r="G4271" s="74"/>
      <c r="H4271" s="74"/>
      <c r="J4271" s="7"/>
      <c r="K4271" s="74"/>
      <c r="L4271" s="74"/>
      <c r="N4271" s="7"/>
      <c r="O4271" s="74"/>
      <c r="P4271" s="74"/>
      <c r="R4271" s="7"/>
      <c r="S4271" s="7"/>
      <c r="T4271" s="66"/>
    </row>
    <row r="4272" spans="1:20" ht="13.2">
      <c r="A4272" s="7"/>
      <c r="B4272" s="7"/>
      <c r="C4272" s="74"/>
      <c r="D4272" s="74"/>
      <c r="F4272" s="7"/>
      <c r="G4272" s="74"/>
      <c r="H4272" s="74"/>
      <c r="J4272" s="7"/>
      <c r="K4272" s="74"/>
      <c r="L4272" s="74"/>
      <c r="N4272" s="7"/>
      <c r="O4272" s="74"/>
      <c r="P4272" s="74"/>
      <c r="R4272" s="7"/>
      <c r="S4272" s="7"/>
      <c r="T4272" s="66"/>
    </row>
    <row r="4273" spans="1:20" ht="13.2">
      <c r="A4273" s="7"/>
      <c r="B4273" s="7"/>
      <c r="C4273" s="74"/>
      <c r="D4273" s="74"/>
      <c r="F4273" s="7"/>
      <c r="G4273" s="74"/>
      <c r="H4273" s="74"/>
      <c r="J4273" s="7"/>
      <c r="K4273" s="74"/>
      <c r="L4273" s="74"/>
      <c r="N4273" s="7"/>
      <c r="O4273" s="74"/>
      <c r="P4273" s="74"/>
      <c r="R4273" s="7"/>
      <c r="S4273" s="7"/>
      <c r="T4273" s="66"/>
    </row>
    <row r="4274" spans="1:20" ht="13.2">
      <c r="A4274" s="7"/>
      <c r="B4274" s="7"/>
      <c r="C4274" s="74"/>
      <c r="D4274" s="74"/>
      <c r="F4274" s="7"/>
      <c r="G4274" s="74"/>
      <c r="H4274" s="74"/>
      <c r="J4274" s="7"/>
      <c r="K4274" s="74"/>
      <c r="L4274" s="74"/>
      <c r="N4274" s="7"/>
      <c r="O4274" s="74"/>
      <c r="P4274" s="74"/>
      <c r="R4274" s="7"/>
      <c r="S4274" s="7"/>
      <c r="T4274" s="66"/>
    </row>
    <row r="4275" spans="1:20" ht="13.2">
      <c r="A4275" s="7"/>
      <c r="B4275" s="7"/>
      <c r="C4275" s="74"/>
      <c r="D4275" s="74"/>
      <c r="F4275" s="7"/>
      <c r="G4275" s="74"/>
      <c r="H4275" s="74"/>
      <c r="J4275" s="7"/>
      <c r="K4275" s="74"/>
      <c r="L4275" s="74"/>
      <c r="N4275" s="7"/>
      <c r="O4275" s="74"/>
      <c r="P4275" s="74"/>
      <c r="R4275" s="7"/>
      <c r="S4275" s="7"/>
      <c r="T4275" s="66"/>
    </row>
    <row r="4276" spans="1:20" ht="13.2">
      <c r="A4276" s="7"/>
      <c r="B4276" s="7"/>
      <c r="C4276" s="74"/>
      <c r="D4276" s="74"/>
      <c r="F4276" s="7"/>
      <c r="G4276" s="74"/>
      <c r="H4276" s="74"/>
      <c r="J4276" s="7"/>
      <c r="K4276" s="74"/>
      <c r="L4276" s="74"/>
      <c r="N4276" s="7"/>
      <c r="O4276" s="74"/>
      <c r="P4276" s="74"/>
      <c r="R4276" s="7"/>
      <c r="S4276" s="7"/>
      <c r="T4276" s="66"/>
    </row>
    <row r="4277" spans="1:20" ht="13.2">
      <c r="A4277" s="7"/>
      <c r="B4277" s="7"/>
      <c r="C4277" s="74"/>
      <c r="D4277" s="74"/>
      <c r="F4277" s="7"/>
      <c r="G4277" s="74"/>
      <c r="H4277" s="74"/>
      <c r="J4277" s="7"/>
      <c r="K4277" s="74"/>
      <c r="L4277" s="74"/>
      <c r="N4277" s="7"/>
      <c r="O4277" s="74"/>
      <c r="P4277" s="74"/>
      <c r="R4277" s="7"/>
      <c r="S4277" s="7"/>
      <c r="T4277" s="66"/>
    </row>
    <row r="4278" spans="1:20" ht="13.2">
      <c r="A4278" s="7"/>
      <c r="B4278" s="7"/>
      <c r="C4278" s="74"/>
      <c r="D4278" s="74"/>
      <c r="F4278" s="7"/>
      <c r="G4278" s="74"/>
      <c r="H4278" s="74"/>
      <c r="J4278" s="7"/>
      <c r="K4278" s="74"/>
      <c r="L4278" s="74"/>
      <c r="N4278" s="7"/>
      <c r="O4278" s="74"/>
      <c r="P4278" s="74"/>
      <c r="R4278" s="7"/>
      <c r="S4278" s="7"/>
      <c r="T4278" s="66"/>
    </row>
    <row r="4279" spans="1:20" ht="13.2">
      <c r="A4279" s="7"/>
      <c r="B4279" s="7"/>
      <c r="C4279" s="74"/>
      <c r="D4279" s="74"/>
      <c r="F4279" s="7"/>
      <c r="G4279" s="74"/>
      <c r="H4279" s="74"/>
      <c r="J4279" s="7"/>
      <c r="K4279" s="74"/>
      <c r="L4279" s="74"/>
      <c r="N4279" s="7"/>
      <c r="O4279" s="74"/>
      <c r="P4279" s="74"/>
      <c r="R4279" s="7"/>
      <c r="S4279" s="7"/>
      <c r="T4279" s="66"/>
    </row>
    <row r="4280" spans="1:20" ht="13.2">
      <c r="A4280" s="7"/>
      <c r="B4280" s="7"/>
      <c r="C4280" s="74"/>
      <c r="D4280" s="74"/>
      <c r="F4280" s="7"/>
      <c r="G4280" s="74"/>
      <c r="H4280" s="74"/>
      <c r="J4280" s="7"/>
      <c r="K4280" s="74"/>
      <c r="L4280" s="74"/>
      <c r="N4280" s="7"/>
      <c r="O4280" s="74"/>
      <c r="P4280" s="74"/>
      <c r="R4280" s="7"/>
      <c r="S4280" s="7"/>
      <c r="T4280" s="66"/>
    </row>
    <row r="4281" spans="1:20" ht="13.2">
      <c r="A4281" s="7"/>
      <c r="B4281" s="7"/>
      <c r="C4281" s="74"/>
      <c r="D4281" s="74"/>
      <c r="F4281" s="7"/>
      <c r="G4281" s="74"/>
      <c r="H4281" s="74"/>
      <c r="J4281" s="7"/>
      <c r="K4281" s="74"/>
      <c r="L4281" s="74"/>
      <c r="N4281" s="7"/>
      <c r="O4281" s="74"/>
      <c r="P4281" s="74"/>
      <c r="R4281" s="7"/>
      <c r="S4281" s="7"/>
      <c r="T4281" s="66"/>
    </row>
    <row r="4282" spans="1:20" ht="13.2">
      <c r="A4282" s="7"/>
      <c r="B4282" s="7"/>
      <c r="C4282" s="74"/>
      <c r="D4282" s="74"/>
      <c r="F4282" s="7"/>
      <c r="G4282" s="74"/>
      <c r="H4282" s="74"/>
      <c r="J4282" s="7"/>
      <c r="K4282" s="74"/>
      <c r="L4282" s="74"/>
      <c r="N4282" s="7"/>
      <c r="O4282" s="74"/>
      <c r="P4282" s="74"/>
      <c r="R4282" s="7"/>
      <c r="S4282" s="7"/>
      <c r="T4282" s="66"/>
    </row>
    <row r="4283" spans="1:20" ht="13.2">
      <c r="A4283" s="7"/>
      <c r="B4283" s="7"/>
      <c r="C4283" s="74"/>
      <c r="D4283" s="74"/>
      <c r="F4283" s="7"/>
      <c r="G4283" s="74"/>
      <c r="H4283" s="74"/>
      <c r="J4283" s="7"/>
      <c r="K4283" s="74"/>
      <c r="L4283" s="74"/>
      <c r="N4283" s="7"/>
      <c r="O4283" s="74"/>
      <c r="P4283" s="74"/>
      <c r="R4283" s="7"/>
      <c r="S4283" s="7"/>
      <c r="T4283" s="66"/>
    </row>
    <row r="4284" spans="1:20" ht="13.2">
      <c r="A4284" s="7"/>
      <c r="B4284" s="7"/>
      <c r="C4284" s="74"/>
      <c r="D4284" s="74"/>
      <c r="F4284" s="7"/>
      <c r="G4284" s="74"/>
      <c r="H4284" s="74"/>
      <c r="J4284" s="7"/>
      <c r="K4284" s="74"/>
      <c r="L4284" s="74"/>
      <c r="N4284" s="7"/>
      <c r="O4284" s="74"/>
      <c r="P4284" s="74"/>
      <c r="R4284" s="7"/>
      <c r="S4284" s="7"/>
      <c r="T4284" s="66"/>
    </row>
    <row r="4285" spans="1:20" ht="13.2">
      <c r="A4285" s="7"/>
      <c r="B4285" s="7"/>
      <c r="C4285" s="74"/>
      <c r="D4285" s="74"/>
      <c r="F4285" s="7"/>
      <c r="G4285" s="74"/>
      <c r="H4285" s="74"/>
      <c r="J4285" s="7"/>
      <c r="K4285" s="74"/>
      <c r="L4285" s="74"/>
      <c r="N4285" s="7"/>
      <c r="O4285" s="74"/>
      <c r="P4285" s="74"/>
      <c r="R4285" s="7"/>
      <c r="S4285" s="7"/>
      <c r="T4285" s="66"/>
    </row>
    <row r="4286" spans="1:20" ht="13.2">
      <c r="A4286" s="7"/>
      <c r="B4286" s="7"/>
      <c r="C4286" s="74"/>
      <c r="D4286" s="74"/>
      <c r="F4286" s="7"/>
      <c r="G4286" s="74"/>
      <c r="H4286" s="74"/>
      <c r="J4286" s="7"/>
      <c r="K4286" s="74"/>
      <c r="L4286" s="74"/>
      <c r="N4286" s="7"/>
      <c r="O4286" s="74"/>
      <c r="P4286" s="74"/>
      <c r="R4286" s="7"/>
      <c r="S4286" s="7"/>
      <c r="T4286" s="66"/>
    </row>
    <row r="4287" spans="1:20" ht="13.2">
      <c r="A4287" s="7"/>
      <c r="B4287" s="7"/>
      <c r="C4287" s="74"/>
      <c r="D4287" s="74"/>
      <c r="F4287" s="7"/>
      <c r="G4287" s="74"/>
      <c r="H4287" s="74"/>
      <c r="J4287" s="7"/>
      <c r="K4287" s="74"/>
      <c r="L4287" s="74"/>
      <c r="N4287" s="7"/>
      <c r="O4287" s="74"/>
      <c r="P4287" s="74"/>
      <c r="R4287" s="7"/>
      <c r="S4287" s="7"/>
      <c r="T4287" s="66"/>
    </row>
    <row r="4288" spans="1:20" ht="13.2">
      <c r="A4288" s="7"/>
      <c r="B4288" s="7"/>
      <c r="C4288" s="74"/>
      <c r="D4288" s="74"/>
      <c r="F4288" s="7"/>
      <c r="G4288" s="74"/>
      <c r="H4288" s="74"/>
      <c r="J4288" s="7"/>
      <c r="K4288" s="74"/>
      <c r="L4288" s="74"/>
      <c r="N4288" s="7"/>
      <c r="O4288" s="74"/>
      <c r="P4288" s="74"/>
      <c r="R4288" s="7"/>
      <c r="S4288" s="7"/>
      <c r="T4288" s="66"/>
    </row>
    <row r="4289" spans="1:20" ht="13.2">
      <c r="A4289" s="7"/>
      <c r="B4289" s="7"/>
      <c r="C4289" s="74"/>
      <c r="D4289" s="74"/>
      <c r="F4289" s="7"/>
      <c r="G4289" s="74"/>
      <c r="H4289" s="74"/>
      <c r="J4289" s="7"/>
      <c r="K4289" s="74"/>
      <c r="L4289" s="74"/>
      <c r="N4289" s="7"/>
      <c r="O4289" s="74"/>
      <c r="P4289" s="74"/>
      <c r="R4289" s="7"/>
      <c r="S4289" s="7"/>
      <c r="T4289" s="66"/>
    </row>
    <row r="4290" spans="1:20" ht="13.2">
      <c r="A4290" s="7"/>
      <c r="B4290" s="7"/>
      <c r="C4290" s="74"/>
      <c r="D4290" s="74"/>
      <c r="F4290" s="7"/>
      <c r="G4290" s="74"/>
      <c r="H4290" s="74"/>
      <c r="J4290" s="7"/>
      <c r="K4290" s="74"/>
      <c r="L4290" s="74"/>
      <c r="N4290" s="7"/>
      <c r="O4290" s="74"/>
      <c r="P4290" s="74"/>
      <c r="R4290" s="7"/>
      <c r="S4290" s="7"/>
      <c r="T4290" s="66"/>
    </row>
    <row r="4291" spans="1:20" ht="13.2">
      <c r="A4291" s="7"/>
      <c r="B4291" s="7"/>
      <c r="C4291" s="74"/>
      <c r="D4291" s="74"/>
      <c r="F4291" s="7"/>
      <c r="G4291" s="74"/>
      <c r="H4291" s="74"/>
      <c r="J4291" s="7"/>
      <c r="K4291" s="74"/>
      <c r="L4291" s="74"/>
      <c r="N4291" s="7"/>
      <c r="O4291" s="74"/>
      <c r="P4291" s="74"/>
      <c r="R4291" s="7"/>
      <c r="S4291" s="7"/>
      <c r="T4291" s="66"/>
    </row>
    <row r="4292" spans="1:20" ht="13.2">
      <c r="A4292" s="7"/>
      <c r="B4292" s="7"/>
      <c r="C4292" s="74"/>
      <c r="D4292" s="74"/>
      <c r="F4292" s="7"/>
      <c r="G4292" s="74"/>
      <c r="H4292" s="74"/>
      <c r="J4292" s="7"/>
      <c r="K4292" s="74"/>
      <c r="L4292" s="74"/>
      <c r="N4292" s="7"/>
      <c r="O4292" s="74"/>
      <c r="P4292" s="74"/>
      <c r="R4292" s="7"/>
      <c r="S4292" s="7"/>
      <c r="T4292" s="66"/>
    </row>
    <row r="4293" spans="1:20" ht="13.2">
      <c r="A4293" s="7"/>
      <c r="B4293" s="7"/>
      <c r="C4293" s="74"/>
      <c r="D4293" s="74"/>
      <c r="F4293" s="7"/>
      <c r="G4293" s="74"/>
      <c r="H4293" s="74"/>
      <c r="J4293" s="7"/>
      <c r="K4293" s="74"/>
      <c r="L4293" s="74"/>
      <c r="N4293" s="7"/>
      <c r="O4293" s="74"/>
      <c r="P4293" s="74"/>
      <c r="R4293" s="7"/>
      <c r="S4293" s="7"/>
      <c r="T4293" s="66"/>
    </row>
    <row r="4294" spans="1:20" ht="13.2">
      <c r="A4294" s="7"/>
      <c r="B4294" s="7"/>
      <c r="C4294" s="74"/>
      <c r="D4294" s="74"/>
      <c r="F4294" s="7"/>
      <c r="G4294" s="74"/>
      <c r="H4294" s="74"/>
      <c r="J4294" s="7"/>
      <c r="K4294" s="74"/>
      <c r="L4294" s="74"/>
      <c r="N4294" s="7"/>
      <c r="O4294" s="74"/>
      <c r="P4294" s="74"/>
      <c r="R4294" s="7"/>
      <c r="S4294" s="7"/>
      <c r="T4294" s="66"/>
    </row>
    <row r="4295" spans="1:20" ht="13.2">
      <c r="A4295" s="7"/>
      <c r="B4295" s="7"/>
      <c r="C4295" s="74"/>
      <c r="D4295" s="74"/>
      <c r="F4295" s="7"/>
      <c r="G4295" s="74"/>
      <c r="H4295" s="74"/>
      <c r="J4295" s="7"/>
      <c r="K4295" s="74"/>
      <c r="L4295" s="74"/>
      <c r="N4295" s="7"/>
      <c r="O4295" s="74"/>
      <c r="P4295" s="74"/>
      <c r="R4295" s="7"/>
      <c r="S4295" s="7"/>
      <c r="T4295" s="66"/>
    </row>
    <row r="4296" spans="1:20" ht="13.2">
      <c r="A4296" s="7"/>
      <c r="B4296" s="7"/>
      <c r="C4296" s="74"/>
      <c r="D4296" s="74"/>
      <c r="F4296" s="7"/>
      <c r="G4296" s="74"/>
      <c r="H4296" s="74"/>
      <c r="J4296" s="7"/>
      <c r="K4296" s="74"/>
      <c r="L4296" s="74"/>
      <c r="N4296" s="7"/>
      <c r="O4296" s="74"/>
      <c r="P4296" s="74"/>
      <c r="R4296" s="7"/>
      <c r="S4296" s="7"/>
      <c r="T4296" s="66"/>
    </row>
    <row r="4297" spans="1:20" ht="13.2">
      <c r="A4297" s="7"/>
      <c r="B4297" s="7"/>
      <c r="C4297" s="74"/>
      <c r="D4297" s="74"/>
      <c r="F4297" s="7"/>
      <c r="G4297" s="74"/>
      <c r="H4297" s="74"/>
      <c r="J4297" s="7"/>
      <c r="K4297" s="74"/>
      <c r="L4297" s="74"/>
      <c r="N4297" s="7"/>
      <c r="O4297" s="74"/>
      <c r="P4297" s="74"/>
      <c r="R4297" s="7"/>
      <c r="S4297" s="7"/>
      <c r="T4297" s="66"/>
    </row>
    <row r="4298" spans="1:20" ht="13.2">
      <c r="A4298" s="7"/>
      <c r="B4298" s="7"/>
      <c r="C4298" s="74"/>
      <c r="D4298" s="74"/>
      <c r="F4298" s="7"/>
      <c r="G4298" s="74"/>
      <c r="H4298" s="74"/>
      <c r="J4298" s="7"/>
      <c r="K4298" s="74"/>
      <c r="L4298" s="74"/>
      <c r="N4298" s="7"/>
      <c r="O4298" s="74"/>
      <c r="P4298" s="74"/>
      <c r="R4298" s="7"/>
      <c r="S4298" s="7"/>
      <c r="T4298" s="66"/>
    </row>
    <row r="4299" spans="1:20" ht="13.2">
      <c r="A4299" s="7"/>
      <c r="B4299" s="7"/>
      <c r="C4299" s="74"/>
      <c r="D4299" s="74"/>
      <c r="F4299" s="7"/>
      <c r="G4299" s="74"/>
      <c r="H4299" s="74"/>
      <c r="J4299" s="7"/>
      <c r="K4299" s="74"/>
      <c r="L4299" s="74"/>
      <c r="N4299" s="7"/>
      <c r="O4299" s="74"/>
      <c r="P4299" s="74"/>
      <c r="R4299" s="7"/>
      <c r="S4299" s="7"/>
      <c r="T4299" s="66"/>
    </row>
    <row r="4300" spans="1:20" ht="13.2">
      <c r="A4300" s="7"/>
      <c r="B4300" s="7"/>
      <c r="C4300" s="74"/>
      <c r="D4300" s="74"/>
      <c r="F4300" s="7"/>
      <c r="G4300" s="74"/>
      <c r="H4300" s="74"/>
      <c r="J4300" s="7"/>
      <c r="K4300" s="74"/>
      <c r="L4300" s="74"/>
      <c r="N4300" s="7"/>
      <c r="O4300" s="74"/>
      <c r="P4300" s="74"/>
      <c r="R4300" s="7"/>
      <c r="S4300" s="7"/>
      <c r="T4300" s="66"/>
    </row>
    <row r="4301" spans="1:20" ht="13.2">
      <c r="A4301" s="7"/>
      <c r="B4301" s="7"/>
      <c r="C4301" s="74"/>
      <c r="D4301" s="74"/>
      <c r="F4301" s="7"/>
      <c r="G4301" s="74"/>
      <c r="H4301" s="74"/>
      <c r="J4301" s="7"/>
      <c r="K4301" s="74"/>
      <c r="L4301" s="74"/>
      <c r="N4301" s="7"/>
      <c r="O4301" s="74"/>
      <c r="P4301" s="74"/>
      <c r="R4301" s="7"/>
      <c r="S4301" s="7"/>
      <c r="T4301" s="66"/>
    </row>
    <row r="4302" spans="1:20" ht="13.2">
      <c r="A4302" s="7"/>
      <c r="B4302" s="7"/>
      <c r="C4302" s="74"/>
      <c r="D4302" s="74"/>
      <c r="F4302" s="7"/>
      <c r="G4302" s="74"/>
      <c r="H4302" s="74"/>
      <c r="J4302" s="7"/>
      <c r="K4302" s="74"/>
      <c r="L4302" s="74"/>
      <c r="N4302" s="7"/>
      <c r="O4302" s="74"/>
      <c r="P4302" s="74"/>
      <c r="R4302" s="7"/>
      <c r="S4302" s="7"/>
      <c r="T4302" s="66"/>
    </row>
    <row r="4303" spans="1:20" ht="13.2">
      <c r="A4303" s="7"/>
      <c r="B4303" s="7"/>
      <c r="C4303" s="74"/>
      <c r="D4303" s="74"/>
      <c r="F4303" s="7"/>
      <c r="G4303" s="74"/>
      <c r="H4303" s="74"/>
      <c r="J4303" s="7"/>
      <c r="K4303" s="74"/>
      <c r="L4303" s="74"/>
      <c r="N4303" s="7"/>
      <c r="O4303" s="74"/>
      <c r="P4303" s="74"/>
      <c r="R4303" s="7"/>
      <c r="S4303" s="7"/>
      <c r="T4303" s="66"/>
    </row>
    <row r="4304" spans="1:20" ht="13.2">
      <c r="A4304" s="7"/>
      <c r="B4304" s="7"/>
      <c r="C4304" s="74"/>
      <c r="D4304" s="74"/>
      <c r="F4304" s="7"/>
      <c r="G4304" s="74"/>
      <c r="H4304" s="74"/>
      <c r="J4304" s="7"/>
      <c r="K4304" s="74"/>
      <c r="L4304" s="74"/>
      <c r="N4304" s="7"/>
      <c r="O4304" s="74"/>
      <c r="P4304" s="74"/>
      <c r="R4304" s="7"/>
      <c r="S4304" s="7"/>
      <c r="T4304" s="66"/>
    </row>
    <row r="4305" spans="1:20" ht="13.2">
      <c r="A4305" s="7"/>
      <c r="B4305" s="7"/>
      <c r="C4305" s="74"/>
      <c r="D4305" s="74"/>
      <c r="F4305" s="7"/>
      <c r="G4305" s="74"/>
      <c r="H4305" s="74"/>
      <c r="J4305" s="7"/>
      <c r="K4305" s="74"/>
      <c r="L4305" s="74"/>
      <c r="N4305" s="7"/>
      <c r="O4305" s="74"/>
      <c r="P4305" s="74"/>
      <c r="R4305" s="7"/>
      <c r="S4305" s="7"/>
      <c r="T4305" s="66"/>
    </row>
    <row r="4306" spans="1:20" ht="13.2">
      <c r="A4306" s="7"/>
      <c r="B4306" s="7"/>
      <c r="C4306" s="74"/>
      <c r="D4306" s="74"/>
      <c r="F4306" s="7"/>
      <c r="G4306" s="74"/>
      <c r="H4306" s="74"/>
      <c r="J4306" s="7"/>
      <c r="K4306" s="74"/>
      <c r="L4306" s="74"/>
      <c r="N4306" s="7"/>
      <c r="O4306" s="74"/>
      <c r="P4306" s="74"/>
      <c r="R4306" s="7"/>
      <c r="S4306" s="7"/>
      <c r="T4306" s="66"/>
    </row>
    <row r="4307" spans="1:20" ht="13.2">
      <c r="A4307" s="7"/>
      <c r="B4307" s="7"/>
      <c r="C4307" s="74"/>
      <c r="D4307" s="74"/>
      <c r="F4307" s="7"/>
      <c r="G4307" s="74"/>
      <c r="H4307" s="74"/>
      <c r="J4307" s="7"/>
      <c r="K4307" s="74"/>
      <c r="L4307" s="74"/>
      <c r="N4307" s="7"/>
      <c r="O4307" s="74"/>
      <c r="P4307" s="74"/>
      <c r="R4307" s="7"/>
      <c r="S4307" s="7"/>
      <c r="T4307" s="66"/>
    </row>
    <row r="4308" spans="1:20" ht="13.2">
      <c r="A4308" s="7"/>
      <c r="B4308" s="7"/>
      <c r="C4308" s="74"/>
      <c r="D4308" s="74"/>
      <c r="F4308" s="7"/>
      <c r="G4308" s="74"/>
      <c r="H4308" s="74"/>
      <c r="J4308" s="7"/>
      <c r="K4308" s="74"/>
      <c r="L4308" s="74"/>
      <c r="N4308" s="7"/>
      <c r="O4308" s="74"/>
      <c r="P4308" s="74"/>
      <c r="R4308" s="7"/>
      <c r="S4308" s="7"/>
      <c r="T4308" s="66"/>
    </row>
    <row r="4309" spans="1:20" ht="13.2">
      <c r="A4309" s="7"/>
      <c r="B4309" s="7"/>
      <c r="C4309" s="74"/>
      <c r="D4309" s="74"/>
      <c r="F4309" s="7"/>
      <c r="G4309" s="74"/>
      <c r="H4309" s="74"/>
      <c r="J4309" s="7"/>
      <c r="K4309" s="74"/>
      <c r="L4309" s="74"/>
      <c r="N4309" s="7"/>
      <c r="O4309" s="74"/>
      <c r="P4309" s="74"/>
      <c r="R4309" s="7"/>
      <c r="S4309" s="7"/>
      <c r="T4309" s="66"/>
    </row>
    <row r="4310" spans="1:20" ht="13.2">
      <c r="A4310" s="7"/>
      <c r="B4310" s="7"/>
      <c r="C4310" s="74"/>
      <c r="D4310" s="74"/>
      <c r="F4310" s="7"/>
      <c r="G4310" s="74"/>
      <c r="H4310" s="74"/>
      <c r="J4310" s="7"/>
      <c r="K4310" s="74"/>
      <c r="L4310" s="74"/>
      <c r="N4310" s="7"/>
      <c r="O4310" s="74"/>
      <c r="P4310" s="74"/>
      <c r="R4310" s="7"/>
      <c r="S4310" s="7"/>
      <c r="T4310" s="66"/>
    </row>
    <row r="4311" spans="1:20" ht="13.2">
      <c r="A4311" s="7"/>
      <c r="B4311" s="7"/>
      <c r="C4311" s="74"/>
      <c r="D4311" s="74"/>
      <c r="F4311" s="7"/>
      <c r="G4311" s="74"/>
      <c r="H4311" s="74"/>
      <c r="J4311" s="7"/>
      <c r="K4311" s="74"/>
      <c r="L4311" s="74"/>
      <c r="N4311" s="7"/>
      <c r="O4311" s="74"/>
      <c r="P4311" s="74"/>
      <c r="R4311" s="7"/>
      <c r="S4311" s="7"/>
      <c r="T4311" s="66"/>
    </row>
    <row r="4312" spans="1:20" ht="13.2">
      <c r="A4312" s="7"/>
      <c r="B4312" s="7"/>
      <c r="C4312" s="74"/>
      <c r="D4312" s="74"/>
      <c r="F4312" s="7"/>
      <c r="G4312" s="74"/>
      <c r="H4312" s="74"/>
      <c r="J4312" s="7"/>
      <c r="K4312" s="74"/>
      <c r="L4312" s="74"/>
      <c r="N4312" s="7"/>
      <c r="O4312" s="74"/>
      <c r="P4312" s="74"/>
      <c r="R4312" s="7"/>
      <c r="S4312" s="7"/>
      <c r="T4312" s="66"/>
    </row>
    <row r="4313" spans="1:20" ht="13.2">
      <c r="A4313" s="7"/>
      <c r="B4313" s="7"/>
      <c r="C4313" s="74"/>
      <c r="D4313" s="74"/>
      <c r="F4313" s="7"/>
      <c r="G4313" s="74"/>
      <c r="H4313" s="74"/>
      <c r="J4313" s="7"/>
      <c r="K4313" s="74"/>
      <c r="L4313" s="74"/>
      <c r="N4313" s="7"/>
      <c r="O4313" s="74"/>
      <c r="P4313" s="74"/>
      <c r="R4313" s="7"/>
      <c r="S4313" s="7"/>
      <c r="T4313" s="66"/>
    </row>
    <row r="4314" spans="1:20" ht="13.2">
      <c r="A4314" s="7"/>
      <c r="B4314" s="7"/>
      <c r="C4314" s="74"/>
      <c r="D4314" s="74"/>
      <c r="F4314" s="7"/>
      <c r="G4314" s="74"/>
      <c r="H4314" s="74"/>
      <c r="J4314" s="7"/>
      <c r="K4314" s="74"/>
      <c r="L4314" s="74"/>
      <c r="N4314" s="7"/>
      <c r="O4314" s="74"/>
      <c r="P4314" s="74"/>
      <c r="R4314" s="7"/>
      <c r="S4314" s="7"/>
      <c r="T4314" s="66"/>
    </row>
    <row r="4315" spans="1:20" ht="13.2">
      <c r="A4315" s="7"/>
      <c r="B4315" s="7"/>
      <c r="C4315" s="74"/>
      <c r="D4315" s="74"/>
      <c r="F4315" s="7"/>
      <c r="G4315" s="74"/>
      <c r="H4315" s="74"/>
      <c r="J4315" s="7"/>
      <c r="K4315" s="74"/>
      <c r="L4315" s="74"/>
      <c r="N4315" s="7"/>
      <c r="O4315" s="74"/>
      <c r="P4315" s="74"/>
      <c r="R4315" s="7"/>
      <c r="S4315" s="7"/>
      <c r="T4315" s="66"/>
    </row>
    <row r="4316" spans="1:20" ht="13.2">
      <c r="A4316" s="7"/>
      <c r="B4316" s="7"/>
      <c r="C4316" s="74"/>
      <c r="D4316" s="74"/>
      <c r="F4316" s="7"/>
      <c r="G4316" s="74"/>
      <c r="H4316" s="74"/>
      <c r="J4316" s="7"/>
      <c r="K4316" s="74"/>
      <c r="L4316" s="74"/>
      <c r="N4316" s="7"/>
      <c r="O4316" s="74"/>
      <c r="P4316" s="74"/>
      <c r="R4316" s="7"/>
      <c r="S4316" s="7"/>
      <c r="T4316" s="66"/>
    </row>
    <row r="4317" spans="1:20" ht="13.2">
      <c r="A4317" s="7"/>
      <c r="B4317" s="7"/>
      <c r="C4317" s="74"/>
      <c r="D4317" s="74"/>
      <c r="F4317" s="7"/>
      <c r="G4317" s="74"/>
      <c r="H4317" s="74"/>
      <c r="J4317" s="7"/>
      <c r="K4317" s="74"/>
      <c r="L4317" s="74"/>
      <c r="N4317" s="7"/>
      <c r="O4317" s="74"/>
      <c r="P4317" s="74"/>
      <c r="R4317" s="7"/>
      <c r="S4317" s="7"/>
      <c r="T4317" s="66"/>
    </row>
    <row r="4318" spans="1:20" ht="13.2">
      <c r="A4318" s="7"/>
      <c r="B4318" s="7"/>
      <c r="C4318" s="74"/>
      <c r="D4318" s="74"/>
      <c r="F4318" s="7"/>
      <c r="G4318" s="74"/>
      <c r="H4318" s="74"/>
      <c r="J4318" s="7"/>
      <c r="K4318" s="74"/>
      <c r="L4318" s="74"/>
      <c r="N4318" s="7"/>
      <c r="O4318" s="74"/>
      <c r="P4318" s="74"/>
      <c r="R4318" s="7"/>
      <c r="S4318" s="7"/>
      <c r="T4318" s="66"/>
    </row>
    <row r="4319" spans="1:20" ht="13.2">
      <c r="A4319" s="7"/>
      <c r="B4319" s="7"/>
      <c r="C4319" s="74"/>
      <c r="D4319" s="74"/>
      <c r="F4319" s="7"/>
      <c r="G4319" s="74"/>
      <c r="H4319" s="74"/>
      <c r="J4319" s="7"/>
      <c r="K4319" s="74"/>
      <c r="L4319" s="74"/>
      <c r="N4319" s="7"/>
      <c r="O4319" s="74"/>
      <c r="P4319" s="74"/>
      <c r="R4319" s="7"/>
      <c r="S4319" s="7"/>
      <c r="T4319" s="66"/>
    </row>
    <row r="4320" spans="1:20" ht="13.2">
      <c r="A4320" s="7"/>
      <c r="B4320" s="7"/>
      <c r="C4320" s="74"/>
      <c r="D4320" s="74"/>
      <c r="F4320" s="7"/>
      <c r="G4320" s="74"/>
      <c r="H4320" s="74"/>
      <c r="J4320" s="7"/>
      <c r="K4320" s="74"/>
      <c r="L4320" s="74"/>
      <c r="N4320" s="7"/>
      <c r="O4320" s="74"/>
      <c r="P4320" s="74"/>
      <c r="R4320" s="7"/>
      <c r="S4320" s="7"/>
      <c r="T4320" s="66"/>
    </row>
    <row r="4321" spans="1:20" ht="13.2">
      <c r="A4321" s="7"/>
      <c r="B4321" s="7"/>
      <c r="C4321" s="74"/>
      <c r="D4321" s="74"/>
      <c r="F4321" s="7"/>
      <c r="G4321" s="74"/>
      <c r="H4321" s="74"/>
      <c r="J4321" s="7"/>
      <c r="K4321" s="74"/>
      <c r="L4321" s="74"/>
      <c r="N4321" s="7"/>
      <c r="O4321" s="74"/>
      <c r="P4321" s="74"/>
      <c r="R4321" s="7"/>
      <c r="S4321" s="7"/>
      <c r="T4321" s="66"/>
    </row>
    <row r="4322" spans="1:20" ht="13.2">
      <c r="A4322" s="7"/>
      <c r="B4322" s="7"/>
      <c r="C4322" s="74"/>
      <c r="D4322" s="74"/>
      <c r="F4322" s="7"/>
      <c r="G4322" s="74"/>
      <c r="H4322" s="74"/>
      <c r="J4322" s="7"/>
      <c r="K4322" s="74"/>
      <c r="L4322" s="74"/>
      <c r="N4322" s="7"/>
      <c r="O4322" s="74"/>
      <c r="P4322" s="74"/>
      <c r="R4322" s="7"/>
      <c r="S4322" s="7"/>
      <c r="T4322" s="66"/>
    </row>
    <row r="4323" spans="1:20" ht="13.2">
      <c r="A4323" s="7"/>
      <c r="B4323" s="7"/>
      <c r="C4323" s="74"/>
      <c r="D4323" s="74"/>
      <c r="F4323" s="7"/>
      <c r="G4323" s="74"/>
      <c r="H4323" s="74"/>
      <c r="J4323" s="7"/>
      <c r="K4323" s="74"/>
      <c r="L4323" s="74"/>
      <c r="N4323" s="7"/>
      <c r="O4323" s="74"/>
      <c r="P4323" s="74"/>
      <c r="R4323" s="7"/>
      <c r="S4323" s="7"/>
      <c r="T4323" s="66"/>
    </row>
    <row r="4324" spans="1:20" ht="13.2">
      <c r="A4324" s="7"/>
      <c r="B4324" s="7"/>
      <c r="C4324" s="74"/>
      <c r="D4324" s="74"/>
      <c r="F4324" s="7"/>
      <c r="G4324" s="74"/>
      <c r="H4324" s="74"/>
      <c r="J4324" s="7"/>
      <c r="K4324" s="74"/>
      <c r="L4324" s="74"/>
      <c r="N4324" s="7"/>
      <c r="O4324" s="74"/>
      <c r="P4324" s="74"/>
      <c r="R4324" s="7"/>
      <c r="S4324" s="7"/>
      <c r="T4324" s="66"/>
    </row>
    <row r="4325" spans="1:20" ht="13.2">
      <c r="A4325" s="7"/>
      <c r="B4325" s="7"/>
      <c r="C4325" s="74"/>
      <c r="D4325" s="74"/>
      <c r="F4325" s="7"/>
      <c r="G4325" s="74"/>
      <c r="H4325" s="74"/>
      <c r="J4325" s="7"/>
      <c r="K4325" s="74"/>
      <c r="L4325" s="74"/>
      <c r="N4325" s="7"/>
      <c r="O4325" s="74"/>
      <c r="P4325" s="74"/>
      <c r="R4325" s="7"/>
      <c r="S4325" s="7"/>
      <c r="T4325" s="66"/>
    </row>
    <row r="4326" spans="1:20" ht="13.2">
      <c r="A4326" s="7"/>
      <c r="B4326" s="7"/>
      <c r="C4326" s="74"/>
      <c r="D4326" s="74"/>
      <c r="F4326" s="7"/>
      <c r="G4326" s="74"/>
      <c r="H4326" s="74"/>
      <c r="J4326" s="7"/>
      <c r="K4326" s="74"/>
      <c r="L4326" s="74"/>
      <c r="N4326" s="7"/>
      <c r="O4326" s="74"/>
      <c r="P4326" s="74"/>
      <c r="R4326" s="7"/>
      <c r="S4326" s="7"/>
      <c r="T4326" s="66"/>
    </row>
    <row r="4327" spans="1:20" ht="13.2">
      <c r="A4327" s="7"/>
      <c r="B4327" s="7"/>
      <c r="C4327" s="74"/>
      <c r="D4327" s="74"/>
      <c r="F4327" s="7"/>
      <c r="G4327" s="74"/>
      <c r="H4327" s="74"/>
      <c r="J4327" s="7"/>
      <c r="K4327" s="74"/>
      <c r="L4327" s="74"/>
      <c r="N4327" s="7"/>
      <c r="O4327" s="74"/>
      <c r="P4327" s="74"/>
      <c r="R4327" s="7"/>
      <c r="S4327" s="7"/>
      <c r="T4327" s="66"/>
    </row>
    <row r="4328" spans="1:20" ht="13.2">
      <c r="A4328" s="7"/>
      <c r="B4328" s="7"/>
      <c r="C4328" s="74"/>
      <c r="D4328" s="74"/>
      <c r="F4328" s="7"/>
      <c r="G4328" s="74"/>
      <c r="H4328" s="74"/>
      <c r="J4328" s="7"/>
      <c r="K4328" s="74"/>
      <c r="L4328" s="74"/>
      <c r="N4328" s="7"/>
      <c r="O4328" s="74"/>
      <c r="P4328" s="74"/>
      <c r="R4328" s="7"/>
      <c r="S4328" s="7"/>
      <c r="T4328" s="66"/>
    </row>
    <row r="4329" spans="1:20" ht="13.2">
      <c r="A4329" s="7"/>
      <c r="B4329" s="7"/>
      <c r="C4329" s="74"/>
      <c r="D4329" s="74"/>
      <c r="F4329" s="7"/>
      <c r="G4329" s="74"/>
      <c r="H4329" s="74"/>
      <c r="J4329" s="7"/>
      <c r="K4329" s="74"/>
      <c r="L4329" s="74"/>
      <c r="N4329" s="7"/>
      <c r="O4329" s="74"/>
      <c r="P4329" s="74"/>
      <c r="R4329" s="7"/>
      <c r="S4329" s="7"/>
      <c r="T4329" s="66"/>
    </row>
    <row r="4330" spans="1:20" ht="13.2">
      <c r="A4330" s="7"/>
      <c r="B4330" s="7"/>
      <c r="C4330" s="74"/>
      <c r="D4330" s="74"/>
      <c r="F4330" s="7"/>
      <c r="G4330" s="74"/>
      <c r="H4330" s="74"/>
      <c r="J4330" s="7"/>
      <c r="K4330" s="74"/>
      <c r="L4330" s="74"/>
      <c r="N4330" s="7"/>
      <c r="O4330" s="74"/>
      <c r="P4330" s="74"/>
      <c r="R4330" s="7"/>
      <c r="S4330" s="7"/>
      <c r="T4330" s="66"/>
    </row>
    <row r="4331" spans="1:20" ht="13.2">
      <c r="A4331" s="7"/>
      <c r="B4331" s="7"/>
      <c r="C4331" s="74"/>
      <c r="D4331" s="74"/>
      <c r="F4331" s="7"/>
      <c r="G4331" s="74"/>
      <c r="H4331" s="74"/>
      <c r="J4331" s="7"/>
      <c r="K4331" s="74"/>
      <c r="L4331" s="74"/>
      <c r="N4331" s="7"/>
      <c r="O4331" s="74"/>
      <c r="P4331" s="74"/>
      <c r="R4331" s="7"/>
      <c r="S4331" s="7"/>
      <c r="T4331" s="66"/>
    </row>
    <row r="4332" spans="1:20" ht="13.2">
      <c r="A4332" s="7"/>
      <c r="B4332" s="7"/>
      <c r="C4332" s="74"/>
      <c r="D4332" s="74"/>
      <c r="F4332" s="7"/>
      <c r="G4332" s="74"/>
      <c r="H4332" s="74"/>
      <c r="J4332" s="7"/>
      <c r="K4332" s="74"/>
      <c r="L4332" s="74"/>
      <c r="N4332" s="7"/>
      <c r="O4332" s="74"/>
      <c r="P4332" s="74"/>
      <c r="R4332" s="7"/>
      <c r="S4332" s="7"/>
      <c r="T4332" s="66"/>
    </row>
    <row r="4333" spans="1:20" ht="13.2">
      <c r="A4333" s="7"/>
      <c r="B4333" s="7"/>
      <c r="C4333" s="74"/>
      <c r="D4333" s="74"/>
      <c r="F4333" s="7"/>
      <c r="G4333" s="74"/>
      <c r="H4333" s="74"/>
      <c r="J4333" s="7"/>
      <c r="K4333" s="74"/>
      <c r="L4333" s="74"/>
      <c r="N4333" s="7"/>
      <c r="O4333" s="74"/>
      <c r="P4333" s="74"/>
      <c r="R4333" s="7"/>
      <c r="S4333" s="7"/>
      <c r="T4333" s="66"/>
    </row>
    <row r="4334" spans="1:20" ht="13.2">
      <c r="A4334" s="7"/>
      <c r="B4334" s="7"/>
      <c r="C4334" s="74"/>
      <c r="D4334" s="74"/>
      <c r="F4334" s="7"/>
      <c r="G4334" s="74"/>
      <c r="H4334" s="74"/>
      <c r="J4334" s="7"/>
      <c r="K4334" s="74"/>
      <c r="L4334" s="74"/>
      <c r="N4334" s="7"/>
      <c r="O4334" s="74"/>
      <c r="P4334" s="74"/>
      <c r="R4334" s="7"/>
      <c r="S4334" s="7"/>
      <c r="T4334" s="66"/>
    </row>
    <row r="4335" spans="1:20" ht="13.2">
      <c r="A4335" s="7"/>
      <c r="B4335" s="7"/>
      <c r="C4335" s="74"/>
      <c r="D4335" s="74"/>
      <c r="F4335" s="7"/>
      <c r="G4335" s="74"/>
      <c r="H4335" s="74"/>
      <c r="J4335" s="7"/>
      <c r="K4335" s="74"/>
      <c r="L4335" s="74"/>
      <c r="N4335" s="7"/>
      <c r="O4335" s="74"/>
      <c r="P4335" s="74"/>
      <c r="R4335" s="7"/>
      <c r="S4335" s="7"/>
      <c r="T4335" s="66"/>
    </row>
    <row r="4336" spans="1:20" ht="13.2">
      <c r="A4336" s="7"/>
      <c r="B4336" s="7"/>
      <c r="C4336" s="74"/>
      <c r="D4336" s="74"/>
      <c r="F4336" s="7"/>
      <c r="G4336" s="74"/>
      <c r="H4336" s="74"/>
      <c r="J4336" s="7"/>
      <c r="K4336" s="74"/>
      <c r="L4336" s="74"/>
      <c r="N4336" s="7"/>
      <c r="O4336" s="74"/>
      <c r="P4336" s="74"/>
      <c r="R4336" s="7"/>
      <c r="S4336" s="7"/>
      <c r="T4336" s="66"/>
    </row>
    <row r="4337" spans="1:20" ht="13.2">
      <c r="A4337" s="7"/>
      <c r="B4337" s="7"/>
      <c r="C4337" s="74"/>
      <c r="D4337" s="74"/>
      <c r="F4337" s="7"/>
      <c r="G4337" s="74"/>
      <c r="H4337" s="74"/>
      <c r="J4337" s="7"/>
      <c r="K4337" s="74"/>
      <c r="L4337" s="74"/>
      <c r="N4337" s="7"/>
      <c r="O4337" s="74"/>
      <c r="P4337" s="74"/>
      <c r="R4337" s="7"/>
      <c r="S4337" s="7"/>
      <c r="T4337" s="66"/>
    </row>
    <row r="4338" spans="1:20" ht="13.2">
      <c r="A4338" s="7"/>
      <c r="B4338" s="7"/>
      <c r="C4338" s="74"/>
      <c r="D4338" s="74"/>
      <c r="F4338" s="7"/>
      <c r="G4338" s="74"/>
      <c r="H4338" s="74"/>
      <c r="J4338" s="7"/>
      <c r="K4338" s="74"/>
      <c r="L4338" s="74"/>
      <c r="N4338" s="7"/>
      <c r="O4338" s="74"/>
      <c r="P4338" s="74"/>
      <c r="R4338" s="7"/>
      <c r="S4338" s="7"/>
      <c r="T4338" s="66"/>
    </row>
    <row r="4339" spans="1:20" ht="13.2">
      <c r="A4339" s="7"/>
      <c r="B4339" s="7"/>
      <c r="C4339" s="74"/>
      <c r="D4339" s="74"/>
      <c r="F4339" s="7"/>
      <c r="G4339" s="74"/>
      <c r="H4339" s="74"/>
      <c r="J4339" s="7"/>
      <c r="K4339" s="74"/>
      <c r="L4339" s="74"/>
      <c r="N4339" s="7"/>
      <c r="O4339" s="74"/>
      <c r="P4339" s="74"/>
      <c r="R4339" s="7"/>
      <c r="S4339" s="7"/>
      <c r="T4339" s="66"/>
    </row>
    <row r="4340" spans="1:20" ht="13.2">
      <c r="A4340" s="7"/>
      <c r="B4340" s="7"/>
      <c r="C4340" s="74"/>
      <c r="D4340" s="74"/>
      <c r="F4340" s="7"/>
      <c r="G4340" s="74"/>
      <c r="H4340" s="74"/>
      <c r="J4340" s="7"/>
      <c r="K4340" s="74"/>
      <c r="L4340" s="74"/>
      <c r="N4340" s="7"/>
      <c r="O4340" s="74"/>
      <c r="P4340" s="74"/>
      <c r="R4340" s="7"/>
      <c r="S4340" s="7"/>
      <c r="T4340" s="66"/>
    </row>
    <row r="4341" spans="1:20" ht="13.2">
      <c r="A4341" s="7"/>
      <c r="B4341" s="7"/>
      <c r="C4341" s="74"/>
      <c r="D4341" s="74"/>
      <c r="F4341" s="7"/>
      <c r="G4341" s="74"/>
      <c r="H4341" s="74"/>
      <c r="J4341" s="7"/>
      <c r="K4341" s="74"/>
      <c r="L4341" s="74"/>
      <c r="N4341" s="7"/>
      <c r="O4341" s="74"/>
      <c r="P4341" s="74"/>
      <c r="R4341" s="7"/>
      <c r="S4341" s="7"/>
      <c r="T4341" s="66"/>
    </row>
    <row r="4342" spans="1:20" ht="13.2">
      <c r="A4342" s="7"/>
      <c r="B4342" s="7"/>
      <c r="C4342" s="74"/>
      <c r="D4342" s="74"/>
      <c r="F4342" s="7"/>
      <c r="G4342" s="74"/>
      <c r="H4342" s="74"/>
      <c r="J4342" s="7"/>
      <c r="K4342" s="74"/>
      <c r="L4342" s="74"/>
      <c r="N4342" s="7"/>
      <c r="O4342" s="74"/>
      <c r="P4342" s="74"/>
      <c r="R4342" s="7"/>
      <c r="S4342" s="7"/>
      <c r="T4342" s="66"/>
    </row>
    <row r="4343" spans="1:20" ht="13.2">
      <c r="A4343" s="7"/>
      <c r="B4343" s="7"/>
      <c r="C4343" s="74"/>
      <c r="D4343" s="74"/>
      <c r="F4343" s="7"/>
      <c r="G4343" s="74"/>
      <c r="H4343" s="74"/>
      <c r="J4343" s="7"/>
      <c r="K4343" s="74"/>
      <c r="L4343" s="74"/>
      <c r="N4343" s="7"/>
      <c r="O4343" s="74"/>
      <c r="P4343" s="74"/>
      <c r="R4343" s="7"/>
      <c r="S4343" s="7"/>
      <c r="T4343" s="66"/>
    </row>
    <row r="4344" spans="1:20" ht="13.2">
      <c r="A4344" s="7"/>
      <c r="B4344" s="7"/>
      <c r="C4344" s="74"/>
      <c r="D4344" s="74"/>
      <c r="F4344" s="7"/>
      <c r="G4344" s="74"/>
      <c r="H4344" s="74"/>
      <c r="J4344" s="7"/>
      <c r="K4344" s="74"/>
      <c r="L4344" s="74"/>
      <c r="N4344" s="7"/>
      <c r="O4344" s="74"/>
      <c r="P4344" s="74"/>
      <c r="R4344" s="7"/>
      <c r="S4344" s="7"/>
      <c r="T4344" s="66"/>
    </row>
    <row r="4345" spans="1:20" ht="13.2">
      <c r="A4345" s="7"/>
      <c r="B4345" s="7"/>
      <c r="C4345" s="74"/>
      <c r="D4345" s="74"/>
      <c r="F4345" s="7"/>
      <c r="G4345" s="74"/>
      <c r="H4345" s="74"/>
      <c r="J4345" s="7"/>
      <c r="K4345" s="74"/>
      <c r="L4345" s="74"/>
      <c r="N4345" s="7"/>
      <c r="O4345" s="74"/>
      <c r="P4345" s="74"/>
      <c r="R4345" s="7"/>
      <c r="S4345" s="7"/>
      <c r="T4345" s="66"/>
    </row>
    <row r="4346" spans="1:20" ht="13.2">
      <c r="A4346" s="7"/>
      <c r="B4346" s="7"/>
      <c r="C4346" s="74"/>
      <c r="D4346" s="74"/>
      <c r="F4346" s="7"/>
      <c r="G4346" s="74"/>
      <c r="H4346" s="74"/>
      <c r="J4346" s="7"/>
      <c r="K4346" s="74"/>
      <c r="L4346" s="74"/>
      <c r="N4346" s="7"/>
      <c r="O4346" s="74"/>
      <c r="P4346" s="74"/>
      <c r="R4346" s="7"/>
      <c r="S4346" s="7"/>
      <c r="T4346" s="66"/>
    </row>
    <row r="4347" spans="1:20" ht="13.2">
      <c r="A4347" s="7"/>
      <c r="B4347" s="7"/>
      <c r="C4347" s="74"/>
      <c r="D4347" s="74"/>
      <c r="F4347" s="7"/>
      <c r="G4347" s="74"/>
      <c r="H4347" s="74"/>
      <c r="J4347" s="7"/>
      <c r="K4347" s="74"/>
      <c r="L4347" s="74"/>
      <c r="N4347" s="7"/>
      <c r="O4347" s="74"/>
      <c r="P4347" s="74"/>
      <c r="R4347" s="7"/>
      <c r="S4347" s="7"/>
      <c r="T4347" s="66"/>
    </row>
    <row r="4348" spans="1:20" ht="13.2">
      <c r="A4348" s="7"/>
      <c r="B4348" s="7"/>
      <c r="C4348" s="74"/>
      <c r="D4348" s="74"/>
      <c r="F4348" s="7"/>
      <c r="G4348" s="74"/>
      <c r="H4348" s="74"/>
      <c r="J4348" s="7"/>
      <c r="K4348" s="74"/>
      <c r="L4348" s="74"/>
      <c r="N4348" s="7"/>
      <c r="O4348" s="74"/>
      <c r="P4348" s="74"/>
      <c r="R4348" s="7"/>
      <c r="S4348" s="7"/>
      <c r="T4348" s="66"/>
    </row>
    <row r="4349" spans="1:20" ht="13.2">
      <c r="A4349" s="7"/>
      <c r="B4349" s="7"/>
      <c r="C4349" s="74"/>
      <c r="D4349" s="74"/>
      <c r="F4349" s="7"/>
      <c r="G4349" s="74"/>
      <c r="H4349" s="74"/>
      <c r="J4349" s="7"/>
      <c r="K4349" s="74"/>
      <c r="L4349" s="74"/>
      <c r="N4349" s="7"/>
      <c r="O4349" s="74"/>
      <c r="P4349" s="74"/>
      <c r="R4349" s="7"/>
      <c r="S4349" s="7"/>
      <c r="T4349" s="66"/>
    </row>
    <row r="4350" spans="1:20" ht="13.2">
      <c r="A4350" s="7"/>
      <c r="B4350" s="7"/>
      <c r="C4350" s="74"/>
      <c r="D4350" s="74"/>
      <c r="F4350" s="7"/>
      <c r="G4350" s="74"/>
      <c r="H4350" s="74"/>
      <c r="J4350" s="7"/>
      <c r="K4350" s="74"/>
      <c r="L4350" s="74"/>
      <c r="N4350" s="7"/>
      <c r="O4350" s="74"/>
      <c r="P4350" s="74"/>
      <c r="R4350" s="7"/>
      <c r="S4350" s="7"/>
      <c r="T4350" s="66"/>
    </row>
    <row r="4351" spans="1:20" ht="13.2">
      <c r="A4351" s="7"/>
      <c r="B4351" s="7"/>
      <c r="C4351" s="74"/>
      <c r="D4351" s="74"/>
      <c r="F4351" s="7"/>
      <c r="G4351" s="74"/>
      <c r="H4351" s="74"/>
      <c r="J4351" s="7"/>
      <c r="K4351" s="74"/>
      <c r="L4351" s="74"/>
      <c r="N4351" s="7"/>
      <c r="O4351" s="74"/>
      <c r="P4351" s="74"/>
      <c r="R4351" s="7"/>
      <c r="S4351" s="7"/>
      <c r="T4351" s="66"/>
    </row>
    <row r="4352" spans="1:20" ht="13.2">
      <c r="A4352" s="7"/>
      <c r="B4352" s="7"/>
      <c r="C4352" s="74"/>
      <c r="D4352" s="74"/>
      <c r="F4352" s="7"/>
      <c r="G4352" s="74"/>
      <c r="H4352" s="74"/>
      <c r="J4352" s="7"/>
      <c r="K4352" s="74"/>
      <c r="L4352" s="74"/>
      <c r="N4352" s="7"/>
      <c r="O4352" s="74"/>
      <c r="P4352" s="74"/>
      <c r="R4352" s="7"/>
      <c r="S4352" s="7"/>
      <c r="T4352" s="66"/>
    </row>
    <row r="4353" spans="1:20" ht="13.2">
      <c r="A4353" s="7"/>
      <c r="B4353" s="7"/>
      <c r="C4353" s="74"/>
      <c r="D4353" s="74"/>
      <c r="F4353" s="7"/>
      <c r="G4353" s="74"/>
      <c r="H4353" s="74"/>
      <c r="J4353" s="7"/>
      <c r="K4353" s="74"/>
      <c r="L4353" s="74"/>
      <c r="N4353" s="7"/>
      <c r="O4353" s="74"/>
      <c r="P4353" s="74"/>
      <c r="R4353" s="7"/>
      <c r="S4353" s="7"/>
      <c r="T4353" s="66"/>
    </row>
    <row r="4354" spans="1:20" ht="13.2">
      <c r="A4354" s="7"/>
      <c r="B4354" s="7"/>
      <c r="C4354" s="74"/>
      <c r="D4354" s="74"/>
      <c r="F4354" s="7"/>
      <c r="G4354" s="74"/>
      <c r="H4354" s="74"/>
      <c r="J4354" s="7"/>
      <c r="K4354" s="74"/>
      <c r="L4354" s="74"/>
      <c r="N4354" s="7"/>
      <c r="O4354" s="74"/>
      <c r="P4354" s="74"/>
      <c r="R4354" s="7"/>
      <c r="S4354" s="7"/>
      <c r="T4354" s="66"/>
    </row>
    <row r="4355" spans="1:20" ht="13.2">
      <c r="A4355" s="7"/>
      <c r="B4355" s="7"/>
      <c r="C4355" s="74"/>
      <c r="D4355" s="74"/>
      <c r="F4355" s="7"/>
      <c r="G4355" s="74"/>
      <c r="H4355" s="74"/>
      <c r="J4355" s="7"/>
      <c r="K4355" s="74"/>
      <c r="L4355" s="74"/>
      <c r="N4355" s="7"/>
      <c r="O4355" s="74"/>
      <c r="P4355" s="74"/>
      <c r="R4355" s="7"/>
      <c r="S4355" s="7"/>
      <c r="T4355" s="66"/>
    </row>
    <row r="4356" spans="1:20" ht="13.2">
      <c r="A4356" s="7"/>
      <c r="B4356" s="7"/>
      <c r="C4356" s="74"/>
      <c r="D4356" s="74"/>
      <c r="F4356" s="7"/>
      <c r="G4356" s="74"/>
      <c r="H4356" s="74"/>
      <c r="J4356" s="7"/>
      <c r="K4356" s="74"/>
      <c r="L4356" s="74"/>
      <c r="N4356" s="7"/>
      <c r="O4356" s="74"/>
      <c r="P4356" s="74"/>
      <c r="R4356" s="7"/>
      <c r="S4356" s="7"/>
      <c r="T4356" s="66"/>
    </row>
    <row r="4357" spans="1:20" ht="13.2">
      <c r="A4357" s="7"/>
      <c r="B4357" s="7"/>
      <c r="C4357" s="74"/>
      <c r="D4357" s="74"/>
      <c r="F4357" s="7"/>
      <c r="G4357" s="74"/>
      <c r="H4357" s="74"/>
      <c r="J4357" s="7"/>
      <c r="K4357" s="74"/>
      <c r="L4357" s="74"/>
      <c r="N4357" s="7"/>
      <c r="O4357" s="74"/>
      <c r="P4357" s="74"/>
      <c r="R4357" s="7"/>
      <c r="S4357" s="7"/>
      <c r="T4357" s="66"/>
    </row>
    <row r="4358" spans="1:20" ht="13.2">
      <c r="A4358" s="7"/>
      <c r="B4358" s="7"/>
      <c r="C4358" s="74"/>
      <c r="D4358" s="74"/>
      <c r="F4358" s="7"/>
      <c r="G4358" s="74"/>
      <c r="H4358" s="74"/>
      <c r="J4358" s="7"/>
      <c r="K4358" s="74"/>
      <c r="L4358" s="74"/>
      <c r="N4358" s="7"/>
      <c r="O4358" s="74"/>
      <c r="P4358" s="74"/>
      <c r="R4358" s="7"/>
      <c r="S4358" s="7"/>
      <c r="T4358" s="66"/>
    </row>
    <row r="4359" spans="1:20" ht="13.2">
      <c r="A4359" s="7"/>
      <c r="B4359" s="7"/>
      <c r="C4359" s="74"/>
      <c r="D4359" s="74"/>
      <c r="F4359" s="7"/>
      <c r="G4359" s="74"/>
      <c r="H4359" s="74"/>
      <c r="J4359" s="7"/>
      <c r="K4359" s="74"/>
      <c r="L4359" s="74"/>
      <c r="N4359" s="7"/>
      <c r="O4359" s="74"/>
      <c r="P4359" s="74"/>
      <c r="R4359" s="7"/>
      <c r="S4359" s="7"/>
      <c r="T4359" s="66"/>
    </row>
    <row r="4360" spans="1:20" ht="13.2">
      <c r="A4360" s="7"/>
      <c r="B4360" s="7"/>
      <c r="C4360" s="74"/>
      <c r="D4360" s="74"/>
      <c r="F4360" s="7"/>
      <c r="G4360" s="74"/>
      <c r="H4360" s="74"/>
      <c r="J4360" s="7"/>
      <c r="K4360" s="74"/>
      <c r="L4360" s="74"/>
      <c r="N4360" s="7"/>
      <c r="O4360" s="74"/>
      <c r="P4360" s="74"/>
      <c r="R4360" s="7"/>
      <c r="S4360" s="7"/>
      <c r="T4360" s="66"/>
    </row>
    <row r="4361" spans="1:20" ht="13.2">
      <c r="A4361" s="7"/>
      <c r="B4361" s="7"/>
      <c r="C4361" s="74"/>
      <c r="D4361" s="74"/>
      <c r="F4361" s="7"/>
      <c r="G4361" s="74"/>
      <c r="H4361" s="74"/>
      <c r="J4361" s="7"/>
      <c r="K4361" s="74"/>
      <c r="L4361" s="74"/>
      <c r="N4361" s="7"/>
      <c r="O4361" s="74"/>
      <c r="P4361" s="74"/>
      <c r="R4361" s="7"/>
      <c r="S4361" s="7"/>
      <c r="T4361" s="66"/>
    </row>
    <row r="4362" spans="1:20" ht="13.2">
      <c r="A4362" s="7"/>
      <c r="B4362" s="7"/>
      <c r="C4362" s="74"/>
      <c r="D4362" s="74"/>
      <c r="F4362" s="7"/>
      <c r="G4362" s="74"/>
      <c r="H4362" s="74"/>
      <c r="J4362" s="7"/>
      <c r="K4362" s="74"/>
      <c r="L4362" s="74"/>
      <c r="N4362" s="7"/>
      <c r="O4362" s="74"/>
      <c r="P4362" s="74"/>
      <c r="R4362" s="7"/>
      <c r="S4362" s="7"/>
      <c r="T4362" s="66"/>
    </row>
    <row r="4363" spans="1:20" ht="13.2">
      <c r="A4363" s="7"/>
      <c r="B4363" s="7"/>
      <c r="C4363" s="74"/>
      <c r="D4363" s="74"/>
      <c r="F4363" s="7"/>
      <c r="G4363" s="74"/>
      <c r="H4363" s="74"/>
      <c r="J4363" s="7"/>
      <c r="K4363" s="74"/>
      <c r="L4363" s="74"/>
      <c r="N4363" s="7"/>
      <c r="O4363" s="74"/>
      <c r="P4363" s="74"/>
      <c r="R4363" s="7"/>
      <c r="S4363" s="7"/>
      <c r="T4363" s="66"/>
    </row>
    <row r="4364" spans="1:20" ht="13.2">
      <c r="A4364" s="7"/>
      <c r="B4364" s="7"/>
      <c r="C4364" s="74"/>
      <c r="D4364" s="74"/>
      <c r="F4364" s="7"/>
      <c r="G4364" s="74"/>
      <c r="H4364" s="74"/>
      <c r="J4364" s="7"/>
      <c r="K4364" s="74"/>
      <c r="L4364" s="74"/>
      <c r="N4364" s="7"/>
      <c r="O4364" s="74"/>
      <c r="P4364" s="74"/>
      <c r="R4364" s="7"/>
      <c r="S4364" s="7"/>
      <c r="T4364" s="66"/>
    </row>
    <row r="4365" spans="1:20" ht="13.2">
      <c r="A4365" s="7"/>
      <c r="B4365" s="7"/>
      <c r="C4365" s="74"/>
      <c r="D4365" s="74"/>
      <c r="F4365" s="7"/>
      <c r="G4365" s="74"/>
      <c r="H4365" s="74"/>
      <c r="J4365" s="7"/>
      <c r="K4365" s="74"/>
      <c r="L4365" s="74"/>
      <c r="N4365" s="7"/>
      <c r="O4365" s="74"/>
      <c r="P4365" s="74"/>
      <c r="R4365" s="7"/>
      <c r="S4365" s="7"/>
      <c r="T4365" s="66"/>
    </row>
    <row r="4366" spans="1:20" ht="13.2">
      <c r="A4366" s="7"/>
      <c r="B4366" s="7"/>
      <c r="C4366" s="74"/>
      <c r="D4366" s="74"/>
      <c r="F4366" s="7"/>
      <c r="G4366" s="74"/>
      <c r="H4366" s="74"/>
      <c r="J4366" s="7"/>
      <c r="K4366" s="74"/>
      <c r="L4366" s="74"/>
      <c r="N4366" s="7"/>
      <c r="O4366" s="74"/>
      <c r="P4366" s="74"/>
      <c r="R4366" s="7"/>
      <c r="S4366" s="7"/>
      <c r="T4366" s="66"/>
    </row>
    <row r="4367" spans="1:20" ht="13.2">
      <c r="A4367" s="7"/>
      <c r="B4367" s="7"/>
      <c r="C4367" s="74"/>
      <c r="D4367" s="74"/>
      <c r="F4367" s="7"/>
      <c r="G4367" s="74"/>
      <c r="H4367" s="74"/>
      <c r="J4367" s="7"/>
      <c r="K4367" s="74"/>
      <c r="L4367" s="74"/>
      <c r="N4367" s="7"/>
      <c r="O4367" s="74"/>
      <c r="P4367" s="74"/>
      <c r="R4367" s="7"/>
      <c r="S4367" s="7"/>
      <c r="T4367" s="66"/>
    </row>
    <row r="4368" spans="1:20" ht="13.2">
      <c r="A4368" s="7"/>
      <c r="B4368" s="7"/>
      <c r="C4368" s="74"/>
      <c r="D4368" s="74"/>
      <c r="F4368" s="7"/>
      <c r="G4368" s="74"/>
      <c r="H4368" s="74"/>
      <c r="J4368" s="7"/>
      <c r="K4368" s="74"/>
      <c r="L4368" s="74"/>
      <c r="N4368" s="7"/>
      <c r="O4368" s="74"/>
      <c r="P4368" s="74"/>
      <c r="R4368" s="7"/>
      <c r="S4368" s="7"/>
      <c r="T4368" s="66"/>
    </row>
    <row r="4369" spans="1:20" ht="13.2">
      <c r="A4369" s="7"/>
      <c r="B4369" s="7"/>
      <c r="C4369" s="74"/>
      <c r="D4369" s="74"/>
      <c r="F4369" s="7"/>
      <c r="G4369" s="74"/>
      <c r="H4369" s="74"/>
      <c r="J4369" s="7"/>
      <c r="K4369" s="74"/>
      <c r="L4369" s="74"/>
      <c r="N4369" s="7"/>
      <c r="O4369" s="74"/>
      <c r="P4369" s="74"/>
      <c r="R4369" s="7"/>
      <c r="S4369" s="7"/>
      <c r="T4369" s="66"/>
    </row>
    <row r="4370" spans="1:20" ht="13.2">
      <c r="A4370" s="7"/>
      <c r="B4370" s="7"/>
      <c r="C4370" s="74"/>
      <c r="D4370" s="74"/>
      <c r="F4370" s="7"/>
      <c r="G4370" s="74"/>
      <c r="H4370" s="74"/>
      <c r="J4370" s="7"/>
      <c r="K4370" s="74"/>
      <c r="L4370" s="74"/>
      <c r="N4370" s="7"/>
      <c r="O4370" s="74"/>
      <c r="P4370" s="74"/>
      <c r="R4370" s="7"/>
      <c r="S4370" s="7"/>
      <c r="T4370" s="66"/>
    </row>
    <row r="4371" spans="1:20" ht="13.2">
      <c r="A4371" s="7"/>
      <c r="B4371" s="7"/>
      <c r="C4371" s="74"/>
      <c r="D4371" s="74"/>
      <c r="F4371" s="7"/>
      <c r="G4371" s="74"/>
      <c r="H4371" s="74"/>
      <c r="J4371" s="7"/>
      <c r="K4371" s="74"/>
      <c r="L4371" s="74"/>
      <c r="N4371" s="7"/>
      <c r="O4371" s="74"/>
      <c r="P4371" s="74"/>
      <c r="R4371" s="7"/>
      <c r="S4371" s="7"/>
      <c r="T4371" s="66"/>
    </row>
    <row r="4372" spans="1:20" ht="13.2">
      <c r="A4372" s="7"/>
      <c r="B4372" s="7"/>
      <c r="C4372" s="74"/>
      <c r="D4372" s="74"/>
      <c r="F4372" s="7"/>
      <c r="G4372" s="74"/>
      <c r="H4372" s="74"/>
      <c r="J4372" s="7"/>
      <c r="K4372" s="74"/>
      <c r="L4372" s="74"/>
      <c r="N4372" s="7"/>
      <c r="O4372" s="74"/>
      <c r="P4372" s="74"/>
      <c r="R4372" s="7"/>
      <c r="S4372" s="7"/>
      <c r="T4372" s="66"/>
    </row>
    <row r="4373" spans="1:20" ht="13.2">
      <c r="A4373" s="7"/>
      <c r="B4373" s="7"/>
      <c r="C4373" s="74"/>
      <c r="D4373" s="74"/>
      <c r="F4373" s="7"/>
      <c r="G4373" s="74"/>
      <c r="H4373" s="74"/>
      <c r="J4373" s="7"/>
      <c r="K4373" s="74"/>
      <c r="L4373" s="74"/>
      <c r="N4373" s="7"/>
      <c r="O4373" s="74"/>
      <c r="P4373" s="74"/>
      <c r="R4373" s="7"/>
      <c r="S4373" s="7"/>
      <c r="T4373" s="66"/>
    </row>
    <row r="4374" spans="1:20" ht="13.2">
      <c r="A4374" s="7"/>
      <c r="B4374" s="7"/>
      <c r="C4374" s="74"/>
      <c r="D4374" s="74"/>
      <c r="F4374" s="7"/>
      <c r="G4374" s="74"/>
      <c r="H4374" s="74"/>
      <c r="J4374" s="7"/>
      <c r="K4374" s="74"/>
      <c r="L4374" s="74"/>
      <c r="N4374" s="7"/>
      <c r="O4374" s="74"/>
      <c r="P4374" s="74"/>
      <c r="R4374" s="7"/>
      <c r="S4374" s="7"/>
      <c r="T4374" s="66"/>
    </row>
    <row r="4375" spans="1:20" ht="13.2">
      <c r="A4375" s="7"/>
      <c r="B4375" s="7"/>
      <c r="C4375" s="74"/>
      <c r="D4375" s="74"/>
      <c r="F4375" s="7"/>
      <c r="G4375" s="74"/>
      <c r="H4375" s="74"/>
      <c r="J4375" s="7"/>
      <c r="K4375" s="74"/>
      <c r="L4375" s="74"/>
      <c r="N4375" s="7"/>
      <c r="O4375" s="74"/>
      <c r="P4375" s="74"/>
      <c r="R4375" s="7"/>
      <c r="S4375" s="7"/>
      <c r="T4375" s="66"/>
    </row>
    <row r="4376" spans="1:20" ht="13.2">
      <c r="A4376" s="7"/>
      <c r="B4376" s="7"/>
      <c r="C4376" s="74"/>
      <c r="D4376" s="74"/>
      <c r="F4376" s="7"/>
      <c r="G4376" s="74"/>
      <c r="H4376" s="74"/>
      <c r="J4376" s="7"/>
      <c r="K4376" s="74"/>
      <c r="L4376" s="74"/>
      <c r="N4376" s="7"/>
      <c r="O4376" s="74"/>
      <c r="P4376" s="74"/>
      <c r="R4376" s="7"/>
      <c r="S4376" s="7"/>
      <c r="T4376" s="66"/>
    </row>
    <row r="4377" spans="1:20" ht="13.2">
      <c r="A4377" s="7"/>
      <c r="B4377" s="7"/>
      <c r="C4377" s="74"/>
      <c r="D4377" s="74"/>
      <c r="F4377" s="7"/>
      <c r="G4377" s="74"/>
      <c r="H4377" s="74"/>
      <c r="J4377" s="7"/>
      <c r="K4377" s="74"/>
      <c r="L4377" s="74"/>
      <c r="N4377" s="7"/>
      <c r="O4377" s="74"/>
      <c r="P4377" s="74"/>
      <c r="R4377" s="7"/>
      <c r="S4377" s="7"/>
      <c r="T4377" s="66"/>
    </row>
    <row r="4378" spans="1:20" ht="13.2">
      <c r="A4378" s="7"/>
      <c r="B4378" s="7"/>
      <c r="C4378" s="74"/>
      <c r="D4378" s="74"/>
      <c r="F4378" s="7"/>
      <c r="G4378" s="74"/>
      <c r="H4378" s="74"/>
      <c r="J4378" s="7"/>
      <c r="K4378" s="74"/>
      <c r="L4378" s="74"/>
      <c r="N4378" s="7"/>
      <c r="O4378" s="74"/>
      <c r="P4378" s="74"/>
      <c r="R4378" s="7"/>
      <c r="S4378" s="7"/>
      <c r="T4378" s="66"/>
    </row>
    <row r="4379" spans="1:20" ht="13.2">
      <c r="A4379" s="7"/>
      <c r="B4379" s="7"/>
      <c r="C4379" s="74"/>
      <c r="D4379" s="74"/>
      <c r="F4379" s="7"/>
      <c r="G4379" s="74"/>
      <c r="H4379" s="74"/>
      <c r="J4379" s="7"/>
      <c r="K4379" s="74"/>
      <c r="L4379" s="74"/>
      <c r="N4379" s="7"/>
      <c r="O4379" s="74"/>
      <c r="P4379" s="74"/>
      <c r="R4379" s="7"/>
      <c r="S4379" s="7"/>
      <c r="T4379" s="66"/>
    </row>
    <row r="4380" spans="1:20" ht="13.2">
      <c r="A4380" s="7"/>
      <c r="B4380" s="7"/>
      <c r="C4380" s="74"/>
      <c r="D4380" s="74"/>
      <c r="F4380" s="7"/>
      <c r="G4380" s="74"/>
      <c r="H4380" s="74"/>
      <c r="J4380" s="7"/>
      <c r="K4380" s="74"/>
      <c r="L4380" s="74"/>
      <c r="N4380" s="7"/>
      <c r="O4380" s="74"/>
      <c r="P4380" s="74"/>
      <c r="R4380" s="7"/>
      <c r="S4380" s="7"/>
      <c r="T4380" s="66"/>
    </row>
    <row r="4381" spans="1:20" ht="13.2">
      <c r="A4381" s="7"/>
      <c r="B4381" s="7"/>
      <c r="C4381" s="74"/>
      <c r="D4381" s="74"/>
      <c r="F4381" s="7"/>
      <c r="G4381" s="74"/>
      <c r="H4381" s="74"/>
      <c r="J4381" s="7"/>
      <c r="K4381" s="74"/>
      <c r="L4381" s="74"/>
      <c r="N4381" s="7"/>
      <c r="O4381" s="74"/>
      <c r="P4381" s="74"/>
      <c r="R4381" s="7"/>
      <c r="S4381" s="7"/>
      <c r="T4381" s="66"/>
    </row>
    <row r="4382" spans="1:20" ht="13.2">
      <c r="A4382" s="7"/>
      <c r="B4382" s="7"/>
      <c r="C4382" s="74"/>
      <c r="D4382" s="74"/>
      <c r="F4382" s="7"/>
      <c r="G4382" s="74"/>
      <c r="H4382" s="74"/>
      <c r="J4382" s="7"/>
      <c r="K4382" s="74"/>
      <c r="L4382" s="74"/>
      <c r="N4382" s="7"/>
      <c r="O4382" s="74"/>
      <c r="P4382" s="74"/>
      <c r="R4382" s="7"/>
      <c r="S4382" s="7"/>
      <c r="T4382" s="66"/>
    </row>
    <row r="4383" spans="1:20" ht="13.2">
      <c r="A4383" s="7"/>
      <c r="B4383" s="7"/>
      <c r="C4383" s="74"/>
      <c r="D4383" s="74"/>
      <c r="F4383" s="7"/>
      <c r="G4383" s="74"/>
      <c r="H4383" s="74"/>
      <c r="J4383" s="7"/>
      <c r="K4383" s="74"/>
      <c r="L4383" s="74"/>
      <c r="N4383" s="7"/>
      <c r="O4383" s="74"/>
      <c r="P4383" s="74"/>
      <c r="R4383" s="7"/>
      <c r="S4383" s="7"/>
      <c r="T4383" s="66"/>
    </row>
    <row r="4384" spans="1:20" ht="13.2">
      <c r="A4384" s="7"/>
      <c r="B4384" s="7"/>
      <c r="C4384" s="74"/>
      <c r="D4384" s="74"/>
      <c r="F4384" s="7"/>
      <c r="G4384" s="74"/>
      <c r="H4384" s="74"/>
      <c r="J4384" s="7"/>
      <c r="K4384" s="74"/>
      <c r="L4384" s="74"/>
      <c r="N4384" s="7"/>
      <c r="O4384" s="74"/>
      <c r="P4384" s="74"/>
      <c r="R4384" s="7"/>
      <c r="S4384" s="7"/>
      <c r="T4384" s="66"/>
    </row>
    <row r="4385" spans="1:20" ht="13.2">
      <c r="A4385" s="7"/>
      <c r="B4385" s="7"/>
      <c r="C4385" s="74"/>
      <c r="D4385" s="74"/>
      <c r="F4385" s="7"/>
      <c r="G4385" s="74"/>
      <c r="H4385" s="74"/>
      <c r="J4385" s="7"/>
      <c r="K4385" s="74"/>
      <c r="L4385" s="74"/>
      <c r="N4385" s="7"/>
      <c r="O4385" s="74"/>
      <c r="P4385" s="74"/>
      <c r="R4385" s="7"/>
      <c r="S4385" s="7"/>
      <c r="T4385" s="66"/>
    </row>
    <row r="4386" spans="1:20" ht="13.2">
      <c r="A4386" s="7"/>
      <c r="B4386" s="7"/>
      <c r="C4386" s="74"/>
      <c r="D4386" s="74"/>
      <c r="F4386" s="7"/>
      <c r="G4386" s="74"/>
      <c r="H4386" s="74"/>
      <c r="J4386" s="7"/>
      <c r="K4386" s="74"/>
      <c r="L4386" s="74"/>
      <c r="N4386" s="7"/>
      <c r="O4386" s="74"/>
      <c r="P4386" s="74"/>
      <c r="R4386" s="7"/>
      <c r="S4386" s="7"/>
      <c r="T4386" s="66"/>
    </row>
    <row r="4387" spans="1:20" ht="13.2">
      <c r="A4387" s="7"/>
      <c r="B4387" s="7"/>
      <c r="C4387" s="74"/>
      <c r="D4387" s="74"/>
      <c r="F4387" s="7"/>
      <c r="G4387" s="74"/>
      <c r="H4387" s="74"/>
      <c r="J4387" s="7"/>
      <c r="K4387" s="74"/>
      <c r="L4387" s="74"/>
      <c r="N4387" s="7"/>
      <c r="O4387" s="74"/>
      <c r="P4387" s="74"/>
      <c r="R4387" s="7"/>
      <c r="S4387" s="7"/>
      <c r="T4387" s="66"/>
    </row>
    <row r="4388" spans="1:20" ht="13.2">
      <c r="A4388" s="7"/>
      <c r="B4388" s="7"/>
      <c r="C4388" s="74"/>
      <c r="D4388" s="74"/>
      <c r="F4388" s="7"/>
      <c r="G4388" s="74"/>
      <c r="H4388" s="74"/>
      <c r="J4388" s="7"/>
      <c r="K4388" s="74"/>
      <c r="L4388" s="74"/>
      <c r="N4388" s="7"/>
      <c r="O4388" s="74"/>
      <c r="P4388" s="74"/>
      <c r="R4388" s="7"/>
      <c r="S4388" s="7"/>
      <c r="T4388" s="66"/>
    </row>
    <row r="4389" spans="1:20" ht="13.2">
      <c r="A4389" s="7"/>
      <c r="B4389" s="7"/>
      <c r="C4389" s="74"/>
      <c r="D4389" s="74"/>
      <c r="F4389" s="7"/>
      <c r="G4389" s="74"/>
      <c r="H4389" s="74"/>
      <c r="J4389" s="7"/>
      <c r="K4389" s="74"/>
      <c r="L4389" s="74"/>
      <c r="N4389" s="7"/>
      <c r="O4389" s="74"/>
      <c r="P4389" s="74"/>
      <c r="R4389" s="7"/>
      <c r="S4389" s="7"/>
      <c r="T4389" s="66"/>
    </row>
    <row r="4390" spans="1:20" ht="13.2">
      <c r="A4390" s="7"/>
      <c r="B4390" s="7"/>
      <c r="C4390" s="74"/>
      <c r="D4390" s="74"/>
      <c r="F4390" s="7"/>
      <c r="G4390" s="74"/>
      <c r="H4390" s="74"/>
      <c r="J4390" s="7"/>
      <c r="K4390" s="74"/>
      <c r="L4390" s="74"/>
      <c r="N4390" s="7"/>
      <c r="O4390" s="74"/>
      <c r="P4390" s="74"/>
      <c r="R4390" s="7"/>
      <c r="S4390" s="7"/>
      <c r="T4390" s="66"/>
    </row>
    <row r="4391" spans="1:20" ht="13.2">
      <c r="A4391" s="7"/>
      <c r="B4391" s="7"/>
      <c r="C4391" s="74"/>
      <c r="D4391" s="74"/>
      <c r="F4391" s="7"/>
      <c r="G4391" s="74"/>
      <c r="H4391" s="74"/>
      <c r="J4391" s="7"/>
      <c r="K4391" s="74"/>
      <c r="L4391" s="74"/>
      <c r="N4391" s="7"/>
      <c r="O4391" s="74"/>
      <c r="P4391" s="74"/>
      <c r="R4391" s="7"/>
      <c r="S4391" s="7"/>
      <c r="T4391" s="66"/>
    </row>
    <row r="4392" spans="1:20" ht="13.2">
      <c r="A4392" s="7"/>
      <c r="B4392" s="7"/>
      <c r="C4392" s="74"/>
      <c r="D4392" s="74"/>
      <c r="F4392" s="7"/>
      <c r="G4392" s="74"/>
      <c r="H4392" s="74"/>
      <c r="J4392" s="7"/>
      <c r="K4392" s="74"/>
      <c r="L4392" s="74"/>
      <c r="N4392" s="7"/>
      <c r="O4392" s="74"/>
      <c r="P4392" s="74"/>
      <c r="R4392" s="7"/>
      <c r="S4392" s="7"/>
      <c r="T4392" s="66"/>
    </row>
    <row r="4393" spans="1:20" ht="13.2">
      <c r="A4393" s="7"/>
      <c r="B4393" s="7"/>
      <c r="C4393" s="74"/>
      <c r="D4393" s="74"/>
      <c r="F4393" s="7"/>
      <c r="G4393" s="74"/>
      <c r="H4393" s="74"/>
      <c r="J4393" s="7"/>
      <c r="K4393" s="74"/>
      <c r="L4393" s="74"/>
      <c r="N4393" s="7"/>
      <c r="O4393" s="74"/>
      <c r="P4393" s="74"/>
      <c r="R4393" s="7"/>
      <c r="S4393" s="7"/>
      <c r="T4393" s="66"/>
    </row>
    <row r="4394" spans="1:20" ht="13.2">
      <c r="A4394" s="7"/>
      <c r="B4394" s="7"/>
      <c r="C4394" s="74"/>
      <c r="D4394" s="74"/>
      <c r="F4394" s="7"/>
      <c r="G4394" s="74"/>
      <c r="H4394" s="74"/>
      <c r="J4394" s="7"/>
      <c r="K4394" s="74"/>
      <c r="L4394" s="74"/>
      <c r="N4394" s="7"/>
      <c r="O4394" s="74"/>
      <c r="P4394" s="74"/>
      <c r="R4394" s="7"/>
      <c r="S4394" s="7"/>
      <c r="T4394" s="66"/>
    </row>
    <row r="4395" spans="1:20" ht="13.2">
      <c r="A4395" s="7"/>
      <c r="B4395" s="7"/>
      <c r="C4395" s="74"/>
      <c r="D4395" s="74"/>
      <c r="F4395" s="7"/>
      <c r="G4395" s="74"/>
      <c r="H4395" s="74"/>
      <c r="J4395" s="7"/>
      <c r="K4395" s="74"/>
      <c r="L4395" s="74"/>
      <c r="N4395" s="7"/>
      <c r="O4395" s="74"/>
      <c r="P4395" s="74"/>
      <c r="R4395" s="7"/>
      <c r="S4395" s="7"/>
      <c r="T4395" s="66"/>
    </row>
    <row r="4396" spans="1:20" ht="13.2">
      <c r="A4396" s="7"/>
      <c r="B4396" s="7"/>
      <c r="C4396" s="74"/>
      <c r="D4396" s="74"/>
      <c r="F4396" s="7"/>
      <c r="G4396" s="74"/>
      <c r="H4396" s="74"/>
      <c r="J4396" s="7"/>
      <c r="K4396" s="74"/>
      <c r="L4396" s="74"/>
      <c r="N4396" s="7"/>
      <c r="O4396" s="74"/>
      <c r="P4396" s="74"/>
      <c r="R4396" s="7"/>
      <c r="S4396" s="7"/>
      <c r="T4396" s="66"/>
    </row>
    <row r="4397" spans="1:20" ht="13.2">
      <c r="A4397" s="7"/>
      <c r="B4397" s="7"/>
      <c r="C4397" s="74"/>
      <c r="D4397" s="74"/>
      <c r="F4397" s="7"/>
      <c r="G4397" s="74"/>
      <c r="H4397" s="74"/>
      <c r="J4397" s="7"/>
      <c r="K4397" s="74"/>
      <c r="L4397" s="74"/>
      <c r="N4397" s="7"/>
      <c r="O4397" s="74"/>
      <c r="P4397" s="74"/>
      <c r="R4397" s="7"/>
      <c r="S4397" s="7"/>
      <c r="T4397" s="66"/>
    </row>
    <row r="4398" spans="1:20" ht="13.2">
      <c r="A4398" s="7"/>
      <c r="B4398" s="7"/>
      <c r="C4398" s="74"/>
      <c r="D4398" s="74"/>
      <c r="F4398" s="7"/>
      <c r="G4398" s="74"/>
      <c r="H4398" s="74"/>
      <c r="J4398" s="7"/>
      <c r="K4398" s="74"/>
      <c r="L4398" s="74"/>
      <c r="N4398" s="7"/>
      <c r="O4398" s="74"/>
      <c r="P4398" s="74"/>
      <c r="R4398" s="7"/>
      <c r="S4398" s="7"/>
      <c r="T4398" s="66"/>
    </row>
    <row r="4399" spans="1:20" ht="13.2">
      <c r="A4399" s="7"/>
      <c r="B4399" s="7"/>
      <c r="C4399" s="74"/>
      <c r="D4399" s="74"/>
      <c r="F4399" s="7"/>
      <c r="G4399" s="74"/>
      <c r="H4399" s="74"/>
      <c r="J4399" s="7"/>
      <c r="K4399" s="74"/>
      <c r="L4399" s="74"/>
      <c r="N4399" s="7"/>
      <c r="O4399" s="74"/>
      <c r="P4399" s="74"/>
      <c r="R4399" s="7"/>
      <c r="S4399" s="7"/>
      <c r="T4399" s="66"/>
    </row>
    <row r="4400" spans="1:20" ht="13.2">
      <c r="A4400" s="7"/>
      <c r="B4400" s="7"/>
      <c r="C4400" s="74"/>
      <c r="D4400" s="74"/>
      <c r="F4400" s="7"/>
      <c r="G4400" s="74"/>
      <c r="H4400" s="74"/>
      <c r="J4400" s="7"/>
      <c r="K4400" s="74"/>
      <c r="L4400" s="74"/>
      <c r="N4400" s="7"/>
      <c r="O4400" s="74"/>
      <c r="P4400" s="74"/>
      <c r="R4400" s="7"/>
      <c r="S4400" s="7"/>
      <c r="T4400" s="66"/>
    </row>
    <row r="4401" spans="1:20" ht="13.2">
      <c r="A4401" s="7"/>
      <c r="B4401" s="7"/>
      <c r="C4401" s="74"/>
      <c r="D4401" s="74"/>
      <c r="F4401" s="7"/>
      <c r="G4401" s="74"/>
      <c r="H4401" s="74"/>
      <c r="J4401" s="7"/>
      <c r="K4401" s="74"/>
      <c r="L4401" s="74"/>
      <c r="N4401" s="7"/>
      <c r="O4401" s="74"/>
      <c r="P4401" s="74"/>
      <c r="R4401" s="7"/>
      <c r="S4401" s="7"/>
      <c r="T4401" s="66"/>
    </row>
    <row r="4402" spans="1:20" ht="13.2">
      <c r="A4402" s="7"/>
      <c r="B4402" s="7"/>
      <c r="C4402" s="74"/>
      <c r="D4402" s="74"/>
      <c r="F4402" s="7"/>
      <c r="G4402" s="74"/>
      <c r="H4402" s="74"/>
      <c r="J4402" s="7"/>
      <c r="K4402" s="74"/>
      <c r="L4402" s="74"/>
      <c r="N4402" s="7"/>
      <c r="O4402" s="74"/>
      <c r="P4402" s="74"/>
      <c r="R4402" s="7"/>
      <c r="S4402" s="7"/>
      <c r="T4402" s="66"/>
    </row>
    <row r="4403" spans="1:20" ht="13.2">
      <c r="A4403" s="7"/>
      <c r="B4403" s="7"/>
      <c r="C4403" s="74"/>
      <c r="D4403" s="74"/>
      <c r="F4403" s="7"/>
      <c r="G4403" s="74"/>
      <c r="H4403" s="74"/>
      <c r="J4403" s="7"/>
      <c r="K4403" s="74"/>
      <c r="L4403" s="74"/>
      <c r="N4403" s="7"/>
      <c r="O4403" s="74"/>
      <c r="P4403" s="74"/>
      <c r="R4403" s="7"/>
      <c r="S4403" s="7"/>
      <c r="T4403" s="66"/>
    </row>
    <row r="4404" spans="1:20" ht="13.2">
      <c r="A4404" s="7"/>
      <c r="B4404" s="7"/>
      <c r="C4404" s="74"/>
      <c r="D4404" s="74"/>
      <c r="F4404" s="7"/>
      <c r="G4404" s="74"/>
      <c r="H4404" s="74"/>
      <c r="J4404" s="7"/>
      <c r="K4404" s="74"/>
      <c r="L4404" s="74"/>
      <c r="N4404" s="7"/>
      <c r="O4404" s="74"/>
      <c r="P4404" s="74"/>
      <c r="R4404" s="7"/>
      <c r="S4404" s="7"/>
      <c r="T4404" s="66"/>
    </row>
    <row r="4405" spans="1:20" ht="13.2">
      <c r="A4405" s="7"/>
      <c r="B4405" s="7"/>
      <c r="C4405" s="74"/>
      <c r="D4405" s="74"/>
      <c r="F4405" s="7"/>
      <c r="G4405" s="74"/>
      <c r="H4405" s="74"/>
      <c r="J4405" s="7"/>
      <c r="K4405" s="74"/>
      <c r="L4405" s="74"/>
      <c r="N4405" s="7"/>
      <c r="O4405" s="74"/>
      <c r="P4405" s="74"/>
      <c r="R4405" s="7"/>
      <c r="S4405" s="7"/>
      <c r="T4405" s="66"/>
    </row>
    <row r="4406" spans="1:20" ht="13.2">
      <c r="A4406" s="7"/>
      <c r="B4406" s="7"/>
      <c r="C4406" s="74"/>
      <c r="D4406" s="74"/>
      <c r="F4406" s="7"/>
      <c r="G4406" s="74"/>
      <c r="H4406" s="74"/>
      <c r="J4406" s="7"/>
      <c r="K4406" s="74"/>
      <c r="L4406" s="74"/>
      <c r="N4406" s="7"/>
      <c r="O4406" s="74"/>
      <c r="P4406" s="74"/>
      <c r="R4406" s="7"/>
      <c r="S4406" s="7"/>
      <c r="T4406" s="66"/>
    </row>
    <row r="4407" spans="1:20" ht="13.2">
      <c r="A4407" s="7"/>
      <c r="B4407" s="7"/>
      <c r="C4407" s="74"/>
      <c r="D4407" s="74"/>
      <c r="F4407" s="7"/>
      <c r="G4407" s="74"/>
      <c r="H4407" s="74"/>
      <c r="J4407" s="7"/>
      <c r="K4407" s="74"/>
      <c r="L4407" s="74"/>
      <c r="N4407" s="7"/>
      <c r="O4407" s="74"/>
      <c r="P4407" s="74"/>
      <c r="R4407" s="7"/>
      <c r="S4407" s="7"/>
      <c r="T4407" s="66"/>
    </row>
    <row r="4408" spans="1:20" ht="13.2">
      <c r="A4408" s="7"/>
      <c r="B4408" s="7"/>
      <c r="C4408" s="74"/>
      <c r="D4408" s="74"/>
      <c r="F4408" s="7"/>
      <c r="G4408" s="74"/>
      <c r="H4408" s="74"/>
      <c r="J4408" s="7"/>
      <c r="K4408" s="74"/>
      <c r="L4408" s="74"/>
      <c r="N4408" s="7"/>
      <c r="O4408" s="74"/>
      <c r="P4408" s="74"/>
      <c r="R4408" s="7"/>
      <c r="S4408" s="7"/>
      <c r="T4408" s="66"/>
    </row>
    <row r="4409" spans="1:20" ht="13.2">
      <c r="A4409" s="7"/>
      <c r="B4409" s="7"/>
      <c r="C4409" s="74"/>
      <c r="D4409" s="74"/>
      <c r="F4409" s="7"/>
      <c r="G4409" s="74"/>
      <c r="H4409" s="74"/>
      <c r="J4409" s="7"/>
      <c r="K4409" s="74"/>
      <c r="L4409" s="74"/>
      <c r="N4409" s="7"/>
      <c r="O4409" s="74"/>
      <c r="P4409" s="74"/>
      <c r="R4409" s="7"/>
      <c r="S4409" s="7"/>
      <c r="T4409" s="66"/>
    </row>
    <row r="4410" spans="1:20" ht="13.2">
      <c r="A4410" s="7"/>
      <c r="B4410" s="7"/>
      <c r="C4410" s="74"/>
      <c r="D4410" s="74"/>
      <c r="F4410" s="7"/>
      <c r="G4410" s="74"/>
      <c r="H4410" s="74"/>
      <c r="J4410" s="7"/>
      <c r="K4410" s="74"/>
      <c r="L4410" s="74"/>
      <c r="N4410" s="7"/>
      <c r="O4410" s="74"/>
      <c r="P4410" s="74"/>
      <c r="R4410" s="7"/>
      <c r="S4410" s="7"/>
      <c r="T4410" s="66"/>
    </row>
    <row r="4411" spans="1:20" ht="13.2">
      <c r="A4411" s="7"/>
      <c r="B4411" s="7"/>
      <c r="C4411" s="74"/>
      <c r="D4411" s="74"/>
      <c r="F4411" s="7"/>
      <c r="G4411" s="74"/>
      <c r="H4411" s="74"/>
      <c r="J4411" s="7"/>
      <c r="K4411" s="74"/>
      <c r="L4411" s="74"/>
      <c r="N4411" s="7"/>
      <c r="O4411" s="74"/>
      <c r="P4411" s="74"/>
      <c r="R4411" s="7"/>
      <c r="S4411" s="7"/>
      <c r="T4411" s="66"/>
    </row>
    <row r="4412" spans="1:20" ht="13.2">
      <c r="A4412" s="7"/>
      <c r="B4412" s="7"/>
      <c r="C4412" s="74"/>
      <c r="D4412" s="74"/>
      <c r="F4412" s="7"/>
      <c r="G4412" s="74"/>
      <c r="H4412" s="74"/>
      <c r="J4412" s="7"/>
      <c r="K4412" s="74"/>
      <c r="L4412" s="74"/>
      <c r="N4412" s="7"/>
      <c r="O4412" s="74"/>
      <c r="P4412" s="74"/>
      <c r="R4412" s="7"/>
      <c r="S4412" s="7"/>
      <c r="T4412" s="66"/>
    </row>
    <row r="4413" spans="1:20" ht="13.2">
      <c r="A4413" s="7"/>
      <c r="B4413" s="7"/>
      <c r="C4413" s="74"/>
      <c r="D4413" s="74"/>
      <c r="F4413" s="7"/>
      <c r="G4413" s="74"/>
      <c r="H4413" s="74"/>
      <c r="J4413" s="7"/>
      <c r="K4413" s="74"/>
      <c r="L4413" s="74"/>
      <c r="N4413" s="7"/>
      <c r="O4413" s="74"/>
      <c r="P4413" s="74"/>
      <c r="R4413" s="7"/>
      <c r="S4413" s="7"/>
      <c r="T4413" s="66"/>
    </row>
    <row r="4414" spans="1:20" ht="13.2">
      <c r="A4414" s="7"/>
      <c r="B4414" s="7"/>
      <c r="C4414" s="74"/>
      <c r="D4414" s="74"/>
      <c r="F4414" s="7"/>
      <c r="G4414" s="74"/>
      <c r="H4414" s="74"/>
      <c r="J4414" s="7"/>
      <c r="K4414" s="74"/>
      <c r="L4414" s="74"/>
      <c r="N4414" s="7"/>
      <c r="O4414" s="74"/>
      <c r="P4414" s="74"/>
      <c r="R4414" s="7"/>
      <c r="S4414" s="7"/>
      <c r="T4414" s="66"/>
    </row>
    <row r="4415" spans="1:20" ht="13.2">
      <c r="A4415" s="7"/>
      <c r="B4415" s="7"/>
      <c r="C4415" s="74"/>
      <c r="D4415" s="74"/>
      <c r="F4415" s="7"/>
      <c r="G4415" s="74"/>
      <c r="H4415" s="74"/>
      <c r="J4415" s="7"/>
      <c r="K4415" s="74"/>
      <c r="L4415" s="74"/>
      <c r="N4415" s="7"/>
      <c r="O4415" s="74"/>
      <c r="P4415" s="74"/>
      <c r="R4415" s="7"/>
      <c r="S4415" s="7"/>
      <c r="T4415" s="66"/>
    </row>
    <row r="4416" spans="1:20" ht="13.2">
      <c r="A4416" s="7"/>
      <c r="B4416" s="7"/>
      <c r="C4416" s="74"/>
      <c r="D4416" s="74"/>
      <c r="F4416" s="7"/>
      <c r="G4416" s="74"/>
      <c r="H4416" s="74"/>
      <c r="J4416" s="7"/>
      <c r="K4416" s="74"/>
      <c r="L4416" s="74"/>
      <c r="N4416" s="7"/>
      <c r="O4416" s="74"/>
      <c r="P4416" s="74"/>
      <c r="R4416" s="7"/>
      <c r="S4416" s="7"/>
      <c r="T4416" s="66"/>
    </row>
    <row r="4417" spans="1:20" ht="13.2">
      <c r="A4417" s="7"/>
      <c r="B4417" s="7"/>
      <c r="C4417" s="74"/>
      <c r="D4417" s="74"/>
      <c r="F4417" s="7"/>
      <c r="G4417" s="74"/>
      <c r="H4417" s="74"/>
      <c r="J4417" s="7"/>
      <c r="K4417" s="74"/>
      <c r="L4417" s="74"/>
      <c r="N4417" s="7"/>
      <c r="O4417" s="74"/>
      <c r="P4417" s="74"/>
      <c r="R4417" s="7"/>
      <c r="S4417" s="7"/>
      <c r="T4417" s="66"/>
    </row>
    <row r="4418" spans="1:20" ht="13.2">
      <c r="A4418" s="7"/>
      <c r="B4418" s="7"/>
      <c r="C4418" s="74"/>
      <c r="D4418" s="74"/>
      <c r="F4418" s="7"/>
      <c r="G4418" s="74"/>
      <c r="H4418" s="74"/>
      <c r="J4418" s="7"/>
      <c r="K4418" s="74"/>
      <c r="L4418" s="74"/>
      <c r="N4418" s="7"/>
      <c r="O4418" s="74"/>
      <c r="P4418" s="74"/>
      <c r="R4418" s="7"/>
      <c r="S4418" s="7"/>
      <c r="T4418" s="66"/>
    </row>
    <row r="4419" spans="1:20" ht="13.2">
      <c r="A4419" s="7"/>
      <c r="B4419" s="7"/>
      <c r="C4419" s="74"/>
      <c r="D4419" s="74"/>
      <c r="F4419" s="7"/>
      <c r="G4419" s="74"/>
      <c r="H4419" s="74"/>
      <c r="J4419" s="7"/>
      <c r="K4419" s="74"/>
      <c r="L4419" s="74"/>
      <c r="N4419" s="7"/>
      <c r="O4419" s="74"/>
      <c r="P4419" s="74"/>
      <c r="R4419" s="7"/>
      <c r="S4419" s="7"/>
      <c r="T4419" s="66"/>
    </row>
    <row r="4420" spans="1:20" ht="13.2">
      <c r="A4420" s="7"/>
      <c r="B4420" s="7"/>
      <c r="C4420" s="74"/>
      <c r="D4420" s="74"/>
      <c r="F4420" s="7"/>
      <c r="G4420" s="74"/>
      <c r="H4420" s="74"/>
      <c r="J4420" s="7"/>
      <c r="K4420" s="74"/>
      <c r="L4420" s="74"/>
      <c r="N4420" s="7"/>
      <c r="O4420" s="74"/>
      <c r="P4420" s="74"/>
      <c r="R4420" s="7"/>
      <c r="S4420" s="7"/>
      <c r="T4420" s="66"/>
    </row>
    <row r="4421" spans="1:20" ht="13.2">
      <c r="A4421" s="7"/>
      <c r="B4421" s="7"/>
      <c r="C4421" s="74"/>
      <c r="D4421" s="74"/>
      <c r="F4421" s="7"/>
      <c r="G4421" s="74"/>
      <c r="H4421" s="74"/>
      <c r="J4421" s="7"/>
      <c r="K4421" s="74"/>
      <c r="L4421" s="74"/>
      <c r="N4421" s="7"/>
      <c r="O4421" s="74"/>
      <c r="P4421" s="74"/>
      <c r="R4421" s="7"/>
      <c r="S4421" s="7"/>
      <c r="T4421" s="66"/>
    </row>
    <row r="4422" spans="1:20" ht="13.2">
      <c r="A4422" s="7"/>
      <c r="B4422" s="7"/>
      <c r="C4422" s="74"/>
      <c r="D4422" s="74"/>
      <c r="F4422" s="7"/>
      <c r="G4422" s="74"/>
      <c r="H4422" s="74"/>
      <c r="J4422" s="7"/>
      <c r="K4422" s="74"/>
      <c r="L4422" s="74"/>
      <c r="N4422" s="7"/>
      <c r="O4422" s="74"/>
      <c r="P4422" s="74"/>
      <c r="R4422" s="7"/>
      <c r="S4422" s="7"/>
      <c r="T4422" s="66"/>
    </row>
    <row r="4423" spans="1:20" ht="13.2">
      <c r="A4423" s="7"/>
      <c r="B4423" s="7"/>
      <c r="C4423" s="74"/>
      <c r="D4423" s="74"/>
      <c r="F4423" s="7"/>
      <c r="G4423" s="74"/>
      <c r="H4423" s="74"/>
      <c r="J4423" s="7"/>
      <c r="K4423" s="74"/>
      <c r="L4423" s="74"/>
      <c r="N4423" s="7"/>
      <c r="O4423" s="74"/>
      <c r="P4423" s="74"/>
      <c r="R4423" s="7"/>
      <c r="S4423" s="7"/>
      <c r="T4423" s="66"/>
    </row>
    <row r="4424" spans="1:20" ht="13.2">
      <c r="A4424" s="7"/>
      <c r="B4424" s="7"/>
      <c r="C4424" s="74"/>
      <c r="D4424" s="74"/>
      <c r="F4424" s="7"/>
      <c r="G4424" s="74"/>
      <c r="H4424" s="74"/>
      <c r="J4424" s="7"/>
      <c r="K4424" s="74"/>
      <c r="L4424" s="74"/>
      <c r="N4424" s="7"/>
      <c r="O4424" s="74"/>
      <c r="P4424" s="74"/>
      <c r="R4424" s="7"/>
      <c r="S4424" s="7"/>
      <c r="T4424" s="66"/>
    </row>
    <row r="4425" spans="1:20" ht="13.2">
      <c r="A4425" s="7"/>
      <c r="B4425" s="7"/>
      <c r="C4425" s="74"/>
      <c r="D4425" s="74"/>
      <c r="F4425" s="7"/>
      <c r="G4425" s="74"/>
      <c r="H4425" s="74"/>
      <c r="J4425" s="7"/>
      <c r="K4425" s="74"/>
      <c r="L4425" s="74"/>
      <c r="N4425" s="7"/>
      <c r="O4425" s="74"/>
      <c r="P4425" s="74"/>
      <c r="R4425" s="7"/>
      <c r="S4425" s="7"/>
      <c r="T4425" s="66"/>
    </row>
    <row r="4426" spans="1:20" ht="13.2">
      <c r="A4426" s="7"/>
      <c r="B4426" s="7"/>
      <c r="C4426" s="74"/>
      <c r="D4426" s="74"/>
      <c r="F4426" s="7"/>
      <c r="G4426" s="74"/>
      <c r="H4426" s="74"/>
      <c r="J4426" s="7"/>
      <c r="K4426" s="74"/>
      <c r="L4426" s="74"/>
      <c r="N4426" s="7"/>
      <c r="O4426" s="74"/>
      <c r="P4426" s="74"/>
      <c r="R4426" s="7"/>
      <c r="S4426" s="7"/>
      <c r="T4426" s="66"/>
    </row>
    <row r="4427" spans="1:20" ht="13.2">
      <c r="A4427" s="7"/>
      <c r="B4427" s="7"/>
      <c r="C4427" s="74"/>
      <c r="D4427" s="74"/>
      <c r="F4427" s="7"/>
      <c r="G4427" s="74"/>
      <c r="H4427" s="74"/>
      <c r="J4427" s="7"/>
      <c r="K4427" s="74"/>
      <c r="L4427" s="74"/>
      <c r="N4427" s="7"/>
      <c r="O4427" s="74"/>
      <c r="P4427" s="74"/>
      <c r="R4427" s="7"/>
      <c r="S4427" s="7"/>
      <c r="T4427" s="66"/>
    </row>
    <row r="4428" spans="1:20" ht="13.2">
      <c r="A4428" s="7"/>
      <c r="B4428" s="7"/>
      <c r="C4428" s="74"/>
      <c r="D4428" s="74"/>
      <c r="F4428" s="7"/>
      <c r="G4428" s="74"/>
      <c r="H4428" s="74"/>
      <c r="J4428" s="7"/>
      <c r="K4428" s="74"/>
      <c r="L4428" s="74"/>
      <c r="N4428" s="7"/>
      <c r="O4428" s="74"/>
      <c r="P4428" s="74"/>
      <c r="R4428" s="7"/>
      <c r="S4428" s="7"/>
      <c r="T4428" s="66"/>
    </row>
    <row r="4429" spans="1:20" ht="13.2">
      <c r="A4429" s="7"/>
      <c r="B4429" s="7"/>
      <c r="C4429" s="74"/>
      <c r="D4429" s="74"/>
      <c r="F4429" s="7"/>
      <c r="G4429" s="74"/>
      <c r="H4429" s="74"/>
      <c r="J4429" s="7"/>
      <c r="K4429" s="74"/>
      <c r="L4429" s="74"/>
      <c r="N4429" s="7"/>
      <c r="O4429" s="74"/>
      <c r="P4429" s="74"/>
      <c r="R4429" s="7"/>
      <c r="S4429" s="7"/>
      <c r="T4429" s="66"/>
    </row>
    <row r="4430" spans="1:20" ht="13.2">
      <c r="A4430" s="7"/>
      <c r="B4430" s="7"/>
      <c r="C4430" s="74"/>
      <c r="D4430" s="74"/>
      <c r="F4430" s="7"/>
      <c r="G4430" s="74"/>
      <c r="H4430" s="74"/>
      <c r="J4430" s="7"/>
      <c r="K4430" s="74"/>
      <c r="L4430" s="74"/>
      <c r="N4430" s="7"/>
      <c r="O4430" s="74"/>
      <c r="P4430" s="74"/>
      <c r="R4430" s="7"/>
      <c r="S4430" s="7"/>
      <c r="T4430" s="66"/>
    </row>
    <row r="4431" spans="1:20" ht="13.2">
      <c r="A4431" s="7"/>
      <c r="B4431" s="7"/>
      <c r="C4431" s="74"/>
      <c r="D4431" s="74"/>
      <c r="F4431" s="7"/>
      <c r="G4431" s="74"/>
      <c r="H4431" s="74"/>
      <c r="J4431" s="7"/>
      <c r="K4431" s="74"/>
      <c r="L4431" s="74"/>
      <c r="N4431" s="7"/>
      <c r="O4431" s="74"/>
      <c r="P4431" s="74"/>
      <c r="R4431" s="7"/>
      <c r="S4431" s="7"/>
      <c r="T4431" s="66"/>
    </row>
    <row r="4432" spans="1:20" ht="13.2">
      <c r="A4432" s="7"/>
      <c r="B4432" s="7"/>
      <c r="C4432" s="74"/>
      <c r="D4432" s="74"/>
      <c r="F4432" s="7"/>
      <c r="G4432" s="74"/>
      <c r="H4432" s="74"/>
      <c r="J4432" s="7"/>
      <c r="K4432" s="74"/>
      <c r="L4432" s="74"/>
      <c r="N4432" s="7"/>
      <c r="O4432" s="74"/>
      <c r="P4432" s="74"/>
      <c r="R4432" s="7"/>
      <c r="S4432" s="7"/>
      <c r="T4432" s="66"/>
    </row>
    <row r="4433" spans="1:20" ht="13.2">
      <c r="A4433" s="7"/>
      <c r="B4433" s="7"/>
      <c r="C4433" s="74"/>
      <c r="D4433" s="74"/>
      <c r="F4433" s="7"/>
      <c r="G4433" s="74"/>
      <c r="H4433" s="74"/>
      <c r="J4433" s="7"/>
      <c r="K4433" s="74"/>
      <c r="L4433" s="74"/>
      <c r="N4433" s="7"/>
      <c r="O4433" s="74"/>
      <c r="P4433" s="74"/>
      <c r="R4433" s="7"/>
      <c r="S4433" s="7"/>
      <c r="T4433" s="66"/>
    </row>
    <row r="4434" spans="1:20" ht="13.2">
      <c r="A4434" s="7"/>
      <c r="B4434" s="7"/>
      <c r="C4434" s="74"/>
      <c r="D4434" s="74"/>
      <c r="F4434" s="7"/>
      <c r="G4434" s="74"/>
      <c r="H4434" s="74"/>
      <c r="J4434" s="7"/>
      <c r="K4434" s="74"/>
      <c r="L4434" s="74"/>
      <c r="N4434" s="7"/>
      <c r="O4434" s="74"/>
      <c r="P4434" s="74"/>
      <c r="R4434" s="7"/>
      <c r="S4434" s="7"/>
      <c r="T4434" s="66"/>
    </row>
    <row r="4435" spans="1:20" ht="13.2">
      <c r="A4435" s="7"/>
      <c r="B4435" s="7"/>
      <c r="C4435" s="74"/>
      <c r="D4435" s="74"/>
      <c r="F4435" s="7"/>
      <c r="G4435" s="74"/>
      <c r="H4435" s="74"/>
      <c r="J4435" s="7"/>
      <c r="K4435" s="74"/>
      <c r="L4435" s="74"/>
      <c r="N4435" s="7"/>
      <c r="O4435" s="74"/>
      <c r="P4435" s="74"/>
      <c r="R4435" s="7"/>
      <c r="S4435" s="7"/>
      <c r="T4435" s="66"/>
    </row>
    <row r="4436" spans="1:20" ht="13.2">
      <c r="A4436" s="7"/>
      <c r="B4436" s="7"/>
      <c r="C4436" s="74"/>
      <c r="D4436" s="74"/>
      <c r="F4436" s="7"/>
      <c r="G4436" s="74"/>
      <c r="H4436" s="74"/>
      <c r="J4436" s="7"/>
      <c r="K4436" s="74"/>
      <c r="L4436" s="74"/>
      <c r="N4436" s="7"/>
      <c r="O4436" s="74"/>
      <c r="P4436" s="74"/>
      <c r="R4436" s="7"/>
      <c r="S4436" s="7"/>
      <c r="T4436" s="66"/>
    </row>
    <row r="4437" spans="1:20" ht="13.2">
      <c r="A4437" s="7"/>
      <c r="B4437" s="7"/>
      <c r="C4437" s="74"/>
      <c r="D4437" s="74"/>
      <c r="F4437" s="7"/>
      <c r="G4437" s="74"/>
      <c r="H4437" s="74"/>
      <c r="J4437" s="7"/>
      <c r="K4437" s="74"/>
      <c r="L4437" s="74"/>
      <c r="N4437" s="7"/>
      <c r="O4437" s="74"/>
      <c r="P4437" s="74"/>
      <c r="R4437" s="7"/>
      <c r="S4437" s="7"/>
      <c r="T4437" s="66"/>
    </row>
    <row r="4438" spans="1:20" ht="13.2">
      <c r="A4438" s="7"/>
      <c r="B4438" s="7"/>
      <c r="C4438" s="74"/>
      <c r="D4438" s="74"/>
      <c r="F4438" s="7"/>
      <c r="G4438" s="74"/>
      <c r="H4438" s="74"/>
      <c r="J4438" s="7"/>
      <c r="K4438" s="74"/>
      <c r="L4438" s="74"/>
      <c r="N4438" s="7"/>
      <c r="O4438" s="74"/>
      <c r="P4438" s="74"/>
      <c r="R4438" s="7"/>
      <c r="S4438" s="7"/>
      <c r="T4438" s="66"/>
    </row>
    <row r="4439" spans="1:20" ht="13.2">
      <c r="A4439" s="7"/>
      <c r="B4439" s="7"/>
      <c r="C4439" s="74"/>
      <c r="D4439" s="74"/>
      <c r="F4439" s="7"/>
      <c r="G4439" s="74"/>
      <c r="H4439" s="74"/>
      <c r="J4439" s="7"/>
      <c r="K4439" s="74"/>
      <c r="L4439" s="74"/>
      <c r="N4439" s="7"/>
      <c r="O4439" s="74"/>
      <c r="P4439" s="74"/>
      <c r="R4439" s="7"/>
      <c r="S4439" s="7"/>
      <c r="T4439" s="66"/>
    </row>
    <row r="4440" spans="1:20" ht="13.2">
      <c r="A4440" s="7"/>
      <c r="B4440" s="7"/>
      <c r="C4440" s="74"/>
      <c r="D4440" s="74"/>
      <c r="F4440" s="7"/>
      <c r="G4440" s="74"/>
      <c r="H4440" s="74"/>
      <c r="J4440" s="7"/>
      <c r="K4440" s="74"/>
      <c r="L4440" s="74"/>
      <c r="N4440" s="7"/>
      <c r="O4440" s="74"/>
      <c r="P4440" s="74"/>
      <c r="R4440" s="7"/>
      <c r="S4440" s="7"/>
      <c r="T4440" s="66"/>
    </row>
    <row r="4441" spans="1:20" ht="13.2">
      <c r="A4441" s="7"/>
      <c r="B4441" s="7"/>
      <c r="C4441" s="74"/>
      <c r="D4441" s="74"/>
      <c r="F4441" s="7"/>
      <c r="G4441" s="74"/>
      <c r="H4441" s="74"/>
      <c r="J4441" s="7"/>
      <c r="K4441" s="74"/>
      <c r="L4441" s="74"/>
      <c r="N4441" s="7"/>
      <c r="O4441" s="74"/>
      <c r="P4441" s="74"/>
      <c r="R4441" s="7"/>
      <c r="S4441" s="7"/>
      <c r="T4441" s="66"/>
    </row>
    <row r="4442" spans="1:20" ht="13.2">
      <c r="A4442" s="7"/>
      <c r="B4442" s="7"/>
      <c r="C4442" s="74"/>
      <c r="D4442" s="74"/>
      <c r="F4442" s="7"/>
      <c r="G4442" s="74"/>
      <c r="H4442" s="74"/>
      <c r="J4442" s="7"/>
      <c r="K4442" s="74"/>
      <c r="L4442" s="74"/>
      <c r="N4442" s="7"/>
      <c r="O4442" s="74"/>
      <c r="P4442" s="74"/>
      <c r="R4442" s="7"/>
      <c r="S4442" s="7"/>
      <c r="T4442" s="66"/>
    </row>
    <row r="4443" spans="1:20" ht="13.2">
      <c r="A4443" s="7"/>
      <c r="B4443" s="7"/>
      <c r="C4443" s="74"/>
      <c r="D4443" s="74"/>
      <c r="F4443" s="7"/>
      <c r="G4443" s="74"/>
      <c r="H4443" s="74"/>
      <c r="J4443" s="7"/>
      <c r="K4443" s="74"/>
      <c r="L4443" s="74"/>
      <c r="N4443" s="7"/>
      <c r="O4443" s="74"/>
      <c r="P4443" s="74"/>
      <c r="R4443" s="7"/>
      <c r="S4443" s="7"/>
      <c r="T4443" s="66"/>
    </row>
    <row r="4444" spans="1:20" ht="13.2">
      <c r="A4444" s="7"/>
      <c r="B4444" s="7"/>
      <c r="C4444" s="74"/>
      <c r="D4444" s="74"/>
      <c r="F4444" s="7"/>
      <c r="G4444" s="74"/>
      <c r="H4444" s="74"/>
      <c r="J4444" s="7"/>
      <c r="K4444" s="74"/>
      <c r="L4444" s="74"/>
      <c r="N4444" s="7"/>
      <c r="O4444" s="74"/>
      <c r="P4444" s="74"/>
      <c r="R4444" s="7"/>
      <c r="S4444" s="7"/>
      <c r="T4444" s="66"/>
    </row>
    <row r="4445" spans="1:20" ht="13.2">
      <c r="A4445" s="7"/>
      <c r="B4445" s="7"/>
      <c r="C4445" s="74"/>
      <c r="D4445" s="74"/>
      <c r="F4445" s="7"/>
      <c r="G4445" s="74"/>
      <c r="H4445" s="74"/>
      <c r="J4445" s="7"/>
      <c r="K4445" s="74"/>
      <c r="L4445" s="74"/>
      <c r="N4445" s="7"/>
      <c r="O4445" s="74"/>
      <c r="P4445" s="74"/>
      <c r="R4445" s="7"/>
      <c r="S4445" s="7"/>
      <c r="T4445" s="66"/>
    </row>
    <row r="4446" spans="1:20" ht="13.2">
      <c r="A4446" s="7"/>
      <c r="B4446" s="7"/>
      <c r="C4446" s="74"/>
      <c r="D4446" s="74"/>
      <c r="F4446" s="7"/>
      <c r="G4446" s="74"/>
      <c r="H4446" s="74"/>
      <c r="J4446" s="7"/>
      <c r="K4446" s="74"/>
      <c r="L4446" s="74"/>
      <c r="N4446" s="7"/>
      <c r="O4446" s="74"/>
      <c r="P4446" s="74"/>
      <c r="R4446" s="7"/>
      <c r="S4446" s="7"/>
      <c r="T4446" s="66"/>
    </row>
    <row r="4447" spans="1:20" ht="13.2">
      <c r="A4447" s="7"/>
      <c r="B4447" s="7"/>
      <c r="C4447" s="74"/>
      <c r="D4447" s="74"/>
      <c r="F4447" s="7"/>
      <c r="G4447" s="74"/>
      <c r="H4447" s="74"/>
      <c r="J4447" s="7"/>
      <c r="K4447" s="74"/>
      <c r="L4447" s="74"/>
      <c r="N4447" s="7"/>
      <c r="O4447" s="74"/>
      <c r="P4447" s="74"/>
      <c r="R4447" s="7"/>
      <c r="S4447" s="7"/>
      <c r="T4447" s="66"/>
    </row>
    <row r="4448" spans="1:20" ht="13.2">
      <c r="A4448" s="7"/>
      <c r="B4448" s="7"/>
      <c r="C4448" s="74"/>
      <c r="D4448" s="74"/>
      <c r="F4448" s="7"/>
      <c r="G4448" s="74"/>
      <c r="H4448" s="74"/>
      <c r="J4448" s="7"/>
      <c r="K4448" s="74"/>
      <c r="L4448" s="74"/>
      <c r="N4448" s="7"/>
      <c r="O4448" s="74"/>
      <c r="P4448" s="74"/>
      <c r="R4448" s="7"/>
      <c r="S4448" s="7"/>
      <c r="T4448" s="66"/>
    </row>
    <row r="4449" spans="1:20" ht="13.2">
      <c r="A4449" s="7"/>
      <c r="B4449" s="7"/>
      <c r="C4449" s="74"/>
      <c r="D4449" s="74"/>
      <c r="F4449" s="7"/>
      <c r="G4449" s="74"/>
      <c r="H4449" s="74"/>
      <c r="J4449" s="7"/>
      <c r="K4449" s="74"/>
      <c r="L4449" s="74"/>
      <c r="N4449" s="7"/>
      <c r="O4449" s="74"/>
      <c r="P4449" s="74"/>
      <c r="R4449" s="7"/>
      <c r="S4449" s="7"/>
      <c r="T4449" s="66"/>
    </row>
    <row r="4450" spans="1:20" ht="13.2">
      <c r="A4450" s="7"/>
      <c r="B4450" s="7"/>
      <c r="C4450" s="74"/>
      <c r="D4450" s="74"/>
      <c r="F4450" s="7"/>
      <c r="G4450" s="74"/>
      <c r="H4450" s="74"/>
      <c r="J4450" s="7"/>
      <c r="K4450" s="74"/>
      <c r="L4450" s="74"/>
      <c r="N4450" s="7"/>
      <c r="O4450" s="74"/>
      <c r="P4450" s="74"/>
      <c r="R4450" s="7"/>
      <c r="S4450" s="7"/>
      <c r="T4450" s="66"/>
    </row>
    <row r="4451" spans="1:20" ht="13.2">
      <c r="A4451" s="7"/>
      <c r="B4451" s="7"/>
      <c r="C4451" s="74"/>
      <c r="D4451" s="74"/>
      <c r="F4451" s="7"/>
      <c r="G4451" s="74"/>
      <c r="H4451" s="74"/>
      <c r="J4451" s="7"/>
      <c r="K4451" s="74"/>
      <c r="L4451" s="74"/>
      <c r="N4451" s="7"/>
      <c r="O4451" s="74"/>
      <c r="P4451" s="74"/>
      <c r="R4451" s="7"/>
      <c r="S4451" s="7"/>
      <c r="T4451" s="66"/>
    </row>
    <row r="4452" spans="1:20" ht="13.2">
      <c r="A4452" s="7"/>
      <c r="B4452" s="7"/>
      <c r="C4452" s="74"/>
      <c r="D4452" s="74"/>
      <c r="F4452" s="7"/>
      <c r="G4452" s="74"/>
      <c r="H4452" s="74"/>
      <c r="J4452" s="7"/>
      <c r="K4452" s="74"/>
      <c r="L4452" s="74"/>
      <c r="N4452" s="7"/>
      <c r="O4452" s="74"/>
      <c r="P4452" s="74"/>
      <c r="R4452" s="7"/>
      <c r="S4452" s="7"/>
      <c r="T4452" s="66"/>
    </row>
    <row r="4453" spans="1:20" ht="13.2">
      <c r="A4453" s="7"/>
      <c r="B4453" s="7"/>
      <c r="C4453" s="74"/>
      <c r="D4453" s="74"/>
      <c r="F4453" s="7"/>
      <c r="G4453" s="74"/>
      <c r="H4453" s="74"/>
      <c r="J4453" s="7"/>
      <c r="K4453" s="74"/>
      <c r="L4453" s="74"/>
      <c r="N4453" s="7"/>
      <c r="O4453" s="74"/>
      <c r="P4453" s="74"/>
      <c r="R4453" s="7"/>
      <c r="S4453" s="7"/>
      <c r="T4453" s="66"/>
    </row>
    <row r="4454" spans="1:20" ht="13.2">
      <c r="A4454" s="7"/>
      <c r="B4454" s="7"/>
      <c r="C4454" s="74"/>
      <c r="D4454" s="74"/>
      <c r="F4454" s="7"/>
      <c r="G4454" s="74"/>
      <c r="H4454" s="74"/>
      <c r="J4454" s="7"/>
      <c r="K4454" s="74"/>
      <c r="L4454" s="74"/>
      <c r="N4454" s="7"/>
      <c r="O4454" s="74"/>
      <c r="P4454" s="74"/>
      <c r="R4454" s="7"/>
      <c r="S4454" s="7"/>
      <c r="T4454" s="66"/>
    </row>
    <row r="4455" spans="1:20" ht="13.2">
      <c r="A4455" s="7"/>
      <c r="B4455" s="7"/>
      <c r="C4455" s="74"/>
      <c r="D4455" s="74"/>
      <c r="F4455" s="7"/>
      <c r="G4455" s="74"/>
      <c r="H4455" s="74"/>
      <c r="J4455" s="7"/>
      <c r="K4455" s="74"/>
      <c r="L4455" s="74"/>
      <c r="N4455" s="7"/>
      <c r="O4455" s="74"/>
      <c r="P4455" s="74"/>
      <c r="R4455" s="7"/>
      <c r="S4455" s="7"/>
      <c r="T4455" s="66"/>
    </row>
    <row r="4456" spans="1:20" ht="13.2">
      <c r="A4456" s="7"/>
      <c r="B4456" s="7"/>
      <c r="C4456" s="74"/>
      <c r="D4456" s="74"/>
      <c r="F4456" s="7"/>
      <c r="G4456" s="74"/>
      <c r="H4456" s="74"/>
      <c r="J4456" s="7"/>
      <c r="K4456" s="74"/>
      <c r="L4456" s="74"/>
      <c r="N4456" s="7"/>
      <c r="O4456" s="74"/>
      <c r="P4456" s="74"/>
      <c r="R4456" s="7"/>
      <c r="S4456" s="7"/>
      <c r="T4456" s="66"/>
    </row>
    <row r="4457" spans="1:20" ht="13.2">
      <c r="A4457" s="7"/>
      <c r="B4457" s="7"/>
      <c r="C4457" s="74"/>
      <c r="D4457" s="74"/>
      <c r="F4457" s="7"/>
      <c r="G4457" s="74"/>
      <c r="H4457" s="74"/>
      <c r="J4457" s="7"/>
      <c r="K4457" s="74"/>
      <c r="L4457" s="74"/>
      <c r="N4457" s="7"/>
      <c r="O4457" s="74"/>
      <c r="P4457" s="74"/>
      <c r="R4457" s="7"/>
      <c r="S4457" s="7"/>
      <c r="T4457" s="66"/>
    </row>
    <row r="4458" spans="1:20" ht="13.2">
      <c r="A4458" s="7"/>
      <c r="B4458" s="7"/>
      <c r="C4458" s="74"/>
      <c r="D4458" s="74"/>
      <c r="F4458" s="7"/>
      <c r="G4458" s="74"/>
      <c r="H4458" s="74"/>
      <c r="J4458" s="7"/>
      <c r="K4458" s="74"/>
      <c r="L4458" s="74"/>
      <c r="N4458" s="7"/>
      <c r="O4458" s="74"/>
      <c r="P4458" s="74"/>
      <c r="R4458" s="7"/>
      <c r="S4458" s="7"/>
      <c r="T4458" s="66"/>
    </row>
    <row r="4459" spans="1:20" ht="13.2">
      <c r="A4459" s="7"/>
      <c r="B4459" s="7"/>
      <c r="C4459" s="74"/>
      <c r="D4459" s="74"/>
      <c r="F4459" s="7"/>
      <c r="G4459" s="74"/>
      <c r="H4459" s="74"/>
      <c r="J4459" s="7"/>
      <c r="K4459" s="74"/>
      <c r="L4459" s="74"/>
      <c r="N4459" s="7"/>
      <c r="O4459" s="74"/>
      <c r="P4459" s="74"/>
      <c r="R4459" s="7"/>
      <c r="S4459" s="7"/>
      <c r="T4459" s="66"/>
    </row>
    <row r="4460" spans="1:20" ht="13.2">
      <c r="A4460" s="7"/>
      <c r="B4460" s="7"/>
      <c r="C4460" s="74"/>
      <c r="D4460" s="74"/>
      <c r="F4460" s="7"/>
      <c r="G4460" s="74"/>
      <c r="H4460" s="74"/>
      <c r="J4460" s="7"/>
      <c r="K4460" s="74"/>
      <c r="L4460" s="74"/>
      <c r="N4460" s="7"/>
      <c r="O4460" s="74"/>
      <c r="P4460" s="74"/>
      <c r="R4460" s="7"/>
      <c r="S4460" s="7"/>
      <c r="T4460" s="66"/>
    </row>
    <row r="4461" spans="1:20" ht="13.2">
      <c r="A4461" s="7"/>
      <c r="B4461" s="7"/>
      <c r="C4461" s="74"/>
      <c r="D4461" s="74"/>
      <c r="F4461" s="7"/>
      <c r="G4461" s="74"/>
      <c r="H4461" s="74"/>
      <c r="J4461" s="7"/>
      <c r="K4461" s="74"/>
      <c r="L4461" s="74"/>
      <c r="N4461" s="7"/>
      <c r="O4461" s="74"/>
      <c r="P4461" s="74"/>
      <c r="R4461" s="7"/>
      <c r="S4461" s="7"/>
      <c r="T4461" s="66"/>
    </row>
    <row r="4462" spans="1:20" ht="13.2">
      <c r="A4462" s="7"/>
      <c r="B4462" s="7"/>
      <c r="C4462" s="74"/>
      <c r="D4462" s="74"/>
      <c r="F4462" s="7"/>
      <c r="G4462" s="74"/>
      <c r="H4462" s="74"/>
      <c r="J4462" s="7"/>
      <c r="K4462" s="74"/>
      <c r="L4462" s="74"/>
      <c r="N4462" s="7"/>
      <c r="O4462" s="74"/>
      <c r="P4462" s="74"/>
      <c r="R4462" s="7"/>
      <c r="S4462" s="7"/>
      <c r="T4462" s="66"/>
    </row>
    <row r="4463" spans="1:20" ht="13.2">
      <c r="A4463" s="7"/>
      <c r="B4463" s="7"/>
      <c r="C4463" s="74"/>
      <c r="D4463" s="74"/>
      <c r="F4463" s="7"/>
      <c r="G4463" s="74"/>
      <c r="H4463" s="74"/>
      <c r="J4463" s="7"/>
      <c r="K4463" s="74"/>
      <c r="L4463" s="74"/>
      <c r="N4463" s="7"/>
      <c r="O4463" s="74"/>
      <c r="P4463" s="74"/>
      <c r="R4463" s="7"/>
      <c r="S4463" s="7"/>
      <c r="T4463" s="66"/>
    </row>
    <row r="4464" spans="1:20" ht="13.2">
      <c r="A4464" s="7"/>
      <c r="B4464" s="7"/>
      <c r="C4464" s="74"/>
      <c r="D4464" s="74"/>
      <c r="F4464" s="7"/>
      <c r="G4464" s="74"/>
      <c r="H4464" s="74"/>
      <c r="J4464" s="7"/>
      <c r="K4464" s="74"/>
      <c r="L4464" s="74"/>
      <c r="N4464" s="7"/>
      <c r="O4464" s="74"/>
      <c r="P4464" s="74"/>
      <c r="R4464" s="7"/>
      <c r="S4464" s="7"/>
      <c r="T4464" s="66"/>
    </row>
    <row r="4465" spans="1:20" ht="13.2">
      <c r="A4465" s="7"/>
      <c r="B4465" s="7"/>
      <c r="C4465" s="74"/>
      <c r="D4465" s="74"/>
      <c r="F4465" s="7"/>
      <c r="G4465" s="74"/>
      <c r="H4465" s="74"/>
      <c r="J4465" s="7"/>
      <c r="K4465" s="74"/>
      <c r="L4465" s="74"/>
      <c r="N4465" s="7"/>
      <c r="O4465" s="74"/>
      <c r="P4465" s="74"/>
      <c r="R4465" s="7"/>
      <c r="S4465" s="7"/>
      <c r="T4465" s="66"/>
    </row>
    <row r="4466" spans="1:20" ht="13.2">
      <c r="A4466" s="7"/>
      <c r="B4466" s="7"/>
      <c r="C4466" s="74"/>
      <c r="D4466" s="74"/>
      <c r="F4466" s="7"/>
      <c r="G4466" s="74"/>
      <c r="H4466" s="74"/>
      <c r="J4466" s="7"/>
      <c r="K4466" s="74"/>
      <c r="L4466" s="74"/>
      <c r="N4466" s="7"/>
      <c r="O4466" s="74"/>
      <c r="P4466" s="74"/>
      <c r="R4466" s="7"/>
      <c r="S4466" s="7"/>
      <c r="T4466" s="66"/>
    </row>
    <row r="4467" spans="1:20" ht="13.2">
      <c r="A4467" s="7"/>
      <c r="B4467" s="7"/>
      <c r="C4467" s="74"/>
      <c r="D4467" s="74"/>
      <c r="F4467" s="7"/>
      <c r="G4467" s="74"/>
      <c r="H4467" s="74"/>
      <c r="J4467" s="7"/>
      <c r="K4467" s="74"/>
      <c r="L4467" s="74"/>
      <c r="N4467" s="7"/>
      <c r="O4467" s="74"/>
      <c r="P4467" s="74"/>
      <c r="R4467" s="7"/>
      <c r="S4467" s="7"/>
      <c r="T4467" s="66"/>
    </row>
    <row r="4468" spans="1:20" ht="13.2">
      <c r="A4468" s="7"/>
      <c r="B4468" s="7"/>
      <c r="C4468" s="74"/>
      <c r="D4468" s="74"/>
      <c r="F4468" s="7"/>
      <c r="G4468" s="74"/>
      <c r="H4468" s="74"/>
      <c r="J4468" s="7"/>
      <c r="K4468" s="74"/>
      <c r="L4468" s="74"/>
      <c r="N4468" s="7"/>
      <c r="O4468" s="74"/>
      <c r="P4468" s="74"/>
      <c r="R4468" s="7"/>
      <c r="S4468" s="7"/>
      <c r="T4468" s="66"/>
    </row>
    <row r="4469" spans="1:20" ht="13.2">
      <c r="A4469" s="7"/>
      <c r="B4469" s="7"/>
      <c r="C4469" s="74"/>
      <c r="D4469" s="74"/>
      <c r="F4469" s="7"/>
      <c r="G4469" s="74"/>
      <c r="H4469" s="74"/>
      <c r="J4469" s="7"/>
      <c r="K4469" s="74"/>
      <c r="L4469" s="74"/>
      <c r="N4469" s="7"/>
      <c r="O4469" s="74"/>
      <c r="P4469" s="74"/>
      <c r="R4469" s="7"/>
      <c r="S4469" s="7"/>
      <c r="T4469" s="66"/>
    </row>
    <row r="4470" spans="1:20" ht="13.2">
      <c r="A4470" s="7"/>
      <c r="B4470" s="7"/>
      <c r="C4470" s="74"/>
      <c r="D4470" s="74"/>
      <c r="F4470" s="7"/>
      <c r="G4470" s="74"/>
      <c r="H4470" s="74"/>
      <c r="J4470" s="7"/>
      <c r="K4470" s="74"/>
      <c r="L4470" s="74"/>
      <c r="N4470" s="7"/>
      <c r="O4470" s="74"/>
      <c r="P4470" s="74"/>
      <c r="R4470" s="7"/>
      <c r="S4470" s="7"/>
      <c r="T4470" s="66"/>
    </row>
    <row r="4471" spans="1:20" ht="13.2">
      <c r="A4471" s="7"/>
      <c r="B4471" s="7"/>
      <c r="C4471" s="74"/>
      <c r="D4471" s="74"/>
      <c r="F4471" s="7"/>
      <c r="G4471" s="74"/>
      <c r="H4471" s="74"/>
      <c r="J4471" s="7"/>
      <c r="K4471" s="74"/>
      <c r="L4471" s="74"/>
      <c r="N4471" s="7"/>
      <c r="O4471" s="74"/>
      <c r="P4471" s="74"/>
      <c r="R4471" s="7"/>
      <c r="S4471" s="7"/>
      <c r="T4471" s="66"/>
    </row>
    <row r="4472" spans="1:20" ht="13.2">
      <c r="A4472" s="7"/>
      <c r="B4472" s="7"/>
      <c r="C4472" s="74"/>
      <c r="D4472" s="74"/>
      <c r="F4472" s="7"/>
      <c r="G4472" s="74"/>
      <c r="H4472" s="74"/>
      <c r="J4472" s="7"/>
      <c r="K4472" s="74"/>
      <c r="L4472" s="74"/>
      <c r="N4472" s="7"/>
      <c r="O4472" s="74"/>
      <c r="P4472" s="74"/>
      <c r="R4472" s="7"/>
      <c r="S4472" s="7"/>
      <c r="T4472" s="66"/>
    </row>
    <row r="4473" spans="1:20" ht="13.2">
      <c r="A4473" s="7"/>
      <c r="B4473" s="7"/>
      <c r="C4473" s="74"/>
      <c r="D4473" s="74"/>
      <c r="F4473" s="7"/>
      <c r="G4473" s="74"/>
      <c r="H4473" s="74"/>
      <c r="J4473" s="7"/>
      <c r="K4473" s="74"/>
      <c r="L4473" s="74"/>
      <c r="N4473" s="7"/>
      <c r="O4473" s="74"/>
      <c r="P4473" s="74"/>
      <c r="R4473" s="7"/>
      <c r="S4473" s="7"/>
      <c r="T4473" s="66"/>
    </row>
    <row r="4474" spans="1:20" ht="13.2">
      <c r="A4474" s="7"/>
      <c r="B4474" s="7"/>
      <c r="C4474" s="74"/>
      <c r="D4474" s="74"/>
      <c r="F4474" s="7"/>
      <c r="G4474" s="74"/>
      <c r="H4474" s="74"/>
      <c r="J4474" s="7"/>
      <c r="K4474" s="74"/>
      <c r="L4474" s="74"/>
      <c r="N4474" s="7"/>
      <c r="O4474" s="74"/>
      <c r="P4474" s="74"/>
      <c r="R4474" s="7"/>
      <c r="S4474" s="7"/>
      <c r="T4474" s="66"/>
    </row>
    <row r="4475" spans="1:20" ht="13.2">
      <c r="A4475" s="7"/>
      <c r="B4475" s="7"/>
      <c r="C4475" s="74"/>
      <c r="D4475" s="74"/>
      <c r="F4475" s="7"/>
      <c r="G4475" s="74"/>
      <c r="H4475" s="74"/>
      <c r="J4475" s="7"/>
      <c r="K4475" s="74"/>
      <c r="L4475" s="74"/>
      <c r="N4475" s="7"/>
      <c r="O4475" s="74"/>
      <c r="P4475" s="74"/>
      <c r="R4475" s="7"/>
      <c r="S4475" s="7"/>
      <c r="T4475" s="66"/>
    </row>
    <row r="4476" spans="1:20" ht="13.2">
      <c r="A4476" s="7"/>
      <c r="B4476" s="7"/>
      <c r="C4476" s="74"/>
      <c r="D4476" s="74"/>
      <c r="F4476" s="7"/>
      <c r="G4476" s="74"/>
      <c r="H4476" s="74"/>
      <c r="J4476" s="7"/>
      <c r="K4476" s="74"/>
      <c r="L4476" s="74"/>
      <c r="N4476" s="7"/>
      <c r="O4476" s="74"/>
      <c r="P4476" s="74"/>
      <c r="R4476" s="7"/>
      <c r="S4476" s="7"/>
      <c r="T4476" s="66"/>
    </row>
    <row r="4477" spans="1:20" ht="13.2">
      <c r="A4477" s="7"/>
      <c r="B4477" s="7"/>
      <c r="C4477" s="74"/>
      <c r="D4477" s="74"/>
      <c r="F4477" s="7"/>
      <c r="G4477" s="74"/>
      <c r="H4477" s="74"/>
      <c r="J4477" s="7"/>
      <c r="K4477" s="74"/>
      <c r="L4477" s="74"/>
      <c r="N4477" s="7"/>
      <c r="O4477" s="74"/>
      <c r="P4477" s="74"/>
      <c r="R4477" s="7"/>
      <c r="S4477" s="7"/>
      <c r="T4477" s="66"/>
    </row>
    <row r="4478" spans="1:20" ht="13.2">
      <c r="A4478" s="7"/>
      <c r="B4478" s="7"/>
      <c r="C4478" s="74"/>
      <c r="D4478" s="74"/>
      <c r="F4478" s="7"/>
      <c r="G4478" s="74"/>
      <c r="H4478" s="74"/>
      <c r="J4478" s="7"/>
      <c r="K4478" s="74"/>
      <c r="L4478" s="74"/>
      <c r="N4478" s="7"/>
      <c r="O4478" s="74"/>
      <c r="P4478" s="74"/>
      <c r="R4478" s="7"/>
      <c r="S4478" s="7"/>
      <c r="T4478" s="66"/>
    </row>
    <row r="4479" spans="1:20" ht="13.2">
      <c r="A4479" s="7"/>
      <c r="B4479" s="7"/>
      <c r="C4479" s="74"/>
      <c r="D4479" s="74"/>
      <c r="F4479" s="7"/>
      <c r="G4479" s="74"/>
      <c r="H4479" s="74"/>
      <c r="J4479" s="7"/>
      <c r="K4479" s="74"/>
      <c r="L4479" s="74"/>
      <c r="N4479" s="7"/>
      <c r="O4479" s="74"/>
      <c r="P4479" s="74"/>
      <c r="R4479" s="7"/>
      <c r="S4479" s="7"/>
      <c r="T4479" s="66"/>
    </row>
    <row r="4480" spans="1:20" ht="13.2">
      <c r="A4480" s="7"/>
      <c r="B4480" s="7"/>
      <c r="C4480" s="74"/>
      <c r="D4480" s="74"/>
      <c r="F4480" s="7"/>
      <c r="G4480" s="74"/>
      <c r="H4480" s="74"/>
      <c r="J4480" s="7"/>
      <c r="K4480" s="74"/>
      <c r="L4480" s="74"/>
      <c r="N4480" s="7"/>
      <c r="O4480" s="74"/>
      <c r="P4480" s="74"/>
      <c r="R4480" s="7"/>
      <c r="S4480" s="7"/>
      <c r="T4480" s="66"/>
    </row>
    <row r="4481" spans="1:20" ht="13.2">
      <c r="A4481" s="7"/>
      <c r="B4481" s="7"/>
      <c r="C4481" s="74"/>
      <c r="D4481" s="74"/>
      <c r="F4481" s="7"/>
      <c r="G4481" s="74"/>
      <c r="H4481" s="74"/>
      <c r="J4481" s="7"/>
      <c r="K4481" s="74"/>
      <c r="L4481" s="74"/>
      <c r="N4481" s="7"/>
      <c r="O4481" s="74"/>
      <c r="P4481" s="74"/>
      <c r="R4481" s="7"/>
      <c r="S4481" s="7"/>
      <c r="T4481" s="66"/>
    </row>
    <row r="4482" spans="1:20" ht="13.2">
      <c r="A4482" s="7"/>
      <c r="B4482" s="7"/>
      <c r="C4482" s="74"/>
      <c r="D4482" s="74"/>
      <c r="F4482" s="7"/>
      <c r="G4482" s="74"/>
      <c r="H4482" s="74"/>
      <c r="J4482" s="7"/>
      <c r="K4482" s="74"/>
      <c r="L4482" s="74"/>
      <c r="N4482" s="7"/>
      <c r="O4482" s="74"/>
      <c r="P4482" s="74"/>
      <c r="R4482" s="7"/>
      <c r="S4482" s="7"/>
      <c r="T4482" s="66"/>
    </row>
    <row r="4483" spans="1:20" ht="13.2">
      <c r="A4483" s="7"/>
      <c r="B4483" s="7"/>
      <c r="C4483" s="74"/>
      <c r="D4483" s="74"/>
      <c r="F4483" s="7"/>
      <c r="G4483" s="74"/>
      <c r="H4483" s="74"/>
      <c r="J4483" s="7"/>
      <c r="K4483" s="74"/>
      <c r="L4483" s="74"/>
      <c r="N4483" s="7"/>
      <c r="O4483" s="74"/>
      <c r="P4483" s="74"/>
      <c r="R4483" s="7"/>
      <c r="S4483" s="7"/>
      <c r="T4483" s="66"/>
    </row>
    <row r="4484" spans="1:20" ht="13.2">
      <c r="A4484" s="7"/>
      <c r="B4484" s="7"/>
      <c r="C4484" s="74"/>
      <c r="D4484" s="74"/>
      <c r="F4484" s="7"/>
      <c r="G4484" s="74"/>
      <c r="H4484" s="74"/>
      <c r="J4484" s="7"/>
      <c r="K4484" s="74"/>
      <c r="L4484" s="74"/>
      <c r="N4484" s="7"/>
      <c r="O4484" s="74"/>
      <c r="P4484" s="74"/>
      <c r="R4484" s="7"/>
      <c r="S4484" s="7"/>
      <c r="T4484" s="66"/>
    </row>
    <row r="4485" spans="1:20" ht="13.2">
      <c r="A4485" s="7"/>
      <c r="B4485" s="7"/>
      <c r="C4485" s="74"/>
      <c r="D4485" s="74"/>
      <c r="F4485" s="7"/>
      <c r="G4485" s="74"/>
      <c r="H4485" s="74"/>
      <c r="J4485" s="7"/>
      <c r="K4485" s="74"/>
      <c r="L4485" s="74"/>
      <c r="N4485" s="7"/>
      <c r="O4485" s="74"/>
      <c r="P4485" s="74"/>
      <c r="R4485" s="7"/>
      <c r="S4485" s="7"/>
      <c r="T4485" s="66"/>
    </row>
    <row r="4486" spans="1:20" ht="13.2">
      <c r="A4486" s="7"/>
      <c r="B4486" s="7"/>
      <c r="C4486" s="74"/>
      <c r="D4486" s="74"/>
      <c r="F4486" s="7"/>
      <c r="G4486" s="74"/>
      <c r="H4486" s="74"/>
      <c r="J4486" s="7"/>
      <c r="K4486" s="74"/>
      <c r="L4486" s="74"/>
      <c r="N4486" s="7"/>
      <c r="O4486" s="74"/>
      <c r="P4486" s="74"/>
      <c r="R4486" s="7"/>
      <c r="S4486" s="7"/>
      <c r="T4486" s="66"/>
    </row>
    <row r="4487" spans="1:20" ht="13.2">
      <c r="A4487" s="7"/>
      <c r="B4487" s="7"/>
      <c r="C4487" s="74"/>
      <c r="D4487" s="74"/>
      <c r="F4487" s="7"/>
      <c r="G4487" s="74"/>
      <c r="H4487" s="74"/>
      <c r="J4487" s="7"/>
      <c r="K4487" s="74"/>
      <c r="L4487" s="74"/>
      <c r="N4487" s="7"/>
      <c r="O4487" s="74"/>
      <c r="P4487" s="74"/>
      <c r="R4487" s="7"/>
      <c r="S4487" s="7"/>
      <c r="T4487" s="66"/>
    </row>
    <row r="4488" spans="1:20" ht="13.2">
      <c r="A4488" s="7"/>
      <c r="B4488" s="7"/>
      <c r="C4488" s="74"/>
      <c r="D4488" s="74"/>
      <c r="F4488" s="7"/>
      <c r="G4488" s="74"/>
      <c r="H4488" s="74"/>
      <c r="J4488" s="7"/>
      <c r="K4488" s="74"/>
      <c r="L4488" s="74"/>
      <c r="N4488" s="7"/>
      <c r="O4488" s="74"/>
      <c r="P4488" s="74"/>
      <c r="R4488" s="7"/>
      <c r="S4488" s="7"/>
      <c r="T4488" s="66"/>
    </row>
    <row r="4489" spans="1:20" ht="13.2">
      <c r="A4489" s="7"/>
      <c r="B4489" s="7"/>
      <c r="C4489" s="74"/>
      <c r="D4489" s="74"/>
      <c r="F4489" s="7"/>
      <c r="G4489" s="74"/>
      <c r="H4489" s="74"/>
      <c r="J4489" s="7"/>
      <c r="K4489" s="74"/>
      <c r="L4489" s="74"/>
      <c r="N4489" s="7"/>
      <c r="O4489" s="74"/>
      <c r="P4489" s="74"/>
      <c r="R4489" s="7"/>
      <c r="S4489" s="7"/>
      <c r="T4489" s="66"/>
    </row>
    <row r="4490" spans="1:20" ht="13.2">
      <c r="A4490" s="7"/>
      <c r="B4490" s="7"/>
      <c r="C4490" s="74"/>
      <c r="D4490" s="74"/>
      <c r="F4490" s="7"/>
      <c r="G4490" s="74"/>
      <c r="H4490" s="74"/>
      <c r="J4490" s="7"/>
      <c r="K4490" s="74"/>
      <c r="L4490" s="74"/>
      <c r="N4490" s="7"/>
      <c r="O4490" s="74"/>
      <c r="P4490" s="74"/>
      <c r="R4490" s="7"/>
      <c r="S4490" s="7"/>
      <c r="T4490" s="66"/>
    </row>
    <row r="4491" spans="1:20" ht="13.2">
      <c r="A4491" s="7"/>
      <c r="B4491" s="7"/>
      <c r="C4491" s="74"/>
      <c r="D4491" s="74"/>
      <c r="F4491" s="7"/>
      <c r="G4491" s="74"/>
      <c r="H4491" s="74"/>
      <c r="J4491" s="7"/>
      <c r="K4491" s="74"/>
      <c r="L4491" s="74"/>
      <c r="N4491" s="7"/>
      <c r="O4491" s="74"/>
      <c r="P4491" s="74"/>
      <c r="R4491" s="7"/>
      <c r="S4491" s="7"/>
      <c r="T4491" s="66"/>
    </row>
    <row r="4492" spans="1:20" ht="13.2">
      <c r="A4492" s="7"/>
      <c r="B4492" s="7"/>
      <c r="C4492" s="74"/>
      <c r="D4492" s="74"/>
      <c r="F4492" s="7"/>
      <c r="G4492" s="74"/>
      <c r="H4492" s="74"/>
      <c r="J4492" s="7"/>
      <c r="K4492" s="74"/>
      <c r="L4492" s="74"/>
      <c r="N4492" s="7"/>
      <c r="O4492" s="74"/>
      <c r="P4492" s="74"/>
      <c r="R4492" s="7"/>
      <c r="S4492" s="7"/>
      <c r="T4492" s="66"/>
    </row>
    <row r="4493" spans="1:20" ht="13.2">
      <c r="A4493" s="7"/>
      <c r="B4493" s="7"/>
      <c r="C4493" s="74"/>
      <c r="D4493" s="74"/>
      <c r="F4493" s="7"/>
      <c r="G4493" s="74"/>
      <c r="H4493" s="74"/>
      <c r="J4493" s="7"/>
      <c r="K4493" s="74"/>
      <c r="L4493" s="74"/>
      <c r="N4493" s="7"/>
      <c r="O4493" s="74"/>
      <c r="P4493" s="74"/>
      <c r="R4493" s="7"/>
      <c r="S4493" s="7"/>
      <c r="T4493" s="66"/>
    </row>
    <row r="4494" spans="1:20" ht="13.2">
      <c r="A4494" s="7"/>
      <c r="B4494" s="7"/>
      <c r="C4494" s="74"/>
      <c r="D4494" s="74"/>
      <c r="F4494" s="7"/>
      <c r="G4494" s="74"/>
      <c r="H4494" s="74"/>
      <c r="J4494" s="7"/>
      <c r="K4494" s="74"/>
      <c r="L4494" s="74"/>
      <c r="N4494" s="7"/>
      <c r="O4494" s="74"/>
      <c r="P4494" s="74"/>
      <c r="R4494" s="7"/>
      <c r="S4494" s="7"/>
      <c r="T4494" s="66"/>
    </row>
    <row r="4495" spans="1:20" ht="13.2">
      <c r="A4495" s="7"/>
      <c r="B4495" s="7"/>
      <c r="C4495" s="74"/>
      <c r="D4495" s="74"/>
      <c r="F4495" s="7"/>
      <c r="G4495" s="74"/>
      <c r="H4495" s="74"/>
      <c r="J4495" s="7"/>
      <c r="K4495" s="74"/>
      <c r="L4495" s="74"/>
      <c r="N4495" s="7"/>
      <c r="O4495" s="74"/>
      <c r="P4495" s="74"/>
      <c r="R4495" s="7"/>
      <c r="S4495" s="7"/>
      <c r="T4495" s="66"/>
    </row>
    <row r="4496" spans="1:20" ht="13.2">
      <c r="A4496" s="7"/>
      <c r="B4496" s="7"/>
      <c r="C4496" s="74"/>
      <c r="D4496" s="74"/>
      <c r="F4496" s="7"/>
      <c r="G4496" s="74"/>
      <c r="H4496" s="74"/>
      <c r="J4496" s="7"/>
      <c r="K4496" s="74"/>
      <c r="L4496" s="74"/>
      <c r="N4496" s="7"/>
      <c r="O4496" s="74"/>
      <c r="P4496" s="74"/>
      <c r="R4496" s="7"/>
      <c r="S4496" s="7"/>
      <c r="T4496" s="66"/>
    </row>
    <row r="4497" spans="1:20" ht="13.2">
      <c r="A4497" s="7"/>
      <c r="B4497" s="7"/>
      <c r="C4497" s="74"/>
      <c r="D4497" s="74"/>
      <c r="F4497" s="7"/>
      <c r="G4497" s="74"/>
      <c r="H4497" s="74"/>
      <c r="J4497" s="7"/>
      <c r="K4497" s="74"/>
      <c r="L4497" s="74"/>
      <c r="N4497" s="7"/>
      <c r="O4497" s="74"/>
      <c r="P4497" s="74"/>
      <c r="R4497" s="7"/>
      <c r="S4497" s="7"/>
      <c r="T4497" s="66"/>
    </row>
    <row r="4498" spans="1:20" ht="13.2">
      <c r="A4498" s="7"/>
      <c r="B4498" s="7"/>
      <c r="C4498" s="74"/>
      <c r="D4498" s="74"/>
      <c r="F4498" s="7"/>
      <c r="G4498" s="74"/>
      <c r="H4498" s="74"/>
      <c r="J4498" s="7"/>
      <c r="K4498" s="74"/>
      <c r="L4498" s="74"/>
      <c r="N4498" s="7"/>
      <c r="O4498" s="74"/>
      <c r="P4498" s="74"/>
      <c r="R4498" s="7"/>
      <c r="S4498" s="7"/>
      <c r="T4498" s="66"/>
    </row>
    <row r="4499" spans="1:20" ht="13.2">
      <c r="A4499" s="7"/>
      <c r="B4499" s="7"/>
      <c r="C4499" s="74"/>
      <c r="D4499" s="74"/>
      <c r="F4499" s="7"/>
      <c r="G4499" s="74"/>
      <c r="H4499" s="74"/>
      <c r="J4499" s="7"/>
      <c r="K4499" s="74"/>
      <c r="L4499" s="74"/>
      <c r="N4499" s="7"/>
      <c r="O4499" s="74"/>
      <c r="P4499" s="74"/>
      <c r="R4499" s="7"/>
      <c r="S4499" s="7"/>
      <c r="T4499" s="66"/>
    </row>
    <row r="4500" spans="1:20" ht="13.2">
      <c r="A4500" s="7"/>
      <c r="B4500" s="7"/>
      <c r="C4500" s="74"/>
      <c r="D4500" s="74"/>
      <c r="F4500" s="7"/>
      <c r="G4500" s="74"/>
      <c r="H4500" s="74"/>
      <c r="J4500" s="7"/>
      <c r="K4500" s="74"/>
      <c r="L4500" s="74"/>
      <c r="N4500" s="7"/>
      <c r="O4500" s="74"/>
      <c r="P4500" s="74"/>
      <c r="R4500" s="7"/>
      <c r="S4500" s="7"/>
      <c r="T4500" s="66"/>
    </row>
    <row r="4501" spans="1:20" ht="13.2">
      <c r="A4501" s="7"/>
      <c r="B4501" s="7"/>
      <c r="C4501" s="74"/>
      <c r="D4501" s="74"/>
      <c r="F4501" s="7"/>
      <c r="G4501" s="74"/>
      <c r="H4501" s="74"/>
      <c r="J4501" s="7"/>
      <c r="K4501" s="74"/>
      <c r="L4501" s="74"/>
      <c r="N4501" s="7"/>
      <c r="O4501" s="74"/>
      <c r="P4501" s="74"/>
      <c r="R4501" s="7"/>
      <c r="S4501" s="7"/>
      <c r="T4501" s="66"/>
    </row>
    <row r="4502" spans="1:20" ht="13.2">
      <c r="A4502" s="7"/>
      <c r="B4502" s="7"/>
      <c r="C4502" s="74"/>
      <c r="D4502" s="74"/>
      <c r="F4502" s="7"/>
      <c r="G4502" s="74"/>
      <c r="H4502" s="74"/>
      <c r="J4502" s="7"/>
      <c r="K4502" s="74"/>
      <c r="L4502" s="74"/>
      <c r="N4502" s="7"/>
      <c r="O4502" s="74"/>
      <c r="P4502" s="74"/>
      <c r="R4502" s="7"/>
      <c r="S4502" s="7"/>
      <c r="T4502" s="66"/>
    </row>
    <row r="4503" spans="1:20" ht="13.2">
      <c r="A4503" s="7"/>
      <c r="B4503" s="7"/>
      <c r="C4503" s="74"/>
      <c r="D4503" s="74"/>
      <c r="F4503" s="7"/>
      <c r="G4503" s="74"/>
      <c r="H4503" s="74"/>
      <c r="J4503" s="7"/>
      <c r="K4503" s="74"/>
      <c r="L4503" s="74"/>
      <c r="N4503" s="7"/>
      <c r="O4503" s="74"/>
      <c r="P4503" s="74"/>
      <c r="R4503" s="7"/>
      <c r="S4503" s="7"/>
      <c r="T4503" s="66"/>
    </row>
    <row r="4504" spans="1:20" ht="13.2">
      <c r="A4504" s="7"/>
      <c r="B4504" s="7"/>
      <c r="C4504" s="74"/>
      <c r="D4504" s="74"/>
      <c r="F4504" s="7"/>
      <c r="G4504" s="74"/>
      <c r="H4504" s="74"/>
      <c r="J4504" s="7"/>
      <c r="K4504" s="74"/>
      <c r="L4504" s="74"/>
      <c r="N4504" s="7"/>
      <c r="O4504" s="74"/>
      <c r="P4504" s="74"/>
      <c r="R4504" s="7"/>
      <c r="S4504" s="7"/>
      <c r="T4504" s="66"/>
    </row>
    <row r="4505" spans="1:20" ht="13.2">
      <c r="A4505" s="7"/>
      <c r="B4505" s="7"/>
      <c r="C4505" s="74"/>
      <c r="D4505" s="74"/>
      <c r="F4505" s="7"/>
      <c r="G4505" s="74"/>
      <c r="H4505" s="74"/>
      <c r="J4505" s="7"/>
      <c r="K4505" s="74"/>
      <c r="L4505" s="74"/>
      <c r="N4505" s="7"/>
      <c r="O4505" s="74"/>
      <c r="P4505" s="74"/>
      <c r="R4505" s="7"/>
      <c r="S4505" s="7"/>
      <c r="T4505" s="66"/>
    </row>
    <row r="4506" spans="1:20" ht="13.2">
      <c r="A4506" s="7"/>
      <c r="B4506" s="7"/>
      <c r="C4506" s="74"/>
      <c r="D4506" s="74"/>
      <c r="F4506" s="7"/>
      <c r="G4506" s="74"/>
      <c r="H4506" s="74"/>
      <c r="J4506" s="7"/>
      <c r="K4506" s="74"/>
      <c r="L4506" s="74"/>
      <c r="N4506" s="7"/>
      <c r="O4506" s="74"/>
      <c r="P4506" s="74"/>
      <c r="R4506" s="7"/>
      <c r="S4506" s="7"/>
      <c r="T4506" s="66"/>
    </row>
    <row r="4507" spans="1:20" ht="13.2">
      <c r="A4507" s="7"/>
      <c r="B4507" s="7"/>
      <c r="C4507" s="74"/>
      <c r="D4507" s="74"/>
      <c r="F4507" s="7"/>
      <c r="G4507" s="74"/>
      <c r="H4507" s="74"/>
      <c r="J4507" s="7"/>
      <c r="K4507" s="74"/>
      <c r="L4507" s="74"/>
      <c r="N4507" s="7"/>
      <c r="O4507" s="74"/>
      <c r="P4507" s="74"/>
      <c r="R4507" s="7"/>
      <c r="S4507" s="7"/>
      <c r="T4507" s="66"/>
    </row>
    <row r="4508" spans="1:20" ht="13.2">
      <c r="A4508" s="7"/>
      <c r="B4508" s="7"/>
      <c r="C4508" s="74"/>
      <c r="D4508" s="74"/>
      <c r="F4508" s="7"/>
      <c r="G4508" s="74"/>
      <c r="H4508" s="74"/>
      <c r="J4508" s="7"/>
      <c r="K4508" s="74"/>
      <c r="L4508" s="74"/>
      <c r="N4508" s="7"/>
      <c r="O4508" s="74"/>
      <c r="P4508" s="74"/>
      <c r="R4508" s="7"/>
      <c r="S4508" s="7"/>
      <c r="T4508" s="66"/>
    </row>
    <row r="4509" spans="1:20" ht="13.2">
      <c r="A4509" s="7"/>
      <c r="B4509" s="7"/>
      <c r="C4509" s="74"/>
      <c r="D4509" s="74"/>
      <c r="F4509" s="7"/>
      <c r="G4509" s="74"/>
      <c r="H4509" s="74"/>
      <c r="J4509" s="7"/>
      <c r="K4509" s="74"/>
      <c r="L4509" s="74"/>
      <c r="N4509" s="7"/>
      <c r="O4509" s="74"/>
      <c r="P4509" s="74"/>
      <c r="R4509" s="7"/>
      <c r="S4509" s="7"/>
      <c r="T4509" s="66"/>
    </row>
    <row r="4510" spans="1:20" ht="13.2">
      <c r="A4510" s="7"/>
      <c r="B4510" s="7"/>
      <c r="C4510" s="74"/>
      <c r="D4510" s="74"/>
      <c r="F4510" s="7"/>
      <c r="G4510" s="74"/>
      <c r="H4510" s="74"/>
      <c r="J4510" s="7"/>
      <c r="K4510" s="74"/>
      <c r="L4510" s="74"/>
      <c r="N4510" s="7"/>
      <c r="O4510" s="74"/>
      <c r="P4510" s="74"/>
      <c r="R4510" s="7"/>
      <c r="S4510" s="7"/>
      <c r="T4510" s="66"/>
    </row>
    <row r="4511" spans="1:20" ht="13.2">
      <c r="A4511" s="7"/>
      <c r="B4511" s="7"/>
      <c r="C4511" s="74"/>
      <c r="D4511" s="74"/>
      <c r="F4511" s="7"/>
      <c r="G4511" s="74"/>
      <c r="H4511" s="74"/>
      <c r="J4511" s="7"/>
      <c r="K4511" s="74"/>
      <c r="L4511" s="74"/>
      <c r="N4511" s="7"/>
      <c r="O4511" s="74"/>
      <c r="P4511" s="74"/>
      <c r="R4511" s="7"/>
      <c r="S4511" s="7"/>
      <c r="T4511" s="66"/>
    </row>
    <row r="4512" spans="1:20" ht="13.2">
      <c r="A4512" s="7"/>
      <c r="B4512" s="7"/>
      <c r="C4512" s="74"/>
      <c r="D4512" s="74"/>
      <c r="F4512" s="7"/>
      <c r="G4512" s="74"/>
      <c r="H4512" s="74"/>
      <c r="J4512" s="7"/>
      <c r="K4512" s="74"/>
      <c r="L4512" s="74"/>
      <c r="N4512" s="7"/>
      <c r="O4512" s="74"/>
      <c r="P4512" s="74"/>
      <c r="R4512" s="7"/>
      <c r="S4512" s="7"/>
      <c r="T4512" s="66"/>
    </row>
    <row r="4513" spans="1:20" ht="13.2">
      <c r="A4513" s="7"/>
      <c r="B4513" s="7"/>
      <c r="C4513" s="74"/>
      <c r="D4513" s="74"/>
      <c r="F4513" s="7"/>
      <c r="G4513" s="74"/>
      <c r="H4513" s="74"/>
      <c r="J4513" s="7"/>
      <c r="K4513" s="74"/>
      <c r="L4513" s="74"/>
      <c r="N4513" s="7"/>
      <c r="O4513" s="74"/>
      <c r="P4513" s="74"/>
      <c r="R4513" s="7"/>
      <c r="S4513" s="7"/>
      <c r="T4513" s="66"/>
    </row>
    <row r="4514" spans="1:20" ht="13.2">
      <c r="A4514" s="7"/>
      <c r="B4514" s="7"/>
      <c r="C4514" s="74"/>
      <c r="D4514" s="74"/>
      <c r="F4514" s="7"/>
      <c r="G4514" s="74"/>
      <c r="H4514" s="74"/>
      <c r="J4514" s="7"/>
      <c r="K4514" s="74"/>
      <c r="L4514" s="74"/>
      <c r="N4514" s="7"/>
      <c r="O4514" s="74"/>
      <c r="P4514" s="74"/>
      <c r="R4514" s="7"/>
      <c r="S4514" s="7"/>
      <c r="T4514" s="66"/>
    </row>
    <row r="4515" spans="1:20" ht="13.2">
      <c r="A4515" s="7"/>
      <c r="B4515" s="7"/>
      <c r="C4515" s="74"/>
      <c r="D4515" s="74"/>
      <c r="F4515" s="7"/>
      <c r="G4515" s="74"/>
      <c r="H4515" s="74"/>
      <c r="J4515" s="7"/>
      <c r="K4515" s="74"/>
      <c r="L4515" s="74"/>
      <c r="N4515" s="7"/>
      <c r="O4515" s="74"/>
      <c r="P4515" s="74"/>
      <c r="R4515" s="7"/>
      <c r="S4515" s="7"/>
      <c r="T4515" s="66"/>
    </row>
    <row r="4516" spans="1:20" ht="13.2">
      <c r="A4516" s="7"/>
      <c r="B4516" s="7"/>
      <c r="C4516" s="74"/>
      <c r="D4516" s="74"/>
      <c r="F4516" s="7"/>
      <c r="G4516" s="74"/>
      <c r="H4516" s="74"/>
      <c r="J4516" s="7"/>
      <c r="K4516" s="74"/>
      <c r="L4516" s="74"/>
      <c r="N4516" s="7"/>
      <c r="O4516" s="74"/>
      <c r="P4516" s="74"/>
      <c r="R4516" s="7"/>
      <c r="S4516" s="7"/>
      <c r="T4516" s="66"/>
    </row>
    <row r="4517" spans="1:20" ht="13.2">
      <c r="A4517" s="7"/>
      <c r="B4517" s="7"/>
      <c r="C4517" s="74"/>
      <c r="D4517" s="74"/>
      <c r="F4517" s="7"/>
      <c r="G4517" s="74"/>
      <c r="H4517" s="74"/>
      <c r="J4517" s="7"/>
      <c r="K4517" s="74"/>
      <c r="L4517" s="74"/>
      <c r="N4517" s="7"/>
      <c r="O4517" s="74"/>
      <c r="P4517" s="74"/>
      <c r="R4517" s="7"/>
      <c r="S4517" s="7"/>
      <c r="T4517" s="66"/>
    </row>
  </sheetData>
  <mergeCells count="18058">
    <mergeCell ref="G3857:H3857"/>
    <mergeCell ref="G3858:H3858"/>
    <mergeCell ref="C3855:D3855"/>
    <mergeCell ref="C3856:D3856"/>
    <mergeCell ref="G3856:H3856"/>
    <mergeCell ref="K3856:L3856"/>
    <mergeCell ref="C3857:D3857"/>
    <mergeCell ref="K3857:L3857"/>
    <mergeCell ref="K3858:L3858"/>
    <mergeCell ref="G3860:H3860"/>
    <mergeCell ref="G3861:H3861"/>
    <mergeCell ref="C3858:D3858"/>
    <mergeCell ref="C3859:D3859"/>
    <mergeCell ref="G3859:H3859"/>
    <mergeCell ref="K3859:L3859"/>
    <mergeCell ref="C3860:D3860"/>
    <mergeCell ref="K3860:L3860"/>
    <mergeCell ref="K3861:L3861"/>
    <mergeCell ref="G3863:H3863"/>
    <mergeCell ref="G3864:H3864"/>
    <mergeCell ref="C3861:D3861"/>
    <mergeCell ref="C3862:D3862"/>
    <mergeCell ref="G3862:H3862"/>
    <mergeCell ref="K3862:L3862"/>
    <mergeCell ref="C3863:D3863"/>
    <mergeCell ref="K3863:L3863"/>
    <mergeCell ref="K3864:L3864"/>
    <mergeCell ref="G3866:H3866"/>
    <mergeCell ref="G3867:H3867"/>
    <mergeCell ref="C3864:D3864"/>
    <mergeCell ref="C3865:D3865"/>
    <mergeCell ref="G3865:H3865"/>
    <mergeCell ref="K3865:L3865"/>
    <mergeCell ref="C3866:D3866"/>
    <mergeCell ref="K3866:L3866"/>
    <mergeCell ref="K3867:L3867"/>
    <mergeCell ref="G3845:H3845"/>
    <mergeCell ref="G3846:H3846"/>
    <mergeCell ref="C3843:D3843"/>
    <mergeCell ref="C3844:D3844"/>
    <mergeCell ref="G3844:H3844"/>
    <mergeCell ref="K3844:L3844"/>
    <mergeCell ref="C3845:D3845"/>
    <mergeCell ref="K3845:L3845"/>
    <mergeCell ref="K3846:L3846"/>
    <mergeCell ref="G3848:H3848"/>
    <mergeCell ref="G3849:H3849"/>
    <mergeCell ref="C3846:D3846"/>
    <mergeCell ref="C3847:D3847"/>
    <mergeCell ref="G3847:H3847"/>
    <mergeCell ref="K3847:L3847"/>
    <mergeCell ref="C3848:D3848"/>
    <mergeCell ref="K3848:L3848"/>
    <mergeCell ref="K3849:L3849"/>
    <mergeCell ref="G3851:H3851"/>
    <mergeCell ref="G3852:H3852"/>
    <mergeCell ref="C3849:D3849"/>
    <mergeCell ref="C3850:D3850"/>
    <mergeCell ref="G3850:H3850"/>
    <mergeCell ref="K3850:L3850"/>
    <mergeCell ref="C3851:D3851"/>
    <mergeCell ref="K3851:L3851"/>
    <mergeCell ref="K3852:L3852"/>
    <mergeCell ref="G3854:H3854"/>
    <mergeCell ref="G3855:H3855"/>
    <mergeCell ref="C3852:D3852"/>
    <mergeCell ref="C3853:D3853"/>
    <mergeCell ref="G3853:H3853"/>
    <mergeCell ref="K3853:L3853"/>
    <mergeCell ref="C3854:D3854"/>
    <mergeCell ref="K3854:L3854"/>
    <mergeCell ref="K3855:L3855"/>
    <mergeCell ref="G3833:H3833"/>
    <mergeCell ref="G3834:H3834"/>
    <mergeCell ref="C3831:D3831"/>
    <mergeCell ref="C3832:D3832"/>
    <mergeCell ref="G3832:H3832"/>
    <mergeCell ref="K3832:L3832"/>
    <mergeCell ref="C3833:D3833"/>
    <mergeCell ref="K3833:L3833"/>
    <mergeCell ref="K3834:L3834"/>
    <mergeCell ref="G3836:H3836"/>
    <mergeCell ref="G3837:H3837"/>
    <mergeCell ref="C3834:D3834"/>
    <mergeCell ref="C3835:D3835"/>
    <mergeCell ref="G3835:H3835"/>
    <mergeCell ref="K3835:L3835"/>
    <mergeCell ref="C3836:D3836"/>
    <mergeCell ref="K3836:L3836"/>
    <mergeCell ref="K3837:L3837"/>
    <mergeCell ref="G3839:H3839"/>
    <mergeCell ref="G3840:H3840"/>
    <mergeCell ref="C3837:D3837"/>
    <mergeCell ref="C3838:D3838"/>
    <mergeCell ref="G3838:H3838"/>
    <mergeCell ref="K3838:L3838"/>
    <mergeCell ref="C3839:D3839"/>
    <mergeCell ref="K3839:L3839"/>
    <mergeCell ref="K3840:L3840"/>
    <mergeCell ref="G3842:H3842"/>
    <mergeCell ref="G3843:H3843"/>
    <mergeCell ref="C3840:D3840"/>
    <mergeCell ref="C3841:D3841"/>
    <mergeCell ref="G3841:H3841"/>
    <mergeCell ref="K3841:L3841"/>
    <mergeCell ref="C3842:D3842"/>
    <mergeCell ref="K3842:L3842"/>
    <mergeCell ref="K3843:L3843"/>
    <mergeCell ref="G3821:H3821"/>
    <mergeCell ref="G3822:H3822"/>
    <mergeCell ref="C3819:D3819"/>
    <mergeCell ref="C3820:D3820"/>
    <mergeCell ref="G3820:H3820"/>
    <mergeCell ref="K3820:L3820"/>
    <mergeCell ref="C3821:D3821"/>
    <mergeCell ref="K3821:L3821"/>
    <mergeCell ref="K3822:L3822"/>
    <mergeCell ref="G3824:H3824"/>
    <mergeCell ref="G3825:H3825"/>
    <mergeCell ref="C3822:D3822"/>
    <mergeCell ref="C3823:D3823"/>
    <mergeCell ref="G3823:H3823"/>
    <mergeCell ref="K3823:L3823"/>
    <mergeCell ref="C3824:D3824"/>
    <mergeCell ref="K3824:L3824"/>
    <mergeCell ref="K3825:L3825"/>
    <mergeCell ref="G3827:H3827"/>
    <mergeCell ref="G3828:H3828"/>
    <mergeCell ref="C3825:D3825"/>
    <mergeCell ref="C3826:D3826"/>
    <mergeCell ref="G3826:H3826"/>
    <mergeCell ref="K3826:L3826"/>
    <mergeCell ref="C3827:D3827"/>
    <mergeCell ref="K3827:L3827"/>
    <mergeCell ref="K3828:L3828"/>
    <mergeCell ref="G3830:H3830"/>
    <mergeCell ref="G3831:H3831"/>
    <mergeCell ref="C3828:D3828"/>
    <mergeCell ref="C3829:D3829"/>
    <mergeCell ref="G3829:H3829"/>
    <mergeCell ref="K3829:L3829"/>
    <mergeCell ref="C3830:D3830"/>
    <mergeCell ref="K3830:L3830"/>
    <mergeCell ref="K3831:L3831"/>
    <mergeCell ref="G3809:H3809"/>
    <mergeCell ref="G3810:H3810"/>
    <mergeCell ref="C3807:D3807"/>
    <mergeCell ref="C3808:D3808"/>
    <mergeCell ref="G3808:H3808"/>
    <mergeCell ref="K3808:L3808"/>
    <mergeCell ref="C3809:D3809"/>
    <mergeCell ref="K3809:L3809"/>
    <mergeCell ref="K3810:L3810"/>
    <mergeCell ref="G3812:H3812"/>
    <mergeCell ref="G3813:H3813"/>
    <mergeCell ref="C3810:D3810"/>
    <mergeCell ref="C3811:D3811"/>
    <mergeCell ref="G3811:H3811"/>
    <mergeCell ref="K3811:L3811"/>
    <mergeCell ref="C3812:D3812"/>
    <mergeCell ref="K3812:L3812"/>
    <mergeCell ref="K3813:L3813"/>
    <mergeCell ref="G3815:H3815"/>
    <mergeCell ref="G3816:H3816"/>
    <mergeCell ref="C3813:D3813"/>
    <mergeCell ref="C3814:D3814"/>
    <mergeCell ref="G3814:H3814"/>
    <mergeCell ref="K3814:L3814"/>
    <mergeCell ref="C3815:D3815"/>
    <mergeCell ref="K3815:L3815"/>
    <mergeCell ref="K3816:L3816"/>
    <mergeCell ref="G3818:H3818"/>
    <mergeCell ref="G3819:H3819"/>
    <mergeCell ref="C3816:D3816"/>
    <mergeCell ref="C3817:D3817"/>
    <mergeCell ref="G3817:H3817"/>
    <mergeCell ref="K3817:L3817"/>
    <mergeCell ref="C3818:D3818"/>
    <mergeCell ref="K3818:L3818"/>
    <mergeCell ref="K3819:L3819"/>
    <mergeCell ref="G3797:H3797"/>
    <mergeCell ref="G3798:H3798"/>
    <mergeCell ref="C3795:D3795"/>
    <mergeCell ref="C3796:D3796"/>
    <mergeCell ref="G3796:H3796"/>
    <mergeCell ref="K3796:L3796"/>
    <mergeCell ref="C3797:D3797"/>
    <mergeCell ref="K3797:L3797"/>
    <mergeCell ref="K3798:L3798"/>
    <mergeCell ref="G3800:H3800"/>
    <mergeCell ref="G3801:H3801"/>
    <mergeCell ref="C3798:D3798"/>
    <mergeCell ref="C3799:D3799"/>
    <mergeCell ref="G3799:H3799"/>
    <mergeCell ref="K3799:L3799"/>
    <mergeCell ref="C3800:D3800"/>
    <mergeCell ref="K3800:L3800"/>
    <mergeCell ref="K3801:L3801"/>
    <mergeCell ref="G3803:H3803"/>
    <mergeCell ref="G3804:H3804"/>
    <mergeCell ref="C3801:D3801"/>
    <mergeCell ref="C3802:D3802"/>
    <mergeCell ref="G3802:H3802"/>
    <mergeCell ref="K3802:L3802"/>
    <mergeCell ref="C3803:D3803"/>
    <mergeCell ref="K3803:L3803"/>
    <mergeCell ref="K3804:L3804"/>
    <mergeCell ref="G3806:H3806"/>
    <mergeCell ref="G3807:H3807"/>
    <mergeCell ref="C3804:D3804"/>
    <mergeCell ref="C3805:D3805"/>
    <mergeCell ref="G3805:H3805"/>
    <mergeCell ref="K3805:L3805"/>
    <mergeCell ref="C3806:D3806"/>
    <mergeCell ref="K3806:L3806"/>
    <mergeCell ref="K3807:L3807"/>
    <mergeCell ref="G3785:H3785"/>
    <mergeCell ref="G3786:H3786"/>
    <mergeCell ref="C3783:D3783"/>
    <mergeCell ref="C3784:D3784"/>
    <mergeCell ref="G3784:H3784"/>
    <mergeCell ref="K3784:L3784"/>
    <mergeCell ref="C3785:D3785"/>
    <mergeCell ref="K3785:L3785"/>
    <mergeCell ref="K3786:L3786"/>
    <mergeCell ref="G3788:H3788"/>
    <mergeCell ref="G3789:H3789"/>
    <mergeCell ref="C3786:D3786"/>
    <mergeCell ref="C3787:D3787"/>
    <mergeCell ref="G3787:H3787"/>
    <mergeCell ref="K3787:L3787"/>
    <mergeCell ref="C3788:D3788"/>
    <mergeCell ref="K3788:L3788"/>
    <mergeCell ref="K3789:L3789"/>
    <mergeCell ref="G3791:H3791"/>
    <mergeCell ref="G3792:H3792"/>
    <mergeCell ref="C3789:D3789"/>
    <mergeCell ref="C3790:D3790"/>
    <mergeCell ref="G3790:H3790"/>
    <mergeCell ref="K3790:L3790"/>
    <mergeCell ref="C3791:D3791"/>
    <mergeCell ref="K3791:L3791"/>
    <mergeCell ref="K3792:L3792"/>
    <mergeCell ref="G3794:H3794"/>
    <mergeCell ref="G3795:H3795"/>
    <mergeCell ref="C3792:D3792"/>
    <mergeCell ref="C3793:D3793"/>
    <mergeCell ref="G3793:H3793"/>
    <mergeCell ref="K3793:L3793"/>
    <mergeCell ref="C3794:D3794"/>
    <mergeCell ref="K3794:L3794"/>
    <mergeCell ref="K3795:L3795"/>
    <mergeCell ref="G3773:H3773"/>
    <mergeCell ref="G3774:H3774"/>
    <mergeCell ref="C3771:D3771"/>
    <mergeCell ref="C3772:D3772"/>
    <mergeCell ref="G3772:H3772"/>
    <mergeCell ref="K3772:L3772"/>
    <mergeCell ref="C3773:D3773"/>
    <mergeCell ref="K3773:L3773"/>
    <mergeCell ref="K3774:L3774"/>
    <mergeCell ref="G3776:H3776"/>
    <mergeCell ref="G3777:H3777"/>
    <mergeCell ref="C3774:D3774"/>
    <mergeCell ref="C3775:D3775"/>
    <mergeCell ref="G3775:H3775"/>
    <mergeCell ref="K3775:L3775"/>
    <mergeCell ref="C3776:D3776"/>
    <mergeCell ref="K3776:L3776"/>
    <mergeCell ref="K3777:L3777"/>
    <mergeCell ref="G3779:H3779"/>
    <mergeCell ref="G3780:H3780"/>
    <mergeCell ref="C3777:D3777"/>
    <mergeCell ref="C3778:D3778"/>
    <mergeCell ref="G3778:H3778"/>
    <mergeCell ref="K3778:L3778"/>
    <mergeCell ref="C3779:D3779"/>
    <mergeCell ref="K3779:L3779"/>
    <mergeCell ref="K3780:L3780"/>
    <mergeCell ref="G3782:H3782"/>
    <mergeCell ref="G3783:H3783"/>
    <mergeCell ref="C3780:D3780"/>
    <mergeCell ref="C3781:D3781"/>
    <mergeCell ref="G3781:H3781"/>
    <mergeCell ref="K3781:L3781"/>
    <mergeCell ref="C3782:D3782"/>
    <mergeCell ref="K3782:L3782"/>
    <mergeCell ref="K3783:L3783"/>
    <mergeCell ref="G3761:H3761"/>
    <mergeCell ref="G3762:H3762"/>
    <mergeCell ref="C3759:D3759"/>
    <mergeCell ref="C3760:D3760"/>
    <mergeCell ref="G3760:H3760"/>
    <mergeCell ref="K3760:L3760"/>
    <mergeCell ref="C3761:D3761"/>
    <mergeCell ref="K3761:L3761"/>
    <mergeCell ref="K3762:L3762"/>
    <mergeCell ref="G3764:H3764"/>
    <mergeCell ref="G3765:H3765"/>
    <mergeCell ref="C3762:D3762"/>
    <mergeCell ref="C3763:D3763"/>
    <mergeCell ref="G3763:H3763"/>
    <mergeCell ref="K3763:L3763"/>
    <mergeCell ref="C3764:D3764"/>
    <mergeCell ref="K3764:L3764"/>
    <mergeCell ref="K3765:L3765"/>
    <mergeCell ref="G3767:H3767"/>
    <mergeCell ref="G3768:H3768"/>
    <mergeCell ref="C3765:D3765"/>
    <mergeCell ref="C3766:D3766"/>
    <mergeCell ref="G3766:H3766"/>
    <mergeCell ref="K3766:L3766"/>
    <mergeCell ref="C3767:D3767"/>
    <mergeCell ref="K3767:L3767"/>
    <mergeCell ref="K3768:L3768"/>
    <mergeCell ref="G3770:H3770"/>
    <mergeCell ref="G3771:H3771"/>
    <mergeCell ref="C3768:D3768"/>
    <mergeCell ref="C3769:D3769"/>
    <mergeCell ref="G3769:H3769"/>
    <mergeCell ref="K3769:L3769"/>
    <mergeCell ref="C3770:D3770"/>
    <mergeCell ref="K3770:L3770"/>
    <mergeCell ref="K3771:L3771"/>
    <mergeCell ref="G3749:H3749"/>
    <mergeCell ref="G3750:H3750"/>
    <mergeCell ref="C3747:D3747"/>
    <mergeCell ref="C3748:D3748"/>
    <mergeCell ref="G3748:H3748"/>
    <mergeCell ref="K3748:L3748"/>
    <mergeCell ref="C3749:D3749"/>
    <mergeCell ref="K3749:L3749"/>
    <mergeCell ref="K3750:L3750"/>
    <mergeCell ref="G3752:H3752"/>
    <mergeCell ref="G3753:H3753"/>
    <mergeCell ref="C3750:D3750"/>
    <mergeCell ref="C3751:D3751"/>
    <mergeCell ref="G3751:H3751"/>
    <mergeCell ref="K3751:L3751"/>
    <mergeCell ref="C3752:D3752"/>
    <mergeCell ref="K3752:L3752"/>
    <mergeCell ref="K3753:L3753"/>
    <mergeCell ref="G3755:H3755"/>
    <mergeCell ref="G3756:H3756"/>
    <mergeCell ref="C3753:D3753"/>
    <mergeCell ref="C3754:D3754"/>
    <mergeCell ref="G3754:H3754"/>
    <mergeCell ref="K3754:L3754"/>
    <mergeCell ref="C3755:D3755"/>
    <mergeCell ref="K3755:L3755"/>
    <mergeCell ref="K3756:L3756"/>
    <mergeCell ref="G3758:H3758"/>
    <mergeCell ref="G3759:H3759"/>
    <mergeCell ref="C3756:D3756"/>
    <mergeCell ref="C3757:D3757"/>
    <mergeCell ref="G3757:H3757"/>
    <mergeCell ref="K3757:L3757"/>
    <mergeCell ref="C3758:D3758"/>
    <mergeCell ref="K3758:L3758"/>
    <mergeCell ref="K3759:L3759"/>
    <mergeCell ref="G3737:H3737"/>
    <mergeCell ref="G3738:H3738"/>
    <mergeCell ref="C3735:D3735"/>
    <mergeCell ref="C3736:D3736"/>
    <mergeCell ref="G3736:H3736"/>
    <mergeCell ref="K3736:L3736"/>
    <mergeCell ref="C3737:D3737"/>
    <mergeCell ref="K3737:L3737"/>
    <mergeCell ref="K3738:L3738"/>
    <mergeCell ref="G3740:H3740"/>
    <mergeCell ref="G3741:H3741"/>
    <mergeCell ref="C3738:D3738"/>
    <mergeCell ref="C3739:D3739"/>
    <mergeCell ref="G3739:H3739"/>
    <mergeCell ref="K3739:L3739"/>
    <mergeCell ref="C3740:D3740"/>
    <mergeCell ref="K3740:L3740"/>
    <mergeCell ref="K3741:L3741"/>
    <mergeCell ref="G3743:H3743"/>
    <mergeCell ref="G3744:H3744"/>
    <mergeCell ref="C3741:D3741"/>
    <mergeCell ref="C3742:D3742"/>
    <mergeCell ref="G3742:H3742"/>
    <mergeCell ref="K3742:L3742"/>
    <mergeCell ref="C3743:D3743"/>
    <mergeCell ref="K3743:L3743"/>
    <mergeCell ref="K3744:L3744"/>
    <mergeCell ref="G3746:H3746"/>
    <mergeCell ref="G3747:H3747"/>
    <mergeCell ref="C3744:D3744"/>
    <mergeCell ref="C3745:D3745"/>
    <mergeCell ref="G3745:H3745"/>
    <mergeCell ref="K3745:L3745"/>
    <mergeCell ref="C3746:D3746"/>
    <mergeCell ref="K3746:L3746"/>
    <mergeCell ref="K3747:L3747"/>
    <mergeCell ref="G3725:H3725"/>
    <mergeCell ref="G3726:H3726"/>
    <mergeCell ref="C3723:D3723"/>
    <mergeCell ref="C3724:D3724"/>
    <mergeCell ref="G3724:H3724"/>
    <mergeCell ref="K3724:L3724"/>
    <mergeCell ref="C3725:D3725"/>
    <mergeCell ref="K3725:L3725"/>
    <mergeCell ref="K3726:L3726"/>
    <mergeCell ref="G3728:H3728"/>
    <mergeCell ref="G3729:H3729"/>
    <mergeCell ref="C3726:D3726"/>
    <mergeCell ref="C3727:D3727"/>
    <mergeCell ref="G3727:H3727"/>
    <mergeCell ref="K3727:L3727"/>
    <mergeCell ref="C3728:D3728"/>
    <mergeCell ref="K3728:L3728"/>
    <mergeCell ref="K3729:L3729"/>
    <mergeCell ref="G3731:H3731"/>
    <mergeCell ref="G3732:H3732"/>
    <mergeCell ref="C3729:D3729"/>
    <mergeCell ref="C3730:D3730"/>
    <mergeCell ref="G3730:H3730"/>
    <mergeCell ref="K3730:L3730"/>
    <mergeCell ref="C3731:D3731"/>
    <mergeCell ref="K3731:L3731"/>
    <mergeCell ref="K3732:L3732"/>
    <mergeCell ref="G3734:H3734"/>
    <mergeCell ref="G3735:H3735"/>
    <mergeCell ref="C3732:D3732"/>
    <mergeCell ref="C3733:D3733"/>
    <mergeCell ref="G3733:H3733"/>
    <mergeCell ref="K3733:L3733"/>
    <mergeCell ref="C3734:D3734"/>
    <mergeCell ref="K3734:L3734"/>
    <mergeCell ref="K3735:L3735"/>
    <mergeCell ref="G3713:H3713"/>
    <mergeCell ref="G3714:H3714"/>
    <mergeCell ref="C3711:D3711"/>
    <mergeCell ref="C3712:D3712"/>
    <mergeCell ref="G3712:H3712"/>
    <mergeCell ref="K3712:L3712"/>
    <mergeCell ref="C3713:D3713"/>
    <mergeCell ref="K3713:L3713"/>
    <mergeCell ref="K3714:L3714"/>
    <mergeCell ref="G3716:H3716"/>
    <mergeCell ref="G3717:H3717"/>
    <mergeCell ref="C3714:D3714"/>
    <mergeCell ref="C3715:D3715"/>
    <mergeCell ref="G3715:H3715"/>
    <mergeCell ref="K3715:L3715"/>
    <mergeCell ref="C3716:D3716"/>
    <mergeCell ref="K3716:L3716"/>
    <mergeCell ref="K3717:L3717"/>
    <mergeCell ref="G3719:H3719"/>
    <mergeCell ref="G3720:H3720"/>
    <mergeCell ref="C3717:D3717"/>
    <mergeCell ref="C3718:D3718"/>
    <mergeCell ref="G3718:H3718"/>
    <mergeCell ref="K3718:L3718"/>
    <mergeCell ref="C3719:D3719"/>
    <mergeCell ref="K3719:L3719"/>
    <mergeCell ref="K3720:L3720"/>
    <mergeCell ref="G3722:H3722"/>
    <mergeCell ref="G3723:H3723"/>
    <mergeCell ref="C3720:D3720"/>
    <mergeCell ref="C3721:D3721"/>
    <mergeCell ref="G3721:H3721"/>
    <mergeCell ref="K3721:L3721"/>
    <mergeCell ref="C3722:D3722"/>
    <mergeCell ref="K3722:L3722"/>
    <mergeCell ref="K3723:L3723"/>
    <mergeCell ref="G3701:H3701"/>
    <mergeCell ref="G3702:H3702"/>
    <mergeCell ref="C3699:D3699"/>
    <mergeCell ref="C3700:D3700"/>
    <mergeCell ref="G3700:H3700"/>
    <mergeCell ref="K3700:L3700"/>
    <mergeCell ref="C3701:D3701"/>
    <mergeCell ref="K3701:L3701"/>
    <mergeCell ref="K3702:L3702"/>
    <mergeCell ref="G3704:H3704"/>
    <mergeCell ref="G3705:H3705"/>
    <mergeCell ref="C3702:D3702"/>
    <mergeCell ref="C3703:D3703"/>
    <mergeCell ref="G3703:H3703"/>
    <mergeCell ref="K3703:L3703"/>
    <mergeCell ref="C3704:D3704"/>
    <mergeCell ref="K3704:L3704"/>
    <mergeCell ref="K3705:L3705"/>
    <mergeCell ref="G3707:H3707"/>
    <mergeCell ref="G3708:H3708"/>
    <mergeCell ref="C3705:D3705"/>
    <mergeCell ref="C3706:D3706"/>
    <mergeCell ref="G3706:H3706"/>
    <mergeCell ref="K3706:L3706"/>
    <mergeCell ref="C3707:D3707"/>
    <mergeCell ref="K3707:L3707"/>
    <mergeCell ref="K3708:L3708"/>
    <mergeCell ref="G3710:H3710"/>
    <mergeCell ref="G3711:H3711"/>
    <mergeCell ref="C3708:D3708"/>
    <mergeCell ref="C3709:D3709"/>
    <mergeCell ref="G3709:H3709"/>
    <mergeCell ref="K3709:L3709"/>
    <mergeCell ref="C3710:D3710"/>
    <mergeCell ref="K3710:L3710"/>
    <mergeCell ref="K3711:L3711"/>
    <mergeCell ref="G3689:H3689"/>
    <mergeCell ref="G3690:H3690"/>
    <mergeCell ref="C3687:D3687"/>
    <mergeCell ref="C3688:D3688"/>
    <mergeCell ref="G3688:H3688"/>
    <mergeCell ref="K3688:L3688"/>
    <mergeCell ref="C3689:D3689"/>
    <mergeCell ref="K3689:L3689"/>
    <mergeCell ref="K3690:L3690"/>
    <mergeCell ref="G3692:H3692"/>
    <mergeCell ref="G3693:H3693"/>
    <mergeCell ref="C3690:D3690"/>
    <mergeCell ref="C3691:D3691"/>
    <mergeCell ref="G3691:H3691"/>
    <mergeCell ref="K3691:L3691"/>
    <mergeCell ref="C3692:D3692"/>
    <mergeCell ref="K3692:L3692"/>
    <mergeCell ref="K3693:L3693"/>
    <mergeCell ref="G3695:H3695"/>
    <mergeCell ref="G3696:H3696"/>
    <mergeCell ref="C3693:D3693"/>
    <mergeCell ref="C3694:D3694"/>
    <mergeCell ref="G3694:H3694"/>
    <mergeCell ref="K3694:L3694"/>
    <mergeCell ref="C3695:D3695"/>
    <mergeCell ref="K3695:L3695"/>
    <mergeCell ref="K3696:L3696"/>
    <mergeCell ref="G3698:H3698"/>
    <mergeCell ref="G3699:H3699"/>
    <mergeCell ref="C3696:D3696"/>
    <mergeCell ref="C3697:D3697"/>
    <mergeCell ref="G3697:H3697"/>
    <mergeCell ref="K3697:L3697"/>
    <mergeCell ref="C3698:D3698"/>
    <mergeCell ref="K3698:L3698"/>
    <mergeCell ref="K3699:L3699"/>
    <mergeCell ref="G3677:H3677"/>
    <mergeCell ref="G3678:H3678"/>
    <mergeCell ref="C3675:D3675"/>
    <mergeCell ref="C3676:D3676"/>
    <mergeCell ref="G3676:H3676"/>
    <mergeCell ref="K3676:L3676"/>
    <mergeCell ref="C3677:D3677"/>
    <mergeCell ref="K3677:L3677"/>
    <mergeCell ref="K3678:L3678"/>
    <mergeCell ref="G3680:H3680"/>
    <mergeCell ref="G3681:H3681"/>
    <mergeCell ref="C3678:D3678"/>
    <mergeCell ref="C3679:D3679"/>
    <mergeCell ref="G3679:H3679"/>
    <mergeCell ref="K3679:L3679"/>
    <mergeCell ref="C3680:D3680"/>
    <mergeCell ref="K3680:L3680"/>
    <mergeCell ref="K3681:L3681"/>
    <mergeCell ref="G3683:H3683"/>
    <mergeCell ref="G3684:H3684"/>
    <mergeCell ref="C3681:D3681"/>
    <mergeCell ref="C3682:D3682"/>
    <mergeCell ref="G3682:H3682"/>
    <mergeCell ref="K3682:L3682"/>
    <mergeCell ref="C3683:D3683"/>
    <mergeCell ref="K3683:L3683"/>
    <mergeCell ref="K3684:L3684"/>
    <mergeCell ref="G3686:H3686"/>
    <mergeCell ref="G3687:H3687"/>
    <mergeCell ref="C3684:D3684"/>
    <mergeCell ref="C3685:D3685"/>
    <mergeCell ref="G3685:H3685"/>
    <mergeCell ref="K3685:L3685"/>
    <mergeCell ref="C3686:D3686"/>
    <mergeCell ref="K3686:L3686"/>
    <mergeCell ref="K3687:L3687"/>
    <mergeCell ref="G3665:H3665"/>
    <mergeCell ref="G3666:H3666"/>
    <mergeCell ref="C3663:D3663"/>
    <mergeCell ref="C3664:D3664"/>
    <mergeCell ref="G3664:H3664"/>
    <mergeCell ref="K3664:L3664"/>
    <mergeCell ref="C3665:D3665"/>
    <mergeCell ref="K3665:L3665"/>
    <mergeCell ref="K3666:L3666"/>
    <mergeCell ref="G3668:H3668"/>
    <mergeCell ref="G3669:H3669"/>
    <mergeCell ref="C3666:D3666"/>
    <mergeCell ref="C3667:D3667"/>
    <mergeCell ref="G3667:H3667"/>
    <mergeCell ref="K3667:L3667"/>
    <mergeCell ref="C3668:D3668"/>
    <mergeCell ref="K3668:L3668"/>
    <mergeCell ref="K3669:L3669"/>
    <mergeCell ref="G3671:H3671"/>
    <mergeCell ref="G3672:H3672"/>
    <mergeCell ref="C3669:D3669"/>
    <mergeCell ref="C3670:D3670"/>
    <mergeCell ref="G3670:H3670"/>
    <mergeCell ref="K3670:L3670"/>
    <mergeCell ref="C3671:D3671"/>
    <mergeCell ref="K3671:L3671"/>
    <mergeCell ref="K3672:L3672"/>
    <mergeCell ref="G3674:H3674"/>
    <mergeCell ref="G3675:H3675"/>
    <mergeCell ref="C3672:D3672"/>
    <mergeCell ref="C3673:D3673"/>
    <mergeCell ref="G3673:H3673"/>
    <mergeCell ref="K3673:L3673"/>
    <mergeCell ref="C3674:D3674"/>
    <mergeCell ref="K3674:L3674"/>
    <mergeCell ref="K3675:L3675"/>
    <mergeCell ref="G3653:H3653"/>
    <mergeCell ref="G3654:H3654"/>
    <mergeCell ref="C3651:D3651"/>
    <mergeCell ref="C3652:D3652"/>
    <mergeCell ref="G3652:H3652"/>
    <mergeCell ref="K3652:L3652"/>
    <mergeCell ref="C3653:D3653"/>
    <mergeCell ref="K3653:L3653"/>
    <mergeCell ref="K3654:L3654"/>
    <mergeCell ref="G3656:H3656"/>
    <mergeCell ref="G3657:H3657"/>
    <mergeCell ref="C3654:D3654"/>
    <mergeCell ref="C3655:D3655"/>
    <mergeCell ref="G3655:H3655"/>
    <mergeCell ref="K3655:L3655"/>
    <mergeCell ref="C3656:D3656"/>
    <mergeCell ref="K3656:L3656"/>
    <mergeCell ref="K3657:L3657"/>
    <mergeCell ref="G3659:H3659"/>
    <mergeCell ref="G3660:H3660"/>
    <mergeCell ref="C3657:D3657"/>
    <mergeCell ref="C3658:D3658"/>
    <mergeCell ref="G3658:H3658"/>
    <mergeCell ref="K3658:L3658"/>
    <mergeCell ref="C3659:D3659"/>
    <mergeCell ref="K3659:L3659"/>
    <mergeCell ref="K3660:L3660"/>
    <mergeCell ref="G3662:H3662"/>
    <mergeCell ref="G3663:H3663"/>
    <mergeCell ref="C3660:D3660"/>
    <mergeCell ref="C3661:D3661"/>
    <mergeCell ref="G3661:H3661"/>
    <mergeCell ref="K3661:L3661"/>
    <mergeCell ref="C3662:D3662"/>
    <mergeCell ref="K3662:L3662"/>
    <mergeCell ref="K3663:L3663"/>
    <mergeCell ref="G3641:H3641"/>
    <mergeCell ref="G3642:H3642"/>
    <mergeCell ref="C3639:D3639"/>
    <mergeCell ref="C3640:D3640"/>
    <mergeCell ref="G3640:H3640"/>
    <mergeCell ref="K3640:L3640"/>
    <mergeCell ref="C3641:D3641"/>
    <mergeCell ref="K3641:L3641"/>
    <mergeCell ref="K3642:L3642"/>
    <mergeCell ref="G3644:H3644"/>
    <mergeCell ref="G3645:H3645"/>
    <mergeCell ref="C3642:D3642"/>
    <mergeCell ref="C3643:D3643"/>
    <mergeCell ref="G3643:H3643"/>
    <mergeCell ref="K3643:L3643"/>
    <mergeCell ref="C3644:D3644"/>
    <mergeCell ref="K3644:L3644"/>
    <mergeCell ref="K3645:L3645"/>
    <mergeCell ref="G3647:H3647"/>
    <mergeCell ref="G3648:H3648"/>
    <mergeCell ref="C3645:D3645"/>
    <mergeCell ref="C3646:D3646"/>
    <mergeCell ref="G3646:H3646"/>
    <mergeCell ref="K3646:L3646"/>
    <mergeCell ref="C3647:D3647"/>
    <mergeCell ref="K3647:L3647"/>
    <mergeCell ref="K3648:L3648"/>
    <mergeCell ref="G3650:H3650"/>
    <mergeCell ref="G3651:H3651"/>
    <mergeCell ref="C3648:D3648"/>
    <mergeCell ref="C3649:D3649"/>
    <mergeCell ref="G3649:H3649"/>
    <mergeCell ref="K3649:L3649"/>
    <mergeCell ref="C3650:D3650"/>
    <mergeCell ref="K3650:L3650"/>
    <mergeCell ref="K3651:L3651"/>
    <mergeCell ref="G3629:H3629"/>
    <mergeCell ref="G3630:H3630"/>
    <mergeCell ref="C3627:D3627"/>
    <mergeCell ref="C3628:D3628"/>
    <mergeCell ref="G3628:H3628"/>
    <mergeCell ref="K3628:L3628"/>
    <mergeCell ref="C3629:D3629"/>
    <mergeCell ref="K3629:L3629"/>
    <mergeCell ref="K3630:L3630"/>
    <mergeCell ref="G3632:H3632"/>
    <mergeCell ref="G3633:H3633"/>
    <mergeCell ref="C3630:D3630"/>
    <mergeCell ref="C3631:D3631"/>
    <mergeCell ref="G3631:H3631"/>
    <mergeCell ref="K3631:L3631"/>
    <mergeCell ref="C3632:D3632"/>
    <mergeCell ref="K3632:L3632"/>
    <mergeCell ref="K3633:L3633"/>
    <mergeCell ref="G3635:H3635"/>
    <mergeCell ref="G3636:H3636"/>
    <mergeCell ref="C3633:D3633"/>
    <mergeCell ref="C3634:D3634"/>
    <mergeCell ref="G3634:H3634"/>
    <mergeCell ref="K3634:L3634"/>
    <mergeCell ref="C3635:D3635"/>
    <mergeCell ref="K3635:L3635"/>
    <mergeCell ref="K3636:L3636"/>
    <mergeCell ref="G3638:H3638"/>
    <mergeCell ref="G3639:H3639"/>
    <mergeCell ref="C3636:D3636"/>
    <mergeCell ref="C3637:D3637"/>
    <mergeCell ref="G3637:H3637"/>
    <mergeCell ref="K3637:L3637"/>
    <mergeCell ref="C3638:D3638"/>
    <mergeCell ref="K3638:L3638"/>
    <mergeCell ref="K3639:L3639"/>
    <mergeCell ref="G3617:H3617"/>
    <mergeCell ref="G3618:H3618"/>
    <mergeCell ref="C3615:D3615"/>
    <mergeCell ref="C3616:D3616"/>
    <mergeCell ref="G3616:H3616"/>
    <mergeCell ref="K3616:L3616"/>
    <mergeCell ref="C3617:D3617"/>
    <mergeCell ref="K3617:L3617"/>
    <mergeCell ref="K3618:L3618"/>
    <mergeCell ref="G3620:H3620"/>
    <mergeCell ref="G3621:H3621"/>
    <mergeCell ref="C3618:D3618"/>
    <mergeCell ref="C3619:D3619"/>
    <mergeCell ref="G3619:H3619"/>
    <mergeCell ref="K3619:L3619"/>
    <mergeCell ref="C3620:D3620"/>
    <mergeCell ref="K3620:L3620"/>
    <mergeCell ref="K3621:L3621"/>
    <mergeCell ref="G3623:H3623"/>
    <mergeCell ref="G3624:H3624"/>
    <mergeCell ref="C3621:D3621"/>
    <mergeCell ref="C3622:D3622"/>
    <mergeCell ref="G3622:H3622"/>
    <mergeCell ref="K3622:L3622"/>
    <mergeCell ref="C3623:D3623"/>
    <mergeCell ref="K3623:L3623"/>
    <mergeCell ref="K3624:L3624"/>
    <mergeCell ref="G3626:H3626"/>
    <mergeCell ref="G3627:H3627"/>
    <mergeCell ref="C3624:D3624"/>
    <mergeCell ref="C3625:D3625"/>
    <mergeCell ref="G3625:H3625"/>
    <mergeCell ref="K3625:L3625"/>
    <mergeCell ref="C3626:D3626"/>
    <mergeCell ref="K3626:L3626"/>
    <mergeCell ref="K3627:L3627"/>
    <mergeCell ref="G3605:H3605"/>
    <mergeCell ref="G3606:H3606"/>
    <mergeCell ref="C3603:D3603"/>
    <mergeCell ref="C3604:D3604"/>
    <mergeCell ref="G3604:H3604"/>
    <mergeCell ref="K3604:L3604"/>
    <mergeCell ref="C3605:D3605"/>
    <mergeCell ref="K3605:L3605"/>
    <mergeCell ref="K3606:L3606"/>
    <mergeCell ref="G3608:H3608"/>
    <mergeCell ref="G3609:H3609"/>
    <mergeCell ref="C3606:D3606"/>
    <mergeCell ref="C3607:D3607"/>
    <mergeCell ref="G3607:H3607"/>
    <mergeCell ref="K3607:L3607"/>
    <mergeCell ref="C3608:D3608"/>
    <mergeCell ref="K3608:L3608"/>
    <mergeCell ref="K3609:L3609"/>
    <mergeCell ref="G3611:H3611"/>
    <mergeCell ref="G3612:H3612"/>
    <mergeCell ref="C3609:D3609"/>
    <mergeCell ref="C3610:D3610"/>
    <mergeCell ref="G3610:H3610"/>
    <mergeCell ref="K3610:L3610"/>
    <mergeCell ref="C3611:D3611"/>
    <mergeCell ref="K3611:L3611"/>
    <mergeCell ref="K3612:L3612"/>
    <mergeCell ref="G3614:H3614"/>
    <mergeCell ref="G3615:H3615"/>
    <mergeCell ref="C3612:D3612"/>
    <mergeCell ref="C3613:D3613"/>
    <mergeCell ref="G3613:H3613"/>
    <mergeCell ref="K3613:L3613"/>
    <mergeCell ref="C3614:D3614"/>
    <mergeCell ref="K3614:L3614"/>
    <mergeCell ref="K3615:L3615"/>
    <mergeCell ref="G3593:H3593"/>
    <mergeCell ref="G3594:H3594"/>
    <mergeCell ref="C3591:D3591"/>
    <mergeCell ref="C3592:D3592"/>
    <mergeCell ref="G3592:H3592"/>
    <mergeCell ref="K3592:L3592"/>
    <mergeCell ref="C3593:D3593"/>
    <mergeCell ref="K3593:L3593"/>
    <mergeCell ref="K3594:L3594"/>
    <mergeCell ref="G3596:H3596"/>
    <mergeCell ref="G3597:H3597"/>
    <mergeCell ref="C3594:D3594"/>
    <mergeCell ref="C3595:D3595"/>
    <mergeCell ref="G3595:H3595"/>
    <mergeCell ref="K3595:L3595"/>
    <mergeCell ref="C3596:D3596"/>
    <mergeCell ref="K3596:L3596"/>
    <mergeCell ref="K3597:L3597"/>
    <mergeCell ref="G3599:H3599"/>
    <mergeCell ref="G3600:H3600"/>
    <mergeCell ref="C3597:D3597"/>
    <mergeCell ref="C3598:D3598"/>
    <mergeCell ref="G3598:H3598"/>
    <mergeCell ref="K3598:L3598"/>
    <mergeCell ref="C3599:D3599"/>
    <mergeCell ref="K3599:L3599"/>
    <mergeCell ref="K3600:L3600"/>
    <mergeCell ref="G3602:H3602"/>
    <mergeCell ref="G3603:H3603"/>
    <mergeCell ref="C3600:D3600"/>
    <mergeCell ref="C3601:D3601"/>
    <mergeCell ref="G3601:H3601"/>
    <mergeCell ref="K3601:L3601"/>
    <mergeCell ref="C3602:D3602"/>
    <mergeCell ref="K3602:L3602"/>
    <mergeCell ref="K3603:L3603"/>
    <mergeCell ref="G3581:H3581"/>
    <mergeCell ref="G3582:H3582"/>
    <mergeCell ref="C3579:D3579"/>
    <mergeCell ref="C3580:D3580"/>
    <mergeCell ref="G3580:H3580"/>
    <mergeCell ref="K3580:L3580"/>
    <mergeCell ref="C3581:D3581"/>
    <mergeCell ref="K3581:L3581"/>
    <mergeCell ref="K3582:L3582"/>
    <mergeCell ref="G3584:H3584"/>
    <mergeCell ref="G3585:H3585"/>
    <mergeCell ref="C3582:D3582"/>
    <mergeCell ref="C3583:D3583"/>
    <mergeCell ref="G3583:H3583"/>
    <mergeCell ref="K3583:L3583"/>
    <mergeCell ref="C3584:D3584"/>
    <mergeCell ref="K3584:L3584"/>
    <mergeCell ref="K3585:L3585"/>
    <mergeCell ref="G3587:H3587"/>
    <mergeCell ref="G3588:H3588"/>
    <mergeCell ref="C3585:D3585"/>
    <mergeCell ref="C3586:D3586"/>
    <mergeCell ref="G3586:H3586"/>
    <mergeCell ref="K3586:L3586"/>
    <mergeCell ref="C3587:D3587"/>
    <mergeCell ref="K3587:L3587"/>
    <mergeCell ref="K3588:L3588"/>
    <mergeCell ref="G3590:H3590"/>
    <mergeCell ref="G3591:H3591"/>
    <mergeCell ref="C3588:D3588"/>
    <mergeCell ref="C3589:D3589"/>
    <mergeCell ref="G3589:H3589"/>
    <mergeCell ref="K3589:L3589"/>
    <mergeCell ref="C3590:D3590"/>
    <mergeCell ref="K3590:L3590"/>
    <mergeCell ref="K3591:L3591"/>
    <mergeCell ref="G3569:H3569"/>
    <mergeCell ref="G3570:H3570"/>
    <mergeCell ref="C3567:D3567"/>
    <mergeCell ref="C3568:D3568"/>
    <mergeCell ref="G3568:H3568"/>
    <mergeCell ref="K3568:L3568"/>
    <mergeCell ref="C3569:D3569"/>
    <mergeCell ref="K3569:L3569"/>
    <mergeCell ref="K3570:L3570"/>
    <mergeCell ref="G3572:H3572"/>
    <mergeCell ref="G3573:H3573"/>
    <mergeCell ref="C3570:D3570"/>
    <mergeCell ref="C3571:D3571"/>
    <mergeCell ref="G3571:H3571"/>
    <mergeCell ref="K3571:L3571"/>
    <mergeCell ref="C3572:D3572"/>
    <mergeCell ref="K3572:L3572"/>
    <mergeCell ref="K3573:L3573"/>
    <mergeCell ref="G3575:H3575"/>
    <mergeCell ref="G3576:H3576"/>
    <mergeCell ref="C3573:D3573"/>
    <mergeCell ref="C3574:D3574"/>
    <mergeCell ref="G3574:H3574"/>
    <mergeCell ref="K3574:L3574"/>
    <mergeCell ref="C3575:D3575"/>
    <mergeCell ref="K3575:L3575"/>
    <mergeCell ref="K3576:L3576"/>
    <mergeCell ref="G3578:H3578"/>
    <mergeCell ref="G3579:H3579"/>
    <mergeCell ref="C3576:D3576"/>
    <mergeCell ref="C3577:D3577"/>
    <mergeCell ref="G3577:H3577"/>
    <mergeCell ref="K3577:L3577"/>
    <mergeCell ref="C3578:D3578"/>
    <mergeCell ref="K3578:L3578"/>
    <mergeCell ref="K3579:L3579"/>
    <mergeCell ref="G3557:H3557"/>
    <mergeCell ref="G3558:H3558"/>
    <mergeCell ref="C3555:D3555"/>
    <mergeCell ref="C3556:D3556"/>
    <mergeCell ref="G3556:H3556"/>
    <mergeCell ref="K3556:L3556"/>
    <mergeCell ref="C3557:D3557"/>
    <mergeCell ref="K3557:L3557"/>
    <mergeCell ref="K3558:L3558"/>
    <mergeCell ref="G3560:H3560"/>
    <mergeCell ref="G3561:H3561"/>
    <mergeCell ref="C3558:D3558"/>
    <mergeCell ref="C3559:D3559"/>
    <mergeCell ref="G3559:H3559"/>
    <mergeCell ref="K3559:L3559"/>
    <mergeCell ref="C3560:D3560"/>
    <mergeCell ref="K3560:L3560"/>
    <mergeCell ref="K3561:L3561"/>
    <mergeCell ref="G3563:H3563"/>
    <mergeCell ref="G3564:H3564"/>
    <mergeCell ref="C3561:D3561"/>
    <mergeCell ref="C3562:D3562"/>
    <mergeCell ref="G3562:H3562"/>
    <mergeCell ref="K3562:L3562"/>
    <mergeCell ref="C3563:D3563"/>
    <mergeCell ref="K3563:L3563"/>
    <mergeCell ref="K3564:L3564"/>
    <mergeCell ref="G3566:H3566"/>
    <mergeCell ref="G3567:H3567"/>
    <mergeCell ref="C3564:D3564"/>
    <mergeCell ref="C3565:D3565"/>
    <mergeCell ref="G3565:H3565"/>
    <mergeCell ref="K3565:L3565"/>
    <mergeCell ref="C3566:D3566"/>
    <mergeCell ref="K3566:L3566"/>
    <mergeCell ref="K3567:L3567"/>
    <mergeCell ref="G3545:H3545"/>
    <mergeCell ref="G3546:H3546"/>
    <mergeCell ref="C3543:D3543"/>
    <mergeCell ref="C3544:D3544"/>
    <mergeCell ref="G3544:H3544"/>
    <mergeCell ref="K3544:L3544"/>
    <mergeCell ref="C3545:D3545"/>
    <mergeCell ref="K3545:L3545"/>
    <mergeCell ref="K3546:L3546"/>
    <mergeCell ref="G3548:H3548"/>
    <mergeCell ref="G3549:H3549"/>
    <mergeCell ref="C3546:D3546"/>
    <mergeCell ref="C3547:D3547"/>
    <mergeCell ref="G3547:H3547"/>
    <mergeCell ref="K3547:L3547"/>
    <mergeCell ref="C3548:D3548"/>
    <mergeCell ref="K3548:L3548"/>
    <mergeCell ref="K3549:L3549"/>
    <mergeCell ref="G3551:H3551"/>
    <mergeCell ref="G3552:H3552"/>
    <mergeCell ref="C3549:D3549"/>
    <mergeCell ref="C3550:D3550"/>
    <mergeCell ref="G3550:H3550"/>
    <mergeCell ref="K3550:L3550"/>
    <mergeCell ref="C3551:D3551"/>
    <mergeCell ref="K3551:L3551"/>
    <mergeCell ref="K3552:L3552"/>
    <mergeCell ref="G3554:H3554"/>
    <mergeCell ref="G3555:H3555"/>
    <mergeCell ref="C3552:D3552"/>
    <mergeCell ref="C3553:D3553"/>
    <mergeCell ref="G3553:H3553"/>
    <mergeCell ref="K3553:L3553"/>
    <mergeCell ref="C3554:D3554"/>
    <mergeCell ref="K3554:L3554"/>
    <mergeCell ref="K3555:L3555"/>
    <mergeCell ref="G3533:H3533"/>
    <mergeCell ref="G3534:H3534"/>
    <mergeCell ref="C3531:D3531"/>
    <mergeCell ref="C3532:D3532"/>
    <mergeCell ref="G3532:H3532"/>
    <mergeCell ref="K3532:L3532"/>
    <mergeCell ref="C3533:D3533"/>
    <mergeCell ref="K3533:L3533"/>
    <mergeCell ref="K3534:L3534"/>
    <mergeCell ref="G3536:H3536"/>
    <mergeCell ref="G3537:H3537"/>
    <mergeCell ref="C3534:D3534"/>
    <mergeCell ref="C3535:D3535"/>
    <mergeCell ref="G3535:H3535"/>
    <mergeCell ref="K3535:L3535"/>
    <mergeCell ref="C3536:D3536"/>
    <mergeCell ref="K3536:L3536"/>
    <mergeCell ref="K3537:L3537"/>
    <mergeCell ref="G3539:H3539"/>
    <mergeCell ref="G3540:H3540"/>
    <mergeCell ref="C3537:D3537"/>
    <mergeCell ref="C3538:D3538"/>
    <mergeCell ref="G3538:H3538"/>
    <mergeCell ref="K3538:L3538"/>
    <mergeCell ref="C3539:D3539"/>
    <mergeCell ref="K3539:L3539"/>
    <mergeCell ref="K3540:L3540"/>
    <mergeCell ref="G3542:H3542"/>
    <mergeCell ref="G3543:H3543"/>
    <mergeCell ref="C3540:D3540"/>
    <mergeCell ref="C3541:D3541"/>
    <mergeCell ref="G3541:H3541"/>
    <mergeCell ref="K3541:L3541"/>
    <mergeCell ref="C3542:D3542"/>
    <mergeCell ref="K3542:L3542"/>
    <mergeCell ref="K3543:L3543"/>
    <mergeCell ref="G3521:H3521"/>
    <mergeCell ref="G3522:H3522"/>
    <mergeCell ref="C3519:D3519"/>
    <mergeCell ref="C3520:D3520"/>
    <mergeCell ref="G3520:H3520"/>
    <mergeCell ref="K3520:L3520"/>
    <mergeCell ref="C3521:D3521"/>
    <mergeCell ref="K3521:L3521"/>
    <mergeCell ref="K3522:L3522"/>
    <mergeCell ref="G3524:H3524"/>
    <mergeCell ref="G3525:H3525"/>
    <mergeCell ref="C3522:D3522"/>
    <mergeCell ref="C3523:D3523"/>
    <mergeCell ref="G3523:H3523"/>
    <mergeCell ref="K3523:L3523"/>
    <mergeCell ref="C3524:D3524"/>
    <mergeCell ref="K3524:L3524"/>
    <mergeCell ref="K3525:L3525"/>
    <mergeCell ref="G3527:H3527"/>
    <mergeCell ref="G3528:H3528"/>
    <mergeCell ref="C3525:D3525"/>
    <mergeCell ref="C3526:D3526"/>
    <mergeCell ref="G3526:H3526"/>
    <mergeCell ref="K3526:L3526"/>
    <mergeCell ref="C3527:D3527"/>
    <mergeCell ref="K3527:L3527"/>
    <mergeCell ref="K3528:L3528"/>
    <mergeCell ref="G3530:H3530"/>
    <mergeCell ref="G3531:H3531"/>
    <mergeCell ref="C3528:D3528"/>
    <mergeCell ref="C3529:D3529"/>
    <mergeCell ref="G3529:H3529"/>
    <mergeCell ref="K3529:L3529"/>
    <mergeCell ref="C3530:D3530"/>
    <mergeCell ref="K3530:L3530"/>
    <mergeCell ref="K3531:L3531"/>
    <mergeCell ref="G3509:H3509"/>
    <mergeCell ref="G3510:H3510"/>
    <mergeCell ref="C3507:D3507"/>
    <mergeCell ref="C3508:D3508"/>
    <mergeCell ref="G3508:H3508"/>
    <mergeCell ref="K3508:L3508"/>
    <mergeCell ref="C3509:D3509"/>
    <mergeCell ref="K3509:L3509"/>
    <mergeCell ref="K3510:L3510"/>
    <mergeCell ref="G3512:H3512"/>
    <mergeCell ref="G3513:H3513"/>
    <mergeCell ref="C3510:D3510"/>
    <mergeCell ref="C3511:D3511"/>
    <mergeCell ref="G3511:H3511"/>
    <mergeCell ref="K3511:L3511"/>
    <mergeCell ref="C3512:D3512"/>
    <mergeCell ref="K3512:L3512"/>
    <mergeCell ref="K3513:L3513"/>
    <mergeCell ref="G3515:H3515"/>
    <mergeCell ref="G3516:H3516"/>
    <mergeCell ref="C3513:D3513"/>
    <mergeCell ref="C3514:D3514"/>
    <mergeCell ref="G3514:H3514"/>
    <mergeCell ref="K3514:L3514"/>
    <mergeCell ref="C3515:D3515"/>
    <mergeCell ref="K3515:L3515"/>
    <mergeCell ref="K3516:L3516"/>
    <mergeCell ref="G3518:H3518"/>
    <mergeCell ref="G3519:H3519"/>
    <mergeCell ref="C3516:D3516"/>
    <mergeCell ref="C3517:D3517"/>
    <mergeCell ref="G3517:H3517"/>
    <mergeCell ref="K3517:L3517"/>
    <mergeCell ref="C3518:D3518"/>
    <mergeCell ref="K3518:L3518"/>
    <mergeCell ref="K3519:L3519"/>
    <mergeCell ref="G3497:H3497"/>
    <mergeCell ref="G3498:H3498"/>
    <mergeCell ref="C3495:D3495"/>
    <mergeCell ref="C3496:D3496"/>
    <mergeCell ref="G3496:H3496"/>
    <mergeCell ref="K3496:L3496"/>
    <mergeCell ref="C3497:D3497"/>
    <mergeCell ref="K3497:L3497"/>
    <mergeCell ref="K3498:L3498"/>
    <mergeCell ref="G3500:H3500"/>
    <mergeCell ref="G3501:H3501"/>
    <mergeCell ref="C3498:D3498"/>
    <mergeCell ref="C3499:D3499"/>
    <mergeCell ref="G3499:H3499"/>
    <mergeCell ref="K3499:L3499"/>
    <mergeCell ref="C3500:D3500"/>
    <mergeCell ref="K3500:L3500"/>
    <mergeCell ref="K3501:L3501"/>
    <mergeCell ref="G3503:H3503"/>
    <mergeCell ref="G3504:H3504"/>
    <mergeCell ref="C3501:D3501"/>
    <mergeCell ref="C3502:D3502"/>
    <mergeCell ref="G3502:H3502"/>
    <mergeCell ref="K3502:L3502"/>
    <mergeCell ref="C3503:D3503"/>
    <mergeCell ref="K3503:L3503"/>
    <mergeCell ref="K3504:L3504"/>
    <mergeCell ref="G3506:H3506"/>
    <mergeCell ref="G3507:H3507"/>
    <mergeCell ref="C3504:D3504"/>
    <mergeCell ref="C3505:D3505"/>
    <mergeCell ref="G3505:H3505"/>
    <mergeCell ref="K3505:L3505"/>
    <mergeCell ref="C3506:D3506"/>
    <mergeCell ref="K3506:L3506"/>
    <mergeCell ref="K3507:L3507"/>
    <mergeCell ref="G3485:H3485"/>
    <mergeCell ref="G3486:H3486"/>
    <mergeCell ref="C3483:D3483"/>
    <mergeCell ref="C3484:D3484"/>
    <mergeCell ref="G3484:H3484"/>
    <mergeCell ref="K3484:L3484"/>
    <mergeCell ref="C3485:D3485"/>
    <mergeCell ref="K3485:L3485"/>
    <mergeCell ref="K3486:L3486"/>
    <mergeCell ref="G3488:H3488"/>
    <mergeCell ref="G3489:H3489"/>
    <mergeCell ref="C3486:D3486"/>
    <mergeCell ref="C3487:D3487"/>
    <mergeCell ref="G3487:H3487"/>
    <mergeCell ref="K3487:L3487"/>
    <mergeCell ref="C3488:D3488"/>
    <mergeCell ref="K3488:L3488"/>
    <mergeCell ref="K3489:L3489"/>
    <mergeCell ref="G3491:H3491"/>
    <mergeCell ref="G3492:H3492"/>
    <mergeCell ref="C3489:D3489"/>
    <mergeCell ref="C3490:D3490"/>
    <mergeCell ref="G3490:H3490"/>
    <mergeCell ref="K3490:L3490"/>
    <mergeCell ref="C3491:D3491"/>
    <mergeCell ref="K3491:L3491"/>
    <mergeCell ref="K3492:L3492"/>
    <mergeCell ref="G3494:H3494"/>
    <mergeCell ref="G3495:H3495"/>
    <mergeCell ref="C3492:D3492"/>
    <mergeCell ref="C3493:D3493"/>
    <mergeCell ref="G3493:H3493"/>
    <mergeCell ref="K3493:L3493"/>
    <mergeCell ref="C3494:D3494"/>
    <mergeCell ref="K3494:L3494"/>
    <mergeCell ref="K3495:L3495"/>
    <mergeCell ref="G3473:H3473"/>
    <mergeCell ref="G3474:H3474"/>
    <mergeCell ref="C3471:D3471"/>
    <mergeCell ref="C3472:D3472"/>
    <mergeCell ref="G3472:H3472"/>
    <mergeCell ref="K3472:L3472"/>
    <mergeCell ref="C3473:D3473"/>
    <mergeCell ref="K3473:L3473"/>
    <mergeCell ref="K3474:L3474"/>
    <mergeCell ref="G3476:H3476"/>
    <mergeCell ref="G3477:H3477"/>
    <mergeCell ref="C3474:D3474"/>
    <mergeCell ref="C3475:D3475"/>
    <mergeCell ref="G3475:H3475"/>
    <mergeCell ref="K3475:L3475"/>
    <mergeCell ref="C3476:D3476"/>
    <mergeCell ref="K3476:L3476"/>
    <mergeCell ref="K3477:L3477"/>
    <mergeCell ref="G3479:H3479"/>
    <mergeCell ref="G3480:H3480"/>
    <mergeCell ref="C3477:D3477"/>
    <mergeCell ref="C3478:D3478"/>
    <mergeCell ref="G3478:H3478"/>
    <mergeCell ref="K3478:L3478"/>
    <mergeCell ref="C3479:D3479"/>
    <mergeCell ref="K3479:L3479"/>
    <mergeCell ref="K3480:L3480"/>
    <mergeCell ref="G3482:H3482"/>
    <mergeCell ref="G3483:H3483"/>
    <mergeCell ref="C3480:D3480"/>
    <mergeCell ref="C3481:D3481"/>
    <mergeCell ref="G3481:H3481"/>
    <mergeCell ref="K3481:L3481"/>
    <mergeCell ref="C3482:D3482"/>
    <mergeCell ref="K3482:L3482"/>
    <mergeCell ref="K3483:L3483"/>
    <mergeCell ref="G3461:H3461"/>
    <mergeCell ref="G3462:H3462"/>
    <mergeCell ref="C3459:D3459"/>
    <mergeCell ref="C3460:D3460"/>
    <mergeCell ref="G3460:H3460"/>
    <mergeCell ref="K3460:L3460"/>
    <mergeCell ref="C3461:D3461"/>
    <mergeCell ref="K3461:L3461"/>
    <mergeCell ref="K3462:L3462"/>
    <mergeCell ref="G3464:H3464"/>
    <mergeCell ref="G3465:H3465"/>
    <mergeCell ref="C3462:D3462"/>
    <mergeCell ref="C3463:D3463"/>
    <mergeCell ref="G3463:H3463"/>
    <mergeCell ref="K3463:L3463"/>
    <mergeCell ref="C3464:D3464"/>
    <mergeCell ref="K3464:L3464"/>
    <mergeCell ref="K3465:L3465"/>
    <mergeCell ref="G3467:H3467"/>
    <mergeCell ref="G3468:H3468"/>
    <mergeCell ref="C3465:D3465"/>
    <mergeCell ref="C3466:D3466"/>
    <mergeCell ref="G3466:H3466"/>
    <mergeCell ref="K3466:L3466"/>
    <mergeCell ref="C3467:D3467"/>
    <mergeCell ref="K3467:L3467"/>
    <mergeCell ref="K3468:L3468"/>
    <mergeCell ref="G3470:H3470"/>
    <mergeCell ref="G3471:H3471"/>
    <mergeCell ref="C3468:D3468"/>
    <mergeCell ref="C3469:D3469"/>
    <mergeCell ref="G3469:H3469"/>
    <mergeCell ref="K3469:L3469"/>
    <mergeCell ref="C3470:D3470"/>
    <mergeCell ref="K3470:L3470"/>
    <mergeCell ref="K3471:L3471"/>
    <mergeCell ref="G3449:H3449"/>
    <mergeCell ref="G3450:H3450"/>
    <mergeCell ref="C3447:D3447"/>
    <mergeCell ref="C3448:D3448"/>
    <mergeCell ref="G3448:H3448"/>
    <mergeCell ref="K3448:L3448"/>
    <mergeCell ref="C3449:D3449"/>
    <mergeCell ref="K3449:L3449"/>
    <mergeCell ref="K3450:L3450"/>
    <mergeCell ref="G3452:H3452"/>
    <mergeCell ref="G3453:H3453"/>
    <mergeCell ref="C3450:D3450"/>
    <mergeCell ref="C3451:D3451"/>
    <mergeCell ref="G3451:H3451"/>
    <mergeCell ref="K3451:L3451"/>
    <mergeCell ref="C3452:D3452"/>
    <mergeCell ref="K3452:L3452"/>
    <mergeCell ref="K3453:L3453"/>
    <mergeCell ref="G3455:H3455"/>
    <mergeCell ref="G3456:H3456"/>
    <mergeCell ref="C3453:D3453"/>
    <mergeCell ref="C3454:D3454"/>
    <mergeCell ref="G3454:H3454"/>
    <mergeCell ref="K3454:L3454"/>
    <mergeCell ref="C3455:D3455"/>
    <mergeCell ref="K3455:L3455"/>
    <mergeCell ref="K3456:L3456"/>
    <mergeCell ref="G3458:H3458"/>
    <mergeCell ref="G3459:H3459"/>
    <mergeCell ref="C3456:D3456"/>
    <mergeCell ref="C3457:D3457"/>
    <mergeCell ref="G3457:H3457"/>
    <mergeCell ref="K3457:L3457"/>
    <mergeCell ref="C3458:D3458"/>
    <mergeCell ref="K3458:L3458"/>
    <mergeCell ref="K3459:L3459"/>
    <mergeCell ref="G3437:H3437"/>
    <mergeCell ref="G3438:H3438"/>
    <mergeCell ref="C3435:D3435"/>
    <mergeCell ref="C3436:D3436"/>
    <mergeCell ref="G3436:H3436"/>
    <mergeCell ref="K3436:L3436"/>
    <mergeCell ref="C3437:D3437"/>
    <mergeCell ref="K3437:L3437"/>
    <mergeCell ref="K3438:L3438"/>
    <mergeCell ref="G3440:H3440"/>
    <mergeCell ref="G3441:H3441"/>
    <mergeCell ref="C3438:D3438"/>
    <mergeCell ref="C3439:D3439"/>
    <mergeCell ref="G3439:H3439"/>
    <mergeCell ref="K3439:L3439"/>
    <mergeCell ref="C3440:D3440"/>
    <mergeCell ref="K3440:L3440"/>
    <mergeCell ref="K3441:L3441"/>
    <mergeCell ref="G3443:H3443"/>
    <mergeCell ref="G3444:H3444"/>
    <mergeCell ref="C3441:D3441"/>
    <mergeCell ref="C3442:D3442"/>
    <mergeCell ref="G3442:H3442"/>
    <mergeCell ref="K3442:L3442"/>
    <mergeCell ref="C3443:D3443"/>
    <mergeCell ref="K3443:L3443"/>
    <mergeCell ref="K3444:L3444"/>
    <mergeCell ref="G3446:H3446"/>
    <mergeCell ref="G3447:H3447"/>
    <mergeCell ref="C3444:D3444"/>
    <mergeCell ref="C3445:D3445"/>
    <mergeCell ref="G3445:H3445"/>
    <mergeCell ref="K3445:L3445"/>
    <mergeCell ref="C3446:D3446"/>
    <mergeCell ref="K3446:L3446"/>
    <mergeCell ref="K3447:L3447"/>
    <mergeCell ref="G3425:H3425"/>
    <mergeCell ref="G3426:H3426"/>
    <mergeCell ref="C3423:D3423"/>
    <mergeCell ref="C3424:D3424"/>
    <mergeCell ref="G3424:H3424"/>
    <mergeCell ref="K3424:L3424"/>
    <mergeCell ref="C3425:D3425"/>
    <mergeCell ref="K3425:L3425"/>
    <mergeCell ref="K3426:L3426"/>
    <mergeCell ref="G3428:H3428"/>
    <mergeCell ref="G3429:H3429"/>
    <mergeCell ref="C3426:D3426"/>
    <mergeCell ref="C3427:D3427"/>
    <mergeCell ref="G3427:H3427"/>
    <mergeCell ref="K3427:L3427"/>
    <mergeCell ref="C3428:D3428"/>
    <mergeCell ref="K3428:L3428"/>
    <mergeCell ref="K3429:L3429"/>
    <mergeCell ref="G3431:H3431"/>
    <mergeCell ref="G3432:H3432"/>
    <mergeCell ref="C3429:D3429"/>
    <mergeCell ref="C3430:D3430"/>
    <mergeCell ref="G3430:H3430"/>
    <mergeCell ref="K3430:L3430"/>
    <mergeCell ref="C3431:D3431"/>
    <mergeCell ref="K3431:L3431"/>
    <mergeCell ref="K3432:L3432"/>
    <mergeCell ref="G3434:H3434"/>
    <mergeCell ref="G3435:H3435"/>
    <mergeCell ref="C3432:D3432"/>
    <mergeCell ref="C3433:D3433"/>
    <mergeCell ref="G3433:H3433"/>
    <mergeCell ref="K3433:L3433"/>
    <mergeCell ref="C3434:D3434"/>
    <mergeCell ref="K3434:L3434"/>
    <mergeCell ref="K3435:L3435"/>
    <mergeCell ref="G3413:H3413"/>
    <mergeCell ref="G3414:H3414"/>
    <mergeCell ref="C3411:D3411"/>
    <mergeCell ref="C3412:D3412"/>
    <mergeCell ref="G3412:H3412"/>
    <mergeCell ref="K3412:L3412"/>
    <mergeCell ref="C3413:D3413"/>
    <mergeCell ref="K3413:L3413"/>
    <mergeCell ref="K3414:L3414"/>
    <mergeCell ref="G3416:H3416"/>
    <mergeCell ref="G3417:H3417"/>
    <mergeCell ref="C3414:D3414"/>
    <mergeCell ref="C3415:D3415"/>
    <mergeCell ref="G3415:H3415"/>
    <mergeCell ref="K3415:L3415"/>
    <mergeCell ref="C3416:D3416"/>
    <mergeCell ref="K3416:L3416"/>
    <mergeCell ref="K3417:L3417"/>
    <mergeCell ref="G3419:H3419"/>
    <mergeCell ref="G3420:H3420"/>
    <mergeCell ref="C3417:D3417"/>
    <mergeCell ref="C3418:D3418"/>
    <mergeCell ref="G3418:H3418"/>
    <mergeCell ref="K3418:L3418"/>
    <mergeCell ref="C3419:D3419"/>
    <mergeCell ref="K3419:L3419"/>
    <mergeCell ref="K3420:L3420"/>
    <mergeCell ref="G3422:H3422"/>
    <mergeCell ref="G3423:H3423"/>
    <mergeCell ref="C3420:D3420"/>
    <mergeCell ref="C3421:D3421"/>
    <mergeCell ref="G3421:H3421"/>
    <mergeCell ref="K3421:L3421"/>
    <mergeCell ref="C3422:D3422"/>
    <mergeCell ref="K3422:L3422"/>
    <mergeCell ref="K3423:L3423"/>
    <mergeCell ref="G3401:H3401"/>
    <mergeCell ref="G3402:H3402"/>
    <mergeCell ref="C3399:D3399"/>
    <mergeCell ref="C3400:D3400"/>
    <mergeCell ref="G3400:H3400"/>
    <mergeCell ref="K3400:L3400"/>
    <mergeCell ref="C3401:D3401"/>
    <mergeCell ref="K3401:L3401"/>
    <mergeCell ref="K3402:L3402"/>
    <mergeCell ref="G3404:H3404"/>
    <mergeCell ref="G3405:H3405"/>
    <mergeCell ref="C3402:D3402"/>
    <mergeCell ref="C3403:D3403"/>
    <mergeCell ref="G3403:H3403"/>
    <mergeCell ref="K3403:L3403"/>
    <mergeCell ref="C3404:D3404"/>
    <mergeCell ref="K3404:L3404"/>
    <mergeCell ref="K3405:L3405"/>
    <mergeCell ref="G3407:H3407"/>
    <mergeCell ref="G3408:H3408"/>
    <mergeCell ref="C3405:D3405"/>
    <mergeCell ref="C3406:D3406"/>
    <mergeCell ref="G3406:H3406"/>
    <mergeCell ref="K3406:L3406"/>
    <mergeCell ref="C3407:D3407"/>
    <mergeCell ref="K3407:L3407"/>
    <mergeCell ref="K3408:L3408"/>
    <mergeCell ref="G3410:H3410"/>
    <mergeCell ref="G3411:H3411"/>
    <mergeCell ref="C3408:D3408"/>
    <mergeCell ref="C3409:D3409"/>
    <mergeCell ref="G3409:H3409"/>
    <mergeCell ref="K3409:L3409"/>
    <mergeCell ref="C3410:D3410"/>
    <mergeCell ref="K3410:L3410"/>
    <mergeCell ref="K3411:L3411"/>
    <mergeCell ref="G3389:H3389"/>
    <mergeCell ref="G3390:H3390"/>
    <mergeCell ref="C3387:D3387"/>
    <mergeCell ref="C3388:D3388"/>
    <mergeCell ref="G3388:H3388"/>
    <mergeCell ref="K3388:L3388"/>
    <mergeCell ref="C3389:D3389"/>
    <mergeCell ref="K3389:L3389"/>
    <mergeCell ref="K3390:L3390"/>
    <mergeCell ref="G3392:H3392"/>
    <mergeCell ref="G3393:H3393"/>
    <mergeCell ref="C3390:D3390"/>
    <mergeCell ref="C3391:D3391"/>
    <mergeCell ref="G3391:H3391"/>
    <mergeCell ref="K3391:L3391"/>
    <mergeCell ref="C3392:D3392"/>
    <mergeCell ref="K3392:L3392"/>
    <mergeCell ref="K3393:L3393"/>
    <mergeCell ref="G3395:H3395"/>
    <mergeCell ref="G3396:H3396"/>
    <mergeCell ref="C3393:D3393"/>
    <mergeCell ref="C3394:D3394"/>
    <mergeCell ref="G3394:H3394"/>
    <mergeCell ref="K3394:L3394"/>
    <mergeCell ref="C3395:D3395"/>
    <mergeCell ref="K3395:L3395"/>
    <mergeCell ref="K3396:L3396"/>
    <mergeCell ref="G3398:H3398"/>
    <mergeCell ref="G3399:H3399"/>
    <mergeCell ref="C3396:D3396"/>
    <mergeCell ref="C3397:D3397"/>
    <mergeCell ref="G3397:H3397"/>
    <mergeCell ref="K3397:L3397"/>
    <mergeCell ref="C3398:D3398"/>
    <mergeCell ref="K3398:L3398"/>
    <mergeCell ref="K3399:L3399"/>
    <mergeCell ref="G3377:H3377"/>
    <mergeCell ref="G3378:H3378"/>
    <mergeCell ref="C3375:D3375"/>
    <mergeCell ref="C3376:D3376"/>
    <mergeCell ref="G3376:H3376"/>
    <mergeCell ref="K3376:L3376"/>
    <mergeCell ref="C3377:D3377"/>
    <mergeCell ref="K3377:L3377"/>
    <mergeCell ref="K3378:L3378"/>
    <mergeCell ref="G3380:H3380"/>
    <mergeCell ref="G3381:H3381"/>
    <mergeCell ref="C3378:D3378"/>
    <mergeCell ref="C3379:D3379"/>
    <mergeCell ref="G3379:H3379"/>
    <mergeCell ref="K3379:L3379"/>
    <mergeCell ref="C3380:D3380"/>
    <mergeCell ref="K3380:L3380"/>
    <mergeCell ref="K3381:L3381"/>
    <mergeCell ref="G3383:H3383"/>
    <mergeCell ref="G3384:H3384"/>
    <mergeCell ref="C3381:D3381"/>
    <mergeCell ref="C3382:D3382"/>
    <mergeCell ref="G3382:H3382"/>
    <mergeCell ref="K3382:L3382"/>
    <mergeCell ref="C3383:D3383"/>
    <mergeCell ref="K3383:L3383"/>
    <mergeCell ref="K3384:L3384"/>
    <mergeCell ref="G3386:H3386"/>
    <mergeCell ref="G3387:H3387"/>
    <mergeCell ref="C3384:D3384"/>
    <mergeCell ref="C3385:D3385"/>
    <mergeCell ref="G3385:H3385"/>
    <mergeCell ref="K3385:L3385"/>
    <mergeCell ref="C3386:D3386"/>
    <mergeCell ref="K3386:L3386"/>
    <mergeCell ref="K3387:L3387"/>
    <mergeCell ref="G3365:H3365"/>
    <mergeCell ref="G3366:H3366"/>
    <mergeCell ref="C3363:D3363"/>
    <mergeCell ref="C3364:D3364"/>
    <mergeCell ref="G3364:H3364"/>
    <mergeCell ref="K3364:L3364"/>
    <mergeCell ref="C3365:D3365"/>
    <mergeCell ref="K3365:L3365"/>
    <mergeCell ref="K3366:L3366"/>
    <mergeCell ref="G3368:H3368"/>
    <mergeCell ref="G3369:H3369"/>
    <mergeCell ref="C3366:D3366"/>
    <mergeCell ref="C3367:D3367"/>
    <mergeCell ref="G3367:H3367"/>
    <mergeCell ref="K3367:L3367"/>
    <mergeCell ref="C3368:D3368"/>
    <mergeCell ref="K3368:L3368"/>
    <mergeCell ref="K3369:L3369"/>
    <mergeCell ref="G3371:H3371"/>
    <mergeCell ref="G3372:H3372"/>
    <mergeCell ref="C3369:D3369"/>
    <mergeCell ref="C3370:D3370"/>
    <mergeCell ref="G3370:H3370"/>
    <mergeCell ref="K3370:L3370"/>
    <mergeCell ref="C3371:D3371"/>
    <mergeCell ref="K3371:L3371"/>
    <mergeCell ref="K3372:L3372"/>
    <mergeCell ref="G3374:H3374"/>
    <mergeCell ref="G3375:H3375"/>
    <mergeCell ref="C3372:D3372"/>
    <mergeCell ref="C3373:D3373"/>
    <mergeCell ref="G3373:H3373"/>
    <mergeCell ref="K3373:L3373"/>
    <mergeCell ref="C3374:D3374"/>
    <mergeCell ref="K3374:L3374"/>
    <mergeCell ref="K3375:L3375"/>
    <mergeCell ref="G3353:H3353"/>
    <mergeCell ref="G3354:H3354"/>
    <mergeCell ref="C3351:D3351"/>
    <mergeCell ref="C3352:D3352"/>
    <mergeCell ref="G3352:H3352"/>
    <mergeCell ref="K3352:L3352"/>
    <mergeCell ref="C3353:D3353"/>
    <mergeCell ref="K3353:L3353"/>
    <mergeCell ref="K3354:L3354"/>
    <mergeCell ref="G3356:H3356"/>
    <mergeCell ref="G3357:H3357"/>
    <mergeCell ref="C3354:D3354"/>
    <mergeCell ref="C3355:D3355"/>
    <mergeCell ref="G3355:H3355"/>
    <mergeCell ref="K3355:L3355"/>
    <mergeCell ref="C3356:D3356"/>
    <mergeCell ref="K3356:L3356"/>
    <mergeCell ref="K3357:L3357"/>
    <mergeCell ref="G3359:H3359"/>
    <mergeCell ref="G3360:H3360"/>
    <mergeCell ref="C3357:D3357"/>
    <mergeCell ref="C3358:D3358"/>
    <mergeCell ref="G3358:H3358"/>
    <mergeCell ref="K3358:L3358"/>
    <mergeCell ref="C3359:D3359"/>
    <mergeCell ref="K3359:L3359"/>
    <mergeCell ref="K3360:L3360"/>
    <mergeCell ref="G3362:H3362"/>
    <mergeCell ref="G3363:H3363"/>
    <mergeCell ref="C3360:D3360"/>
    <mergeCell ref="C3361:D3361"/>
    <mergeCell ref="G3361:H3361"/>
    <mergeCell ref="K3361:L3361"/>
    <mergeCell ref="C3362:D3362"/>
    <mergeCell ref="K3362:L3362"/>
    <mergeCell ref="K3363:L3363"/>
    <mergeCell ref="G3341:H3341"/>
    <mergeCell ref="G3342:H3342"/>
    <mergeCell ref="C3339:D3339"/>
    <mergeCell ref="C3340:D3340"/>
    <mergeCell ref="G3340:H3340"/>
    <mergeCell ref="K3340:L3340"/>
    <mergeCell ref="C3341:D3341"/>
    <mergeCell ref="K3341:L3341"/>
    <mergeCell ref="K3342:L3342"/>
    <mergeCell ref="G3344:H3344"/>
    <mergeCell ref="G3345:H3345"/>
    <mergeCell ref="C3342:D3342"/>
    <mergeCell ref="C3343:D3343"/>
    <mergeCell ref="G3343:H3343"/>
    <mergeCell ref="K3343:L3343"/>
    <mergeCell ref="C3344:D3344"/>
    <mergeCell ref="K3344:L3344"/>
    <mergeCell ref="K3345:L3345"/>
    <mergeCell ref="G3347:H3347"/>
    <mergeCell ref="G3348:H3348"/>
    <mergeCell ref="C3345:D3345"/>
    <mergeCell ref="C3346:D3346"/>
    <mergeCell ref="G3346:H3346"/>
    <mergeCell ref="K3346:L3346"/>
    <mergeCell ref="C3347:D3347"/>
    <mergeCell ref="K3347:L3347"/>
    <mergeCell ref="K3348:L3348"/>
    <mergeCell ref="G3350:H3350"/>
    <mergeCell ref="G3351:H3351"/>
    <mergeCell ref="C3348:D3348"/>
    <mergeCell ref="C3349:D3349"/>
    <mergeCell ref="G3349:H3349"/>
    <mergeCell ref="K3349:L3349"/>
    <mergeCell ref="C3350:D3350"/>
    <mergeCell ref="K3350:L3350"/>
    <mergeCell ref="K3351:L3351"/>
    <mergeCell ref="G3329:H3329"/>
    <mergeCell ref="G3330:H3330"/>
    <mergeCell ref="C3327:D3327"/>
    <mergeCell ref="C3328:D3328"/>
    <mergeCell ref="G3328:H3328"/>
    <mergeCell ref="K3328:L3328"/>
    <mergeCell ref="C3329:D3329"/>
    <mergeCell ref="K3329:L3329"/>
    <mergeCell ref="K3330:L3330"/>
    <mergeCell ref="G3332:H3332"/>
    <mergeCell ref="G3333:H3333"/>
    <mergeCell ref="C3330:D3330"/>
    <mergeCell ref="C3331:D3331"/>
    <mergeCell ref="G3331:H3331"/>
    <mergeCell ref="K3331:L3331"/>
    <mergeCell ref="C3332:D3332"/>
    <mergeCell ref="K3332:L3332"/>
    <mergeCell ref="K3333:L3333"/>
    <mergeCell ref="G3335:H3335"/>
    <mergeCell ref="G3336:H3336"/>
    <mergeCell ref="C3333:D3333"/>
    <mergeCell ref="C3334:D3334"/>
    <mergeCell ref="G3334:H3334"/>
    <mergeCell ref="K3334:L3334"/>
    <mergeCell ref="C3335:D3335"/>
    <mergeCell ref="K3335:L3335"/>
    <mergeCell ref="K3336:L3336"/>
    <mergeCell ref="G3338:H3338"/>
    <mergeCell ref="G3339:H3339"/>
    <mergeCell ref="C3336:D3336"/>
    <mergeCell ref="C3337:D3337"/>
    <mergeCell ref="G3337:H3337"/>
    <mergeCell ref="K3337:L3337"/>
    <mergeCell ref="C3338:D3338"/>
    <mergeCell ref="K3338:L3338"/>
    <mergeCell ref="K3339:L3339"/>
    <mergeCell ref="G3317:H3317"/>
    <mergeCell ref="G3318:H3318"/>
    <mergeCell ref="C3315:D3315"/>
    <mergeCell ref="C3316:D3316"/>
    <mergeCell ref="G3316:H3316"/>
    <mergeCell ref="K3316:L3316"/>
    <mergeCell ref="C3317:D3317"/>
    <mergeCell ref="K3317:L3317"/>
    <mergeCell ref="K3318:L3318"/>
    <mergeCell ref="G3320:H3320"/>
    <mergeCell ref="G3321:H3321"/>
    <mergeCell ref="C3318:D3318"/>
    <mergeCell ref="C3319:D3319"/>
    <mergeCell ref="G3319:H3319"/>
    <mergeCell ref="K3319:L3319"/>
    <mergeCell ref="C3320:D3320"/>
    <mergeCell ref="K3320:L3320"/>
    <mergeCell ref="K3321:L3321"/>
    <mergeCell ref="G3323:H3323"/>
    <mergeCell ref="G3324:H3324"/>
    <mergeCell ref="C3321:D3321"/>
    <mergeCell ref="C3322:D3322"/>
    <mergeCell ref="G3322:H3322"/>
    <mergeCell ref="K3322:L3322"/>
    <mergeCell ref="C3323:D3323"/>
    <mergeCell ref="K3323:L3323"/>
    <mergeCell ref="K3324:L3324"/>
    <mergeCell ref="G3326:H3326"/>
    <mergeCell ref="G3327:H3327"/>
    <mergeCell ref="C3324:D3324"/>
    <mergeCell ref="C3325:D3325"/>
    <mergeCell ref="G3325:H3325"/>
    <mergeCell ref="K3325:L3325"/>
    <mergeCell ref="C3326:D3326"/>
    <mergeCell ref="K3326:L3326"/>
    <mergeCell ref="K3327:L3327"/>
    <mergeCell ref="G3305:H3305"/>
    <mergeCell ref="G3306:H3306"/>
    <mergeCell ref="C3303:D3303"/>
    <mergeCell ref="C3304:D3304"/>
    <mergeCell ref="G3304:H3304"/>
    <mergeCell ref="K3304:L3304"/>
    <mergeCell ref="C3305:D3305"/>
    <mergeCell ref="K3305:L3305"/>
    <mergeCell ref="K3306:L3306"/>
    <mergeCell ref="G3308:H3308"/>
    <mergeCell ref="G3309:H3309"/>
    <mergeCell ref="C3306:D3306"/>
    <mergeCell ref="C3307:D3307"/>
    <mergeCell ref="G3307:H3307"/>
    <mergeCell ref="K3307:L3307"/>
    <mergeCell ref="C3308:D3308"/>
    <mergeCell ref="K3308:L3308"/>
    <mergeCell ref="K3309:L3309"/>
    <mergeCell ref="G3311:H3311"/>
    <mergeCell ref="G3312:H3312"/>
    <mergeCell ref="C3309:D3309"/>
    <mergeCell ref="C3310:D3310"/>
    <mergeCell ref="G3310:H3310"/>
    <mergeCell ref="K3310:L3310"/>
    <mergeCell ref="C3311:D3311"/>
    <mergeCell ref="K3311:L3311"/>
    <mergeCell ref="K3312:L3312"/>
    <mergeCell ref="G3314:H3314"/>
    <mergeCell ref="G3315:H3315"/>
    <mergeCell ref="C3312:D3312"/>
    <mergeCell ref="C3313:D3313"/>
    <mergeCell ref="G3313:H3313"/>
    <mergeCell ref="K3313:L3313"/>
    <mergeCell ref="C3314:D3314"/>
    <mergeCell ref="K3314:L3314"/>
    <mergeCell ref="K3315:L3315"/>
    <mergeCell ref="G3293:H3293"/>
    <mergeCell ref="G3294:H3294"/>
    <mergeCell ref="C3291:D3291"/>
    <mergeCell ref="C3292:D3292"/>
    <mergeCell ref="G3292:H3292"/>
    <mergeCell ref="K3292:L3292"/>
    <mergeCell ref="C3293:D3293"/>
    <mergeCell ref="K3293:L3293"/>
    <mergeCell ref="K3294:L3294"/>
    <mergeCell ref="G3296:H3296"/>
    <mergeCell ref="G3297:H3297"/>
    <mergeCell ref="C3294:D3294"/>
    <mergeCell ref="C3295:D3295"/>
    <mergeCell ref="G3295:H3295"/>
    <mergeCell ref="K3295:L3295"/>
    <mergeCell ref="C3296:D3296"/>
    <mergeCell ref="K3296:L3296"/>
    <mergeCell ref="K3297:L3297"/>
    <mergeCell ref="G3299:H3299"/>
    <mergeCell ref="G3300:H3300"/>
    <mergeCell ref="C3297:D3297"/>
    <mergeCell ref="C3298:D3298"/>
    <mergeCell ref="G3298:H3298"/>
    <mergeCell ref="K3298:L3298"/>
    <mergeCell ref="C3299:D3299"/>
    <mergeCell ref="K3299:L3299"/>
    <mergeCell ref="K3300:L3300"/>
    <mergeCell ref="G3302:H3302"/>
    <mergeCell ref="G3303:H3303"/>
    <mergeCell ref="C3300:D3300"/>
    <mergeCell ref="C3301:D3301"/>
    <mergeCell ref="G3301:H3301"/>
    <mergeCell ref="K3301:L3301"/>
    <mergeCell ref="C3302:D3302"/>
    <mergeCell ref="K3302:L3302"/>
    <mergeCell ref="K3303:L3303"/>
    <mergeCell ref="G3281:H3281"/>
    <mergeCell ref="G3282:H3282"/>
    <mergeCell ref="C3279:D3279"/>
    <mergeCell ref="C3280:D3280"/>
    <mergeCell ref="G3280:H3280"/>
    <mergeCell ref="K3280:L3280"/>
    <mergeCell ref="C3281:D3281"/>
    <mergeCell ref="K3281:L3281"/>
    <mergeCell ref="K3282:L3282"/>
    <mergeCell ref="G3284:H3284"/>
    <mergeCell ref="G3285:H3285"/>
    <mergeCell ref="C3282:D3282"/>
    <mergeCell ref="C3283:D3283"/>
    <mergeCell ref="G3283:H3283"/>
    <mergeCell ref="K3283:L3283"/>
    <mergeCell ref="C3284:D3284"/>
    <mergeCell ref="K3284:L3284"/>
    <mergeCell ref="K3285:L3285"/>
    <mergeCell ref="G3287:H3287"/>
    <mergeCell ref="G3288:H3288"/>
    <mergeCell ref="C3285:D3285"/>
    <mergeCell ref="C3286:D3286"/>
    <mergeCell ref="G3286:H3286"/>
    <mergeCell ref="K3286:L3286"/>
    <mergeCell ref="C3287:D3287"/>
    <mergeCell ref="K3287:L3287"/>
    <mergeCell ref="K3288:L3288"/>
    <mergeCell ref="G3290:H3290"/>
    <mergeCell ref="G3291:H3291"/>
    <mergeCell ref="C3288:D3288"/>
    <mergeCell ref="C3289:D3289"/>
    <mergeCell ref="G3289:H3289"/>
    <mergeCell ref="K3289:L3289"/>
    <mergeCell ref="C3290:D3290"/>
    <mergeCell ref="K3290:L3290"/>
    <mergeCell ref="K3291:L3291"/>
    <mergeCell ref="G3269:H3269"/>
    <mergeCell ref="G3270:H3270"/>
    <mergeCell ref="C3267:D3267"/>
    <mergeCell ref="C3268:D3268"/>
    <mergeCell ref="G3268:H3268"/>
    <mergeCell ref="K3268:L3268"/>
    <mergeCell ref="C3269:D3269"/>
    <mergeCell ref="K3269:L3269"/>
    <mergeCell ref="K3270:L3270"/>
    <mergeCell ref="G3272:H3272"/>
    <mergeCell ref="G3273:H3273"/>
    <mergeCell ref="C3270:D3270"/>
    <mergeCell ref="C3271:D3271"/>
    <mergeCell ref="G3271:H3271"/>
    <mergeCell ref="K3271:L3271"/>
    <mergeCell ref="C3272:D3272"/>
    <mergeCell ref="K3272:L3272"/>
    <mergeCell ref="K3273:L3273"/>
    <mergeCell ref="G3275:H3275"/>
    <mergeCell ref="G3276:H3276"/>
    <mergeCell ref="C3273:D3273"/>
    <mergeCell ref="C3274:D3274"/>
    <mergeCell ref="G3274:H3274"/>
    <mergeCell ref="K3274:L3274"/>
    <mergeCell ref="C3275:D3275"/>
    <mergeCell ref="K3275:L3275"/>
    <mergeCell ref="K3276:L3276"/>
    <mergeCell ref="G3278:H3278"/>
    <mergeCell ref="G3279:H3279"/>
    <mergeCell ref="C3276:D3276"/>
    <mergeCell ref="C3277:D3277"/>
    <mergeCell ref="G3277:H3277"/>
    <mergeCell ref="K3277:L3277"/>
    <mergeCell ref="C3278:D3278"/>
    <mergeCell ref="K3278:L3278"/>
    <mergeCell ref="K3279:L3279"/>
    <mergeCell ref="G3257:H3257"/>
    <mergeCell ref="G3258:H3258"/>
    <mergeCell ref="C3255:D3255"/>
    <mergeCell ref="C3256:D3256"/>
    <mergeCell ref="G3256:H3256"/>
    <mergeCell ref="K3256:L3256"/>
    <mergeCell ref="C3257:D3257"/>
    <mergeCell ref="K3257:L3257"/>
    <mergeCell ref="K3258:L3258"/>
    <mergeCell ref="G3260:H3260"/>
    <mergeCell ref="G3261:H3261"/>
    <mergeCell ref="C3258:D3258"/>
    <mergeCell ref="C3259:D3259"/>
    <mergeCell ref="G3259:H3259"/>
    <mergeCell ref="K3259:L3259"/>
    <mergeCell ref="C3260:D3260"/>
    <mergeCell ref="K3260:L3260"/>
    <mergeCell ref="K3261:L3261"/>
    <mergeCell ref="G3263:H3263"/>
    <mergeCell ref="G3264:H3264"/>
    <mergeCell ref="C3261:D3261"/>
    <mergeCell ref="C3262:D3262"/>
    <mergeCell ref="G3262:H3262"/>
    <mergeCell ref="K3262:L3262"/>
    <mergeCell ref="C3263:D3263"/>
    <mergeCell ref="K3263:L3263"/>
    <mergeCell ref="K3264:L3264"/>
    <mergeCell ref="G3266:H3266"/>
    <mergeCell ref="G3267:H3267"/>
    <mergeCell ref="C3264:D3264"/>
    <mergeCell ref="C3265:D3265"/>
    <mergeCell ref="G3265:H3265"/>
    <mergeCell ref="K3265:L3265"/>
    <mergeCell ref="C3266:D3266"/>
    <mergeCell ref="K3266:L3266"/>
    <mergeCell ref="K3267:L3267"/>
    <mergeCell ref="G3245:H3245"/>
    <mergeCell ref="G3246:H3246"/>
    <mergeCell ref="C3243:D3243"/>
    <mergeCell ref="C3244:D3244"/>
    <mergeCell ref="G3244:H3244"/>
    <mergeCell ref="K3244:L3244"/>
    <mergeCell ref="C3245:D3245"/>
    <mergeCell ref="K3245:L3245"/>
    <mergeCell ref="K3246:L3246"/>
    <mergeCell ref="G3248:H3248"/>
    <mergeCell ref="G3249:H3249"/>
    <mergeCell ref="C3246:D3246"/>
    <mergeCell ref="C3247:D3247"/>
    <mergeCell ref="G3247:H3247"/>
    <mergeCell ref="K3247:L3247"/>
    <mergeCell ref="C3248:D3248"/>
    <mergeCell ref="K3248:L3248"/>
    <mergeCell ref="K3249:L3249"/>
    <mergeCell ref="G3251:H3251"/>
    <mergeCell ref="G3252:H3252"/>
    <mergeCell ref="C3249:D3249"/>
    <mergeCell ref="C3250:D3250"/>
    <mergeCell ref="G3250:H3250"/>
    <mergeCell ref="K3250:L3250"/>
    <mergeCell ref="C3251:D3251"/>
    <mergeCell ref="K3251:L3251"/>
    <mergeCell ref="K3252:L3252"/>
    <mergeCell ref="G3254:H3254"/>
    <mergeCell ref="G3255:H3255"/>
    <mergeCell ref="C3252:D3252"/>
    <mergeCell ref="C3253:D3253"/>
    <mergeCell ref="G3253:H3253"/>
    <mergeCell ref="K3253:L3253"/>
    <mergeCell ref="C3254:D3254"/>
    <mergeCell ref="K3254:L3254"/>
    <mergeCell ref="K3255:L3255"/>
    <mergeCell ref="G3233:H3233"/>
    <mergeCell ref="G3234:H3234"/>
    <mergeCell ref="C3231:D3231"/>
    <mergeCell ref="C3232:D3232"/>
    <mergeCell ref="G3232:H3232"/>
    <mergeCell ref="K3232:L3232"/>
    <mergeCell ref="C3233:D3233"/>
    <mergeCell ref="K3233:L3233"/>
    <mergeCell ref="K3234:L3234"/>
    <mergeCell ref="G3236:H3236"/>
    <mergeCell ref="G3237:H3237"/>
    <mergeCell ref="C3234:D3234"/>
    <mergeCell ref="C3235:D3235"/>
    <mergeCell ref="G3235:H3235"/>
    <mergeCell ref="K3235:L3235"/>
    <mergeCell ref="C3236:D3236"/>
    <mergeCell ref="K3236:L3236"/>
    <mergeCell ref="K3237:L3237"/>
    <mergeCell ref="G3239:H3239"/>
    <mergeCell ref="G3240:H3240"/>
    <mergeCell ref="C3237:D3237"/>
    <mergeCell ref="C3238:D3238"/>
    <mergeCell ref="G3238:H3238"/>
    <mergeCell ref="K3238:L3238"/>
    <mergeCell ref="C3239:D3239"/>
    <mergeCell ref="K3239:L3239"/>
    <mergeCell ref="K3240:L3240"/>
    <mergeCell ref="G3242:H3242"/>
    <mergeCell ref="G3243:H3243"/>
    <mergeCell ref="C3240:D3240"/>
    <mergeCell ref="C3241:D3241"/>
    <mergeCell ref="G3241:H3241"/>
    <mergeCell ref="K3241:L3241"/>
    <mergeCell ref="C3242:D3242"/>
    <mergeCell ref="K3242:L3242"/>
    <mergeCell ref="K3243:L3243"/>
    <mergeCell ref="G3221:H3221"/>
    <mergeCell ref="G3222:H3222"/>
    <mergeCell ref="C3219:D3219"/>
    <mergeCell ref="C3220:D3220"/>
    <mergeCell ref="G3220:H3220"/>
    <mergeCell ref="K3220:L3220"/>
    <mergeCell ref="C3221:D3221"/>
    <mergeCell ref="K3221:L3221"/>
    <mergeCell ref="K3222:L3222"/>
    <mergeCell ref="G3224:H3224"/>
    <mergeCell ref="G3225:H3225"/>
    <mergeCell ref="C3222:D3222"/>
    <mergeCell ref="C3223:D3223"/>
    <mergeCell ref="G3223:H3223"/>
    <mergeCell ref="K3223:L3223"/>
    <mergeCell ref="C3224:D3224"/>
    <mergeCell ref="K3224:L3224"/>
    <mergeCell ref="K3225:L3225"/>
    <mergeCell ref="G3227:H3227"/>
    <mergeCell ref="G3228:H3228"/>
    <mergeCell ref="C3225:D3225"/>
    <mergeCell ref="C3226:D3226"/>
    <mergeCell ref="G3226:H3226"/>
    <mergeCell ref="K3226:L3226"/>
    <mergeCell ref="C3227:D3227"/>
    <mergeCell ref="K3227:L3227"/>
    <mergeCell ref="K3228:L3228"/>
    <mergeCell ref="G3230:H3230"/>
    <mergeCell ref="G3231:H3231"/>
    <mergeCell ref="C3228:D3228"/>
    <mergeCell ref="C3229:D3229"/>
    <mergeCell ref="G3229:H3229"/>
    <mergeCell ref="K3229:L3229"/>
    <mergeCell ref="C3230:D3230"/>
    <mergeCell ref="K3230:L3230"/>
    <mergeCell ref="K3231:L3231"/>
    <mergeCell ref="G3209:H3209"/>
    <mergeCell ref="G3210:H3210"/>
    <mergeCell ref="C3207:D3207"/>
    <mergeCell ref="C3208:D3208"/>
    <mergeCell ref="G3208:H3208"/>
    <mergeCell ref="K3208:L3208"/>
    <mergeCell ref="C3209:D3209"/>
    <mergeCell ref="K3209:L3209"/>
    <mergeCell ref="K3210:L3210"/>
    <mergeCell ref="G3212:H3212"/>
    <mergeCell ref="G3213:H3213"/>
    <mergeCell ref="C3210:D3210"/>
    <mergeCell ref="C3211:D3211"/>
    <mergeCell ref="G3211:H3211"/>
    <mergeCell ref="K3211:L3211"/>
    <mergeCell ref="C3212:D3212"/>
    <mergeCell ref="K3212:L3212"/>
    <mergeCell ref="K3213:L3213"/>
    <mergeCell ref="G3215:H3215"/>
    <mergeCell ref="G3216:H3216"/>
    <mergeCell ref="C3213:D3213"/>
    <mergeCell ref="C3214:D3214"/>
    <mergeCell ref="G3214:H3214"/>
    <mergeCell ref="K3214:L3214"/>
    <mergeCell ref="C3215:D3215"/>
    <mergeCell ref="K3215:L3215"/>
    <mergeCell ref="K3216:L3216"/>
    <mergeCell ref="G3218:H3218"/>
    <mergeCell ref="G3219:H3219"/>
    <mergeCell ref="C3216:D3216"/>
    <mergeCell ref="C3217:D3217"/>
    <mergeCell ref="G3217:H3217"/>
    <mergeCell ref="K3217:L3217"/>
    <mergeCell ref="C3218:D3218"/>
    <mergeCell ref="K3218:L3218"/>
    <mergeCell ref="K3219:L3219"/>
    <mergeCell ref="G3197:H3197"/>
    <mergeCell ref="G3198:H3198"/>
    <mergeCell ref="C3195:D3195"/>
    <mergeCell ref="C3196:D3196"/>
    <mergeCell ref="G3196:H3196"/>
    <mergeCell ref="K3196:L3196"/>
    <mergeCell ref="C3197:D3197"/>
    <mergeCell ref="K3197:L3197"/>
    <mergeCell ref="K3198:L3198"/>
    <mergeCell ref="G3200:H3200"/>
    <mergeCell ref="G3201:H3201"/>
    <mergeCell ref="C3198:D3198"/>
    <mergeCell ref="C3199:D3199"/>
    <mergeCell ref="G3199:H3199"/>
    <mergeCell ref="K3199:L3199"/>
    <mergeCell ref="C3200:D3200"/>
    <mergeCell ref="K3200:L3200"/>
    <mergeCell ref="K3201:L3201"/>
    <mergeCell ref="G3203:H3203"/>
    <mergeCell ref="G3204:H3204"/>
    <mergeCell ref="C3201:D3201"/>
    <mergeCell ref="C3202:D3202"/>
    <mergeCell ref="G3202:H3202"/>
    <mergeCell ref="K3202:L3202"/>
    <mergeCell ref="C3203:D3203"/>
    <mergeCell ref="K3203:L3203"/>
    <mergeCell ref="K3204:L3204"/>
    <mergeCell ref="G3206:H3206"/>
    <mergeCell ref="G3207:H3207"/>
    <mergeCell ref="C3204:D3204"/>
    <mergeCell ref="C3205:D3205"/>
    <mergeCell ref="G3205:H3205"/>
    <mergeCell ref="K3205:L3205"/>
    <mergeCell ref="C3206:D3206"/>
    <mergeCell ref="K3206:L3206"/>
    <mergeCell ref="K3207:L3207"/>
    <mergeCell ref="G3185:H3185"/>
    <mergeCell ref="G3186:H3186"/>
    <mergeCell ref="C3183:D3183"/>
    <mergeCell ref="C3184:D3184"/>
    <mergeCell ref="G3184:H3184"/>
    <mergeCell ref="K3184:L3184"/>
    <mergeCell ref="C3185:D3185"/>
    <mergeCell ref="K3185:L3185"/>
    <mergeCell ref="K3186:L3186"/>
    <mergeCell ref="G3188:H3188"/>
    <mergeCell ref="G3189:H3189"/>
    <mergeCell ref="C3186:D3186"/>
    <mergeCell ref="C3187:D3187"/>
    <mergeCell ref="G3187:H3187"/>
    <mergeCell ref="K3187:L3187"/>
    <mergeCell ref="C3188:D3188"/>
    <mergeCell ref="K3188:L3188"/>
    <mergeCell ref="K3189:L3189"/>
    <mergeCell ref="G3191:H3191"/>
    <mergeCell ref="G3192:H3192"/>
    <mergeCell ref="C3189:D3189"/>
    <mergeCell ref="C3190:D3190"/>
    <mergeCell ref="G3190:H3190"/>
    <mergeCell ref="K3190:L3190"/>
    <mergeCell ref="C3191:D3191"/>
    <mergeCell ref="K3191:L3191"/>
    <mergeCell ref="K3192:L3192"/>
    <mergeCell ref="G3194:H3194"/>
    <mergeCell ref="G3195:H3195"/>
    <mergeCell ref="C3192:D3192"/>
    <mergeCell ref="C3193:D3193"/>
    <mergeCell ref="G3193:H3193"/>
    <mergeCell ref="K3193:L3193"/>
    <mergeCell ref="C3194:D3194"/>
    <mergeCell ref="K3194:L3194"/>
    <mergeCell ref="K3195:L3195"/>
    <mergeCell ref="G3173:H3173"/>
    <mergeCell ref="G3174:H3174"/>
    <mergeCell ref="C3171:D3171"/>
    <mergeCell ref="C3172:D3172"/>
    <mergeCell ref="G3172:H3172"/>
    <mergeCell ref="K3172:L3172"/>
    <mergeCell ref="C3173:D3173"/>
    <mergeCell ref="K3173:L3173"/>
    <mergeCell ref="K3174:L3174"/>
    <mergeCell ref="G3176:H3176"/>
    <mergeCell ref="G3177:H3177"/>
    <mergeCell ref="C3174:D3174"/>
    <mergeCell ref="C3175:D3175"/>
    <mergeCell ref="G3175:H3175"/>
    <mergeCell ref="K3175:L3175"/>
    <mergeCell ref="C3176:D3176"/>
    <mergeCell ref="K3176:L3176"/>
    <mergeCell ref="K3177:L3177"/>
    <mergeCell ref="G3179:H3179"/>
    <mergeCell ref="G3180:H3180"/>
    <mergeCell ref="C3177:D3177"/>
    <mergeCell ref="C3178:D3178"/>
    <mergeCell ref="G3178:H3178"/>
    <mergeCell ref="K3178:L3178"/>
    <mergeCell ref="C3179:D3179"/>
    <mergeCell ref="K3179:L3179"/>
    <mergeCell ref="K3180:L3180"/>
    <mergeCell ref="G3182:H3182"/>
    <mergeCell ref="G3183:H3183"/>
    <mergeCell ref="C3180:D3180"/>
    <mergeCell ref="C3181:D3181"/>
    <mergeCell ref="G3181:H3181"/>
    <mergeCell ref="K3181:L3181"/>
    <mergeCell ref="C3182:D3182"/>
    <mergeCell ref="K3182:L3182"/>
    <mergeCell ref="K3183:L3183"/>
    <mergeCell ref="G3161:H3161"/>
    <mergeCell ref="G3162:H3162"/>
    <mergeCell ref="C3159:D3159"/>
    <mergeCell ref="C3160:D3160"/>
    <mergeCell ref="G3160:H3160"/>
    <mergeCell ref="K3160:L3160"/>
    <mergeCell ref="C3161:D3161"/>
    <mergeCell ref="K3161:L3161"/>
    <mergeCell ref="K3162:L3162"/>
    <mergeCell ref="G3164:H3164"/>
    <mergeCell ref="G3165:H3165"/>
    <mergeCell ref="C3162:D3162"/>
    <mergeCell ref="C3163:D3163"/>
    <mergeCell ref="G3163:H3163"/>
    <mergeCell ref="K3163:L3163"/>
    <mergeCell ref="C3164:D3164"/>
    <mergeCell ref="K3164:L3164"/>
    <mergeCell ref="K3165:L3165"/>
    <mergeCell ref="G3167:H3167"/>
    <mergeCell ref="G3168:H3168"/>
    <mergeCell ref="C3165:D3165"/>
    <mergeCell ref="C3166:D3166"/>
    <mergeCell ref="G3166:H3166"/>
    <mergeCell ref="K3166:L3166"/>
    <mergeCell ref="C3167:D3167"/>
    <mergeCell ref="K3167:L3167"/>
    <mergeCell ref="K3168:L3168"/>
    <mergeCell ref="G3170:H3170"/>
    <mergeCell ref="G3171:H3171"/>
    <mergeCell ref="C3168:D3168"/>
    <mergeCell ref="C3169:D3169"/>
    <mergeCell ref="G3169:H3169"/>
    <mergeCell ref="K3169:L3169"/>
    <mergeCell ref="C3170:D3170"/>
    <mergeCell ref="K3170:L3170"/>
    <mergeCell ref="K3171:L3171"/>
    <mergeCell ref="G3149:H3149"/>
    <mergeCell ref="G3150:H3150"/>
    <mergeCell ref="C3147:D3147"/>
    <mergeCell ref="C3148:D3148"/>
    <mergeCell ref="G3148:H3148"/>
    <mergeCell ref="K3148:L3148"/>
    <mergeCell ref="C3149:D3149"/>
    <mergeCell ref="K3149:L3149"/>
    <mergeCell ref="K3150:L3150"/>
    <mergeCell ref="G3152:H3152"/>
    <mergeCell ref="G3153:H3153"/>
    <mergeCell ref="C3150:D3150"/>
    <mergeCell ref="C3151:D3151"/>
    <mergeCell ref="G3151:H3151"/>
    <mergeCell ref="K3151:L3151"/>
    <mergeCell ref="C3152:D3152"/>
    <mergeCell ref="K3152:L3152"/>
    <mergeCell ref="K3153:L3153"/>
    <mergeCell ref="G3155:H3155"/>
    <mergeCell ref="G3156:H3156"/>
    <mergeCell ref="C3153:D3153"/>
    <mergeCell ref="C3154:D3154"/>
    <mergeCell ref="G3154:H3154"/>
    <mergeCell ref="K3154:L3154"/>
    <mergeCell ref="C3155:D3155"/>
    <mergeCell ref="K3155:L3155"/>
    <mergeCell ref="K3156:L3156"/>
    <mergeCell ref="G3158:H3158"/>
    <mergeCell ref="G3159:H3159"/>
    <mergeCell ref="C3156:D3156"/>
    <mergeCell ref="C3157:D3157"/>
    <mergeCell ref="G3157:H3157"/>
    <mergeCell ref="K3157:L3157"/>
    <mergeCell ref="C3158:D3158"/>
    <mergeCell ref="K3158:L3158"/>
    <mergeCell ref="K3159:L3159"/>
    <mergeCell ref="G3137:H3137"/>
    <mergeCell ref="G3138:H3138"/>
    <mergeCell ref="C3135:D3135"/>
    <mergeCell ref="C3136:D3136"/>
    <mergeCell ref="G3136:H3136"/>
    <mergeCell ref="K3136:L3136"/>
    <mergeCell ref="C3137:D3137"/>
    <mergeCell ref="K3137:L3137"/>
    <mergeCell ref="K3138:L3138"/>
    <mergeCell ref="G3140:H3140"/>
    <mergeCell ref="G3141:H3141"/>
    <mergeCell ref="C3138:D3138"/>
    <mergeCell ref="C3139:D3139"/>
    <mergeCell ref="G3139:H3139"/>
    <mergeCell ref="K3139:L3139"/>
    <mergeCell ref="C3140:D3140"/>
    <mergeCell ref="K3140:L3140"/>
    <mergeCell ref="K3141:L3141"/>
    <mergeCell ref="G3143:H3143"/>
    <mergeCell ref="G3144:H3144"/>
    <mergeCell ref="C3141:D3141"/>
    <mergeCell ref="C3142:D3142"/>
    <mergeCell ref="G3142:H3142"/>
    <mergeCell ref="K3142:L3142"/>
    <mergeCell ref="C3143:D3143"/>
    <mergeCell ref="K3143:L3143"/>
    <mergeCell ref="K3144:L3144"/>
    <mergeCell ref="G3146:H3146"/>
    <mergeCell ref="G3147:H3147"/>
    <mergeCell ref="C3144:D3144"/>
    <mergeCell ref="C3145:D3145"/>
    <mergeCell ref="G3145:H3145"/>
    <mergeCell ref="K3145:L3145"/>
    <mergeCell ref="C3146:D3146"/>
    <mergeCell ref="K3146:L3146"/>
    <mergeCell ref="K3147:L3147"/>
    <mergeCell ref="G3125:H3125"/>
    <mergeCell ref="G3126:H3126"/>
    <mergeCell ref="C3123:D3123"/>
    <mergeCell ref="C3124:D3124"/>
    <mergeCell ref="G3124:H3124"/>
    <mergeCell ref="K3124:L3124"/>
    <mergeCell ref="C3125:D3125"/>
    <mergeCell ref="K3125:L3125"/>
    <mergeCell ref="K3126:L3126"/>
    <mergeCell ref="G3128:H3128"/>
    <mergeCell ref="G3129:H3129"/>
    <mergeCell ref="C3126:D3126"/>
    <mergeCell ref="C3127:D3127"/>
    <mergeCell ref="G3127:H3127"/>
    <mergeCell ref="K3127:L3127"/>
    <mergeCell ref="C3128:D3128"/>
    <mergeCell ref="K3128:L3128"/>
    <mergeCell ref="K3129:L3129"/>
    <mergeCell ref="G3131:H3131"/>
    <mergeCell ref="G3132:H3132"/>
    <mergeCell ref="C3129:D3129"/>
    <mergeCell ref="C3130:D3130"/>
    <mergeCell ref="G3130:H3130"/>
    <mergeCell ref="K3130:L3130"/>
    <mergeCell ref="C3131:D3131"/>
    <mergeCell ref="K3131:L3131"/>
    <mergeCell ref="K3132:L3132"/>
    <mergeCell ref="G3134:H3134"/>
    <mergeCell ref="G3135:H3135"/>
    <mergeCell ref="C3132:D3132"/>
    <mergeCell ref="C3133:D3133"/>
    <mergeCell ref="G3133:H3133"/>
    <mergeCell ref="K3133:L3133"/>
    <mergeCell ref="C3134:D3134"/>
    <mergeCell ref="K3134:L3134"/>
    <mergeCell ref="K3135:L3135"/>
    <mergeCell ref="G3113:H3113"/>
    <mergeCell ref="G3114:H3114"/>
    <mergeCell ref="C3111:D3111"/>
    <mergeCell ref="C3112:D3112"/>
    <mergeCell ref="G3112:H3112"/>
    <mergeCell ref="K3112:L3112"/>
    <mergeCell ref="C3113:D3113"/>
    <mergeCell ref="K3113:L3113"/>
    <mergeCell ref="K3114:L3114"/>
    <mergeCell ref="G3116:H3116"/>
    <mergeCell ref="G3117:H3117"/>
    <mergeCell ref="C3114:D3114"/>
    <mergeCell ref="C3115:D3115"/>
    <mergeCell ref="G3115:H3115"/>
    <mergeCell ref="K3115:L3115"/>
    <mergeCell ref="C3116:D3116"/>
    <mergeCell ref="K3116:L3116"/>
    <mergeCell ref="K3117:L3117"/>
    <mergeCell ref="G3119:H3119"/>
    <mergeCell ref="G3120:H3120"/>
    <mergeCell ref="C3117:D3117"/>
    <mergeCell ref="C3118:D3118"/>
    <mergeCell ref="G3118:H3118"/>
    <mergeCell ref="K3118:L3118"/>
    <mergeCell ref="C3119:D3119"/>
    <mergeCell ref="K3119:L3119"/>
    <mergeCell ref="K3120:L3120"/>
    <mergeCell ref="G3122:H3122"/>
    <mergeCell ref="G3123:H3123"/>
    <mergeCell ref="C3120:D3120"/>
    <mergeCell ref="C3121:D3121"/>
    <mergeCell ref="G3121:H3121"/>
    <mergeCell ref="K3121:L3121"/>
    <mergeCell ref="C3122:D3122"/>
    <mergeCell ref="K3122:L3122"/>
    <mergeCell ref="K3123:L3123"/>
    <mergeCell ref="G3101:H3101"/>
    <mergeCell ref="G3102:H3102"/>
    <mergeCell ref="C3099:D3099"/>
    <mergeCell ref="C3100:D3100"/>
    <mergeCell ref="G3100:H3100"/>
    <mergeCell ref="K3100:L3100"/>
    <mergeCell ref="C3101:D3101"/>
    <mergeCell ref="K3101:L3101"/>
    <mergeCell ref="K3102:L3102"/>
    <mergeCell ref="G3104:H3104"/>
    <mergeCell ref="G3105:H3105"/>
    <mergeCell ref="C3102:D3102"/>
    <mergeCell ref="C3103:D3103"/>
    <mergeCell ref="G3103:H3103"/>
    <mergeCell ref="K3103:L3103"/>
    <mergeCell ref="C3104:D3104"/>
    <mergeCell ref="K3104:L3104"/>
    <mergeCell ref="K3105:L3105"/>
    <mergeCell ref="G3107:H3107"/>
    <mergeCell ref="G3108:H3108"/>
    <mergeCell ref="C3105:D3105"/>
    <mergeCell ref="C3106:D3106"/>
    <mergeCell ref="G3106:H3106"/>
    <mergeCell ref="K3106:L3106"/>
    <mergeCell ref="C3107:D3107"/>
    <mergeCell ref="K3107:L3107"/>
    <mergeCell ref="K3108:L3108"/>
    <mergeCell ref="G3110:H3110"/>
    <mergeCell ref="G3111:H3111"/>
    <mergeCell ref="C3108:D3108"/>
    <mergeCell ref="C3109:D3109"/>
    <mergeCell ref="G3109:H3109"/>
    <mergeCell ref="K3109:L3109"/>
    <mergeCell ref="C3110:D3110"/>
    <mergeCell ref="K3110:L3110"/>
    <mergeCell ref="K3111:L3111"/>
    <mergeCell ref="G3089:H3089"/>
    <mergeCell ref="G3090:H3090"/>
    <mergeCell ref="C3087:D3087"/>
    <mergeCell ref="C3088:D3088"/>
    <mergeCell ref="G3088:H3088"/>
    <mergeCell ref="K3088:L3088"/>
    <mergeCell ref="C3089:D3089"/>
    <mergeCell ref="K3089:L3089"/>
    <mergeCell ref="K3090:L3090"/>
    <mergeCell ref="G3092:H3092"/>
    <mergeCell ref="G3093:H3093"/>
    <mergeCell ref="C3090:D3090"/>
    <mergeCell ref="C3091:D3091"/>
    <mergeCell ref="G3091:H3091"/>
    <mergeCell ref="K3091:L3091"/>
    <mergeCell ref="C3092:D3092"/>
    <mergeCell ref="K3092:L3092"/>
    <mergeCell ref="K3093:L3093"/>
    <mergeCell ref="G3095:H3095"/>
    <mergeCell ref="G3096:H3096"/>
    <mergeCell ref="C3093:D3093"/>
    <mergeCell ref="C3094:D3094"/>
    <mergeCell ref="G3094:H3094"/>
    <mergeCell ref="K3094:L3094"/>
    <mergeCell ref="C3095:D3095"/>
    <mergeCell ref="K3095:L3095"/>
    <mergeCell ref="K3096:L3096"/>
    <mergeCell ref="G3098:H3098"/>
    <mergeCell ref="G3099:H3099"/>
    <mergeCell ref="C3096:D3096"/>
    <mergeCell ref="C3097:D3097"/>
    <mergeCell ref="G3097:H3097"/>
    <mergeCell ref="K3097:L3097"/>
    <mergeCell ref="C3098:D3098"/>
    <mergeCell ref="K3098:L3098"/>
    <mergeCell ref="K3099:L3099"/>
    <mergeCell ref="G3077:H3077"/>
    <mergeCell ref="G3078:H3078"/>
    <mergeCell ref="C3075:D3075"/>
    <mergeCell ref="C3076:D3076"/>
    <mergeCell ref="G3076:H3076"/>
    <mergeCell ref="K3076:L3076"/>
    <mergeCell ref="C3077:D3077"/>
    <mergeCell ref="K3077:L3077"/>
    <mergeCell ref="K3078:L3078"/>
    <mergeCell ref="G3080:H3080"/>
    <mergeCell ref="G3081:H3081"/>
    <mergeCell ref="C3078:D3078"/>
    <mergeCell ref="C3079:D3079"/>
    <mergeCell ref="G3079:H3079"/>
    <mergeCell ref="K3079:L3079"/>
    <mergeCell ref="C3080:D3080"/>
    <mergeCell ref="K3080:L3080"/>
    <mergeCell ref="K3081:L3081"/>
    <mergeCell ref="G3083:H3083"/>
    <mergeCell ref="G3084:H3084"/>
    <mergeCell ref="C3081:D3081"/>
    <mergeCell ref="C3082:D3082"/>
    <mergeCell ref="G3082:H3082"/>
    <mergeCell ref="K3082:L3082"/>
    <mergeCell ref="C3083:D3083"/>
    <mergeCell ref="K3083:L3083"/>
    <mergeCell ref="K3084:L3084"/>
    <mergeCell ref="G3086:H3086"/>
    <mergeCell ref="G3087:H3087"/>
    <mergeCell ref="C3084:D3084"/>
    <mergeCell ref="C3085:D3085"/>
    <mergeCell ref="G3085:H3085"/>
    <mergeCell ref="K3085:L3085"/>
    <mergeCell ref="C3086:D3086"/>
    <mergeCell ref="K3086:L3086"/>
    <mergeCell ref="K3087:L3087"/>
    <mergeCell ref="G3065:H3065"/>
    <mergeCell ref="G3066:H3066"/>
    <mergeCell ref="C3063:D3063"/>
    <mergeCell ref="C3064:D3064"/>
    <mergeCell ref="G3064:H3064"/>
    <mergeCell ref="K3064:L3064"/>
    <mergeCell ref="C3065:D3065"/>
    <mergeCell ref="K3065:L3065"/>
    <mergeCell ref="K3066:L3066"/>
    <mergeCell ref="G3068:H3068"/>
    <mergeCell ref="G3069:H3069"/>
    <mergeCell ref="C3066:D3066"/>
    <mergeCell ref="C3067:D3067"/>
    <mergeCell ref="G3067:H3067"/>
    <mergeCell ref="K3067:L3067"/>
    <mergeCell ref="C3068:D3068"/>
    <mergeCell ref="K3068:L3068"/>
    <mergeCell ref="K3069:L3069"/>
    <mergeCell ref="G3071:H3071"/>
    <mergeCell ref="G3072:H3072"/>
    <mergeCell ref="C3069:D3069"/>
    <mergeCell ref="C3070:D3070"/>
    <mergeCell ref="G3070:H3070"/>
    <mergeCell ref="K3070:L3070"/>
    <mergeCell ref="C3071:D3071"/>
    <mergeCell ref="K3071:L3071"/>
    <mergeCell ref="K3072:L3072"/>
    <mergeCell ref="G3074:H3074"/>
    <mergeCell ref="G3075:H3075"/>
    <mergeCell ref="C3072:D3072"/>
    <mergeCell ref="C3073:D3073"/>
    <mergeCell ref="G3073:H3073"/>
    <mergeCell ref="K3073:L3073"/>
    <mergeCell ref="C3074:D3074"/>
    <mergeCell ref="K3074:L3074"/>
    <mergeCell ref="K3075:L3075"/>
    <mergeCell ref="G3053:H3053"/>
    <mergeCell ref="G3054:H3054"/>
    <mergeCell ref="C3051:D3051"/>
    <mergeCell ref="C3052:D3052"/>
    <mergeCell ref="G3052:H3052"/>
    <mergeCell ref="K3052:L3052"/>
    <mergeCell ref="C3053:D3053"/>
    <mergeCell ref="K3053:L3053"/>
    <mergeCell ref="K3054:L3054"/>
    <mergeCell ref="G3056:H3056"/>
    <mergeCell ref="G3057:H3057"/>
    <mergeCell ref="C3054:D3054"/>
    <mergeCell ref="C3055:D3055"/>
    <mergeCell ref="G3055:H3055"/>
    <mergeCell ref="K3055:L3055"/>
    <mergeCell ref="C3056:D3056"/>
    <mergeCell ref="K3056:L3056"/>
    <mergeCell ref="K3057:L3057"/>
    <mergeCell ref="G3059:H3059"/>
    <mergeCell ref="G3060:H3060"/>
    <mergeCell ref="C3057:D3057"/>
    <mergeCell ref="C3058:D3058"/>
    <mergeCell ref="G3058:H3058"/>
    <mergeCell ref="K3058:L3058"/>
    <mergeCell ref="C3059:D3059"/>
    <mergeCell ref="K3059:L3059"/>
    <mergeCell ref="K3060:L3060"/>
    <mergeCell ref="G3062:H3062"/>
    <mergeCell ref="G3063:H3063"/>
    <mergeCell ref="C3060:D3060"/>
    <mergeCell ref="C3061:D3061"/>
    <mergeCell ref="G3061:H3061"/>
    <mergeCell ref="K3061:L3061"/>
    <mergeCell ref="C3062:D3062"/>
    <mergeCell ref="K3062:L3062"/>
    <mergeCell ref="K3063:L3063"/>
    <mergeCell ref="G3041:H3041"/>
    <mergeCell ref="G3042:H3042"/>
    <mergeCell ref="C3039:D3039"/>
    <mergeCell ref="C3040:D3040"/>
    <mergeCell ref="G3040:H3040"/>
    <mergeCell ref="K3040:L3040"/>
    <mergeCell ref="C3041:D3041"/>
    <mergeCell ref="K3041:L3041"/>
    <mergeCell ref="K3042:L3042"/>
    <mergeCell ref="G3044:H3044"/>
    <mergeCell ref="G3045:H3045"/>
    <mergeCell ref="C3042:D3042"/>
    <mergeCell ref="C3043:D3043"/>
    <mergeCell ref="G3043:H3043"/>
    <mergeCell ref="K3043:L3043"/>
    <mergeCell ref="C3044:D3044"/>
    <mergeCell ref="K3044:L3044"/>
    <mergeCell ref="K3045:L3045"/>
    <mergeCell ref="G3047:H3047"/>
    <mergeCell ref="G3048:H3048"/>
    <mergeCell ref="C3045:D3045"/>
    <mergeCell ref="C3046:D3046"/>
    <mergeCell ref="G3046:H3046"/>
    <mergeCell ref="K3046:L3046"/>
    <mergeCell ref="C3047:D3047"/>
    <mergeCell ref="K3047:L3047"/>
    <mergeCell ref="K3048:L3048"/>
    <mergeCell ref="G3050:H3050"/>
    <mergeCell ref="G3051:H3051"/>
    <mergeCell ref="C3048:D3048"/>
    <mergeCell ref="C3049:D3049"/>
    <mergeCell ref="G3049:H3049"/>
    <mergeCell ref="K3049:L3049"/>
    <mergeCell ref="C3050:D3050"/>
    <mergeCell ref="K3050:L3050"/>
    <mergeCell ref="K3051:L3051"/>
    <mergeCell ref="G3029:H3029"/>
    <mergeCell ref="G3030:H3030"/>
    <mergeCell ref="C3027:D3027"/>
    <mergeCell ref="C3028:D3028"/>
    <mergeCell ref="G3028:H3028"/>
    <mergeCell ref="K3028:L3028"/>
    <mergeCell ref="C3029:D3029"/>
    <mergeCell ref="K3029:L3029"/>
    <mergeCell ref="K3030:L3030"/>
    <mergeCell ref="G3032:H3032"/>
    <mergeCell ref="G3033:H3033"/>
    <mergeCell ref="C3030:D3030"/>
    <mergeCell ref="C3031:D3031"/>
    <mergeCell ref="G3031:H3031"/>
    <mergeCell ref="K3031:L3031"/>
    <mergeCell ref="C3032:D3032"/>
    <mergeCell ref="K3032:L3032"/>
    <mergeCell ref="K3033:L3033"/>
    <mergeCell ref="G3035:H3035"/>
    <mergeCell ref="G3036:H3036"/>
    <mergeCell ref="C3033:D3033"/>
    <mergeCell ref="C3034:D3034"/>
    <mergeCell ref="G3034:H3034"/>
    <mergeCell ref="K3034:L3034"/>
    <mergeCell ref="C3035:D3035"/>
    <mergeCell ref="K3035:L3035"/>
    <mergeCell ref="K3036:L3036"/>
    <mergeCell ref="G3038:H3038"/>
    <mergeCell ref="G3039:H3039"/>
    <mergeCell ref="C3036:D3036"/>
    <mergeCell ref="C3037:D3037"/>
    <mergeCell ref="G3037:H3037"/>
    <mergeCell ref="K3037:L3037"/>
    <mergeCell ref="C3038:D3038"/>
    <mergeCell ref="K3038:L3038"/>
    <mergeCell ref="K3039:L3039"/>
    <mergeCell ref="G3017:H3017"/>
    <mergeCell ref="G3018:H3018"/>
    <mergeCell ref="C3015:D3015"/>
    <mergeCell ref="C3016:D3016"/>
    <mergeCell ref="G3016:H3016"/>
    <mergeCell ref="K3016:L3016"/>
    <mergeCell ref="C3017:D3017"/>
    <mergeCell ref="K3017:L3017"/>
    <mergeCell ref="K3018:L3018"/>
    <mergeCell ref="G3020:H3020"/>
    <mergeCell ref="G3021:H3021"/>
    <mergeCell ref="C3018:D3018"/>
    <mergeCell ref="C3019:D3019"/>
    <mergeCell ref="G3019:H3019"/>
    <mergeCell ref="K3019:L3019"/>
    <mergeCell ref="C3020:D3020"/>
    <mergeCell ref="K3020:L3020"/>
    <mergeCell ref="K3021:L3021"/>
    <mergeCell ref="G3023:H3023"/>
    <mergeCell ref="G3024:H3024"/>
    <mergeCell ref="C3021:D3021"/>
    <mergeCell ref="C3022:D3022"/>
    <mergeCell ref="G3022:H3022"/>
    <mergeCell ref="K3022:L3022"/>
    <mergeCell ref="C3023:D3023"/>
    <mergeCell ref="K3023:L3023"/>
    <mergeCell ref="K3024:L3024"/>
    <mergeCell ref="G3026:H3026"/>
    <mergeCell ref="G3027:H3027"/>
    <mergeCell ref="C3024:D3024"/>
    <mergeCell ref="C3025:D3025"/>
    <mergeCell ref="G3025:H3025"/>
    <mergeCell ref="K3025:L3025"/>
    <mergeCell ref="C3026:D3026"/>
    <mergeCell ref="K3026:L3026"/>
    <mergeCell ref="K3027:L3027"/>
    <mergeCell ref="G3005:H3005"/>
    <mergeCell ref="G3006:H3006"/>
    <mergeCell ref="C3003:D3003"/>
    <mergeCell ref="C3004:D3004"/>
    <mergeCell ref="G3004:H3004"/>
    <mergeCell ref="K3004:L3004"/>
    <mergeCell ref="C3005:D3005"/>
    <mergeCell ref="K3005:L3005"/>
    <mergeCell ref="K3006:L3006"/>
    <mergeCell ref="G3008:H3008"/>
    <mergeCell ref="G3009:H3009"/>
    <mergeCell ref="C3006:D3006"/>
    <mergeCell ref="C3007:D3007"/>
    <mergeCell ref="G3007:H3007"/>
    <mergeCell ref="K3007:L3007"/>
    <mergeCell ref="C3008:D3008"/>
    <mergeCell ref="K3008:L3008"/>
    <mergeCell ref="K3009:L3009"/>
    <mergeCell ref="G3011:H3011"/>
    <mergeCell ref="G3012:H3012"/>
    <mergeCell ref="C3009:D3009"/>
    <mergeCell ref="C3010:D3010"/>
    <mergeCell ref="G3010:H3010"/>
    <mergeCell ref="K3010:L3010"/>
    <mergeCell ref="C3011:D3011"/>
    <mergeCell ref="K3011:L3011"/>
    <mergeCell ref="K3012:L3012"/>
    <mergeCell ref="G3014:H3014"/>
    <mergeCell ref="G3015:H3015"/>
    <mergeCell ref="C3012:D3012"/>
    <mergeCell ref="C3013:D3013"/>
    <mergeCell ref="G3013:H3013"/>
    <mergeCell ref="K3013:L3013"/>
    <mergeCell ref="C3014:D3014"/>
    <mergeCell ref="K3014:L3014"/>
    <mergeCell ref="K3015:L3015"/>
    <mergeCell ref="G2993:H2993"/>
    <mergeCell ref="G2994:H2994"/>
    <mergeCell ref="C2991:D2991"/>
    <mergeCell ref="C2992:D2992"/>
    <mergeCell ref="G2992:H2992"/>
    <mergeCell ref="K2992:L2992"/>
    <mergeCell ref="C2993:D2993"/>
    <mergeCell ref="K2993:L2993"/>
    <mergeCell ref="K2994:L2994"/>
    <mergeCell ref="G2996:H2996"/>
    <mergeCell ref="G2997:H2997"/>
    <mergeCell ref="C2994:D2994"/>
    <mergeCell ref="C2995:D2995"/>
    <mergeCell ref="G2995:H2995"/>
    <mergeCell ref="K2995:L2995"/>
    <mergeCell ref="C2996:D2996"/>
    <mergeCell ref="K2996:L2996"/>
    <mergeCell ref="K2997:L2997"/>
    <mergeCell ref="G2999:H2999"/>
    <mergeCell ref="G3000:H3000"/>
    <mergeCell ref="C2997:D2997"/>
    <mergeCell ref="C2998:D2998"/>
    <mergeCell ref="G2998:H2998"/>
    <mergeCell ref="K2998:L2998"/>
    <mergeCell ref="C2999:D2999"/>
    <mergeCell ref="K2999:L2999"/>
    <mergeCell ref="K3000:L3000"/>
    <mergeCell ref="G3002:H3002"/>
    <mergeCell ref="G3003:H3003"/>
    <mergeCell ref="C3000:D3000"/>
    <mergeCell ref="C3001:D3001"/>
    <mergeCell ref="G3001:H3001"/>
    <mergeCell ref="K3001:L3001"/>
    <mergeCell ref="C3002:D3002"/>
    <mergeCell ref="K3002:L3002"/>
    <mergeCell ref="K3003:L3003"/>
    <mergeCell ref="G2981:H2981"/>
    <mergeCell ref="G2982:H2982"/>
    <mergeCell ref="C2979:D2979"/>
    <mergeCell ref="C2980:D2980"/>
    <mergeCell ref="G2980:H2980"/>
    <mergeCell ref="K2980:L2980"/>
    <mergeCell ref="C2981:D2981"/>
    <mergeCell ref="K2981:L2981"/>
    <mergeCell ref="K2982:L2982"/>
    <mergeCell ref="G2984:H2984"/>
    <mergeCell ref="G2985:H2985"/>
    <mergeCell ref="C2982:D2982"/>
    <mergeCell ref="C2983:D2983"/>
    <mergeCell ref="G2983:H2983"/>
    <mergeCell ref="K2983:L2983"/>
    <mergeCell ref="C2984:D2984"/>
    <mergeCell ref="K2984:L2984"/>
    <mergeCell ref="K2985:L2985"/>
    <mergeCell ref="G2987:H2987"/>
    <mergeCell ref="G2988:H2988"/>
    <mergeCell ref="C2985:D2985"/>
    <mergeCell ref="C2986:D2986"/>
    <mergeCell ref="G2986:H2986"/>
    <mergeCell ref="K2986:L2986"/>
    <mergeCell ref="C2987:D2987"/>
    <mergeCell ref="K2987:L2987"/>
    <mergeCell ref="K2988:L2988"/>
    <mergeCell ref="G2990:H2990"/>
    <mergeCell ref="G2991:H2991"/>
    <mergeCell ref="C2988:D2988"/>
    <mergeCell ref="C2989:D2989"/>
    <mergeCell ref="G2989:H2989"/>
    <mergeCell ref="K2989:L2989"/>
    <mergeCell ref="C2990:D2990"/>
    <mergeCell ref="K2990:L2990"/>
    <mergeCell ref="K2991:L2991"/>
    <mergeCell ref="G2969:H2969"/>
    <mergeCell ref="G2970:H2970"/>
    <mergeCell ref="C2967:D2967"/>
    <mergeCell ref="C2968:D2968"/>
    <mergeCell ref="G2968:H2968"/>
    <mergeCell ref="K2968:L2968"/>
    <mergeCell ref="C2969:D2969"/>
    <mergeCell ref="K2969:L2969"/>
    <mergeCell ref="K2970:L2970"/>
    <mergeCell ref="G2972:H2972"/>
    <mergeCell ref="G2973:H2973"/>
    <mergeCell ref="C2970:D2970"/>
    <mergeCell ref="C2971:D2971"/>
    <mergeCell ref="G2971:H2971"/>
    <mergeCell ref="K2971:L2971"/>
    <mergeCell ref="C2972:D2972"/>
    <mergeCell ref="K2972:L2972"/>
    <mergeCell ref="K2973:L2973"/>
    <mergeCell ref="G2975:H2975"/>
    <mergeCell ref="G2976:H2976"/>
    <mergeCell ref="C2973:D2973"/>
    <mergeCell ref="C2974:D2974"/>
    <mergeCell ref="G2974:H2974"/>
    <mergeCell ref="K2974:L2974"/>
    <mergeCell ref="C2975:D2975"/>
    <mergeCell ref="K2975:L2975"/>
    <mergeCell ref="K2976:L2976"/>
    <mergeCell ref="G2978:H2978"/>
    <mergeCell ref="G2979:H2979"/>
    <mergeCell ref="C2976:D2976"/>
    <mergeCell ref="C2977:D2977"/>
    <mergeCell ref="G2977:H2977"/>
    <mergeCell ref="K2977:L2977"/>
    <mergeCell ref="C2978:D2978"/>
    <mergeCell ref="K2978:L2978"/>
    <mergeCell ref="K2979:L2979"/>
    <mergeCell ref="G2957:H2957"/>
    <mergeCell ref="G2958:H2958"/>
    <mergeCell ref="C2955:D2955"/>
    <mergeCell ref="C2956:D2956"/>
    <mergeCell ref="G2956:H2956"/>
    <mergeCell ref="K2956:L2956"/>
    <mergeCell ref="C2957:D2957"/>
    <mergeCell ref="K2957:L2957"/>
    <mergeCell ref="K2958:L2958"/>
    <mergeCell ref="G2960:H2960"/>
    <mergeCell ref="G2961:H2961"/>
    <mergeCell ref="C2958:D2958"/>
    <mergeCell ref="C2959:D2959"/>
    <mergeCell ref="G2959:H2959"/>
    <mergeCell ref="K2959:L2959"/>
    <mergeCell ref="C2960:D2960"/>
    <mergeCell ref="K2960:L2960"/>
    <mergeCell ref="K2961:L2961"/>
    <mergeCell ref="G2963:H2963"/>
    <mergeCell ref="G2964:H2964"/>
    <mergeCell ref="C2961:D2961"/>
    <mergeCell ref="C2962:D2962"/>
    <mergeCell ref="G2962:H2962"/>
    <mergeCell ref="K2962:L2962"/>
    <mergeCell ref="C2963:D2963"/>
    <mergeCell ref="K2963:L2963"/>
    <mergeCell ref="K2964:L2964"/>
    <mergeCell ref="G2966:H2966"/>
    <mergeCell ref="G2967:H2967"/>
    <mergeCell ref="C2964:D2964"/>
    <mergeCell ref="C2965:D2965"/>
    <mergeCell ref="G2965:H2965"/>
    <mergeCell ref="K2965:L2965"/>
    <mergeCell ref="C2966:D2966"/>
    <mergeCell ref="K2966:L2966"/>
    <mergeCell ref="K2967:L2967"/>
    <mergeCell ref="G2945:H2945"/>
    <mergeCell ref="G2946:H2946"/>
    <mergeCell ref="C2943:D2943"/>
    <mergeCell ref="C2944:D2944"/>
    <mergeCell ref="G2944:H2944"/>
    <mergeCell ref="K2944:L2944"/>
    <mergeCell ref="C2945:D2945"/>
    <mergeCell ref="K2945:L2945"/>
    <mergeCell ref="K2946:L2946"/>
    <mergeCell ref="G2948:H2948"/>
    <mergeCell ref="G2949:H2949"/>
    <mergeCell ref="C2946:D2946"/>
    <mergeCell ref="C2947:D2947"/>
    <mergeCell ref="G2947:H2947"/>
    <mergeCell ref="K2947:L2947"/>
    <mergeCell ref="C2948:D2948"/>
    <mergeCell ref="K2948:L2948"/>
    <mergeCell ref="K2949:L2949"/>
    <mergeCell ref="G2951:H2951"/>
    <mergeCell ref="G2952:H2952"/>
    <mergeCell ref="C2949:D2949"/>
    <mergeCell ref="C2950:D2950"/>
    <mergeCell ref="G2950:H2950"/>
    <mergeCell ref="K2950:L2950"/>
    <mergeCell ref="C2951:D2951"/>
    <mergeCell ref="K2951:L2951"/>
    <mergeCell ref="K2952:L2952"/>
    <mergeCell ref="G2954:H2954"/>
    <mergeCell ref="G2955:H2955"/>
    <mergeCell ref="C2952:D2952"/>
    <mergeCell ref="C2953:D2953"/>
    <mergeCell ref="G2953:H2953"/>
    <mergeCell ref="K2953:L2953"/>
    <mergeCell ref="C2954:D2954"/>
    <mergeCell ref="K2954:L2954"/>
    <mergeCell ref="K2955:L2955"/>
    <mergeCell ref="G2933:H2933"/>
    <mergeCell ref="G2934:H2934"/>
    <mergeCell ref="C2931:D2931"/>
    <mergeCell ref="C2932:D2932"/>
    <mergeCell ref="G2932:H2932"/>
    <mergeCell ref="K2932:L2932"/>
    <mergeCell ref="C2933:D2933"/>
    <mergeCell ref="K2933:L2933"/>
    <mergeCell ref="K2934:L2934"/>
    <mergeCell ref="G2936:H2936"/>
    <mergeCell ref="G2937:H2937"/>
    <mergeCell ref="C2934:D2934"/>
    <mergeCell ref="C2935:D2935"/>
    <mergeCell ref="G2935:H2935"/>
    <mergeCell ref="K2935:L2935"/>
    <mergeCell ref="C2936:D2936"/>
    <mergeCell ref="K2936:L2936"/>
    <mergeCell ref="K2937:L2937"/>
    <mergeCell ref="G2939:H2939"/>
    <mergeCell ref="G2940:H2940"/>
    <mergeCell ref="C2937:D2937"/>
    <mergeCell ref="C2938:D2938"/>
    <mergeCell ref="G2938:H2938"/>
    <mergeCell ref="K2938:L2938"/>
    <mergeCell ref="C2939:D2939"/>
    <mergeCell ref="K2939:L2939"/>
    <mergeCell ref="K2940:L2940"/>
    <mergeCell ref="G2942:H2942"/>
    <mergeCell ref="G2943:H2943"/>
    <mergeCell ref="C2940:D2940"/>
    <mergeCell ref="C2941:D2941"/>
    <mergeCell ref="G2941:H2941"/>
    <mergeCell ref="K2941:L2941"/>
    <mergeCell ref="C2942:D2942"/>
    <mergeCell ref="K2942:L2942"/>
    <mergeCell ref="K2943:L2943"/>
    <mergeCell ref="G2921:H2921"/>
    <mergeCell ref="G2922:H2922"/>
    <mergeCell ref="C2919:D2919"/>
    <mergeCell ref="C2920:D2920"/>
    <mergeCell ref="G2920:H2920"/>
    <mergeCell ref="K2920:L2920"/>
    <mergeCell ref="C2921:D2921"/>
    <mergeCell ref="K2921:L2921"/>
    <mergeCell ref="K2922:L2922"/>
    <mergeCell ref="G2924:H2924"/>
    <mergeCell ref="G2925:H2925"/>
    <mergeCell ref="C2922:D2922"/>
    <mergeCell ref="C2923:D2923"/>
    <mergeCell ref="G2923:H2923"/>
    <mergeCell ref="K2923:L2923"/>
    <mergeCell ref="C2924:D2924"/>
    <mergeCell ref="K2924:L2924"/>
    <mergeCell ref="K2925:L2925"/>
    <mergeCell ref="G2927:H2927"/>
    <mergeCell ref="G2928:H2928"/>
    <mergeCell ref="C2925:D2925"/>
    <mergeCell ref="C2926:D2926"/>
    <mergeCell ref="G2926:H2926"/>
    <mergeCell ref="K2926:L2926"/>
    <mergeCell ref="C2927:D2927"/>
    <mergeCell ref="K2927:L2927"/>
    <mergeCell ref="K2928:L2928"/>
    <mergeCell ref="G2930:H2930"/>
    <mergeCell ref="G2931:H2931"/>
    <mergeCell ref="C2928:D2928"/>
    <mergeCell ref="C2929:D2929"/>
    <mergeCell ref="G2929:H2929"/>
    <mergeCell ref="K2929:L2929"/>
    <mergeCell ref="C2930:D2930"/>
    <mergeCell ref="K2930:L2930"/>
    <mergeCell ref="K2931:L2931"/>
    <mergeCell ref="G2909:H2909"/>
    <mergeCell ref="G2910:H2910"/>
    <mergeCell ref="C2907:D2907"/>
    <mergeCell ref="C2908:D2908"/>
    <mergeCell ref="G2908:H2908"/>
    <mergeCell ref="K2908:L2908"/>
    <mergeCell ref="C2909:D2909"/>
    <mergeCell ref="K2909:L2909"/>
    <mergeCell ref="K2910:L2910"/>
    <mergeCell ref="G2912:H2912"/>
    <mergeCell ref="G2913:H2913"/>
    <mergeCell ref="C2910:D2910"/>
    <mergeCell ref="C2911:D2911"/>
    <mergeCell ref="G2911:H2911"/>
    <mergeCell ref="K2911:L2911"/>
    <mergeCell ref="C2912:D2912"/>
    <mergeCell ref="K2912:L2912"/>
    <mergeCell ref="K2913:L2913"/>
    <mergeCell ref="G2915:H2915"/>
    <mergeCell ref="G2916:H2916"/>
    <mergeCell ref="C2913:D2913"/>
    <mergeCell ref="C2914:D2914"/>
    <mergeCell ref="G2914:H2914"/>
    <mergeCell ref="K2914:L2914"/>
    <mergeCell ref="C2915:D2915"/>
    <mergeCell ref="K2915:L2915"/>
    <mergeCell ref="K2916:L2916"/>
    <mergeCell ref="G2918:H2918"/>
    <mergeCell ref="G2919:H2919"/>
    <mergeCell ref="C2916:D2916"/>
    <mergeCell ref="C2917:D2917"/>
    <mergeCell ref="G2917:H2917"/>
    <mergeCell ref="K2917:L2917"/>
    <mergeCell ref="C2918:D2918"/>
    <mergeCell ref="K2918:L2918"/>
    <mergeCell ref="K2919:L2919"/>
    <mergeCell ref="G2897:H2897"/>
    <mergeCell ref="G2898:H2898"/>
    <mergeCell ref="C2895:D2895"/>
    <mergeCell ref="C2896:D2896"/>
    <mergeCell ref="G2896:H2896"/>
    <mergeCell ref="K2896:L2896"/>
    <mergeCell ref="C2897:D2897"/>
    <mergeCell ref="K2897:L2897"/>
    <mergeCell ref="K2898:L2898"/>
    <mergeCell ref="G2900:H2900"/>
    <mergeCell ref="G2901:H2901"/>
    <mergeCell ref="C2898:D2898"/>
    <mergeCell ref="C2899:D2899"/>
    <mergeCell ref="G2899:H2899"/>
    <mergeCell ref="K2899:L2899"/>
    <mergeCell ref="C2900:D2900"/>
    <mergeCell ref="K2900:L2900"/>
    <mergeCell ref="K2901:L2901"/>
    <mergeCell ref="G2903:H2903"/>
    <mergeCell ref="G2904:H2904"/>
    <mergeCell ref="C2901:D2901"/>
    <mergeCell ref="C2902:D2902"/>
    <mergeCell ref="G2902:H2902"/>
    <mergeCell ref="K2902:L2902"/>
    <mergeCell ref="C2903:D2903"/>
    <mergeCell ref="K2903:L2903"/>
    <mergeCell ref="K2904:L2904"/>
    <mergeCell ref="G2906:H2906"/>
    <mergeCell ref="G2907:H2907"/>
    <mergeCell ref="C2904:D2904"/>
    <mergeCell ref="C2905:D2905"/>
    <mergeCell ref="G2905:H2905"/>
    <mergeCell ref="K2905:L2905"/>
    <mergeCell ref="C2906:D2906"/>
    <mergeCell ref="K2906:L2906"/>
    <mergeCell ref="K2907:L2907"/>
    <mergeCell ref="G2885:H2885"/>
    <mergeCell ref="G2886:H2886"/>
    <mergeCell ref="C2883:D2883"/>
    <mergeCell ref="C2884:D2884"/>
    <mergeCell ref="G2884:H2884"/>
    <mergeCell ref="K2884:L2884"/>
    <mergeCell ref="C2885:D2885"/>
    <mergeCell ref="K2885:L2885"/>
    <mergeCell ref="K2886:L2886"/>
    <mergeCell ref="G2888:H2888"/>
    <mergeCell ref="G2889:H2889"/>
    <mergeCell ref="C2886:D2886"/>
    <mergeCell ref="C2887:D2887"/>
    <mergeCell ref="G2887:H2887"/>
    <mergeCell ref="K2887:L2887"/>
    <mergeCell ref="C2888:D2888"/>
    <mergeCell ref="K2888:L2888"/>
    <mergeCell ref="K2889:L2889"/>
    <mergeCell ref="G2891:H2891"/>
    <mergeCell ref="G2892:H2892"/>
    <mergeCell ref="C2889:D2889"/>
    <mergeCell ref="C2890:D2890"/>
    <mergeCell ref="G2890:H2890"/>
    <mergeCell ref="K2890:L2890"/>
    <mergeCell ref="C2891:D2891"/>
    <mergeCell ref="K2891:L2891"/>
    <mergeCell ref="K2892:L2892"/>
    <mergeCell ref="G2894:H2894"/>
    <mergeCell ref="G2895:H2895"/>
    <mergeCell ref="C2892:D2892"/>
    <mergeCell ref="C2893:D2893"/>
    <mergeCell ref="G2893:H2893"/>
    <mergeCell ref="K2893:L2893"/>
    <mergeCell ref="C2894:D2894"/>
    <mergeCell ref="K2894:L2894"/>
    <mergeCell ref="K2895:L2895"/>
    <mergeCell ref="G2873:H2873"/>
    <mergeCell ref="G2874:H2874"/>
    <mergeCell ref="C2871:D2871"/>
    <mergeCell ref="C2872:D2872"/>
    <mergeCell ref="G2872:H2872"/>
    <mergeCell ref="K2872:L2872"/>
    <mergeCell ref="C2873:D2873"/>
    <mergeCell ref="K2873:L2873"/>
    <mergeCell ref="K2874:L2874"/>
    <mergeCell ref="G2876:H2876"/>
    <mergeCell ref="G2877:H2877"/>
    <mergeCell ref="C2874:D2874"/>
    <mergeCell ref="C2875:D2875"/>
    <mergeCell ref="G2875:H2875"/>
    <mergeCell ref="K2875:L2875"/>
    <mergeCell ref="C2876:D2876"/>
    <mergeCell ref="K2876:L2876"/>
    <mergeCell ref="K2877:L2877"/>
    <mergeCell ref="G2879:H2879"/>
    <mergeCell ref="G2880:H2880"/>
    <mergeCell ref="C2877:D2877"/>
    <mergeCell ref="C2878:D2878"/>
    <mergeCell ref="G2878:H2878"/>
    <mergeCell ref="K2878:L2878"/>
    <mergeCell ref="C2879:D2879"/>
    <mergeCell ref="K2879:L2879"/>
    <mergeCell ref="K2880:L2880"/>
    <mergeCell ref="G2882:H2882"/>
    <mergeCell ref="G2883:H2883"/>
    <mergeCell ref="C2880:D2880"/>
    <mergeCell ref="C2881:D2881"/>
    <mergeCell ref="G2881:H2881"/>
    <mergeCell ref="K2881:L2881"/>
    <mergeCell ref="C2882:D2882"/>
    <mergeCell ref="K2882:L2882"/>
    <mergeCell ref="K2883:L2883"/>
    <mergeCell ref="C2859:D2859"/>
    <mergeCell ref="C2860:D2860"/>
    <mergeCell ref="G2860:H2860"/>
    <mergeCell ref="K2860:L2860"/>
    <mergeCell ref="C2861:D2861"/>
    <mergeCell ref="K2861:L2861"/>
    <mergeCell ref="K2862:L2862"/>
    <mergeCell ref="G2864:H2864"/>
    <mergeCell ref="G2865:H2865"/>
    <mergeCell ref="C2862:D2862"/>
    <mergeCell ref="C2863:D2863"/>
    <mergeCell ref="G2863:H2863"/>
    <mergeCell ref="K2863:L2863"/>
    <mergeCell ref="C2864:D2864"/>
    <mergeCell ref="K2864:L2864"/>
    <mergeCell ref="K2865:L2865"/>
    <mergeCell ref="G2867:H2867"/>
    <mergeCell ref="G2868:H2868"/>
    <mergeCell ref="C2865:D2865"/>
    <mergeCell ref="C2866:D2866"/>
    <mergeCell ref="G2866:H2866"/>
    <mergeCell ref="K2866:L2866"/>
    <mergeCell ref="C2867:D2867"/>
    <mergeCell ref="K2867:L2867"/>
    <mergeCell ref="K2868:L2868"/>
    <mergeCell ref="G2870:H2870"/>
    <mergeCell ref="G2871:H2871"/>
    <mergeCell ref="C2868:D2868"/>
    <mergeCell ref="C2869:D2869"/>
    <mergeCell ref="G2869:H2869"/>
    <mergeCell ref="K2869:L2869"/>
    <mergeCell ref="C2870:D2870"/>
    <mergeCell ref="K2870:L2870"/>
    <mergeCell ref="K2871:L2871"/>
    <mergeCell ref="G4448:H4448"/>
    <mergeCell ref="G4449:H4449"/>
    <mergeCell ref="C4446:D4446"/>
    <mergeCell ref="C4447:D4447"/>
    <mergeCell ref="G4447:H4447"/>
    <mergeCell ref="K4447:L4447"/>
    <mergeCell ref="C4448:D4448"/>
    <mergeCell ref="K4448:L4448"/>
    <mergeCell ref="K4449:L4449"/>
    <mergeCell ref="G4451:H4451"/>
    <mergeCell ref="G4452:H4452"/>
    <mergeCell ref="C4449:D4449"/>
    <mergeCell ref="C4450:D4450"/>
    <mergeCell ref="G4450:H4450"/>
    <mergeCell ref="K4450:L4450"/>
    <mergeCell ref="C4451:D4451"/>
    <mergeCell ref="K4451:L4451"/>
    <mergeCell ref="K4452:L4452"/>
    <mergeCell ref="G4454:H4454"/>
    <mergeCell ref="G4455:H4455"/>
    <mergeCell ref="C4452:D4452"/>
    <mergeCell ref="C4453:D4453"/>
    <mergeCell ref="G4453:H4453"/>
    <mergeCell ref="K4453:L4453"/>
    <mergeCell ref="C4454:D4454"/>
    <mergeCell ref="K4454:L4454"/>
    <mergeCell ref="K4455:L4455"/>
    <mergeCell ref="G2840:H2840"/>
    <mergeCell ref="G2841:H2841"/>
    <mergeCell ref="C2838:D2838"/>
    <mergeCell ref="C2839:D2839"/>
    <mergeCell ref="G2839:H2839"/>
    <mergeCell ref="K2839:L2839"/>
    <mergeCell ref="C2840:D2840"/>
    <mergeCell ref="K2840:L2840"/>
    <mergeCell ref="K2841:L2841"/>
    <mergeCell ref="G2843:H2843"/>
    <mergeCell ref="G2844:H2844"/>
    <mergeCell ref="C2841:D2841"/>
    <mergeCell ref="C2842:D2842"/>
    <mergeCell ref="G2842:H2842"/>
    <mergeCell ref="K2842:L2842"/>
    <mergeCell ref="C2843:D2843"/>
    <mergeCell ref="K2843:L2843"/>
    <mergeCell ref="K2844:L2844"/>
    <mergeCell ref="G2846:H2846"/>
    <mergeCell ref="G2847:H2847"/>
    <mergeCell ref="C2844:D2844"/>
    <mergeCell ref="C2845:D2845"/>
    <mergeCell ref="G2845:H2845"/>
    <mergeCell ref="K2845:L2845"/>
    <mergeCell ref="C2846:D2846"/>
    <mergeCell ref="K2846:L2846"/>
    <mergeCell ref="K2847:L2847"/>
    <mergeCell ref="G2849:H2849"/>
    <mergeCell ref="G2850:H2850"/>
    <mergeCell ref="C2847:D2847"/>
    <mergeCell ref="C2848:D2848"/>
    <mergeCell ref="G2848:H2848"/>
    <mergeCell ref="K2848:L2848"/>
    <mergeCell ref="C2849:D2849"/>
    <mergeCell ref="K2849:L2849"/>
    <mergeCell ref="K2850:L2850"/>
    <mergeCell ref="G2852:H2852"/>
    <mergeCell ref="G4436:H4436"/>
    <mergeCell ref="G4437:H4437"/>
    <mergeCell ref="C4434:D4434"/>
    <mergeCell ref="C4435:D4435"/>
    <mergeCell ref="G4435:H4435"/>
    <mergeCell ref="K4435:L4435"/>
    <mergeCell ref="C4436:D4436"/>
    <mergeCell ref="K4436:L4436"/>
    <mergeCell ref="K4437:L4437"/>
    <mergeCell ref="G4439:H4439"/>
    <mergeCell ref="G4440:H4440"/>
    <mergeCell ref="C4437:D4437"/>
    <mergeCell ref="C4438:D4438"/>
    <mergeCell ref="G4438:H4438"/>
    <mergeCell ref="K4438:L4438"/>
    <mergeCell ref="C4439:D4439"/>
    <mergeCell ref="K4439:L4439"/>
    <mergeCell ref="K4440:L4440"/>
    <mergeCell ref="G4442:H4442"/>
    <mergeCell ref="G4443:H4443"/>
    <mergeCell ref="C4440:D4440"/>
    <mergeCell ref="C4441:D4441"/>
    <mergeCell ref="G4441:H4441"/>
    <mergeCell ref="K4441:L4441"/>
    <mergeCell ref="C4442:D4442"/>
    <mergeCell ref="K4442:L4442"/>
    <mergeCell ref="K4443:L4443"/>
    <mergeCell ref="G4445:H4445"/>
    <mergeCell ref="G4446:H4446"/>
    <mergeCell ref="C4443:D4443"/>
    <mergeCell ref="C4444:D4444"/>
    <mergeCell ref="G4444:H4444"/>
    <mergeCell ref="K4444:L4444"/>
    <mergeCell ref="C4445:D4445"/>
    <mergeCell ref="K4445:L4445"/>
    <mergeCell ref="K4446:L4446"/>
    <mergeCell ref="G4424:H4424"/>
    <mergeCell ref="G4425:H4425"/>
    <mergeCell ref="C4422:D4422"/>
    <mergeCell ref="C4423:D4423"/>
    <mergeCell ref="G4423:H4423"/>
    <mergeCell ref="K4423:L4423"/>
    <mergeCell ref="C4424:D4424"/>
    <mergeCell ref="K4424:L4424"/>
    <mergeCell ref="K4425:L4425"/>
    <mergeCell ref="G4427:H4427"/>
    <mergeCell ref="G4428:H4428"/>
    <mergeCell ref="C4425:D4425"/>
    <mergeCell ref="C4426:D4426"/>
    <mergeCell ref="G4426:H4426"/>
    <mergeCell ref="K4426:L4426"/>
    <mergeCell ref="C4427:D4427"/>
    <mergeCell ref="K4427:L4427"/>
    <mergeCell ref="K4428:L4428"/>
    <mergeCell ref="G4430:H4430"/>
    <mergeCell ref="G4431:H4431"/>
    <mergeCell ref="C4428:D4428"/>
    <mergeCell ref="C4429:D4429"/>
    <mergeCell ref="G4429:H4429"/>
    <mergeCell ref="K4429:L4429"/>
    <mergeCell ref="C4430:D4430"/>
    <mergeCell ref="K4430:L4430"/>
    <mergeCell ref="K4431:L4431"/>
    <mergeCell ref="G4433:H4433"/>
    <mergeCell ref="G4434:H4434"/>
    <mergeCell ref="C4431:D4431"/>
    <mergeCell ref="C4432:D4432"/>
    <mergeCell ref="G4432:H4432"/>
    <mergeCell ref="K4432:L4432"/>
    <mergeCell ref="C4433:D4433"/>
    <mergeCell ref="K4433:L4433"/>
    <mergeCell ref="K4434:L4434"/>
    <mergeCell ref="G4412:H4412"/>
    <mergeCell ref="G4413:H4413"/>
    <mergeCell ref="C4410:D4410"/>
    <mergeCell ref="C4411:D4411"/>
    <mergeCell ref="G4411:H4411"/>
    <mergeCell ref="K4411:L4411"/>
    <mergeCell ref="C4412:D4412"/>
    <mergeCell ref="K4412:L4412"/>
    <mergeCell ref="K4413:L4413"/>
    <mergeCell ref="G4415:H4415"/>
    <mergeCell ref="G4416:H4416"/>
    <mergeCell ref="C4413:D4413"/>
    <mergeCell ref="C4414:D4414"/>
    <mergeCell ref="G4414:H4414"/>
    <mergeCell ref="K4414:L4414"/>
    <mergeCell ref="C4415:D4415"/>
    <mergeCell ref="K4415:L4415"/>
    <mergeCell ref="K4416:L4416"/>
    <mergeCell ref="G4418:H4418"/>
    <mergeCell ref="G4419:H4419"/>
    <mergeCell ref="C4416:D4416"/>
    <mergeCell ref="C4417:D4417"/>
    <mergeCell ref="G4417:H4417"/>
    <mergeCell ref="K4417:L4417"/>
    <mergeCell ref="C4418:D4418"/>
    <mergeCell ref="K4418:L4418"/>
    <mergeCell ref="K4419:L4419"/>
    <mergeCell ref="G4421:H4421"/>
    <mergeCell ref="G4422:H4422"/>
    <mergeCell ref="C4419:D4419"/>
    <mergeCell ref="C4420:D4420"/>
    <mergeCell ref="G4420:H4420"/>
    <mergeCell ref="K4420:L4420"/>
    <mergeCell ref="C4421:D4421"/>
    <mergeCell ref="K4421:L4421"/>
    <mergeCell ref="K4422:L4422"/>
    <mergeCell ref="G4400:H4400"/>
    <mergeCell ref="G4401:H4401"/>
    <mergeCell ref="C4398:D4398"/>
    <mergeCell ref="C4399:D4399"/>
    <mergeCell ref="G4399:H4399"/>
    <mergeCell ref="K4399:L4399"/>
    <mergeCell ref="C4400:D4400"/>
    <mergeCell ref="K4400:L4400"/>
    <mergeCell ref="K4401:L4401"/>
    <mergeCell ref="G4403:H4403"/>
    <mergeCell ref="G4404:H4404"/>
    <mergeCell ref="C4401:D4401"/>
    <mergeCell ref="C4402:D4402"/>
    <mergeCell ref="G4402:H4402"/>
    <mergeCell ref="K4402:L4402"/>
    <mergeCell ref="C4403:D4403"/>
    <mergeCell ref="K4403:L4403"/>
    <mergeCell ref="K4404:L4404"/>
    <mergeCell ref="G4406:H4406"/>
    <mergeCell ref="G4407:H4407"/>
    <mergeCell ref="C4404:D4404"/>
    <mergeCell ref="C4405:D4405"/>
    <mergeCell ref="G4405:H4405"/>
    <mergeCell ref="K4405:L4405"/>
    <mergeCell ref="C4406:D4406"/>
    <mergeCell ref="K4406:L4406"/>
    <mergeCell ref="K4407:L4407"/>
    <mergeCell ref="G4409:H4409"/>
    <mergeCell ref="G4410:H4410"/>
    <mergeCell ref="C4407:D4407"/>
    <mergeCell ref="C4408:D4408"/>
    <mergeCell ref="G4408:H4408"/>
    <mergeCell ref="K4408:L4408"/>
    <mergeCell ref="C4409:D4409"/>
    <mergeCell ref="K4409:L4409"/>
    <mergeCell ref="K4410:L4410"/>
    <mergeCell ref="G4388:H4388"/>
    <mergeCell ref="G4389:H4389"/>
    <mergeCell ref="C4386:D4386"/>
    <mergeCell ref="C4387:D4387"/>
    <mergeCell ref="G4387:H4387"/>
    <mergeCell ref="K4387:L4387"/>
    <mergeCell ref="C4388:D4388"/>
    <mergeCell ref="K4388:L4388"/>
    <mergeCell ref="K4389:L4389"/>
    <mergeCell ref="G4391:H4391"/>
    <mergeCell ref="G4392:H4392"/>
    <mergeCell ref="C4389:D4389"/>
    <mergeCell ref="C4390:D4390"/>
    <mergeCell ref="G4390:H4390"/>
    <mergeCell ref="K4390:L4390"/>
    <mergeCell ref="C4391:D4391"/>
    <mergeCell ref="K4391:L4391"/>
    <mergeCell ref="K4392:L4392"/>
    <mergeCell ref="G4394:H4394"/>
    <mergeCell ref="G4395:H4395"/>
    <mergeCell ref="C4392:D4392"/>
    <mergeCell ref="C4393:D4393"/>
    <mergeCell ref="G4393:H4393"/>
    <mergeCell ref="K4393:L4393"/>
    <mergeCell ref="C4394:D4394"/>
    <mergeCell ref="K4394:L4394"/>
    <mergeCell ref="K4395:L4395"/>
    <mergeCell ref="G4397:H4397"/>
    <mergeCell ref="G4398:H4398"/>
    <mergeCell ref="C4395:D4395"/>
    <mergeCell ref="C4396:D4396"/>
    <mergeCell ref="G4396:H4396"/>
    <mergeCell ref="K4396:L4396"/>
    <mergeCell ref="C4397:D4397"/>
    <mergeCell ref="K4397:L4397"/>
    <mergeCell ref="K4398:L4398"/>
    <mergeCell ref="G4376:H4376"/>
    <mergeCell ref="G4377:H4377"/>
    <mergeCell ref="C4374:D4374"/>
    <mergeCell ref="C4375:D4375"/>
    <mergeCell ref="G4375:H4375"/>
    <mergeCell ref="K4375:L4375"/>
    <mergeCell ref="C4376:D4376"/>
    <mergeCell ref="K4376:L4376"/>
    <mergeCell ref="K4377:L4377"/>
    <mergeCell ref="G4379:H4379"/>
    <mergeCell ref="G4380:H4380"/>
    <mergeCell ref="C4377:D4377"/>
    <mergeCell ref="C4378:D4378"/>
    <mergeCell ref="G4378:H4378"/>
    <mergeCell ref="K4378:L4378"/>
    <mergeCell ref="C4379:D4379"/>
    <mergeCell ref="K4379:L4379"/>
    <mergeCell ref="K4380:L4380"/>
    <mergeCell ref="G4382:H4382"/>
    <mergeCell ref="G4383:H4383"/>
    <mergeCell ref="C4380:D4380"/>
    <mergeCell ref="C4381:D4381"/>
    <mergeCell ref="G4381:H4381"/>
    <mergeCell ref="K4381:L4381"/>
    <mergeCell ref="C4382:D4382"/>
    <mergeCell ref="K4382:L4382"/>
    <mergeCell ref="K4383:L4383"/>
    <mergeCell ref="G4385:H4385"/>
    <mergeCell ref="G4386:H4386"/>
    <mergeCell ref="C4383:D4383"/>
    <mergeCell ref="C4384:D4384"/>
    <mergeCell ref="G4384:H4384"/>
    <mergeCell ref="K4384:L4384"/>
    <mergeCell ref="C4385:D4385"/>
    <mergeCell ref="K4385:L4385"/>
    <mergeCell ref="K4386:L4386"/>
    <mergeCell ref="G4364:H4364"/>
    <mergeCell ref="G4365:H4365"/>
    <mergeCell ref="C4362:D4362"/>
    <mergeCell ref="C4363:D4363"/>
    <mergeCell ref="G4363:H4363"/>
    <mergeCell ref="K4363:L4363"/>
    <mergeCell ref="C4364:D4364"/>
    <mergeCell ref="K4364:L4364"/>
    <mergeCell ref="K4365:L4365"/>
    <mergeCell ref="G4367:H4367"/>
    <mergeCell ref="G4368:H4368"/>
    <mergeCell ref="C4365:D4365"/>
    <mergeCell ref="C4366:D4366"/>
    <mergeCell ref="G4366:H4366"/>
    <mergeCell ref="K4366:L4366"/>
    <mergeCell ref="C4367:D4367"/>
    <mergeCell ref="K4367:L4367"/>
    <mergeCell ref="K4368:L4368"/>
    <mergeCell ref="G4370:H4370"/>
    <mergeCell ref="G4371:H4371"/>
    <mergeCell ref="C4368:D4368"/>
    <mergeCell ref="C4369:D4369"/>
    <mergeCell ref="G4369:H4369"/>
    <mergeCell ref="K4369:L4369"/>
    <mergeCell ref="C4370:D4370"/>
    <mergeCell ref="K4370:L4370"/>
    <mergeCell ref="K4371:L4371"/>
    <mergeCell ref="G4373:H4373"/>
    <mergeCell ref="G4374:H4374"/>
    <mergeCell ref="C4371:D4371"/>
    <mergeCell ref="C4372:D4372"/>
    <mergeCell ref="G4372:H4372"/>
    <mergeCell ref="K4372:L4372"/>
    <mergeCell ref="C4373:D4373"/>
    <mergeCell ref="K4373:L4373"/>
    <mergeCell ref="K4374:L4374"/>
    <mergeCell ref="G4352:H4352"/>
    <mergeCell ref="G4353:H4353"/>
    <mergeCell ref="C4350:D4350"/>
    <mergeCell ref="C4351:D4351"/>
    <mergeCell ref="G4351:H4351"/>
    <mergeCell ref="K4351:L4351"/>
    <mergeCell ref="C4352:D4352"/>
    <mergeCell ref="K4352:L4352"/>
    <mergeCell ref="K4353:L4353"/>
    <mergeCell ref="G4355:H4355"/>
    <mergeCell ref="G4356:H4356"/>
    <mergeCell ref="C4353:D4353"/>
    <mergeCell ref="C4354:D4354"/>
    <mergeCell ref="G4354:H4354"/>
    <mergeCell ref="K4354:L4354"/>
    <mergeCell ref="C4355:D4355"/>
    <mergeCell ref="K4355:L4355"/>
    <mergeCell ref="K4356:L4356"/>
    <mergeCell ref="G4358:H4358"/>
    <mergeCell ref="G4359:H4359"/>
    <mergeCell ref="C4356:D4356"/>
    <mergeCell ref="C4357:D4357"/>
    <mergeCell ref="G4357:H4357"/>
    <mergeCell ref="K4357:L4357"/>
    <mergeCell ref="C4358:D4358"/>
    <mergeCell ref="K4358:L4358"/>
    <mergeCell ref="K4359:L4359"/>
    <mergeCell ref="G4361:H4361"/>
    <mergeCell ref="G4362:H4362"/>
    <mergeCell ref="C4359:D4359"/>
    <mergeCell ref="C4360:D4360"/>
    <mergeCell ref="G4360:H4360"/>
    <mergeCell ref="K4360:L4360"/>
    <mergeCell ref="C4361:D4361"/>
    <mergeCell ref="K4361:L4361"/>
    <mergeCell ref="K4362:L4362"/>
    <mergeCell ref="G4340:H4340"/>
    <mergeCell ref="G4341:H4341"/>
    <mergeCell ref="C4338:D4338"/>
    <mergeCell ref="C4339:D4339"/>
    <mergeCell ref="G4339:H4339"/>
    <mergeCell ref="K4339:L4339"/>
    <mergeCell ref="C4340:D4340"/>
    <mergeCell ref="K4340:L4340"/>
    <mergeCell ref="K4341:L4341"/>
    <mergeCell ref="G4343:H4343"/>
    <mergeCell ref="G4344:H4344"/>
    <mergeCell ref="C4341:D4341"/>
    <mergeCell ref="C4342:D4342"/>
    <mergeCell ref="G4342:H4342"/>
    <mergeCell ref="K4342:L4342"/>
    <mergeCell ref="C4343:D4343"/>
    <mergeCell ref="K4343:L4343"/>
    <mergeCell ref="K4344:L4344"/>
    <mergeCell ref="G4346:H4346"/>
    <mergeCell ref="G4347:H4347"/>
    <mergeCell ref="C4344:D4344"/>
    <mergeCell ref="C4345:D4345"/>
    <mergeCell ref="G4345:H4345"/>
    <mergeCell ref="K4345:L4345"/>
    <mergeCell ref="C4346:D4346"/>
    <mergeCell ref="K4346:L4346"/>
    <mergeCell ref="K4347:L4347"/>
    <mergeCell ref="G4349:H4349"/>
    <mergeCell ref="G4350:H4350"/>
    <mergeCell ref="C4347:D4347"/>
    <mergeCell ref="C4348:D4348"/>
    <mergeCell ref="G4348:H4348"/>
    <mergeCell ref="K4348:L4348"/>
    <mergeCell ref="C4349:D4349"/>
    <mergeCell ref="K4349:L4349"/>
    <mergeCell ref="K4350:L4350"/>
    <mergeCell ref="K4496:L4496"/>
    <mergeCell ref="K4497:L4497"/>
    <mergeCell ref="G4310:H4310"/>
    <mergeCell ref="G4311:H4311"/>
    <mergeCell ref="C4308:D4308"/>
    <mergeCell ref="C4309:D4309"/>
    <mergeCell ref="G4309:H4309"/>
    <mergeCell ref="K4309:L4309"/>
    <mergeCell ref="C4310:D4310"/>
    <mergeCell ref="K4310:L4310"/>
    <mergeCell ref="K4311:L4311"/>
    <mergeCell ref="G4313:H4313"/>
    <mergeCell ref="G4314:H4314"/>
    <mergeCell ref="C4311:D4311"/>
    <mergeCell ref="C4312:D4312"/>
    <mergeCell ref="G4312:H4312"/>
    <mergeCell ref="K4312:L4312"/>
    <mergeCell ref="C4313:D4313"/>
    <mergeCell ref="K4313:L4313"/>
    <mergeCell ref="K4314:L4314"/>
    <mergeCell ref="G4316:H4316"/>
    <mergeCell ref="G4317:H4317"/>
    <mergeCell ref="C4314:D4314"/>
    <mergeCell ref="C4315:D4315"/>
    <mergeCell ref="G4315:H4315"/>
    <mergeCell ref="K4315:L4315"/>
    <mergeCell ref="C4316:D4316"/>
    <mergeCell ref="K4316:L4316"/>
    <mergeCell ref="K4317:L4317"/>
    <mergeCell ref="G4319:H4319"/>
    <mergeCell ref="G4320:H4320"/>
    <mergeCell ref="C4317:D4317"/>
    <mergeCell ref="C4318:D4318"/>
    <mergeCell ref="G4318:H4318"/>
    <mergeCell ref="K4318:L4318"/>
    <mergeCell ref="C4319:D4319"/>
    <mergeCell ref="K4319:L4319"/>
    <mergeCell ref="K4320:L4320"/>
    <mergeCell ref="G4322:H4322"/>
    <mergeCell ref="G4323:H4323"/>
    <mergeCell ref="C4320:D4320"/>
    <mergeCell ref="C4321:D4321"/>
    <mergeCell ref="G4321:H4321"/>
    <mergeCell ref="K4321:L4321"/>
    <mergeCell ref="C4322:D4322"/>
    <mergeCell ref="K4322:L4322"/>
    <mergeCell ref="K4323:L4323"/>
    <mergeCell ref="G4325:H4325"/>
    <mergeCell ref="G4326:H4326"/>
    <mergeCell ref="C4323:D4323"/>
    <mergeCell ref="C4324:D4324"/>
    <mergeCell ref="G4324:H4324"/>
    <mergeCell ref="K4324:L4324"/>
    <mergeCell ref="C4325:D4325"/>
    <mergeCell ref="K4325:L4325"/>
    <mergeCell ref="K4326:L4326"/>
    <mergeCell ref="G4328:H4328"/>
    <mergeCell ref="G4329:H4329"/>
    <mergeCell ref="C4326:D4326"/>
    <mergeCell ref="C4327:D4327"/>
    <mergeCell ref="G4327:H4327"/>
    <mergeCell ref="K4327:L4327"/>
    <mergeCell ref="C4328:D4328"/>
    <mergeCell ref="K4328:L4328"/>
    <mergeCell ref="C4516:D4516"/>
    <mergeCell ref="G4516:H4516"/>
    <mergeCell ref="K4516:L4516"/>
    <mergeCell ref="C4517:D4517"/>
    <mergeCell ref="G4517:H4517"/>
    <mergeCell ref="K4517:L4517"/>
    <mergeCell ref="G4478:H4478"/>
    <mergeCell ref="G4479:H4479"/>
    <mergeCell ref="C4476:D4476"/>
    <mergeCell ref="C4477:D4477"/>
    <mergeCell ref="G4477:H4477"/>
    <mergeCell ref="K4477:L4477"/>
    <mergeCell ref="C4478:D4478"/>
    <mergeCell ref="K4478:L4478"/>
    <mergeCell ref="K4479:L4479"/>
    <mergeCell ref="G4481:H4481"/>
    <mergeCell ref="G4482:H4482"/>
    <mergeCell ref="C4479:D4479"/>
    <mergeCell ref="C4480:D4480"/>
    <mergeCell ref="G4480:H4480"/>
    <mergeCell ref="K4480:L4480"/>
    <mergeCell ref="C4481:D4481"/>
    <mergeCell ref="K4481:L4481"/>
    <mergeCell ref="K4482:L4482"/>
    <mergeCell ref="G4484:H4484"/>
    <mergeCell ref="G4485:H4485"/>
    <mergeCell ref="C4482:D4482"/>
    <mergeCell ref="C4483:D4483"/>
    <mergeCell ref="G4483:H4483"/>
    <mergeCell ref="K4483:L4483"/>
    <mergeCell ref="C4484:D4484"/>
    <mergeCell ref="K4484:L4484"/>
    <mergeCell ref="K4485:L4485"/>
    <mergeCell ref="G4487:H4487"/>
    <mergeCell ref="G4488:H4488"/>
    <mergeCell ref="C4485:D4485"/>
    <mergeCell ref="C4486:D4486"/>
    <mergeCell ref="G4486:H4486"/>
    <mergeCell ref="K4486:L4486"/>
    <mergeCell ref="C4487:D4487"/>
    <mergeCell ref="K4487:L4487"/>
    <mergeCell ref="K4488:L4488"/>
    <mergeCell ref="G4490:H4490"/>
    <mergeCell ref="G4491:H4491"/>
    <mergeCell ref="C4488:D4488"/>
    <mergeCell ref="C4489:D4489"/>
    <mergeCell ref="G4489:H4489"/>
    <mergeCell ref="K4489:L4489"/>
    <mergeCell ref="C4490:D4490"/>
    <mergeCell ref="K4490:L4490"/>
    <mergeCell ref="K4491:L4491"/>
    <mergeCell ref="G4493:H4493"/>
    <mergeCell ref="G4494:H4494"/>
    <mergeCell ref="C4491:D4491"/>
    <mergeCell ref="C4492:D4492"/>
    <mergeCell ref="G4492:H4492"/>
    <mergeCell ref="K4492:L4492"/>
    <mergeCell ref="C4493:D4493"/>
    <mergeCell ref="K4493:L4493"/>
    <mergeCell ref="K4494:L4494"/>
    <mergeCell ref="G4496:H4496"/>
    <mergeCell ref="G4497:H4497"/>
    <mergeCell ref="C4494:D4494"/>
    <mergeCell ref="C4495:D4495"/>
    <mergeCell ref="G4511:H4511"/>
    <mergeCell ref="G4512:H4512"/>
    <mergeCell ref="C4509:D4509"/>
    <mergeCell ref="C4510:D4510"/>
    <mergeCell ref="G4510:H4510"/>
    <mergeCell ref="K4510:L4510"/>
    <mergeCell ref="C4511:D4511"/>
    <mergeCell ref="K4511:L4511"/>
    <mergeCell ref="K4512:L4512"/>
    <mergeCell ref="G4514:H4514"/>
    <mergeCell ref="G4515:H4515"/>
    <mergeCell ref="C4512:D4512"/>
    <mergeCell ref="C4513:D4513"/>
    <mergeCell ref="G4513:H4513"/>
    <mergeCell ref="K4513:L4513"/>
    <mergeCell ref="C4514:D4514"/>
    <mergeCell ref="K4514:L4514"/>
    <mergeCell ref="K4515:L4515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53:L153"/>
    <mergeCell ref="C154:D154"/>
    <mergeCell ref="G154:H154"/>
    <mergeCell ref="K154:L154"/>
    <mergeCell ref="G155:H155"/>
    <mergeCell ref="K155:L155"/>
    <mergeCell ref="C155:D155"/>
    <mergeCell ref="C156:D156"/>
    <mergeCell ref="G156:H156"/>
    <mergeCell ref="K156:L156"/>
    <mergeCell ref="C157:D157"/>
    <mergeCell ref="K157:L157"/>
    <mergeCell ref="K158:L158"/>
    <mergeCell ref="G157:H157"/>
    <mergeCell ref="G158:H158"/>
    <mergeCell ref="G159:H159"/>
    <mergeCell ref="G160:H160"/>
    <mergeCell ref="G161:H161"/>
    <mergeCell ref="G162:H162"/>
    <mergeCell ref="G163:H163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4515:D4515"/>
    <mergeCell ref="G4495:H4495"/>
    <mergeCell ref="K4495:L4495"/>
    <mergeCell ref="C4496:D4496"/>
    <mergeCell ref="G4499:H4499"/>
    <mergeCell ref="G4500:H4500"/>
    <mergeCell ref="C4497:D4497"/>
    <mergeCell ref="C4498:D4498"/>
    <mergeCell ref="G4498:H4498"/>
    <mergeCell ref="K4498:L4498"/>
    <mergeCell ref="C4499:D4499"/>
    <mergeCell ref="K4499:L4499"/>
    <mergeCell ref="K4500:L4500"/>
    <mergeCell ref="G4502:H4502"/>
    <mergeCell ref="G4503:H4503"/>
    <mergeCell ref="C4500:D4500"/>
    <mergeCell ref="C4501:D4501"/>
    <mergeCell ref="G4501:H4501"/>
    <mergeCell ref="K4501:L4501"/>
    <mergeCell ref="C4502:D4502"/>
    <mergeCell ref="K4502:L4502"/>
    <mergeCell ref="K4503:L4503"/>
    <mergeCell ref="G4505:H4505"/>
    <mergeCell ref="G4506:H4506"/>
    <mergeCell ref="C4503:D4503"/>
    <mergeCell ref="C4504:D4504"/>
    <mergeCell ref="G4504:H4504"/>
    <mergeCell ref="K4504:L4504"/>
    <mergeCell ref="C4505:D4505"/>
    <mergeCell ref="K4505:L4505"/>
    <mergeCell ref="K4506:L4506"/>
    <mergeCell ref="G4508:H4508"/>
    <mergeCell ref="G4509:H4509"/>
    <mergeCell ref="C4506:D4506"/>
    <mergeCell ref="C4507:D4507"/>
    <mergeCell ref="G4507:H4507"/>
    <mergeCell ref="K4507:L4507"/>
    <mergeCell ref="C4508:D4508"/>
    <mergeCell ref="K4508:L4508"/>
    <mergeCell ref="K4509:L4509"/>
    <mergeCell ref="G4469:H4469"/>
    <mergeCell ref="G4470:H4470"/>
    <mergeCell ref="C4467:D4467"/>
    <mergeCell ref="C4468:D4468"/>
    <mergeCell ref="G4468:H4468"/>
    <mergeCell ref="K4468:L4468"/>
    <mergeCell ref="C4469:D4469"/>
    <mergeCell ref="K4469:L4469"/>
    <mergeCell ref="K4470:L4470"/>
    <mergeCell ref="G4472:H4472"/>
    <mergeCell ref="G4473:H4473"/>
    <mergeCell ref="C4470:D4470"/>
    <mergeCell ref="C4471:D4471"/>
    <mergeCell ref="G4471:H4471"/>
    <mergeCell ref="K4471:L4471"/>
    <mergeCell ref="C4472:D4472"/>
    <mergeCell ref="K4472:L4472"/>
    <mergeCell ref="K4473:L4473"/>
    <mergeCell ref="G4475:H4475"/>
    <mergeCell ref="G4476:H4476"/>
    <mergeCell ref="C4473:D4473"/>
    <mergeCell ref="C4474:D4474"/>
    <mergeCell ref="G4474:H4474"/>
    <mergeCell ref="K4474:L4474"/>
    <mergeCell ref="C4475:D4475"/>
    <mergeCell ref="K4475:L4475"/>
    <mergeCell ref="K4476:L4476"/>
    <mergeCell ref="G176:H176"/>
    <mergeCell ref="G177:H177"/>
    <mergeCell ref="C172:D172"/>
    <mergeCell ref="C173:D173"/>
    <mergeCell ref="C174:D174"/>
    <mergeCell ref="C175:D175"/>
    <mergeCell ref="C176:D176"/>
    <mergeCell ref="K176:L176"/>
    <mergeCell ref="K177:L177"/>
    <mergeCell ref="K4329:L4329"/>
    <mergeCell ref="G4331:H4331"/>
    <mergeCell ref="G4332:H4332"/>
    <mergeCell ref="C4329:D4329"/>
    <mergeCell ref="C4330:D4330"/>
    <mergeCell ref="G4330:H4330"/>
    <mergeCell ref="K4330:L4330"/>
    <mergeCell ref="C4331:D4331"/>
    <mergeCell ref="K4331:L4331"/>
    <mergeCell ref="K4332:L4332"/>
    <mergeCell ref="G4334:H4334"/>
    <mergeCell ref="G4335:H4335"/>
    <mergeCell ref="C4332:D4332"/>
    <mergeCell ref="C4333:D4333"/>
    <mergeCell ref="G4333:H4333"/>
    <mergeCell ref="K4333:L4333"/>
    <mergeCell ref="C4334:D4334"/>
    <mergeCell ref="K4334:L4334"/>
    <mergeCell ref="K4335:L4335"/>
    <mergeCell ref="G4337:H4337"/>
    <mergeCell ref="G4338:H4338"/>
    <mergeCell ref="C4335:D4335"/>
    <mergeCell ref="C4336:D4336"/>
    <mergeCell ref="G4336:H4336"/>
    <mergeCell ref="K4336:L4336"/>
    <mergeCell ref="C4337:D4337"/>
    <mergeCell ref="K4337:L4337"/>
    <mergeCell ref="K4338:L4338"/>
    <mergeCell ref="G4457:H4457"/>
    <mergeCell ref="G4458:H4458"/>
    <mergeCell ref="C4455:D4455"/>
    <mergeCell ref="C4456:D4456"/>
    <mergeCell ref="G4456:H4456"/>
    <mergeCell ref="K4456:L4456"/>
    <mergeCell ref="C4457:D4457"/>
    <mergeCell ref="K4457:L4457"/>
    <mergeCell ref="K4458:L4458"/>
    <mergeCell ref="G4460:H4460"/>
    <mergeCell ref="G4461:H4461"/>
    <mergeCell ref="C4458:D4458"/>
    <mergeCell ref="C4459:D4459"/>
    <mergeCell ref="G4459:H4459"/>
    <mergeCell ref="K4459:L4459"/>
    <mergeCell ref="C4460:D4460"/>
    <mergeCell ref="K4460:L4460"/>
    <mergeCell ref="K4461:L4461"/>
    <mergeCell ref="G4463:H4463"/>
    <mergeCell ref="G4464:H4464"/>
    <mergeCell ref="C4461:D4461"/>
    <mergeCell ref="C4462:D4462"/>
    <mergeCell ref="G4462:H4462"/>
    <mergeCell ref="K4462:L4462"/>
    <mergeCell ref="C4463:D4463"/>
    <mergeCell ref="K4463:L4463"/>
    <mergeCell ref="K4464:L4464"/>
    <mergeCell ref="G4466:H4466"/>
    <mergeCell ref="G4467:H4467"/>
    <mergeCell ref="C4464:D4464"/>
    <mergeCell ref="C4465:D4465"/>
    <mergeCell ref="G4465:H4465"/>
    <mergeCell ref="K4465:L4465"/>
    <mergeCell ref="C4466:D4466"/>
    <mergeCell ref="K4466:L4466"/>
    <mergeCell ref="K4467:L4467"/>
    <mergeCell ref="G4298:H4298"/>
    <mergeCell ref="G4299:H4299"/>
    <mergeCell ref="C4296:D4296"/>
    <mergeCell ref="C4297:D4297"/>
    <mergeCell ref="G4297:H4297"/>
    <mergeCell ref="K4297:L4297"/>
    <mergeCell ref="C4298:D4298"/>
    <mergeCell ref="K4298:L4298"/>
    <mergeCell ref="K4299:L4299"/>
    <mergeCell ref="G4301:H4301"/>
    <mergeCell ref="G4302:H4302"/>
    <mergeCell ref="C4299:D4299"/>
    <mergeCell ref="C4300:D4300"/>
    <mergeCell ref="G4300:H4300"/>
    <mergeCell ref="K4300:L4300"/>
    <mergeCell ref="C4301:D4301"/>
    <mergeCell ref="K4301:L4301"/>
    <mergeCell ref="K4302:L4302"/>
    <mergeCell ref="G4304:H4304"/>
    <mergeCell ref="G4305:H4305"/>
    <mergeCell ref="C4302:D4302"/>
    <mergeCell ref="C4303:D4303"/>
    <mergeCell ref="G4303:H4303"/>
    <mergeCell ref="K4303:L4303"/>
    <mergeCell ref="C4304:D4304"/>
    <mergeCell ref="K4304:L4304"/>
    <mergeCell ref="K4305:L4305"/>
    <mergeCell ref="G4307:H4307"/>
    <mergeCell ref="G4308:H4308"/>
    <mergeCell ref="C4305:D4305"/>
    <mergeCell ref="C4306:D4306"/>
    <mergeCell ref="G4306:H4306"/>
    <mergeCell ref="K4306:L4306"/>
    <mergeCell ref="C4307:D4307"/>
    <mergeCell ref="K4307:L4307"/>
    <mergeCell ref="K4308:L4308"/>
    <mergeCell ref="G4286:H4286"/>
    <mergeCell ref="G4287:H4287"/>
    <mergeCell ref="C4284:D4284"/>
    <mergeCell ref="C4285:D4285"/>
    <mergeCell ref="G4285:H4285"/>
    <mergeCell ref="K4285:L4285"/>
    <mergeCell ref="C4286:D4286"/>
    <mergeCell ref="K4286:L4286"/>
    <mergeCell ref="K4287:L4287"/>
    <mergeCell ref="G4289:H4289"/>
    <mergeCell ref="G4290:H4290"/>
    <mergeCell ref="C4287:D4287"/>
    <mergeCell ref="C4288:D4288"/>
    <mergeCell ref="G4288:H4288"/>
    <mergeCell ref="K4288:L4288"/>
    <mergeCell ref="C4289:D4289"/>
    <mergeCell ref="K4289:L4289"/>
    <mergeCell ref="K4290:L4290"/>
    <mergeCell ref="G4292:H4292"/>
    <mergeCell ref="G4293:H4293"/>
    <mergeCell ref="C4290:D4290"/>
    <mergeCell ref="C4291:D4291"/>
    <mergeCell ref="G4291:H4291"/>
    <mergeCell ref="K4291:L4291"/>
    <mergeCell ref="C4292:D4292"/>
    <mergeCell ref="K4292:L4292"/>
    <mergeCell ref="K4293:L4293"/>
    <mergeCell ref="G4295:H4295"/>
    <mergeCell ref="G4296:H4296"/>
    <mergeCell ref="C4293:D4293"/>
    <mergeCell ref="C4294:D4294"/>
    <mergeCell ref="G4294:H4294"/>
    <mergeCell ref="K4294:L4294"/>
    <mergeCell ref="C4295:D4295"/>
    <mergeCell ref="K4295:L4295"/>
    <mergeCell ref="K4296:L4296"/>
    <mergeCell ref="G4274:H4274"/>
    <mergeCell ref="G4275:H4275"/>
    <mergeCell ref="C4272:D4272"/>
    <mergeCell ref="C4273:D4273"/>
    <mergeCell ref="G4273:H4273"/>
    <mergeCell ref="K4273:L4273"/>
    <mergeCell ref="C4274:D4274"/>
    <mergeCell ref="K4274:L4274"/>
    <mergeCell ref="K4275:L4275"/>
    <mergeCell ref="G4277:H4277"/>
    <mergeCell ref="G4278:H4278"/>
    <mergeCell ref="C4275:D4275"/>
    <mergeCell ref="C4276:D4276"/>
    <mergeCell ref="G4276:H4276"/>
    <mergeCell ref="K4276:L4276"/>
    <mergeCell ref="C4277:D4277"/>
    <mergeCell ref="K4277:L4277"/>
    <mergeCell ref="K4278:L4278"/>
    <mergeCell ref="G4280:H4280"/>
    <mergeCell ref="G4281:H4281"/>
    <mergeCell ref="C4278:D4278"/>
    <mergeCell ref="C4279:D4279"/>
    <mergeCell ref="G4279:H4279"/>
    <mergeCell ref="K4279:L4279"/>
    <mergeCell ref="C4280:D4280"/>
    <mergeCell ref="K4280:L4280"/>
    <mergeCell ref="K4281:L4281"/>
    <mergeCell ref="G4283:H4283"/>
    <mergeCell ref="G4284:H4284"/>
    <mergeCell ref="C4281:D4281"/>
    <mergeCell ref="C4282:D4282"/>
    <mergeCell ref="G4282:H4282"/>
    <mergeCell ref="K4282:L4282"/>
    <mergeCell ref="C4283:D4283"/>
    <mergeCell ref="K4283:L4283"/>
    <mergeCell ref="K4284:L4284"/>
    <mergeCell ref="G4262:H4262"/>
    <mergeCell ref="G4263:H4263"/>
    <mergeCell ref="C4260:D4260"/>
    <mergeCell ref="C4261:D4261"/>
    <mergeCell ref="G4261:H4261"/>
    <mergeCell ref="K4261:L4261"/>
    <mergeCell ref="C4262:D4262"/>
    <mergeCell ref="K4262:L4262"/>
    <mergeCell ref="K4263:L4263"/>
    <mergeCell ref="G4265:H4265"/>
    <mergeCell ref="G4266:H4266"/>
    <mergeCell ref="C4263:D4263"/>
    <mergeCell ref="C4264:D4264"/>
    <mergeCell ref="G4264:H4264"/>
    <mergeCell ref="K4264:L4264"/>
    <mergeCell ref="C4265:D4265"/>
    <mergeCell ref="K4265:L4265"/>
    <mergeCell ref="K4266:L4266"/>
    <mergeCell ref="G4268:H4268"/>
    <mergeCell ref="G4269:H4269"/>
    <mergeCell ref="C4266:D4266"/>
    <mergeCell ref="C4267:D4267"/>
    <mergeCell ref="G4267:H4267"/>
    <mergeCell ref="K4267:L4267"/>
    <mergeCell ref="C4268:D4268"/>
    <mergeCell ref="K4268:L4268"/>
    <mergeCell ref="K4269:L4269"/>
    <mergeCell ref="G4271:H4271"/>
    <mergeCell ref="G4272:H4272"/>
    <mergeCell ref="C4269:D4269"/>
    <mergeCell ref="C4270:D4270"/>
    <mergeCell ref="G4270:H4270"/>
    <mergeCell ref="K4270:L4270"/>
    <mergeCell ref="C4271:D4271"/>
    <mergeCell ref="K4271:L4271"/>
    <mergeCell ref="K4272:L4272"/>
    <mergeCell ref="G4250:H4250"/>
    <mergeCell ref="G4251:H4251"/>
    <mergeCell ref="C4248:D4248"/>
    <mergeCell ref="C4249:D4249"/>
    <mergeCell ref="G4249:H4249"/>
    <mergeCell ref="K4249:L4249"/>
    <mergeCell ref="C4250:D4250"/>
    <mergeCell ref="K4250:L4250"/>
    <mergeCell ref="K4251:L4251"/>
    <mergeCell ref="G4253:H4253"/>
    <mergeCell ref="G4254:H4254"/>
    <mergeCell ref="C4251:D4251"/>
    <mergeCell ref="C4252:D4252"/>
    <mergeCell ref="G4252:H4252"/>
    <mergeCell ref="K4252:L4252"/>
    <mergeCell ref="C4253:D4253"/>
    <mergeCell ref="K4253:L4253"/>
    <mergeCell ref="K4254:L4254"/>
    <mergeCell ref="G4256:H4256"/>
    <mergeCell ref="G4257:H4257"/>
    <mergeCell ref="C4254:D4254"/>
    <mergeCell ref="C4255:D4255"/>
    <mergeCell ref="G4255:H4255"/>
    <mergeCell ref="K4255:L4255"/>
    <mergeCell ref="C4256:D4256"/>
    <mergeCell ref="K4256:L4256"/>
    <mergeCell ref="K4257:L4257"/>
    <mergeCell ref="G4259:H4259"/>
    <mergeCell ref="G4260:H4260"/>
    <mergeCell ref="C4257:D4257"/>
    <mergeCell ref="C4258:D4258"/>
    <mergeCell ref="G4258:H4258"/>
    <mergeCell ref="K4258:L4258"/>
    <mergeCell ref="C4259:D4259"/>
    <mergeCell ref="K4259:L4259"/>
    <mergeCell ref="K4260:L4260"/>
    <mergeCell ref="G4238:H4238"/>
    <mergeCell ref="G4239:H4239"/>
    <mergeCell ref="C4236:D4236"/>
    <mergeCell ref="C4237:D4237"/>
    <mergeCell ref="G4237:H4237"/>
    <mergeCell ref="K4237:L4237"/>
    <mergeCell ref="C4238:D4238"/>
    <mergeCell ref="K4238:L4238"/>
    <mergeCell ref="K4239:L4239"/>
    <mergeCell ref="G4241:H4241"/>
    <mergeCell ref="G4242:H4242"/>
    <mergeCell ref="C4239:D4239"/>
    <mergeCell ref="C4240:D4240"/>
    <mergeCell ref="G4240:H4240"/>
    <mergeCell ref="K4240:L4240"/>
    <mergeCell ref="C4241:D4241"/>
    <mergeCell ref="K4241:L4241"/>
    <mergeCell ref="K4242:L4242"/>
    <mergeCell ref="G4244:H4244"/>
    <mergeCell ref="G4245:H4245"/>
    <mergeCell ref="C4242:D4242"/>
    <mergeCell ref="C4243:D4243"/>
    <mergeCell ref="G4243:H4243"/>
    <mergeCell ref="K4243:L4243"/>
    <mergeCell ref="C4244:D4244"/>
    <mergeCell ref="K4244:L4244"/>
    <mergeCell ref="K4245:L4245"/>
    <mergeCell ref="G4247:H4247"/>
    <mergeCell ref="G4248:H4248"/>
    <mergeCell ref="C4245:D4245"/>
    <mergeCell ref="C4246:D4246"/>
    <mergeCell ref="G4246:H4246"/>
    <mergeCell ref="K4246:L4246"/>
    <mergeCell ref="C4247:D4247"/>
    <mergeCell ref="K4247:L4247"/>
    <mergeCell ref="K4248:L4248"/>
    <mergeCell ref="G4226:H4226"/>
    <mergeCell ref="G4227:H4227"/>
    <mergeCell ref="C4224:D4224"/>
    <mergeCell ref="C4225:D4225"/>
    <mergeCell ref="G4225:H4225"/>
    <mergeCell ref="K4225:L4225"/>
    <mergeCell ref="C4226:D4226"/>
    <mergeCell ref="K4226:L4226"/>
    <mergeCell ref="K4227:L4227"/>
    <mergeCell ref="G4229:H4229"/>
    <mergeCell ref="G4230:H4230"/>
    <mergeCell ref="C4227:D4227"/>
    <mergeCell ref="C4228:D4228"/>
    <mergeCell ref="G4228:H4228"/>
    <mergeCell ref="K4228:L4228"/>
    <mergeCell ref="C4229:D4229"/>
    <mergeCell ref="K4229:L4229"/>
    <mergeCell ref="K4230:L4230"/>
    <mergeCell ref="G4232:H4232"/>
    <mergeCell ref="G4233:H4233"/>
    <mergeCell ref="C4230:D4230"/>
    <mergeCell ref="C4231:D4231"/>
    <mergeCell ref="G4231:H4231"/>
    <mergeCell ref="K4231:L4231"/>
    <mergeCell ref="C4232:D4232"/>
    <mergeCell ref="K4232:L4232"/>
    <mergeCell ref="K4233:L4233"/>
    <mergeCell ref="G4235:H4235"/>
    <mergeCell ref="G4236:H4236"/>
    <mergeCell ref="C4233:D4233"/>
    <mergeCell ref="C4234:D4234"/>
    <mergeCell ref="G4234:H4234"/>
    <mergeCell ref="K4234:L4234"/>
    <mergeCell ref="C4235:D4235"/>
    <mergeCell ref="K4235:L4235"/>
    <mergeCell ref="K4236:L4236"/>
    <mergeCell ref="G4214:H4214"/>
    <mergeCell ref="G4215:H4215"/>
    <mergeCell ref="C4212:D4212"/>
    <mergeCell ref="C4213:D4213"/>
    <mergeCell ref="G4213:H4213"/>
    <mergeCell ref="K4213:L4213"/>
    <mergeCell ref="C4214:D4214"/>
    <mergeCell ref="K4214:L4214"/>
    <mergeCell ref="K4215:L4215"/>
    <mergeCell ref="G4217:H4217"/>
    <mergeCell ref="G4218:H4218"/>
    <mergeCell ref="C4215:D4215"/>
    <mergeCell ref="C4216:D4216"/>
    <mergeCell ref="G4216:H4216"/>
    <mergeCell ref="K4216:L4216"/>
    <mergeCell ref="C4217:D4217"/>
    <mergeCell ref="K4217:L4217"/>
    <mergeCell ref="K4218:L4218"/>
    <mergeCell ref="G4220:H4220"/>
    <mergeCell ref="G4221:H4221"/>
    <mergeCell ref="C4218:D4218"/>
    <mergeCell ref="C4219:D4219"/>
    <mergeCell ref="G4219:H4219"/>
    <mergeCell ref="K4219:L4219"/>
    <mergeCell ref="C4220:D4220"/>
    <mergeCell ref="K4220:L4220"/>
    <mergeCell ref="K4221:L4221"/>
    <mergeCell ref="G4223:H4223"/>
    <mergeCell ref="G4224:H4224"/>
    <mergeCell ref="C4221:D4221"/>
    <mergeCell ref="C4222:D4222"/>
    <mergeCell ref="G4222:H4222"/>
    <mergeCell ref="K4222:L4222"/>
    <mergeCell ref="C4223:D4223"/>
    <mergeCell ref="K4223:L4223"/>
    <mergeCell ref="K4224:L4224"/>
    <mergeCell ref="G4202:H4202"/>
    <mergeCell ref="G4203:H4203"/>
    <mergeCell ref="C4200:D4200"/>
    <mergeCell ref="C4201:D4201"/>
    <mergeCell ref="G4201:H4201"/>
    <mergeCell ref="K4201:L4201"/>
    <mergeCell ref="C4202:D4202"/>
    <mergeCell ref="K4202:L4202"/>
    <mergeCell ref="K4203:L4203"/>
    <mergeCell ref="G4205:H4205"/>
    <mergeCell ref="G4206:H4206"/>
    <mergeCell ref="C4203:D4203"/>
    <mergeCell ref="C4204:D4204"/>
    <mergeCell ref="G4204:H4204"/>
    <mergeCell ref="K4204:L4204"/>
    <mergeCell ref="C4205:D4205"/>
    <mergeCell ref="K4205:L4205"/>
    <mergeCell ref="K4206:L4206"/>
    <mergeCell ref="G4208:H4208"/>
    <mergeCell ref="G4209:H4209"/>
    <mergeCell ref="C4206:D4206"/>
    <mergeCell ref="C4207:D4207"/>
    <mergeCell ref="G4207:H4207"/>
    <mergeCell ref="K4207:L4207"/>
    <mergeCell ref="C4208:D4208"/>
    <mergeCell ref="K4208:L4208"/>
    <mergeCell ref="K4209:L4209"/>
    <mergeCell ref="G4211:H4211"/>
    <mergeCell ref="G4212:H4212"/>
    <mergeCell ref="C4209:D4209"/>
    <mergeCell ref="C4210:D4210"/>
    <mergeCell ref="G4210:H4210"/>
    <mergeCell ref="K4210:L4210"/>
    <mergeCell ref="C4211:D4211"/>
    <mergeCell ref="K4211:L4211"/>
    <mergeCell ref="K4212:L4212"/>
    <mergeCell ref="G4190:H4190"/>
    <mergeCell ref="G4191:H4191"/>
    <mergeCell ref="C4188:D4188"/>
    <mergeCell ref="C4189:D4189"/>
    <mergeCell ref="G4189:H4189"/>
    <mergeCell ref="K4189:L4189"/>
    <mergeCell ref="C4190:D4190"/>
    <mergeCell ref="K4190:L4190"/>
    <mergeCell ref="K4191:L4191"/>
    <mergeCell ref="G4193:H4193"/>
    <mergeCell ref="G4194:H4194"/>
    <mergeCell ref="C4191:D4191"/>
    <mergeCell ref="C4192:D4192"/>
    <mergeCell ref="G4192:H4192"/>
    <mergeCell ref="K4192:L4192"/>
    <mergeCell ref="C4193:D4193"/>
    <mergeCell ref="K4193:L4193"/>
    <mergeCell ref="K4194:L4194"/>
    <mergeCell ref="G4196:H4196"/>
    <mergeCell ref="G4197:H4197"/>
    <mergeCell ref="C4194:D4194"/>
    <mergeCell ref="C4195:D4195"/>
    <mergeCell ref="G4195:H4195"/>
    <mergeCell ref="K4195:L4195"/>
    <mergeCell ref="C4196:D4196"/>
    <mergeCell ref="K4196:L4196"/>
    <mergeCell ref="K4197:L4197"/>
    <mergeCell ref="G4199:H4199"/>
    <mergeCell ref="G4200:H4200"/>
    <mergeCell ref="C4197:D4197"/>
    <mergeCell ref="C4198:D4198"/>
    <mergeCell ref="G4198:H4198"/>
    <mergeCell ref="K4198:L4198"/>
    <mergeCell ref="C4199:D4199"/>
    <mergeCell ref="K4199:L4199"/>
    <mergeCell ref="K4200:L4200"/>
    <mergeCell ref="G4178:H4178"/>
    <mergeCell ref="G4179:H4179"/>
    <mergeCell ref="C4176:D4176"/>
    <mergeCell ref="C4177:D4177"/>
    <mergeCell ref="G4177:H4177"/>
    <mergeCell ref="K4177:L4177"/>
    <mergeCell ref="C4178:D4178"/>
    <mergeCell ref="K4178:L4178"/>
    <mergeCell ref="K4179:L4179"/>
    <mergeCell ref="G4181:H4181"/>
    <mergeCell ref="G4182:H4182"/>
    <mergeCell ref="C4179:D4179"/>
    <mergeCell ref="C4180:D4180"/>
    <mergeCell ref="G4180:H4180"/>
    <mergeCell ref="K4180:L4180"/>
    <mergeCell ref="C4181:D4181"/>
    <mergeCell ref="K4181:L4181"/>
    <mergeCell ref="K4182:L4182"/>
    <mergeCell ref="G4184:H4184"/>
    <mergeCell ref="G4185:H4185"/>
    <mergeCell ref="C4182:D4182"/>
    <mergeCell ref="C4183:D4183"/>
    <mergeCell ref="G4183:H4183"/>
    <mergeCell ref="K4183:L4183"/>
    <mergeCell ref="C4184:D4184"/>
    <mergeCell ref="K4184:L4184"/>
    <mergeCell ref="K4185:L4185"/>
    <mergeCell ref="G4187:H4187"/>
    <mergeCell ref="G4188:H4188"/>
    <mergeCell ref="C4185:D4185"/>
    <mergeCell ref="C4186:D4186"/>
    <mergeCell ref="G4186:H4186"/>
    <mergeCell ref="K4186:L4186"/>
    <mergeCell ref="C4187:D4187"/>
    <mergeCell ref="K4187:L4187"/>
    <mergeCell ref="K4188:L4188"/>
    <mergeCell ref="G4166:H4166"/>
    <mergeCell ref="G4167:H4167"/>
    <mergeCell ref="C4164:D4164"/>
    <mergeCell ref="C4165:D4165"/>
    <mergeCell ref="G4165:H4165"/>
    <mergeCell ref="K4165:L4165"/>
    <mergeCell ref="C4166:D4166"/>
    <mergeCell ref="K4166:L4166"/>
    <mergeCell ref="K4167:L4167"/>
    <mergeCell ref="G4169:H4169"/>
    <mergeCell ref="G4170:H4170"/>
    <mergeCell ref="C4167:D4167"/>
    <mergeCell ref="C4168:D4168"/>
    <mergeCell ref="G4168:H4168"/>
    <mergeCell ref="K4168:L4168"/>
    <mergeCell ref="C4169:D4169"/>
    <mergeCell ref="K4169:L4169"/>
    <mergeCell ref="K4170:L4170"/>
    <mergeCell ref="G4172:H4172"/>
    <mergeCell ref="G4173:H4173"/>
    <mergeCell ref="C4170:D4170"/>
    <mergeCell ref="C4171:D4171"/>
    <mergeCell ref="G4171:H4171"/>
    <mergeCell ref="K4171:L4171"/>
    <mergeCell ref="C4172:D4172"/>
    <mergeCell ref="K4172:L4172"/>
    <mergeCell ref="K4173:L4173"/>
    <mergeCell ref="G4175:H4175"/>
    <mergeCell ref="G4176:H4176"/>
    <mergeCell ref="C4173:D4173"/>
    <mergeCell ref="C4174:D4174"/>
    <mergeCell ref="G4174:H4174"/>
    <mergeCell ref="K4174:L4174"/>
    <mergeCell ref="C4175:D4175"/>
    <mergeCell ref="K4175:L4175"/>
    <mergeCell ref="K4176:L4176"/>
    <mergeCell ref="G4154:H4154"/>
    <mergeCell ref="G4155:H4155"/>
    <mergeCell ref="C4152:D4152"/>
    <mergeCell ref="C4153:D4153"/>
    <mergeCell ref="G4153:H4153"/>
    <mergeCell ref="K4153:L4153"/>
    <mergeCell ref="C4154:D4154"/>
    <mergeCell ref="K4154:L4154"/>
    <mergeCell ref="K4155:L4155"/>
    <mergeCell ref="G4157:H4157"/>
    <mergeCell ref="G4158:H4158"/>
    <mergeCell ref="C4155:D4155"/>
    <mergeCell ref="C4156:D4156"/>
    <mergeCell ref="G4156:H4156"/>
    <mergeCell ref="K4156:L4156"/>
    <mergeCell ref="C4157:D4157"/>
    <mergeCell ref="K4157:L4157"/>
    <mergeCell ref="K4158:L4158"/>
    <mergeCell ref="G4160:H4160"/>
    <mergeCell ref="G4161:H4161"/>
    <mergeCell ref="C4158:D4158"/>
    <mergeCell ref="C4159:D4159"/>
    <mergeCell ref="G4159:H4159"/>
    <mergeCell ref="K4159:L4159"/>
    <mergeCell ref="C4160:D4160"/>
    <mergeCell ref="K4160:L4160"/>
    <mergeCell ref="K4161:L4161"/>
    <mergeCell ref="G4163:H4163"/>
    <mergeCell ref="G4164:H4164"/>
    <mergeCell ref="C4161:D4161"/>
    <mergeCell ref="C4162:D4162"/>
    <mergeCell ref="G4162:H4162"/>
    <mergeCell ref="K4162:L4162"/>
    <mergeCell ref="C4163:D4163"/>
    <mergeCell ref="K4163:L4163"/>
    <mergeCell ref="K4164:L4164"/>
    <mergeCell ref="G4142:H4142"/>
    <mergeCell ref="G4143:H4143"/>
    <mergeCell ref="C4140:D4140"/>
    <mergeCell ref="C4141:D4141"/>
    <mergeCell ref="G4141:H4141"/>
    <mergeCell ref="K4141:L4141"/>
    <mergeCell ref="C4142:D4142"/>
    <mergeCell ref="K4142:L4142"/>
    <mergeCell ref="K4143:L4143"/>
    <mergeCell ref="G4145:H4145"/>
    <mergeCell ref="G4146:H4146"/>
    <mergeCell ref="C4143:D4143"/>
    <mergeCell ref="C4144:D4144"/>
    <mergeCell ref="G4144:H4144"/>
    <mergeCell ref="K4144:L4144"/>
    <mergeCell ref="C4145:D4145"/>
    <mergeCell ref="K4145:L4145"/>
    <mergeCell ref="K4146:L4146"/>
    <mergeCell ref="G4148:H4148"/>
    <mergeCell ref="G4149:H4149"/>
    <mergeCell ref="C4146:D4146"/>
    <mergeCell ref="C4147:D4147"/>
    <mergeCell ref="G4147:H4147"/>
    <mergeCell ref="K4147:L4147"/>
    <mergeCell ref="C4148:D4148"/>
    <mergeCell ref="K4148:L4148"/>
    <mergeCell ref="K4149:L4149"/>
    <mergeCell ref="G4151:H4151"/>
    <mergeCell ref="G4152:H4152"/>
    <mergeCell ref="C4149:D4149"/>
    <mergeCell ref="C4150:D4150"/>
    <mergeCell ref="G4150:H4150"/>
    <mergeCell ref="K4150:L4150"/>
    <mergeCell ref="C4151:D4151"/>
    <mergeCell ref="K4151:L4151"/>
    <mergeCell ref="K4152:L4152"/>
    <mergeCell ref="G4130:H4130"/>
    <mergeCell ref="G4131:H4131"/>
    <mergeCell ref="C4128:D4128"/>
    <mergeCell ref="C4129:D4129"/>
    <mergeCell ref="G4129:H4129"/>
    <mergeCell ref="K4129:L4129"/>
    <mergeCell ref="C4130:D4130"/>
    <mergeCell ref="K4130:L4130"/>
    <mergeCell ref="K4131:L4131"/>
    <mergeCell ref="G4133:H4133"/>
    <mergeCell ref="G4134:H4134"/>
    <mergeCell ref="C4131:D4131"/>
    <mergeCell ref="C4132:D4132"/>
    <mergeCell ref="G4132:H4132"/>
    <mergeCell ref="K4132:L4132"/>
    <mergeCell ref="C4133:D4133"/>
    <mergeCell ref="K4133:L4133"/>
    <mergeCell ref="K4134:L4134"/>
    <mergeCell ref="G4136:H4136"/>
    <mergeCell ref="G4137:H4137"/>
    <mergeCell ref="C4134:D4134"/>
    <mergeCell ref="C4135:D4135"/>
    <mergeCell ref="G4135:H4135"/>
    <mergeCell ref="K4135:L4135"/>
    <mergeCell ref="C4136:D4136"/>
    <mergeCell ref="K4136:L4136"/>
    <mergeCell ref="K4137:L4137"/>
    <mergeCell ref="G4139:H4139"/>
    <mergeCell ref="G4140:H4140"/>
    <mergeCell ref="C4137:D4137"/>
    <mergeCell ref="C4138:D4138"/>
    <mergeCell ref="G4138:H4138"/>
    <mergeCell ref="K4138:L4138"/>
    <mergeCell ref="C4139:D4139"/>
    <mergeCell ref="K4139:L4139"/>
    <mergeCell ref="K4140:L4140"/>
    <mergeCell ref="G4118:H4118"/>
    <mergeCell ref="G4119:H4119"/>
    <mergeCell ref="C4116:D4116"/>
    <mergeCell ref="C4117:D4117"/>
    <mergeCell ref="G4117:H4117"/>
    <mergeCell ref="K4117:L4117"/>
    <mergeCell ref="C4118:D4118"/>
    <mergeCell ref="K4118:L4118"/>
    <mergeCell ref="K4119:L4119"/>
    <mergeCell ref="G4121:H4121"/>
    <mergeCell ref="G4122:H4122"/>
    <mergeCell ref="C4119:D4119"/>
    <mergeCell ref="C4120:D4120"/>
    <mergeCell ref="G4120:H4120"/>
    <mergeCell ref="K4120:L4120"/>
    <mergeCell ref="C4121:D4121"/>
    <mergeCell ref="K4121:L4121"/>
    <mergeCell ref="K4122:L4122"/>
    <mergeCell ref="G4124:H4124"/>
    <mergeCell ref="G4125:H4125"/>
    <mergeCell ref="C4122:D4122"/>
    <mergeCell ref="C4123:D4123"/>
    <mergeCell ref="G4123:H4123"/>
    <mergeCell ref="K4123:L4123"/>
    <mergeCell ref="C4124:D4124"/>
    <mergeCell ref="K4124:L4124"/>
    <mergeCell ref="K4125:L4125"/>
    <mergeCell ref="G4127:H4127"/>
    <mergeCell ref="G4128:H4128"/>
    <mergeCell ref="C4125:D4125"/>
    <mergeCell ref="C4126:D4126"/>
    <mergeCell ref="G4126:H4126"/>
    <mergeCell ref="K4126:L4126"/>
    <mergeCell ref="C4127:D4127"/>
    <mergeCell ref="K4127:L4127"/>
    <mergeCell ref="K4128:L4128"/>
    <mergeCell ref="G4106:H4106"/>
    <mergeCell ref="G4107:H4107"/>
    <mergeCell ref="C4104:D4104"/>
    <mergeCell ref="C4105:D4105"/>
    <mergeCell ref="G4105:H4105"/>
    <mergeCell ref="K4105:L4105"/>
    <mergeCell ref="C4106:D4106"/>
    <mergeCell ref="K4106:L4106"/>
    <mergeCell ref="K4107:L4107"/>
    <mergeCell ref="G4109:H4109"/>
    <mergeCell ref="G4110:H4110"/>
    <mergeCell ref="C4107:D4107"/>
    <mergeCell ref="C4108:D4108"/>
    <mergeCell ref="G4108:H4108"/>
    <mergeCell ref="K4108:L4108"/>
    <mergeCell ref="C4109:D4109"/>
    <mergeCell ref="K4109:L4109"/>
    <mergeCell ref="K4110:L4110"/>
    <mergeCell ref="G4112:H4112"/>
    <mergeCell ref="G4113:H4113"/>
    <mergeCell ref="C4110:D4110"/>
    <mergeCell ref="C4111:D4111"/>
    <mergeCell ref="G4111:H4111"/>
    <mergeCell ref="K4111:L4111"/>
    <mergeCell ref="C4112:D4112"/>
    <mergeCell ref="K4112:L4112"/>
    <mergeCell ref="K4113:L4113"/>
    <mergeCell ref="G4115:H4115"/>
    <mergeCell ref="G4116:H4116"/>
    <mergeCell ref="C4113:D4113"/>
    <mergeCell ref="C4114:D4114"/>
    <mergeCell ref="G4114:H4114"/>
    <mergeCell ref="K4114:L4114"/>
    <mergeCell ref="C4115:D4115"/>
    <mergeCell ref="K4115:L4115"/>
    <mergeCell ref="K4116:L4116"/>
    <mergeCell ref="G4094:H4094"/>
    <mergeCell ref="G4095:H4095"/>
    <mergeCell ref="C4092:D4092"/>
    <mergeCell ref="C4093:D4093"/>
    <mergeCell ref="G4093:H4093"/>
    <mergeCell ref="K4093:L4093"/>
    <mergeCell ref="C4094:D4094"/>
    <mergeCell ref="K4094:L4094"/>
    <mergeCell ref="K4095:L4095"/>
    <mergeCell ref="G4097:H4097"/>
    <mergeCell ref="G4098:H4098"/>
    <mergeCell ref="C4095:D4095"/>
    <mergeCell ref="C4096:D4096"/>
    <mergeCell ref="G4096:H4096"/>
    <mergeCell ref="K4096:L4096"/>
    <mergeCell ref="C4097:D4097"/>
    <mergeCell ref="K4097:L4097"/>
    <mergeCell ref="K4098:L4098"/>
    <mergeCell ref="G4100:H4100"/>
    <mergeCell ref="G4101:H4101"/>
    <mergeCell ref="C4098:D4098"/>
    <mergeCell ref="C4099:D4099"/>
    <mergeCell ref="G4099:H4099"/>
    <mergeCell ref="K4099:L4099"/>
    <mergeCell ref="C4100:D4100"/>
    <mergeCell ref="K4100:L4100"/>
    <mergeCell ref="K4101:L4101"/>
    <mergeCell ref="G4103:H4103"/>
    <mergeCell ref="G4104:H4104"/>
    <mergeCell ref="C4101:D4101"/>
    <mergeCell ref="C4102:D4102"/>
    <mergeCell ref="G4102:H4102"/>
    <mergeCell ref="K4102:L4102"/>
    <mergeCell ref="C4103:D4103"/>
    <mergeCell ref="K4103:L4103"/>
    <mergeCell ref="K4104:L4104"/>
    <mergeCell ref="G4082:H4082"/>
    <mergeCell ref="G4083:H4083"/>
    <mergeCell ref="C4080:D4080"/>
    <mergeCell ref="C4081:D4081"/>
    <mergeCell ref="G4081:H4081"/>
    <mergeCell ref="K4081:L4081"/>
    <mergeCell ref="C4082:D4082"/>
    <mergeCell ref="K4082:L4082"/>
    <mergeCell ref="K4083:L4083"/>
    <mergeCell ref="G4085:H4085"/>
    <mergeCell ref="G4086:H4086"/>
    <mergeCell ref="C4083:D4083"/>
    <mergeCell ref="C4084:D4084"/>
    <mergeCell ref="G4084:H4084"/>
    <mergeCell ref="K4084:L4084"/>
    <mergeCell ref="C4085:D4085"/>
    <mergeCell ref="K4085:L4085"/>
    <mergeCell ref="K4086:L4086"/>
    <mergeCell ref="G4088:H4088"/>
    <mergeCell ref="G4089:H4089"/>
    <mergeCell ref="C4086:D4086"/>
    <mergeCell ref="C4087:D4087"/>
    <mergeCell ref="G4087:H4087"/>
    <mergeCell ref="K4087:L4087"/>
    <mergeCell ref="C4088:D4088"/>
    <mergeCell ref="K4088:L4088"/>
    <mergeCell ref="K4089:L4089"/>
    <mergeCell ref="G4091:H4091"/>
    <mergeCell ref="G4092:H4092"/>
    <mergeCell ref="C4089:D4089"/>
    <mergeCell ref="C4090:D4090"/>
    <mergeCell ref="G4090:H4090"/>
    <mergeCell ref="K4090:L4090"/>
    <mergeCell ref="C4091:D4091"/>
    <mergeCell ref="K4091:L4091"/>
    <mergeCell ref="K4092:L4092"/>
    <mergeCell ref="G4070:H4070"/>
    <mergeCell ref="G4071:H4071"/>
    <mergeCell ref="C4068:D4068"/>
    <mergeCell ref="C4069:D4069"/>
    <mergeCell ref="G4069:H4069"/>
    <mergeCell ref="K4069:L4069"/>
    <mergeCell ref="C4070:D4070"/>
    <mergeCell ref="K4070:L4070"/>
    <mergeCell ref="K4071:L4071"/>
    <mergeCell ref="G4073:H4073"/>
    <mergeCell ref="G4074:H4074"/>
    <mergeCell ref="C4071:D4071"/>
    <mergeCell ref="C4072:D4072"/>
    <mergeCell ref="G4072:H4072"/>
    <mergeCell ref="K4072:L4072"/>
    <mergeCell ref="C4073:D4073"/>
    <mergeCell ref="K4073:L4073"/>
    <mergeCell ref="K4074:L4074"/>
    <mergeCell ref="G4076:H4076"/>
    <mergeCell ref="G4077:H4077"/>
    <mergeCell ref="C4074:D4074"/>
    <mergeCell ref="C4075:D4075"/>
    <mergeCell ref="G4075:H4075"/>
    <mergeCell ref="K4075:L4075"/>
    <mergeCell ref="C4076:D4076"/>
    <mergeCell ref="K4076:L4076"/>
    <mergeCell ref="K4077:L4077"/>
    <mergeCell ref="G4079:H4079"/>
    <mergeCell ref="G4080:H4080"/>
    <mergeCell ref="C4077:D4077"/>
    <mergeCell ref="C4078:D4078"/>
    <mergeCell ref="G4078:H4078"/>
    <mergeCell ref="K4078:L4078"/>
    <mergeCell ref="C4079:D4079"/>
    <mergeCell ref="K4079:L4079"/>
    <mergeCell ref="K4080:L4080"/>
    <mergeCell ref="G4058:H4058"/>
    <mergeCell ref="G4059:H4059"/>
    <mergeCell ref="C4056:D4056"/>
    <mergeCell ref="C4057:D4057"/>
    <mergeCell ref="G4057:H4057"/>
    <mergeCell ref="K4057:L4057"/>
    <mergeCell ref="C4058:D4058"/>
    <mergeCell ref="K4058:L4058"/>
    <mergeCell ref="K4059:L4059"/>
    <mergeCell ref="G4061:H4061"/>
    <mergeCell ref="G4062:H4062"/>
    <mergeCell ref="C4059:D4059"/>
    <mergeCell ref="C4060:D4060"/>
    <mergeCell ref="G4060:H4060"/>
    <mergeCell ref="K4060:L4060"/>
    <mergeCell ref="C4061:D4061"/>
    <mergeCell ref="K4061:L4061"/>
    <mergeCell ref="K4062:L4062"/>
    <mergeCell ref="G4064:H4064"/>
    <mergeCell ref="G4065:H4065"/>
    <mergeCell ref="C4062:D4062"/>
    <mergeCell ref="C4063:D4063"/>
    <mergeCell ref="G4063:H4063"/>
    <mergeCell ref="K4063:L4063"/>
    <mergeCell ref="C4064:D4064"/>
    <mergeCell ref="K4064:L4064"/>
    <mergeCell ref="K4065:L4065"/>
    <mergeCell ref="G4067:H4067"/>
    <mergeCell ref="G4068:H4068"/>
    <mergeCell ref="C4065:D4065"/>
    <mergeCell ref="C4066:D4066"/>
    <mergeCell ref="G4066:H4066"/>
    <mergeCell ref="K4066:L4066"/>
    <mergeCell ref="C4067:D4067"/>
    <mergeCell ref="K4067:L4067"/>
    <mergeCell ref="K4068:L4068"/>
    <mergeCell ref="G4046:H4046"/>
    <mergeCell ref="G4047:H4047"/>
    <mergeCell ref="C4044:D4044"/>
    <mergeCell ref="C4045:D4045"/>
    <mergeCell ref="G4045:H4045"/>
    <mergeCell ref="K4045:L4045"/>
    <mergeCell ref="C4046:D4046"/>
    <mergeCell ref="K4046:L4046"/>
    <mergeCell ref="K4047:L4047"/>
    <mergeCell ref="G4049:H4049"/>
    <mergeCell ref="G4050:H4050"/>
    <mergeCell ref="C4047:D4047"/>
    <mergeCell ref="C4048:D4048"/>
    <mergeCell ref="G4048:H4048"/>
    <mergeCell ref="K4048:L4048"/>
    <mergeCell ref="C4049:D4049"/>
    <mergeCell ref="K4049:L4049"/>
    <mergeCell ref="K4050:L4050"/>
    <mergeCell ref="G4052:H4052"/>
    <mergeCell ref="G4053:H4053"/>
    <mergeCell ref="C4050:D4050"/>
    <mergeCell ref="C4051:D4051"/>
    <mergeCell ref="G4051:H4051"/>
    <mergeCell ref="K4051:L4051"/>
    <mergeCell ref="C4052:D4052"/>
    <mergeCell ref="K4052:L4052"/>
    <mergeCell ref="K4053:L4053"/>
    <mergeCell ref="G4055:H4055"/>
    <mergeCell ref="G4056:H4056"/>
    <mergeCell ref="C4053:D4053"/>
    <mergeCell ref="C4054:D4054"/>
    <mergeCell ref="G4054:H4054"/>
    <mergeCell ref="K4054:L4054"/>
    <mergeCell ref="C4055:D4055"/>
    <mergeCell ref="K4055:L4055"/>
    <mergeCell ref="K4056:L4056"/>
    <mergeCell ref="G4034:H4034"/>
    <mergeCell ref="G4035:H4035"/>
    <mergeCell ref="C4032:D4032"/>
    <mergeCell ref="C4033:D4033"/>
    <mergeCell ref="G4033:H4033"/>
    <mergeCell ref="K4033:L4033"/>
    <mergeCell ref="C4034:D4034"/>
    <mergeCell ref="K4034:L4034"/>
    <mergeCell ref="K4035:L4035"/>
    <mergeCell ref="G4037:H4037"/>
    <mergeCell ref="G4038:H4038"/>
    <mergeCell ref="C4035:D4035"/>
    <mergeCell ref="C4036:D4036"/>
    <mergeCell ref="G4036:H4036"/>
    <mergeCell ref="K4036:L4036"/>
    <mergeCell ref="C4037:D4037"/>
    <mergeCell ref="K4037:L4037"/>
    <mergeCell ref="K4038:L4038"/>
    <mergeCell ref="G4040:H4040"/>
    <mergeCell ref="G4041:H4041"/>
    <mergeCell ref="C4038:D4038"/>
    <mergeCell ref="C4039:D4039"/>
    <mergeCell ref="G4039:H4039"/>
    <mergeCell ref="K4039:L4039"/>
    <mergeCell ref="C4040:D4040"/>
    <mergeCell ref="K4040:L4040"/>
    <mergeCell ref="K4041:L4041"/>
    <mergeCell ref="G4043:H4043"/>
    <mergeCell ref="G4044:H4044"/>
    <mergeCell ref="C4041:D4041"/>
    <mergeCell ref="C4042:D4042"/>
    <mergeCell ref="G4042:H4042"/>
    <mergeCell ref="K4042:L4042"/>
    <mergeCell ref="C4043:D4043"/>
    <mergeCell ref="K4043:L4043"/>
    <mergeCell ref="K4044:L4044"/>
    <mergeCell ref="G4022:H4022"/>
    <mergeCell ref="G4023:H4023"/>
    <mergeCell ref="C4020:D4020"/>
    <mergeCell ref="C4021:D4021"/>
    <mergeCell ref="G4021:H4021"/>
    <mergeCell ref="K4021:L4021"/>
    <mergeCell ref="C4022:D4022"/>
    <mergeCell ref="K4022:L4022"/>
    <mergeCell ref="K4023:L4023"/>
    <mergeCell ref="G4025:H4025"/>
    <mergeCell ref="G4026:H4026"/>
    <mergeCell ref="C4023:D4023"/>
    <mergeCell ref="C4024:D4024"/>
    <mergeCell ref="G4024:H4024"/>
    <mergeCell ref="K4024:L4024"/>
    <mergeCell ref="C4025:D4025"/>
    <mergeCell ref="K4025:L4025"/>
    <mergeCell ref="K4026:L4026"/>
    <mergeCell ref="G4028:H4028"/>
    <mergeCell ref="G4029:H4029"/>
    <mergeCell ref="C4026:D4026"/>
    <mergeCell ref="C4027:D4027"/>
    <mergeCell ref="G4027:H4027"/>
    <mergeCell ref="K4027:L4027"/>
    <mergeCell ref="C4028:D4028"/>
    <mergeCell ref="K4028:L4028"/>
    <mergeCell ref="K4029:L4029"/>
    <mergeCell ref="G4031:H4031"/>
    <mergeCell ref="G4032:H4032"/>
    <mergeCell ref="C4029:D4029"/>
    <mergeCell ref="C4030:D4030"/>
    <mergeCell ref="G4030:H4030"/>
    <mergeCell ref="K4030:L4030"/>
    <mergeCell ref="C4031:D4031"/>
    <mergeCell ref="K4031:L4031"/>
    <mergeCell ref="K4032:L4032"/>
    <mergeCell ref="G4010:H4010"/>
    <mergeCell ref="G4011:H4011"/>
    <mergeCell ref="C4008:D4008"/>
    <mergeCell ref="C4009:D4009"/>
    <mergeCell ref="G4009:H4009"/>
    <mergeCell ref="K4009:L4009"/>
    <mergeCell ref="C4010:D4010"/>
    <mergeCell ref="K4010:L4010"/>
    <mergeCell ref="K4011:L4011"/>
    <mergeCell ref="G4013:H4013"/>
    <mergeCell ref="G4014:H4014"/>
    <mergeCell ref="C4011:D4011"/>
    <mergeCell ref="C4012:D4012"/>
    <mergeCell ref="G4012:H4012"/>
    <mergeCell ref="K4012:L4012"/>
    <mergeCell ref="C4013:D4013"/>
    <mergeCell ref="K4013:L4013"/>
    <mergeCell ref="K4014:L4014"/>
    <mergeCell ref="G4016:H4016"/>
    <mergeCell ref="G4017:H4017"/>
    <mergeCell ref="C4014:D4014"/>
    <mergeCell ref="C4015:D4015"/>
    <mergeCell ref="G4015:H4015"/>
    <mergeCell ref="K4015:L4015"/>
    <mergeCell ref="C4016:D4016"/>
    <mergeCell ref="K4016:L4016"/>
    <mergeCell ref="K4017:L4017"/>
    <mergeCell ref="G4019:H4019"/>
    <mergeCell ref="G4020:H4020"/>
    <mergeCell ref="C4017:D4017"/>
    <mergeCell ref="C4018:D4018"/>
    <mergeCell ref="G4018:H4018"/>
    <mergeCell ref="K4018:L4018"/>
    <mergeCell ref="C4019:D4019"/>
    <mergeCell ref="K4019:L4019"/>
    <mergeCell ref="K4020:L4020"/>
    <mergeCell ref="G3998:H3998"/>
    <mergeCell ref="G3999:H3999"/>
    <mergeCell ref="C3996:D3996"/>
    <mergeCell ref="C3997:D3997"/>
    <mergeCell ref="G3997:H3997"/>
    <mergeCell ref="K3997:L3997"/>
    <mergeCell ref="C3998:D3998"/>
    <mergeCell ref="K3998:L3998"/>
    <mergeCell ref="K3999:L3999"/>
    <mergeCell ref="G4001:H4001"/>
    <mergeCell ref="G4002:H4002"/>
    <mergeCell ref="C3999:D3999"/>
    <mergeCell ref="C4000:D4000"/>
    <mergeCell ref="G4000:H4000"/>
    <mergeCell ref="K4000:L4000"/>
    <mergeCell ref="C4001:D4001"/>
    <mergeCell ref="K4001:L4001"/>
    <mergeCell ref="K4002:L4002"/>
    <mergeCell ref="G4004:H4004"/>
    <mergeCell ref="G4005:H4005"/>
    <mergeCell ref="C4002:D4002"/>
    <mergeCell ref="C4003:D4003"/>
    <mergeCell ref="G4003:H4003"/>
    <mergeCell ref="K4003:L4003"/>
    <mergeCell ref="C4004:D4004"/>
    <mergeCell ref="K4004:L4004"/>
    <mergeCell ref="K4005:L4005"/>
    <mergeCell ref="G4007:H4007"/>
    <mergeCell ref="G4008:H4008"/>
    <mergeCell ref="C4005:D4005"/>
    <mergeCell ref="C4006:D4006"/>
    <mergeCell ref="G4006:H4006"/>
    <mergeCell ref="K4006:L4006"/>
    <mergeCell ref="C4007:D4007"/>
    <mergeCell ref="K4007:L4007"/>
    <mergeCell ref="K4008:L4008"/>
    <mergeCell ref="G3986:H3986"/>
    <mergeCell ref="G3987:H3987"/>
    <mergeCell ref="C3984:D3984"/>
    <mergeCell ref="C3985:D3985"/>
    <mergeCell ref="G3985:H3985"/>
    <mergeCell ref="K3985:L3985"/>
    <mergeCell ref="C3986:D3986"/>
    <mergeCell ref="K3986:L3986"/>
    <mergeCell ref="K3987:L3987"/>
    <mergeCell ref="G3989:H3989"/>
    <mergeCell ref="G3990:H3990"/>
    <mergeCell ref="C3987:D3987"/>
    <mergeCell ref="C3988:D3988"/>
    <mergeCell ref="G3988:H3988"/>
    <mergeCell ref="K3988:L3988"/>
    <mergeCell ref="C3989:D3989"/>
    <mergeCell ref="K3989:L3989"/>
    <mergeCell ref="K3990:L3990"/>
    <mergeCell ref="G3992:H3992"/>
    <mergeCell ref="G3993:H3993"/>
    <mergeCell ref="C3990:D3990"/>
    <mergeCell ref="C3991:D3991"/>
    <mergeCell ref="G3991:H3991"/>
    <mergeCell ref="K3991:L3991"/>
    <mergeCell ref="C3992:D3992"/>
    <mergeCell ref="K3992:L3992"/>
    <mergeCell ref="K3993:L3993"/>
    <mergeCell ref="G3995:H3995"/>
    <mergeCell ref="G3996:H3996"/>
    <mergeCell ref="C3993:D3993"/>
    <mergeCell ref="C3994:D3994"/>
    <mergeCell ref="G3994:H3994"/>
    <mergeCell ref="K3994:L3994"/>
    <mergeCell ref="C3995:D3995"/>
    <mergeCell ref="K3995:L3995"/>
    <mergeCell ref="K3996:L3996"/>
    <mergeCell ref="G3974:H3974"/>
    <mergeCell ref="G3975:H3975"/>
    <mergeCell ref="C3972:D3972"/>
    <mergeCell ref="C3973:D3973"/>
    <mergeCell ref="G3973:H3973"/>
    <mergeCell ref="K3973:L3973"/>
    <mergeCell ref="C3974:D3974"/>
    <mergeCell ref="K3974:L3974"/>
    <mergeCell ref="K3975:L3975"/>
    <mergeCell ref="G3977:H3977"/>
    <mergeCell ref="G3978:H3978"/>
    <mergeCell ref="C3975:D3975"/>
    <mergeCell ref="C3976:D3976"/>
    <mergeCell ref="G3976:H3976"/>
    <mergeCell ref="K3976:L3976"/>
    <mergeCell ref="C3977:D3977"/>
    <mergeCell ref="K3977:L3977"/>
    <mergeCell ref="K3978:L3978"/>
    <mergeCell ref="G3980:H3980"/>
    <mergeCell ref="G3981:H3981"/>
    <mergeCell ref="C3978:D3978"/>
    <mergeCell ref="C3979:D3979"/>
    <mergeCell ref="G3979:H3979"/>
    <mergeCell ref="K3979:L3979"/>
    <mergeCell ref="C3980:D3980"/>
    <mergeCell ref="K3980:L3980"/>
    <mergeCell ref="K3981:L3981"/>
    <mergeCell ref="G3983:H3983"/>
    <mergeCell ref="G3984:H3984"/>
    <mergeCell ref="C3981:D3981"/>
    <mergeCell ref="C3982:D3982"/>
    <mergeCell ref="G3982:H3982"/>
    <mergeCell ref="K3982:L3982"/>
    <mergeCell ref="C3983:D3983"/>
    <mergeCell ref="K3983:L3983"/>
    <mergeCell ref="K3984:L3984"/>
    <mergeCell ref="G3962:H3962"/>
    <mergeCell ref="G3963:H3963"/>
    <mergeCell ref="C3960:D3960"/>
    <mergeCell ref="C3961:D3961"/>
    <mergeCell ref="G3961:H3961"/>
    <mergeCell ref="K3961:L3961"/>
    <mergeCell ref="C3962:D3962"/>
    <mergeCell ref="K3962:L3962"/>
    <mergeCell ref="K3963:L3963"/>
    <mergeCell ref="G3965:H3965"/>
    <mergeCell ref="G3966:H3966"/>
    <mergeCell ref="C3963:D3963"/>
    <mergeCell ref="C3964:D3964"/>
    <mergeCell ref="G3964:H3964"/>
    <mergeCell ref="K3964:L3964"/>
    <mergeCell ref="C3965:D3965"/>
    <mergeCell ref="K3965:L3965"/>
    <mergeCell ref="K3966:L3966"/>
    <mergeCell ref="G3968:H3968"/>
    <mergeCell ref="G3969:H3969"/>
    <mergeCell ref="C3966:D3966"/>
    <mergeCell ref="C3967:D3967"/>
    <mergeCell ref="G3967:H3967"/>
    <mergeCell ref="K3967:L3967"/>
    <mergeCell ref="C3968:D3968"/>
    <mergeCell ref="K3968:L3968"/>
    <mergeCell ref="K3969:L3969"/>
    <mergeCell ref="G3971:H3971"/>
    <mergeCell ref="G3972:H3972"/>
    <mergeCell ref="C3969:D3969"/>
    <mergeCell ref="C3970:D3970"/>
    <mergeCell ref="G3970:H3970"/>
    <mergeCell ref="K3970:L3970"/>
    <mergeCell ref="C3971:D3971"/>
    <mergeCell ref="K3971:L3971"/>
    <mergeCell ref="K3972:L3972"/>
    <mergeCell ref="G3950:H3950"/>
    <mergeCell ref="G3951:H3951"/>
    <mergeCell ref="C3948:D3948"/>
    <mergeCell ref="C3949:D3949"/>
    <mergeCell ref="G3949:H3949"/>
    <mergeCell ref="K3949:L3949"/>
    <mergeCell ref="C3950:D3950"/>
    <mergeCell ref="K3950:L3950"/>
    <mergeCell ref="K3951:L3951"/>
    <mergeCell ref="G3953:H3953"/>
    <mergeCell ref="G3954:H3954"/>
    <mergeCell ref="C3951:D3951"/>
    <mergeCell ref="C3952:D3952"/>
    <mergeCell ref="G3952:H3952"/>
    <mergeCell ref="K3952:L3952"/>
    <mergeCell ref="C3953:D3953"/>
    <mergeCell ref="K3953:L3953"/>
    <mergeCell ref="K3954:L3954"/>
    <mergeCell ref="G3956:H3956"/>
    <mergeCell ref="G3957:H3957"/>
    <mergeCell ref="C3954:D3954"/>
    <mergeCell ref="C3955:D3955"/>
    <mergeCell ref="G3955:H3955"/>
    <mergeCell ref="K3955:L3955"/>
    <mergeCell ref="C3956:D3956"/>
    <mergeCell ref="K3956:L3956"/>
    <mergeCell ref="K3957:L3957"/>
    <mergeCell ref="G3959:H3959"/>
    <mergeCell ref="G3960:H3960"/>
    <mergeCell ref="C3957:D3957"/>
    <mergeCell ref="C3958:D3958"/>
    <mergeCell ref="G3958:H3958"/>
    <mergeCell ref="K3958:L3958"/>
    <mergeCell ref="C3959:D3959"/>
    <mergeCell ref="K3959:L3959"/>
    <mergeCell ref="K3960:L3960"/>
    <mergeCell ref="G3938:H3938"/>
    <mergeCell ref="G3939:H3939"/>
    <mergeCell ref="C3936:D3936"/>
    <mergeCell ref="C3937:D3937"/>
    <mergeCell ref="G3937:H3937"/>
    <mergeCell ref="K3937:L3937"/>
    <mergeCell ref="C3938:D3938"/>
    <mergeCell ref="K3938:L3938"/>
    <mergeCell ref="K3939:L3939"/>
    <mergeCell ref="G3941:H3941"/>
    <mergeCell ref="G3942:H3942"/>
    <mergeCell ref="C3939:D3939"/>
    <mergeCell ref="C3940:D3940"/>
    <mergeCell ref="G3940:H3940"/>
    <mergeCell ref="K3940:L3940"/>
    <mergeCell ref="C3941:D3941"/>
    <mergeCell ref="K3941:L3941"/>
    <mergeCell ref="K3942:L3942"/>
    <mergeCell ref="G3944:H3944"/>
    <mergeCell ref="G3945:H3945"/>
    <mergeCell ref="C3942:D3942"/>
    <mergeCell ref="C3943:D3943"/>
    <mergeCell ref="G3943:H3943"/>
    <mergeCell ref="K3943:L3943"/>
    <mergeCell ref="C3944:D3944"/>
    <mergeCell ref="K3944:L3944"/>
    <mergeCell ref="K3945:L3945"/>
    <mergeCell ref="G3947:H3947"/>
    <mergeCell ref="G3948:H3948"/>
    <mergeCell ref="C3945:D3945"/>
    <mergeCell ref="C3946:D3946"/>
    <mergeCell ref="G3946:H3946"/>
    <mergeCell ref="K3946:L3946"/>
    <mergeCell ref="C3947:D3947"/>
    <mergeCell ref="K3947:L3947"/>
    <mergeCell ref="K3948:L3948"/>
    <mergeCell ref="G3926:H3926"/>
    <mergeCell ref="G3927:H3927"/>
    <mergeCell ref="C3924:D3924"/>
    <mergeCell ref="C3925:D3925"/>
    <mergeCell ref="G3925:H3925"/>
    <mergeCell ref="K3925:L3925"/>
    <mergeCell ref="C3926:D3926"/>
    <mergeCell ref="K3926:L3926"/>
    <mergeCell ref="K3927:L3927"/>
    <mergeCell ref="G3929:H3929"/>
    <mergeCell ref="G3930:H3930"/>
    <mergeCell ref="C3927:D3927"/>
    <mergeCell ref="C3928:D3928"/>
    <mergeCell ref="G3928:H3928"/>
    <mergeCell ref="K3928:L3928"/>
    <mergeCell ref="C3929:D3929"/>
    <mergeCell ref="K3929:L3929"/>
    <mergeCell ref="K3930:L3930"/>
    <mergeCell ref="G3932:H3932"/>
    <mergeCell ref="G3933:H3933"/>
    <mergeCell ref="C3930:D3930"/>
    <mergeCell ref="C3931:D3931"/>
    <mergeCell ref="G3931:H3931"/>
    <mergeCell ref="K3931:L3931"/>
    <mergeCell ref="C3932:D3932"/>
    <mergeCell ref="K3932:L3932"/>
    <mergeCell ref="K3933:L3933"/>
    <mergeCell ref="G3935:H3935"/>
    <mergeCell ref="G3936:H3936"/>
    <mergeCell ref="C3933:D3933"/>
    <mergeCell ref="C3934:D3934"/>
    <mergeCell ref="G3934:H3934"/>
    <mergeCell ref="K3934:L3934"/>
    <mergeCell ref="C3935:D3935"/>
    <mergeCell ref="K3935:L3935"/>
    <mergeCell ref="K3936:L3936"/>
    <mergeCell ref="G3914:H3914"/>
    <mergeCell ref="G3915:H3915"/>
    <mergeCell ref="C3912:D3912"/>
    <mergeCell ref="C3913:D3913"/>
    <mergeCell ref="G3913:H3913"/>
    <mergeCell ref="K3913:L3913"/>
    <mergeCell ref="C3914:D3914"/>
    <mergeCell ref="K3914:L3914"/>
    <mergeCell ref="K3915:L3915"/>
    <mergeCell ref="G3917:H3917"/>
    <mergeCell ref="G3918:H3918"/>
    <mergeCell ref="C3915:D3915"/>
    <mergeCell ref="C3916:D3916"/>
    <mergeCell ref="G3916:H3916"/>
    <mergeCell ref="K3916:L3916"/>
    <mergeCell ref="C3917:D3917"/>
    <mergeCell ref="K3917:L3917"/>
    <mergeCell ref="K3918:L3918"/>
    <mergeCell ref="G3920:H3920"/>
    <mergeCell ref="G3921:H3921"/>
    <mergeCell ref="C3918:D3918"/>
    <mergeCell ref="C3919:D3919"/>
    <mergeCell ref="G3919:H3919"/>
    <mergeCell ref="K3919:L3919"/>
    <mergeCell ref="C3920:D3920"/>
    <mergeCell ref="K3920:L3920"/>
    <mergeCell ref="K3921:L3921"/>
    <mergeCell ref="G3923:H3923"/>
    <mergeCell ref="G3924:H3924"/>
    <mergeCell ref="C3921:D3921"/>
    <mergeCell ref="C3922:D3922"/>
    <mergeCell ref="G3922:H3922"/>
    <mergeCell ref="K3922:L3922"/>
    <mergeCell ref="C3923:D3923"/>
    <mergeCell ref="K3923:L3923"/>
    <mergeCell ref="K3924:L3924"/>
    <mergeCell ref="G3902:H3902"/>
    <mergeCell ref="G3903:H3903"/>
    <mergeCell ref="C3900:D3900"/>
    <mergeCell ref="C3901:D3901"/>
    <mergeCell ref="G3901:H3901"/>
    <mergeCell ref="K3901:L3901"/>
    <mergeCell ref="C3902:D3902"/>
    <mergeCell ref="K3902:L3902"/>
    <mergeCell ref="K3903:L3903"/>
    <mergeCell ref="G3905:H3905"/>
    <mergeCell ref="G3906:H3906"/>
    <mergeCell ref="C3903:D3903"/>
    <mergeCell ref="C3904:D3904"/>
    <mergeCell ref="G3904:H3904"/>
    <mergeCell ref="K3904:L3904"/>
    <mergeCell ref="C3905:D3905"/>
    <mergeCell ref="K3905:L3905"/>
    <mergeCell ref="K3906:L3906"/>
    <mergeCell ref="G3908:H3908"/>
    <mergeCell ref="G3909:H3909"/>
    <mergeCell ref="C3906:D3906"/>
    <mergeCell ref="C3907:D3907"/>
    <mergeCell ref="G3907:H3907"/>
    <mergeCell ref="K3907:L3907"/>
    <mergeCell ref="C3908:D3908"/>
    <mergeCell ref="K3908:L3908"/>
    <mergeCell ref="K3909:L3909"/>
    <mergeCell ref="G3911:H3911"/>
    <mergeCell ref="G3912:H3912"/>
    <mergeCell ref="C3909:D3909"/>
    <mergeCell ref="C3910:D3910"/>
    <mergeCell ref="G3910:H3910"/>
    <mergeCell ref="K3910:L3910"/>
    <mergeCell ref="C3911:D3911"/>
    <mergeCell ref="K3911:L3911"/>
    <mergeCell ref="K3912:L3912"/>
    <mergeCell ref="G3890:H3890"/>
    <mergeCell ref="G3891:H3891"/>
    <mergeCell ref="C3888:D3888"/>
    <mergeCell ref="C3889:D3889"/>
    <mergeCell ref="G3889:H3889"/>
    <mergeCell ref="K3889:L3889"/>
    <mergeCell ref="C3890:D3890"/>
    <mergeCell ref="K3890:L3890"/>
    <mergeCell ref="K3891:L3891"/>
    <mergeCell ref="G3893:H3893"/>
    <mergeCell ref="G3894:H3894"/>
    <mergeCell ref="C3891:D3891"/>
    <mergeCell ref="C3892:D3892"/>
    <mergeCell ref="G3892:H3892"/>
    <mergeCell ref="K3892:L3892"/>
    <mergeCell ref="C3893:D3893"/>
    <mergeCell ref="K3893:L3893"/>
    <mergeCell ref="K3894:L3894"/>
    <mergeCell ref="G3896:H3896"/>
    <mergeCell ref="G3897:H3897"/>
    <mergeCell ref="C3894:D3894"/>
    <mergeCell ref="C3895:D3895"/>
    <mergeCell ref="G3895:H3895"/>
    <mergeCell ref="K3895:L3895"/>
    <mergeCell ref="C3896:D3896"/>
    <mergeCell ref="K3896:L3896"/>
    <mergeCell ref="K3897:L3897"/>
    <mergeCell ref="G3899:H3899"/>
    <mergeCell ref="G3900:H3900"/>
    <mergeCell ref="C3897:D3897"/>
    <mergeCell ref="C3898:D3898"/>
    <mergeCell ref="G3898:H3898"/>
    <mergeCell ref="K3898:L3898"/>
    <mergeCell ref="C3899:D3899"/>
    <mergeCell ref="K3899:L3899"/>
    <mergeCell ref="K3900:L3900"/>
    <mergeCell ref="G3878:H3878"/>
    <mergeCell ref="G3879:H3879"/>
    <mergeCell ref="C3876:D3876"/>
    <mergeCell ref="C3877:D3877"/>
    <mergeCell ref="G3877:H3877"/>
    <mergeCell ref="K3877:L3877"/>
    <mergeCell ref="C3878:D3878"/>
    <mergeCell ref="K3878:L3878"/>
    <mergeCell ref="K3879:L3879"/>
    <mergeCell ref="G3881:H3881"/>
    <mergeCell ref="G3882:H3882"/>
    <mergeCell ref="C3879:D3879"/>
    <mergeCell ref="C3880:D3880"/>
    <mergeCell ref="G3880:H3880"/>
    <mergeCell ref="K3880:L3880"/>
    <mergeCell ref="C3881:D3881"/>
    <mergeCell ref="K3881:L3881"/>
    <mergeCell ref="K3882:L3882"/>
    <mergeCell ref="G3884:H3884"/>
    <mergeCell ref="G3885:H3885"/>
    <mergeCell ref="C3882:D3882"/>
    <mergeCell ref="C3883:D3883"/>
    <mergeCell ref="G3883:H3883"/>
    <mergeCell ref="K3883:L3883"/>
    <mergeCell ref="C3884:D3884"/>
    <mergeCell ref="K3884:L3884"/>
    <mergeCell ref="K3885:L3885"/>
    <mergeCell ref="G3887:H3887"/>
    <mergeCell ref="G3888:H3888"/>
    <mergeCell ref="C3885:D3885"/>
    <mergeCell ref="C3886:D3886"/>
    <mergeCell ref="G3886:H3886"/>
    <mergeCell ref="K3886:L3886"/>
    <mergeCell ref="C3887:D3887"/>
    <mergeCell ref="K3887:L3887"/>
    <mergeCell ref="K3888:L3888"/>
    <mergeCell ref="G2837:H2837"/>
    <mergeCell ref="G2838:H2838"/>
    <mergeCell ref="C2835:D2835"/>
    <mergeCell ref="C2836:D2836"/>
    <mergeCell ref="G2836:H2836"/>
    <mergeCell ref="K2836:L2836"/>
    <mergeCell ref="C2837:D2837"/>
    <mergeCell ref="K2837:L2837"/>
    <mergeCell ref="K2838:L2838"/>
    <mergeCell ref="G3869:H3869"/>
    <mergeCell ref="G3870:H3870"/>
    <mergeCell ref="C3867:D3867"/>
    <mergeCell ref="C3868:D3868"/>
    <mergeCell ref="G3868:H3868"/>
    <mergeCell ref="K3868:L3868"/>
    <mergeCell ref="C3869:D3869"/>
    <mergeCell ref="K3869:L3869"/>
    <mergeCell ref="K3870:L3870"/>
    <mergeCell ref="G3872:H3872"/>
    <mergeCell ref="G3873:H3873"/>
    <mergeCell ref="C3870:D3870"/>
    <mergeCell ref="C3871:D3871"/>
    <mergeCell ref="G3871:H3871"/>
    <mergeCell ref="K3871:L3871"/>
    <mergeCell ref="C3872:D3872"/>
    <mergeCell ref="K3872:L3872"/>
    <mergeCell ref="K3873:L3873"/>
    <mergeCell ref="G3875:H3875"/>
    <mergeCell ref="G3876:H3876"/>
    <mergeCell ref="C3873:D3873"/>
    <mergeCell ref="C3874:D3874"/>
    <mergeCell ref="G3874:H3874"/>
    <mergeCell ref="K3874:L3874"/>
    <mergeCell ref="C3875:D3875"/>
    <mergeCell ref="K3875:L3875"/>
    <mergeCell ref="K3876:L3876"/>
    <mergeCell ref="G2853:H2853"/>
    <mergeCell ref="C2850:D2850"/>
    <mergeCell ref="C2851:D2851"/>
    <mergeCell ref="G2851:H2851"/>
    <mergeCell ref="K2851:L2851"/>
    <mergeCell ref="C2852:D2852"/>
    <mergeCell ref="K2852:L2852"/>
    <mergeCell ref="K2853:L2853"/>
    <mergeCell ref="G2855:H2855"/>
    <mergeCell ref="G2856:H2856"/>
    <mergeCell ref="C2853:D2853"/>
    <mergeCell ref="C2854:D2854"/>
    <mergeCell ref="G2854:H2854"/>
    <mergeCell ref="K2854:L2854"/>
    <mergeCell ref="C2855:D2855"/>
    <mergeCell ref="K2855:L2855"/>
    <mergeCell ref="K2856:L2856"/>
    <mergeCell ref="G2858:H2858"/>
    <mergeCell ref="G2859:H2859"/>
    <mergeCell ref="C2856:D2856"/>
    <mergeCell ref="C2857:D2857"/>
    <mergeCell ref="G2857:H2857"/>
    <mergeCell ref="K2857:L2857"/>
    <mergeCell ref="C2858:D2858"/>
    <mergeCell ref="K2858:L2858"/>
    <mergeCell ref="K2859:L2859"/>
    <mergeCell ref="G2861:H2861"/>
    <mergeCell ref="G2862:H2862"/>
    <mergeCell ref="G2825:H2825"/>
    <mergeCell ref="G2826:H2826"/>
    <mergeCell ref="C2823:D2823"/>
    <mergeCell ref="C2824:D2824"/>
    <mergeCell ref="G2824:H2824"/>
    <mergeCell ref="K2824:L2824"/>
    <mergeCell ref="C2825:D2825"/>
    <mergeCell ref="K2825:L2825"/>
    <mergeCell ref="K2826:L2826"/>
    <mergeCell ref="G2828:H2828"/>
    <mergeCell ref="G2829:H2829"/>
    <mergeCell ref="C2826:D2826"/>
    <mergeCell ref="C2827:D2827"/>
    <mergeCell ref="G2827:H2827"/>
    <mergeCell ref="K2827:L2827"/>
    <mergeCell ref="C2828:D2828"/>
    <mergeCell ref="K2828:L2828"/>
    <mergeCell ref="K2829:L2829"/>
    <mergeCell ref="G2831:H2831"/>
    <mergeCell ref="G2832:H2832"/>
    <mergeCell ref="C2829:D2829"/>
    <mergeCell ref="C2830:D2830"/>
    <mergeCell ref="G2830:H2830"/>
    <mergeCell ref="K2830:L2830"/>
    <mergeCell ref="C2831:D2831"/>
    <mergeCell ref="K2831:L2831"/>
    <mergeCell ref="K2832:L2832"/>
    <mergeCell ref="G2834:H2834"/>
    <mergeCell ref="G2835:H2835"/>
    <mergeCell ref="C2832:D2832"/>
    <mergeCell ref="C2833:D2833"/>
    <mergeCell ref="G2833:H2833"/>
    <mergeCell ref="K2833:L2833"/>
    <mergeCell ref="C2834:D2834"/>
    <mergeCell ref="K2834:L2834"/>
    <mergeCell ref="K2835:L2835"/>
    <mergeCell ref="G2813:H2813"/>
    <mergeCell ref="G2814:H2814"/>
    <mergeCell ref="C2811:D2811"/>
    <mergeCell ref="C2812:D2812"/>
    <mergeCell ref="G2812:H2812"/>
    <mergeCell ref="K2812:L2812"/>
    <mergeCell ref="C2813:D2813"/>
    <mergeCell ref="K2813:L2813"/>
    <mergeCell ref="K2814:L2814"/>
    <mergeCell ref="G2816:H2816"/>
    <mergeCell ref="G2817:H2817"/>
    <mergeCell ref="C2814:D2814"/>
    <mergeCell ref="C2815:D2815"/>
    <mergeCell ref="G2815:H2815"/>
    <mergeCell ref="K2815:L2815"/>
    <mergeCell ref="C2816:D2816"/>
    <mergeCell ref="K2816:L2816"/>
    <mergeCell ref="K2817:L2817"/>
    <mergeCell ref="G2819:H2819"/>
    <mergeCell ref="G2820:H2820"/>
    <mergeCell ref="C2817:D2817"/>
    <mergeCell ref="C2818:D2818"/>
    <mergeCell ref="G2818:H2818"/>
    <mergeCell ref="K2818:L2818"/>
    <mergeCell ref="C2819:D2819"/>
    <mergeCell ref="K2819:L2819"/>
    <mergeCell ref="K2820:L2820"/>
    <mergeCell ref="G2822:H2822"/>
    <mergeCell ref="G2823:H2823"/>
    <mergeCell ref="C2820:D2820"/>
    <mergeCell ref="C2821:D2821"/>
    <mergeCell ref="G2821:H2821"/>
    <mergeCell ref="K2821:L2821"/>
    <mergeCell ref="C2822:D2822"/>
    <mergeCell ref="K2822:L2822"/>
    <mergeCell ref="K2823:L2823"/>
    <mergeCell ref="G2801:H2801"/>
    <mergeCell ref="G2802:H2802"/>
    <mergeCell ref="C2799:D2799"/>
    <mergeCell ref="C2800:D2800"/>
    <mergeCell ref="G2800:H2800"/>
    <mergeCell ref="K2800:L2800"/>
    <mergeCell ref="C2801:D2801"/>
    <mergeCell ref="K2801:L2801"/>
    <mergeCell ref="K2802:L2802"/>
    <mergeCell ref="G2804:H2804"/>
    <mergeCell ref="G2805:H2805"/>
    <mergeCell ref="C2802:D2802"/>
    <mergeCell ref="C2803:D2803"/>
    <mergeCell ref="G2803:H2803"/>
    <mergeCell ref="K2803:L2803"/>
    <mergeCell ref="C2804:D2804"/>
    <mergeCell ref="K2804:L2804"/>
    <mergeCell ref="K2805:L2805"/>
    <mergeCell ref="G2807:H2807"/>
    <mergeCell ref="G2808:H2808"/>
    <mergeCell ref="C2805:D2805"/>
    <mergeCell ref="C2806:D2806"/>
    <mergeCell ref="G2806:H2806"/>
    <mergeCell ref="K2806:L2806"/>
    <mergeCell ref="C2807:D2807"/>
    <mergeCell ref="K2807:L2807"/>
    <mergeCell ref="K2808:L2808"/>
    <mergeCell ref="G2810:H2810"/>
    <mergeCell ref="G2811:H2811"/>
    <mergeCell ref="C2808:D2808"/>
    <mergeCell ref="C2809:D2809"/>
    <mergeCell ref="G2809:H2809"/>
    <mergeCell ref="K2809:L2809"/>
    <mergeCell ref="C2810:D2810"/>
    <mergeCell ref="K2810:L2810"/>
    <mergeCell ref="K2811:L2811"/>
    <mergeCell ref="G2789:H2789"/>
    <mergeCell ref="G2790:H2790"/>
    <mergeCell ref="C2787:D2787"/>
    <mergeCell ref="C2788:D2788"/>
    <mergeCell ref="G2788:H2788"/>
    <mergeCell ref="K2788:L2788"/>
    <mergeCell ref="C2789:D2789"/>
    <mergeCell ref="K2789:L2789"/>
    <mergeCell ref="K2790:L2790"/>
    <mergeCell ref="G2792:H2792"/>
    <mergeCell ref="G2793:H2793"/>
    <mergeCell ref="C2790:D2790"/>
    <mergeCell ref="C2791:D2791"/>
    <mergeCell ref="G2791:H2791"/>
    <mergeCell ref="K2791:L2791"/>
    <mergeCell ref="C2792:D2792"/>
    <mergeCell ref="K2792:L2792"/>
    <mergeCell ref="K2793:L2793"/>
    <mergeCell ref="G2795:H2795"/>
    <mergeCell ref="G2796:H2796"/>
    <mergeCell ref="C2793:D2793"/>
    <mergeCell ref="C2794:D2794"/>
    <mergeCell ref="G2794:H2794"/>
    <mergeCell ref="K2794:L2794"/>
    <mergeCell ref="C2795:D2795"/>
    <mergeCell ref="K2795:L2795"/>
    <mergeCell ref="K2796:L2796"/>
    <mergeCell ref="G2798:H2798"/>
    <mergeCell ref="G2799:H2799"/>
    <mergeCell ref="C2796:D2796"/>
    <mergeCell ref="C2797:D2797"/>
    <mergeCell ref="G2797:H2797"/>
    <mergeCell ref="K2797:L2797"/>
    <mergeCell ref="C2798:D2798"/>
    <mergeCell ref="K2798:L2798"/>
    <mergeCell ref="K2799:L2799"/>
    <mergeCell ref="G2777:H2777"/>
    <mergeCell ref="G2778:H2778"/>
    <mergeCell ref="C2775:D2775"/>
    <mergeCell ref="C2776:D2776"/>
    <mergeCell ref="G2776:H2776"/>
    <mergeCell ref="K2776:L2776"/>
    <mergeCell ref="C2777:D2777"/>
    <mergeCell ref="K2777:L2777"/>
    <mergeCell ref="K2778:L2778"/>
    <mergeCell ref="G2780:H2780"/>
    <mergeCell ref="G2781:H2781"/>
    <mergeCell ref="C2778:D2778"/>
    <mergeCell ref="C2779:D2779"/>
    <mergeCell ref="G2779:H2779"/>
    <mergeCell ref="K2779:L2779"/>
    <mergeCell ref="C2780:D2780"/>
    <mergeCell ref="K2780:L2780"/>
    <mergeCell ref="K2781:L2781"/>
    <mergeCell ref="G2783:H2783"/>
    <mergeCell ref="G2784:H2784"/>
    <mergeCell ref="C2781:D2781"/>
    <mergeCell ref="C2782:D2782"/>
    <mergeCell ref="G2782:H2782"/>
    <mergeCell ref="K2782:L2782"/>
    <mergeCell ref="C2783:D2783"/>
    <mergeCell ref="K2783:L2783"/>
    <mergeCell ref="K2784:L2784"/>
    <mergeCell ref="G2786:H2786"/>
    <mergeCell ref="G2787:H2787"/>
    <mergeCell ref="C2784:D2784"/>
    <mergeCell ref="C2785:D2785"/>
    <mergeCell ref="G2785:H2785"/>
    <mergeCell ref="K2785:L2785"/>
    <mergeCell ref="C2786:D2786"/>
    <mergeCell ref="K2786:L2786"/>
    <mergeCell ref="K2787:L2787"/>
    <mergeCell ref="G2765:H2765"/>
    <mergeCell ref="G2766:H2766"/>
    <mergeCell ref="C2763:D2763"/>
    <mergeCell ref="C2764:D2764"/>
    <mergeCell ref="G2764:H2764"/>
    <mergeCell ref="K2764:L2764"/>
    <mergeCell ref="C2765:D2765"/>
    <mergeCell ref="K2765:L2765"/>
    <mergeCell ref="K2766:L2766"/>
    <mergeCell ref="G2768:H2768"/>
    <mergeCell ref="G2769:H2769"/>
    <mergeCell ref="C2766:D2766"/>
    <mergeCell ref="C2767:D2767"/>
    <mergeCell ref="G2767:H2767"/>
    <mergeCell ref="K2767:L2767"/>
    <mergeCell ref="C2768:D2768"/>
    <mergeCell ref="K2768:L2768"/>
    <mergeCell ref="K2769:L2769"/>
    <mergeCell ref="G2771:H2771"/>
    <mergeCell ref="G2772:H2772"/>
    <mergeCell ref="C2769:D2769"/>
    <mergeCell ref="C2770:D2770"/>
    <mergeCell ref="G2770:H2770"/>
    <mergeCell ref="K2770:L2770"/>
    <mergeCell ref="C2771:D2771"/>
    <mergeCell ref="K2771:L2771"/>
    <mergeCell ref="K2772:L2772"/>
    <mergeCell ref="G2774:H2774"/>
    <mergeCell ref="G2775:H2775"/>
    <mergeCell ref="C2772:D2772"/>
    <mergeCell ref="C2773:D2773"/>
    <mergeCell ref="G2773:H2773"/>
    <mergeCell ref="K2773:L2773"/>
    <mergeCell ref="C2774:D2774"/>
    <mergeCell ref="K2774:L2774"/>
    <mergeCell ref="K2775:L2775"/>
    <mergeCell ref="G2753:H2753"/>
    <mergeCell ref="G2754:H2754"/>
    <mergeCell ref="C2751:D2751"/>
    <mergeCell ref="C2752:D2752"/>
    <mergeCell ref="G2752:H2752"/>
    <mergeCell ref="K2752:L2752"/>
    <mergeCell ref="C2753:D2753"/>
    <mergeCell ref="K2753:L2753"/>
    <mergeCell ref="K2754:L2754"/>
    <mergeCell ref="G2756:H2756"/>
    <mergeCell ref="G2757:H2757"/>
    <mergeCell ref="C2754:D2754"/>
    <mergeCell ref="C2755:D2755"/>
    <mergeCell ref="G2755:H2755"/>
    <mergeCell ref="K2755:L2755"/>
    <mergeCell ref="C2756:D2756"/>
    <mergeCell ref="K2756:L2756"/>
    <mergeCell ref="K2757:L2757"/>
    <mergeCell ref="G2759:H2759"/>
    <mergeCell ref="G2760:H2760"/>
    <mergeCell ref="C2757:D2757"/>
    <mergeCell ref="C2758:D2758"/>
    <mergeCell ref="G2758:H2758"/>
    <mergeCell ref="K2758:L2758"/>
    <mergeCell ref="C2759:D2759"/>
    <mergeCell ref="K2759:L2759"/>
    <mergeCell ref="K2760:L2760"/>
    <mergeCell ref="G2762:H2762"/>
    <mergeCell ref="G2763:H2763"/>
    <mergeCell ref="C2760:D2760"/>
    <mergeCell ref="C2761:D2761"/>
    <mergeCell ref="G2761:H2761"/>
    <mergeCell ref="K2761:L2761"/>
    <mergeCell ref="C2762:D2762"/>
    <mergeCell ref="K2762:L2762"/>
    <mergeCell ref="K2763:L2763"/>
    <mergeCell ref="G2741:H2741"/>
    <mergeCell ref="G2742:H2742"/>
    <mergeCell ref="C2739:D2739"/>
    <mergeCell ref="C2740:D2740"/>
    <mergeCell ref="G2740:H2740"/>
    <mergeCell ref="K2740:L2740"/>
    <mergeCell ref="C2741:D2741"/>
    <mergeCell ref="K2741:L2741"/>
    <mergeCell ref="K2742:L2742"/>
    <mergeCell ref="G2744:H2744"/>
    <mergeCell ref="G2745:H2745"/>
    <mergeCell ref="C2742:D2742"/>
    <mergeCell ref="C2743:D2743"/>
    <mergeCell ref="G2743:H2743"/>
    <mergeCell ref="K2743:L2743"/>
    <mergeCell ref="C2744:D2744"/>
    <mergeCell ref="K2744:L2744"/>
    <mergeCell ref="K2745:L2745"/>
    <mergeCell ref="G2747:H2747"/>
    <mergeCell ref="G2748:H2748"/>
    <mergeCell ref="C2745:D2745"/>
    <mergeCell ref="C2746:D2746"/>
    <mergeCell ref="G2746:H2746"/>
    <mergeCell ref="K2746:L2746"/>
    <mergeCell ref="C2747:D2747"/>
    <mergeCell ref="K2747:L2747"/>
    <mergeCell ref="K2748:L2748"/>
    <mergeCell ref="G2750:H2750"/>
    <mergeCell ref="G2751:H2751"/>
    <mergeCell ref="C2748:D2748"/>
    <mergeCell ref="C2749:D2749"/>
    <mergeCell ref="G2749:H2749"/>
    <mergeCell ref="K2749:L2749"/>
    <mergeCell ref="C2750:D2750"/>
    <mergeCell ref="K2750:L2750"/>
    <mergeCell ref="K2751:L2751"/>
    <mergeCell ref="G2729:H2729"/>
    <mergeCell ref="G2730:H2730"/>
    <mergeCell ref="C2727:D2727"/>
    <mergeCell ref="C2728:D2728"/>
    <mergeCell ref="G2728:H2728"/>
    <mergeCell ref="K2728:L2728"/>
    <mergeCell ref="C2729:D2729"/>
    <mergeCell ref="K2729:L2729"/>
    <mergeCell ref="K2730:L2730"/>
    <mergeCell ref="G2732:H2732"/>
    <mergeCell ref="G2733:H2733"/>
    <mergeCell ref="C2730:D2730"/>
    <mergeCell ref="C2731:D2731"/>
    <mergeCell ref="G2731:H2731"/>
    <mergeCell ref="K2731:L2731"/>
    <mergeCell ref="C2732:D2732"/>
    <mergeCell ref="K2732:L2732"/>
    <mergeCell ref="K2733:L2733"/>
    <mergeCell ref="G2735:H2735"/>
    <mergeCell ref="G2736:H2736"/>
    <mergeCell ref="C2733:D2733"/>
    <mergeCell ref="C2734:D2734"/>
    <mergeCell ref="G2734:H2734"/>
    <mergeCell ref="K2734:L2734"/>
    <mergeCell ref="C2735:D2735"/>
    <mergeCell ref="K2735:L2735"/>
    <mergeCell ref="K2736:L2736"/>
    <mergeCell ref="G2738:H2738"/>
    <mergeCell ref="G2739:H2739"/>
    <mergeCell ref="C2736:D2736"/>
    <mergeCell ref="C2737:D2737"/>
    <mergeCell ref="G2737:H2737"/>
    <mergeCell ref="K2737:L2737"/>
    <mergeCell ref="C2738:D2738"/>
    <mergeCell ref="K2738:L2738"/>
    <mergeCell ref="K2739:L2739"/>
    <mergeCell ref="G2717:H2717"/>
    <mergeCell ref="G2718:H2718"/>
    <mergeCell ref="C2715:D2715"/>
    <mergeCell ref="C2716:D2716"/>
    <mergeCell ref="G2716:H2716"/>
    <mergeCell ref="K2716:L2716"/>
    <mergeCell ref="C2717:D2717"/>
    <mergeCell ref="K2717:L2717"/>
    <mergeCell ref="K2718:L2718"/>
    <mergeCell ref="G2720:H2720"/>
    <mergeCell ref="G2721:H2721"/>
    <mergeCell ref="C2718:D2718"/>
    <mergeCell ref="C2719:D2719"/>
    <mergeCell ref="G2719:H2719"/>
    <mergeCell ref="K2719:L2719"/>
    <mergeCell ref="C2720:D2720"/>
    <mergeCell ref="K2720:L2720"/>
    <mergeCell ref="K2721:L2721"/>
    <mergeCell ref="G2723:H2723"/>
    <mergeCell ref="G2724:H2724"/>
    <mergeCell ref="C2721:D2721"/>
    <mergeCell ref="C2722:D2722"/>
    <mergeCell ref="G2722:H2722"/>
    <mergeCell ref="K2722:L2722"/>
    <mergeCell ref="C2723:D2723"/>
    <mergeCell ref="K2723:L2723"/>
    <mergeCell ref="K2724:L2724"/>
    <mergeCell ref="G2726:H2726"/>
    <mergeCell ref="G2727:H2727"/>
    <mergeCell ref="C2724:D2724"/>
    <mergeCell ref="C2725:D2725"/>
    <mergeCell ref="G2725:H2725"/>
    <mergeCell ref="K2725:L2725"/>
    <mergeCell ref="C2726:D2726"/>
    <mergeCell ref="K2726:L2726"/>
    <mergeCell ref="K2727:L2727"/>
    <mergeCell ref="G2705:H2705"/>
    <mergeCell ref="G2706:H2706"/>
    <mergeCell ref="C2703:D2703"/>
    <mergeCell ref="C2704:D2704"/>
    <mergeCell ref="G2704:H2704"/>
    <mergeCell ref="K2704:L2704"/>
    <mergeCell ref="C2705:D2705"/>
    <mergeCell ref="K2705:L2705"/>
    <mergeCell ref="K2706:L2706"/>
    <mergeCell ref="G2708:H2708"/>
    <mergeCell ref="G2709:H2709"/>
    <mergeCell ref="C2706:D2706"/>
    <mergeCell ref="C2707:D2707"/>
    <mergeCell ref="G2707:H2707"/>
    <mergeCell ref="K2707:L2707"/>
    <mergeCell ref="C2708:D2708"/>
    <mergeCell ref="K2708:L2708"/>
    <mergeCell ref="K2709:L2709"/>
    <mergeCell ref="G2711:H2711"/>
    <mergeCell ref="G2712:H2712"/>
    <mergeCell ref="C2709:D2709"/>
    <mergeCell ref="C2710:D2710"/>
    <mergeCell ref="G2710:H2710"/>
    <mergeCell ref="K2710:L2710"/>
    <mergeCell ref="C2711:D2711"/>
    <mergeCell ref="K2711:L2711"/>
    <mergeCell ref="K2712:L2712"/>
    <mergeCell ref="G2714:H2714"/>
    <mergeCell ref="G2715:H2715"/>
    <mergeCell ref="C2712:D2712"/>
    <mergeCell ref="C2713:D2713"/>
    <mergeCell ref="G2713:H2713"/>
    <mergeCell ref="K2713:L2713"/>
    <mergeCell ref="C2714:D2714"/>
    <mergeCell ref="K2714:L2714"/>
    <mergeCell ref="K2715:L2715"/>
    <mergeCell ref="G2693:H2693"/>
    <mergeCell ref="G2694:H2694"/>
    <mergeCell ref="C2691:D2691"/>
    <mergeCell ref="C2692:D2692"/>
    <mergeCell ref="G2692:H2692"/>
    <mergeCell ref="K2692:L2692"/>
    <mergeCell ref="C2693:D2693"/>
    <mergeCell ref="K2693:L2693"/>
    <mergeCell ref="K2694:L2694"/>
    <mergeCell ref="G2696:H2696"/>
    <mergeCell ref="G2697:H2697"/>
    <mergeCell ref="C2694:D2694"/>
    <mergeCell ref="C2695:D2695"/>
    <mergeCell ref="G2695:H2695"/>
    <mergeCell ref="K2695:L2695"/>
    <mergeCell ref="C2696:D2696"/>
    <mergeCell ref="K2696:L2696"/>
    <mergeCell ref="K2697:L2697"/>
    <mergeCell ref="G2699:H2699"/>
    <mergeCell ref="G2700:H2700"/>
    <mergeCell ref="C2697:D2697"/>
    <mergeCell ref="C2698:D2698"/>
    <mergeCell ref="G2698:H2698"/>
    <mergeCell ref="K2698:L2698"/>
    <mergeCell ref="C2699:D2699"/>
    <mergeCell ref="K2699:L2699"/>
    <mergeCell ref="K2700:L2700"/>
    <mergeCell ref="G2702:H2702"/>
    <mergeCell ref="G2703:H2703"/>
    <mergeCell ref="C2700:D2700"/>
    <mergeCell ref="C2701:D2701"/>
    <mergeCell ref="G2701:H2701"/>
    <mergeCell ref="K2701:L2701"/>
    <mergeCell ref="C2702:D2702"/>
    <mergeCell ref="K2702:L2702"/>
    <mergeCell ref="K2703:L2703"/>
    <mergeCell ref="G2681:H2681"/>
    <mergeCell ref="G2682:H2682"/>
    <mergeCell ref="C2679:D2679"/>
    <mergeCell ref="C2680:D2680"/>
    <mergeCell ref="G2680:H2680"/>
    <mergeCell ref="K2680:L2680"/>
    <mergeCell ref="C2681:D2681"/>
    <mergeCell ref="K2681:L2681"/>
    <mergeCell ref="K2682:L2682"/>
    <mergeCell ref="G2684:H2684"/>
    <mergeCell ref="G2685:H2685"/>
    <mergeCell ref="C2682:D2682"/>
    <mergeCell ref="C2683:D2683"/>
    <mergeCell ref="G2683:H2683"/>
    <mergeCell ref="K2683:L2683"/>
    <mergeCell ref="C2684:D2684"/>
    <mergeCell ref="K2684:L2684"/>
    <mergeCell ref="K2685:L2685"/>
    <mergeCell ref="G2687:H2687"/>
    <mergeCell ref="G2688:H2688"/>
    <mergeCell ref="C2685:D2685"/>
    <mergeCell ref="C2686:D2686"/>
    <mergeCell ref="G2686:H2686"/>
    <mergeCell ref="K2686:L2686"/>
    <mergeCell ref="C2687:D2687"/>
    <mergeCell ref="K2687:L2687"/>
    <mergeCell ref="K2688:L2688"/>
    <mergeCell ref="G2690:H2690"/>
    <mergeCell ref="G2691:H2691"/>
    <mergeCell ref="C2688:D2688"/>
    <mergeCell ref="C2689:D2689"/>
    <mergeCell ref="G2689:H2689"/>
    <mergeCell ref="K2689:L2689"/>
    <mergeCell ref="C2690:D2690"/>
    <mergeCell ref="K2690:L2690"/>
    <mergeCell ref="K2691:L2691"/>
    <mergeCell ref="G2669:H2669"/>
    <mergeCell ref="G2670:H2670"/>
    <mergeCell ref="C2667:D2667"/>
    <mergeCell ref="C2668:D2668"/>
    <mergeCell ref="G2668:H2668"/>
    <mergeCell ref="K2668:L2668"/>
    <mergeCell ref="C2669:D2669"/>
    <mergeCell ref="K2669:L2669"/>
    <mergeCell ref="K2670:L2670"/>
    <mergeCell ref="G2672:H2672"/>
    <mergeCell ref="G2673:H2673"/>
    <mergeCell ref="C2670:D2670"/>
    <mergeCell ref="C2671:D2671"/>
    <mergeCell ref="G2671:H2671"/>
    <mergeCell ref="K2671:L2671"/>
    <mergeCell ref="C2672:D2672"/>
    <mergeCell ref="K2672:L2672"/>
    <mergeCell ref="K2673:L2673"/>
    <mergeCell ref="G2675:H2675"/>
    <mergeCell ref="G2676:H2676"/>
    <mergeCell ref="C2673:D2673"/>
    <mergeCell ref="C2674:D2674"/>
    <mergeCell ref="G2674:H2674"/>
    <mergeCell ref="K2674:L2674"/>
    <mergeCell ref="C2675:D2675"/>
    <mergeCell ref="K2675:L2675"/>
    <mergeCell ref="K2676:L2676"/>
    <mergeCell ref="G2678:H2678"/>
    <mergeCell ref="G2679:H2679"/>
    <mergeCell ref="C2676:D2676"/>
    <mergeCell ref="C2677:D2677"/>
    <mergeCell ref="G2677:H2677"/>
    <mergeCell ref="K2677:L2677"/>
    <mergeCell ref="C2678:D2678"/>
    <mergeCell ref="K2678:L2678"/>
    <mergeCell ref="K2679:L2679"/>
    <mergeCell ref="G2657:H2657"/>
    <mergeCell ref="G2658:H2658"/>
    <mergeCell ref="C2655:D2655"/>
    <mergeCell ref="C2656:D2656"/>
    <mergeCell ref="G2656:H2656"/>
    <mergeCell ref="K2656:L2656"/>
    <mergeCell ref="C2657:D2657"/>
    <mergeCell ref="K2657:L2657"/>
    <mergeCell ref="K2658:L2658"/>
    <mergeCell ref="G2660:H2660"/>
    <mergeCell ref="G2661:H2661"/>
    <mergeCell ref="C2658:D2658"/>
    <mergeCell ref="C2659:D2659"/>
    <mergeCell ref="G2659:H2659"/>
    <mergeCell ref="K2659:L2659"/>
    <mergeCell ref="C2660:D2660"/>
    <mergeCell ref="K2660:L2660"/>
    <mergeCell ref="K2661:L2661"/>
    <mergeCell ref="G2663:H2663"/>
    <mergeCell ref="G2664:H2664"/>
    <mergeCell ref="C2661:D2661"/>
    <mergeCell ref="C2662:D2662"/>
    <mergeCell ref="G2662:H2662"/>
    <mergeCell ref="K2662:L2662"/>
    <mergeCell ref="C2663:D2663"/>
    <mergeCell ref="K2663:L2663"/>
    <mergeCell ref="K2664:L2664"/>
    <mergeCell ref="G2666:H2666"/>
    <mergeCell ref="G2667:H2667"/>
    <mergeCell ref="C2664:D2664"/>
    <mergeCell ref="C2665:D2665"/>
    <mergeCell ref="G2665:H2665"/>
    <mergeCell ref="K2665:L2665"/>
    <mergeCell ref="C2666:D2666"/>
    <mergeCell ref="K2666:L2666"/>
    <mergeCell ref="K2667:L2667"/>
    <mergeCell ref="G2645:H2645"/>
    <mergeCell ref="G2646:H2646"/>
    <mergeCell ref="C2643:D2643"/>
    <mergeCell ref="C2644:D2644"/>
    <mergeCell ref="G2644:H2644"/>
    <mergeCell ref="K2644:L2644"/>
    <mergeCell ref="C2645:D2645"/>
    <mergeCell ref="K2645:L2645"/>
    <mergeCell ref="K2646:L2646"/>
    <mergeCell ref="G2648:H2648"/>
    <mergeCell ref="G2649:H2649"/>
    <mergeCell ref="C2646:D2646"/>
    <mergeCell ref="C2647:D2647"/>
    <mergeCell ref="G2647:H2647"/>
    <mergeCell ref="K2647:L2647"/>
    <mergeCell ref="C2648:D2648"/>
    <mergeCell ref="K2648:L2648"/>
    <mergeCell ref="K2649:L2649"/>
    <mergeCell ref="G2651:H2651"/>
    <mergeCell ref="G2652:H2652"/>
    <mergeCell ref="C2649:D2649"/>
    <mergeCell ref="C2650:D2650"/>
    <mergeCell ref="G2650:H2650"/>
    <mergeCell ref="K2650:L2650"/>
    <mergeCell ref="C2651:D2651"/>
    <mergeCell ref="K2651:L2651"/>
    <mergeCell ref="K2652:L2652"/>
    <mergeCell ref="G2654:H2654"/>
    <mergeCell ref="G2655:H2655"/>
    <mergeCell ref="C2652:D2652"/>
    <mergeCell ref="C2653:D2653"/>
    <mergeCell ref="G2653:H2653"/>
    <mergeCell ref="K2653:L2653"/>
    <mergeCell ref="C2654:D2654"/>
    <mergeCell ref="K2654:L2654"/>
    <mergeCell ref="K2655:L2655"/>
    <mergeCell ref="G2633:H2633"/>
    <mergeCell ref="G2634:H2634"/>
    <mergeCell ref="C2631:D2631"/>
    <mergeCell ref="C2632:D2632"/>
    <mergeCell ref="G2632:H2632"/>
    <mergeCell ref="K2632:L2632"/>
    <mergeCell ref="C2633:D2633"/>
    <mergeCell ref="K2633:L2633"/>
    <mergeCell ref="K2634:L2634"/>
    <mergeCell ref="G2636:H2636"/>
    <mergeCell ref="G2637:H2637"/>
    <mergeCell ref="C2634:D2634"/>
    <mergeCell ref="C2635:D2635"/>
    <mergeCell ref="G2635:H2635"/>
    <mergeCell ref="K2635:L2635"/>
    <mergeCell ref="C2636:D2636"/>
    <mergeCell ref="K2636:L2636"/>
    <mergeCell ref="K2637:L2637"/>
    <mergeCell ref="G2639:H2639"/>
    <mergeCell ref="G2640:H2640"/>
    <mergeCell ref="C2637:D2637"/>
    <mergeCell ref="C2638:D2638"/>
    <mergeCell ref="G2638:H2638"/>
    <mergeCell ref="K2638:L2638"/>
    <mergeCell ref="C2639:D2639"/>
    <mergeCell ref="K2639:L2639"/>
    <mergeCell ref="K2640:L2640"/>
    <mergeCell ref="G2642:H2642"/>
    <mergeCell ref="G2643:H2643"/>
    <mergeCell ref="C2640:D2640"/>
    <mergeCell ref="C2641:D2641"/>
    <mergeCell ref="G2641:H2641"/>
    <mergeCell ref="K2641:L2641"/>
    <mergeCell ref="C2642:D2642"/>
    <mergeCell ref="K2642:L2642"/>
    <mergeCell ref="K2643:L2643"/>
    <mergeCell ref="G2621:H2621"/>
    <mergeCell ref="G2622:H2622"/>
    <mergeCell ref="C2619:D2619"/>
    <mergeCell ref="C2620:D2620"/>
    <mergeCell ref="G2620:H2620"/>
    <mergeCell ref="K2620:L2620"/>
    <mergeCell ref="C2621:D2621"/>
    <mergeCell ref="K2621:L2621"/>
    <mergeCell ref="K2622:L2622"/>
    <mergeCell ref="G2624:H2624"/>
    <mergeCell ref="G2625:H2625"/>
    <mergeCell ref="C2622:D2622"/>
    <mergeCell ref="C2623:D2623"/>
    <mergeCell ref="G2623:H2623"/>
    <mergeCell ref="K2623:L2623"/>
    <mergeCell ref="C2624:D2624"/>
    <mergeCell ref="K2624:L2624"/>
    <mergeCell ref="K2625:L2625"/>
    <mergeCell ref="G2627:H2627"/>
    <mergeCell ref="G2628:H2628"/>
    <mergeCell ref="C2625:D2625"/>
    <mergeCell ref="C2626:D2626"/>
    <mergeCell ref="G2626:H2626"/>
    <mergeCell ref="K2626:L2626"/>
    <mergeCell ref="C2627:D2627"/>
    <mergeCell ref="K2627:L2627"/>
    <mergeCell ref="K2628:L2628"/>
    <mergeCell ref="G2630:H2630"/>
    <mergeCell ref="G2631:H2631"/>
    <mergeCell ref="C2628:D2628"/>
    <mergeCell ref="C2629:D2629"/>
    <mergeCell ref="G2629:H2629"/>
    <mergeCell ref="K2629:L2629"/>
    <mergeCell ref="C2630:D2630"/>
    <mergeCell ref="K2630:L2630"/>
    <mergeCell ref="K2631:L2631"/>
    <mergeCell ref="G2609:H2609"/>
    <mergeCell ref="G2610:H2610"/>
    <mergeCell ref="C2607:D2607"/>
    <mergeCell ref="C2608:D2608"/>
    <mergeCell ref="G2608:H2608"/>
    <mergeCell ref="K2608:L2608"/>
    <mergeCell ref="C2609:D2609"/>
    <mergeCell ref="K2609:L2609"/>
    <mergeCell ref="K2610:L2610"/>
    <mergeCell ref="G2612:H2612"/>
    <mergeCell ref="G2613:H2613"/>
    <mergeCell ref="C2610:D2610"/>
    <mergeCell ref="C2611:D2611"/>
    <mergeCell ref="G2611:H2611"/>
    <mergeCell ref="K2611:L2611"/>
    <mergeCell ref="C2612:D2612"/>
    <mergeCell ref="K2612:L2612"/>
    <mergeCell ref="K2613:L2613"/>
    <mergeCell ref="G2615:H2615"/>
    <mergeCell ref="G2616:H2616"/>
    <mergeCell ref="C2613:D2613"/>
    <mergeCell ref="C2614:D2614"/>
    <mergeCell ref="G2614:H2614"/>
    <mergeCell ref="K2614:L2614"/>
    <mergeCell ref="C2615:D2615"/>
    <mergeCell ref="K2615:L2615"/>
    <mergeCell ref="K2616:L2616"/>
    <mergeCell ref="G2618:H2618"/>
    <mergeCell ref="G2619:H2619"/>
    <mergeCell ref="C2616:D2616"/>
    <mergeCell ref="C2617:D2617"/>
    <mergeCell ref="G2617:H2617"/>
    <mergeCell ref="K2617:L2617"/>
    <mergeCell ref="C2618:D2618"/>
    <mergeCell ref="K2618:L2618"/>
    <mergeCell ref="K2619:L2619"/>
    <mergeCell ref="G2597:H2597"/>
    <mergeCell ref="G2598:H2598"/>
    <mergeCell ref="C2595:D2595"/>
    <mergeCell ref="C2596:D2596"/>
    <mergeCell ref="G2596:H2596"/>
    <mergeCell ref="K2596:L2596"/>
    <mergeCell ref="C2597:D2597"/>
    <mergeCell ref="K2597:L2597"/>
    <mergeCell ref="K2598:L2598"/>
    <mergeCell ref="G2600:H2600"/>
    <mergeCell ref="G2601:H2601"/>
    <mergeCell ref="C2598:D2598"/>
    <mergeCell ref="C2599:D2599"/>
    <mergeCell ref="G2599:H2599"/>
    <mergeCell ref="K2599:L2599"/>
    <mergeCell ref="C2600:D2600"/>
    <mergeCell ref="K2600:L2600"/>
    <mergeCell ref="K2601:L2601"/>
    <mergeCell ref="G2603:H2603"/>
    <mergeCell ref="G2604:H2604"/>
    <mergeCell ref="C2601:D2601"/>
    <mergeCell ref="C2602:D2602"/>
    <mergeCell ref="G2602:H2602"/>
    <mergeCell ref="K2602:L2602"/>
    <mergeCell ref="C2603:D2603"/>
    <mergeCell ref="K2603:L2603"/>
    <mergeCell ref="K2604:L2604"/>
    <mergeCell ref="G2606:H2606"/>
    <mergeCell ref="G2607:H2607"/>
    <mergeCell ref="C2604:D2604"/>
    <mergeCell ref="C2605:D2605"/>
    <mergeCell ref="G2605:H2605"/>
    <mergeCell ref="K2605:L2605"/>
    <mergeCell ref="C2606:D2606"/>
    <mergeCell ref="K2606:L2606"/>
    <mergeCell ref="K2607:L2607"/>
    <mergeCell ref="G2585:H2585"/>
    <mergeCell ref="G2586:H2586"/>
    <mergeCell ref="C2583:D2583"/>
    <mergeCell ref="C2584:D2584"/>
    <mergeCell ref="G2584:H2584"/>
    <mergeCell ref="K2584:L2584"/>
    <mergeCell ref="C2585:D2585"/>
    <mergeCell ref="K2585:L2585"/>
    <mergeCell ref="K2586:L2586"/>
    <mergeCell ref="G2588:H2588"/>
    <mergeCell ref="G2589:H2589"/>
    <mergeCell ref="C2586:D2586"/>
    <mergeCell ref="C2587:D2587"/>
    <mergeCell ref="G2587:H2587"/>
    <mergeCell ref="K2587:L2587"/>
    <mergeCell ref="C2588:D2588"/>
    <mergeCell ref="K2588:L2588"/>
    <mergeCell ref="K2589:L2589"/>
    <mergeCell ref="G2591:H2591"/>
    <mergeCell ref="G2592:H2592"/>
    <mergeCell ref="C2589:D2589"/>
    <mergeCell ref="C2590:D2590"/>
    <mergeCell ref="G2590:H2590"/>
    <mergeCell ref="K2590:L2590"/>
    <mergeCell ref="C2591:D2591"/>
    <mergeCell ref="K2591:L2591"/>
    <mergeCell ref="K2592:L2592"/>
    <mergeCell ref="G2594:H2594"/>
    <mergeCell ref="G2595:H2595"/>
    <mergeCell ref="C2592:D2592"/>
    <mergeCell ref="C2593:D2593"/>
    <mergeCell ref="G2593:H2593"/>
    <mergeCell ref="K2593:L2593"/>
    <mergeCell ref="C2594:D2594"/>
    <mergeCell ref="K2594:L2594"/>
    <mergeCell ref="K2595:L2595"/>
    <mergeCell ref="G2573:H2573"/>
    <mergeCell ref="G2574:H2574"/>
    <mergeCell ref="C2571:D2571"/>
    <mergeCell ref="C2572:D2572"/>
    <mergeCell ref="G2572:H2572"/>
    <mergeCell ref="K2572:L2572"/>
    <mergeCell ref="C2573:D2573"/>
    <mergeCell ref="K2573:L2573"/>
    <mergeCell ref="K2574:L2574"/>
    <mergeCell ref="G2576:H2576"/>
    <mergeCell ref="G2577:H2577"/>
    <mergeCell ref="C2574:D2574"/>
    <mergeCell ref="C2575:D2575"/>
    <mergeCell ref="G2575:H2575"/>
    <mergeCell ref="K2575:L2575"/>
    <mergeCell ref="C2576:D2576"/>
    <mergeCell ref="K2576:L2576"/>
    <mergeCell ref="K2577:L2577"/>
    <mergeCell ref="G2579:H2579"/>
    <mergeCell ref="G2580:H2580"/>
    <mergeCell ref="C2577:D2577"/>
    <mergeCell ref="C2578:D2578"/>
    <mergeCell ref="G2578:H2578"/>
    <mergeCell ref="K2578:L2578"/>
    <mergeCell ref="C2579:D2579"/>
    <mergeCell ref="K2579:L2579"/>
    <mergeCell ref="K2580:L2580"/>
    <mergeCell ref="G2582:H2582"/>
    <mergeCell ref="G2583:H2583"/>
    <mergeCell ref="C2580:D2580"/>
    <mergeCell ref="C2581:D2581"/>
    <mergeCell ref="G2581:H2581"/>
    <mergeCell ref="K2581:L2581"/>
    <mergeCell ref="C2582:D2582"/>
    <mergeCell ref="K2582:L2582"/>
    <mergeCell ref="K2583:L2583"/>
    <mergeCell ref="G2561:H2561"/>
    <mergeCell ref="G2562:H2562"/>
    <mergeCell ref="C2559:D2559"/>
    <mergeCell ref="C2560:D2560"/>
    <mergeCell ref="G2560:H2560"/>
    <mergeCell ref="K2560:L2560"/>
    <mergeCell ref="C2561:D2561"/>
    <mergeCell ref="K2561:L2561"/>
    <mergeCell ref="K2562:L2562"/>
    <mergeCell ref="G2564:H2564"/>
    <mergeCell ref="G2565:H2565"/>
    <mergeCell ref="C2562:D2562"/>
    <mergeCell ref="C2563:D2563"/>
    <mergeCell ref="G2563:H2563"/>
    <mergeCell ref="K2563:L2563"/>
    <mergeCell ref="C2564:D2564"/>
    <mergeCell ref="K2564:L2564"/>
    <mergeCell ref="K2565:L2565"/>
    <mergeCell ref="G2567:H2567"/>
    <mergeCell ref="G2568:H2568"/>
    <mergeCell ref="C2565:D2565"/>
    <mergeCell ref="C2566:D2566"/>
    <mergeCell ref="G2566:H2566"/>
    <mergeCell ref="K2566:L2566"/>
    <mergeCell ref="C2567:D2567"/>
    <mergeCell ref="K2567:L2567"/>
    <mergeCell ref="K2568:L2568"/>
    <mergeCell ref="G2570:H2570"/>
    <mergeCell ref="G2571:H2571"/>
    <mergeCell ref="C2568:D2568"/>
    <mergeCell ref="C2569:D2569"/>
    <mergeCell ref="G2569:H2569"/>
    <mergeCell ref="K2569:L2569"/>
    <mergeCell ref="C2570:D2570"/>
    <mergeCell ref="K2570:L2570"/>
    <mergeCell ref="K2571:L2571"/>
    <mergeCell ref="G2549:H2549"/>
    <mergeCell ref="G2550:H2550"/>
    <mergeCell ref="C2547:D2547"/>
    <mergeCell ref="C2548:D2548"/>
    <mergeCell ref="G2548:H2548"/>
    <mergeCell ref="K2548:L2548"/>
    <mergeCell ref="C2549:D2549"/>
    <mergeCell ref="K2549:L2549"/>
    <mergeCell ref="K2550:L2550"/>
    <mergeCell ref="G2552:H2552"/>
    <mergeCell ref="G2553:H2553"/>
    <mergeCell ref="C2550:D2550"/>
    <mergeCell ref="C2551:D2551"/>
    <mergeCell ref="G2551:H2551"/>
    <mergeCell ref="K2551:L2551"/>
    <mergeCell ref="C2552:D2552"/>
    <mergeCell ref="K2552:L2552"/>
    <mergeCell ref="K2553:L2553"/>
    <mergeCell ref="G2555:H2555"/>
    <mergeCell ref="G2556:H2556"/>
    <mergeCell ref="C2553:D2553"/>
    <mergeCell ref="C2554:D2554"/>
    <mergeCell ref="G2554:H2554"/>
    <mergeCell ref="K2554:L2554"/>
    <mergeCell ref="C2555:D2555"/>
    <mergeCell ref="K2555:L2555"/>
    <mergeCell ref="K2556:L2556"/>
    <mergeCell ref="G2558:H2558"/>
    <mergeCell ref="G2559:H2559"/>
    <mergeCell ref="C2556:D2556"/>
    <mergeCell ref="C2557:D2557"/>
    <mergeCell ref="G2557:H2557"/>
    <mergeCell ref="K2557:L2557"/>
    <mergeCell ref="C2558:D2558"/>
    <mergeCell ref="K2558:L2558"/>
    <mergeCell ref="K2559:L2559"/>
    <mergeCell ref="G2537:H2537"/>
    <mergeCell ref="G2538:H2538"/>
    <mergeCell ref="C2535:D2535"/>
    <mergeCell ref="C2536:D2536"/>
    <mergeCell ref="G2536:H2536"/>
    <mergeCell ref="K2536:L2536"/>
    <mergeCell ref="C2537:D2537"/>
    <mergeCell ref="K2537:L2537"/>
    <mergeCell ref="K2538:L2538"/>
    <mergeCell ref="G2540:H2540"/>
    <mergeCell ref="G2541:H2541"/>
    <mergeCell ref="C2538:D2538"/>
    <mergeCell ref="C2539:D2539"/>
    <mergeCell ref="G2539:H2539"/>
    <mergeCell ref="K2539:L2539"/>
    <mergeCell ref="C2540:D2540"/>
    <mergeCell ref="K2540:L2540"/>
    <mergeCell ref="K2541:L2541"/>
    <mergeCell ref="G2543:H2543"/>
    <mergeCell ref="G2544:H2544"/>
    <mergeCell ref="C2541:D2541"/>
    <mergeCell ref="C2542:D2542"/>
    <mergeCell ref="G2542:H2542"/>
    <mergeCell ref="K2542:L2542"/>
    <mergeCell ref="C2543:D2543"/>
    <mergeCell ref="K2543:L2543"/>
    <mergeCell ref="K2544:L2544"/>
    <mergeCell ref="G2546:H2546"/>
    <mergeCell ref="G2547:H2547"/>
    <mergeCell ref="C2544:D2544"/>
    <mergeCell ref="C2545:D2545"/>
    <mergeCell ref="G2545:H2545"/>
    <mergeCell ref="K2545:L2545"/>
    <mergeCell ref="C2546:D2546"/>
    <mergeCell ref="K2546:L2546"/>
    <mergeCell ref="K2547:L2547"/>
    <mergeCell ref="G2525:H2525"/>
    <mergeCell ref="G2526:H2526"/>
    <mergeCell ref="C2523:D2523"/>
    <mergeCell ref="C2524:D2524"/>
    <mergeCell ref="G2524:H2524"/>
    <mergeCell ref="K2524:L2524"/>
    <mergeCell ref="C2525:D2525"/>
    <mergeCell ref="K2525:L2525"/>
    <mergeCell ref="K2526:L2526"/>
    <mergeCell ref="G2528:H2528"/>
    <mergeCell ref="G2529:H2529"/>
    <mergeCell ref="C2526:D2526"/>
    <mergeCell ref="C2527:D2527"/>
    <mergeCell ref="G2527:H2527"/>
    <mergeCell ref="K2527:L2527"/>
    <mergeCell ref="C2528:D2528"/>
    <mergeCell ref="K2528:L2528"/>
    <mergeCell ref="K2529:L2529"/>
    <mergeCell ref="G2531:H2531"/>
    <mergeCell ref="G2532:H2532"/>
    <mergeCell ref="C2529:D2529"/>
    <mergeCell ref="C2530:D2530"/>
    <mergeCell ref="G2530:H2530"/>
    <mergeCell ref="K2530:L2530"/>
    <mergeCell ref="C2531:D2531"/>
    <mergeCell ref="K2531:L2531"/>
    <mergeCell ref="K2532:L2532"/>
    <mergeCell ref="G2534:H2534"/>
    <mergeCell ref="G2535:H2535"/>
    <mergeCell ref="C2532:D2532"/>
    <mergeCell ref="C2533:D2533"/>
    <mergeCell ref="G2533:H2533"/>
    <mergeCell ref="K2533:L2533"/>
    <mergeCell ref="C2534:D2534"/>
    <mergeCell ref="K2534:L2534"/>
    <mergeCell ref="K2535:L2535"/>
    <mergeCell ref="G2513:H2513"/>
    <mergeCell ref="G2514:H2514"/>
    <mergeCell ref="C2511:D2511"/>
    <mergeCell ref="C2512:D2512"/>
    <mergeCell ref="G2512:H2512"/>
    <mergeCell ref="K2512:L2512"/>
    <mergeCell ref="C2513:D2513"/>
    <mergeCell ref="K2513:L2513"/>
    <mergeCell ref="K2514:L2514"/>
    <mergeCell ref="G2516:H2516"/>
    <mergeCell ref="G2517:H2517"/>
    <mergeCell ref="C2514:D2514"/>
    <mergeCell ref="C2515:D2515"/>
    <mergeCell ref="G2515:H2515"/>
    <mergeCell ref="K2515:L2515"/>
    <mergeCell ref="C2516:D2516"/>
    <mergeCell ref="K2516:L2516"/>
    <mergeCell ref="K2517:L2517"/>
    <mergeCell ref="G2519:H2519"/>
    <mergeCell ref="G2520:H2520"/>
    <mergeCell ref="C2517:D2517"/>
    <mergeCell ref="C2518:D2518"/>
    <mergeCell ref="G2518:H2518"/>
    <mergeCell ref="K2518:L2518"/>
    <mergeCell ref="C2519:D2519"/>
    <mergeCell ref="K2519:L2519"/>
    <mergeCell ref="K2520:L2520"/>
    <mergeCell ref="G2522:H2522"/>
    <mergeCell ref="G2523:H2523"/>
    <mergeCell ref="C2520:D2520"/>
    <mergeCell ref="C2521:D2521"/>
    <mergeCell ref="G2521:H2521"/>
    <mergeCell ref="K2521:L2521"/>
    <mergeCell ref="C2522:D2522"/>
    <mergeCell ref="K2522:L2522"/>
    <mergeCell ref="K2523:L2523"/>
    <mergeCell ref="G2501:H2501"/>
    <mergeCell ref="G2502:H2502"/>
    <mergeCell ref="C2499:D2499"/>
    <mergeCell ref="C2500:D2500"/>
    <mergeCell ref="G2500:H2500"/>
    <mergeCell ref="K2500:L2500"/>
    <mergeCell ref="C2501:D2501"/>
    <mergeCell ref="K2501:L2501"/>
    <mergeCell ref="K2502:L2502"/>
    <mergeCell ref="G2504:H2504"/>
    <mergeCell ref="G2505:H2505"/>
    <mergeCell ref="C2502:D2502"/>
    <mergeCell ref="C2503:D2503"/>
    <mergeCell ref="G2503:H2503"/>
    <mergeCell ref="K2503:L2503"/>
    <mergeCell ref="C2504:D2504"/>
    <mergeCell ref="K2504:L2504"/>
    <mergeCell ref="K2505:L2505"/>
    <mergeCell ref="G2507:H2507"/>
    <mergeCell ref="G2508:H2508"/>
    <mergeCell ref="C2505:D2505"/>
    <mergeCell ref="C2506:D2506"/>
    <mergeCell ref="G2506:H2506"/>
    <mergeCell ref="K2506:L2506"/>
    <mergeCell ref="C2507:D2507"/>
    <mergeCell ref="K2507:L2507"/>
    <mergeCell ref="K2508:L2508"/>
    <mergeCell ref="G2510:H2510"/>
    <mergeCell ref="G2511:H2511"/>
    <mergeCell ref="C2508:D2508"/>
    <mergeCell ref="C2509:D2509"/>
    <mergeCell ref="G2509:H2509"/>
    <mergeCell ref="K2509:L2509"/>
    <mergeCell ref="C2510:D2510"/>
    <mergeCell ref="K2510:L2510"/>
    <mergeCell ref="K2511:L2511"/>
    <mergeCell ref="G2489:H2489"/>
    <mergeCell ref="G2490:H2490"/>
    <mergeCell ref="C2487:D2487"/>
    <mergeCell ref="C2488:D2488"/>
    <mergeCell ref="G2488:H2488"/>
    <mergeCell ref="K2488:L2488"/>
    <mergeCell ref="C2489:D2489"/>
    <mergeCell ref="K2489:L2489"/>
    <mergeCell ref="K2490:L2490"/>
    <mergeCell ref="G2492:H2492"/>
    <mergeCell ref="G2493:H2493"/>
    <mergeCell ref="C2490:D2490"/>
    <mergeCell ref="C2491:D2491"/>
    <mergeCell ref="G2491:H2491"/>
    <mergeCell ref="K2491:L2491"/>
    <mergeCell ref="C2492:D2492"/>
    <mergeCell ref="K2492:L2492"/>
    <mergeCell ref="K2493:L2493"/>
    <mergeCell ref="G2495:H2495"/>
    <mergeCell ref="G2496:H2496"/>
    <mergeCell ref="C2493:D2493"/>
    <mergeCell ref="C2494:D2494"/>
    <mergeCell ref="G2494:H2494"/>
    <mergeCell ref="K2494:L2494"/>
    <mergeCell ref="C2495:D2495"/>
    <mergeCell ref="K2495:L2495"/>
    <mergeCell ref="K2496:L2496"/>
    <mergeCell ref="G2498:H2498"/>
    <mergeCell ref="G2499:H2499"/>
    <mergeCell ref="C2496:D2496"/>
    <mergeCell ref="C2497:D2497"/>
    <mergeCell ref="G2497:H2497"/>
    <mergeCell ref="K2497:L2497"/>
    <mergeCell ref="C2498:D2498"/>
    <mergeCell ref="K2498:L2498"/>
    <mergeCell ref="K2499:L2499"/>
    <mergeCell ref="G2477:H2477"/>
    <mergeCell ref="G2478:H2478"/>
    <mergeCell ref="C2475:D2475"/>
    <mergeCell ref="C2476:D2476"/>
    <mergeCell ref="G2476:H2476"/>
    <mergeCell ref="K2476:L2476"/>
    <mergeCell ref="C2477:D2477"/>
    <mergeCell ref="K2477:L2477"/>
    <mergeCell ref="K2478:L2478"/>
    <mergeCell ref="G2480:H2480"/>
    <mergeCell ref="G2481:H2481"/>
    <mergeCell ref="C2478:D2478"/>
    <mergeCell ref="C2479:D2479"/>
    <mergeCell ref="G2479:H2479"/>
    <mergeCell ref="K2479:L2479"/>
    <mergeCell ref="C2480:D2480"/>
    <mergeCell ref="K2480:L2480"/>
    <mergeCell ref="K2481:L2481"/>
    <mergeCell ref="G2483:H2483"/>
    <mergeCell ref="G2484:H2484"/>
    <mergeCell ref="C2481:D2481"/>
    <mergeCell ref="C2482:D2482"/>
    <mergeCell ref="G2482:H2482"/>
    <mergeCell ref="K2482:L2482"/>
    <mergeCell ref="C2483:D2483"/>
    <mergeCell ref="K2483:L2483"/>
    <mergeCell ref="K2484:L2484"/>
    <mergeCell ref="G2486:H2486"/>
    <mergeCell ref="G2487:H2487"/>
    <mergeCell ref="C2484:D2484"/>
    <mergeCell ref="C2485:D2485"/>
    <mergeCell ref="G2485:H2485"/>
    <mergeCell ref="K2485:L2485"/>
    <mergeCell ref="C2486:D2486"/>
    <mergeCell ref="K2486:L2486"/>
    <mergeCell ref="K2487:L2487"/>
    <mergeCell ref="G2465:H2465"/>
    <mergeCell ref="G2466:H2466"/>
    <mergeCell ref="C2463:D2463"/>
    <mergeCell ref="C2464:D2464"/>
    <mergeCell ref="G2464:H2464"/>
    <mergeCell ref="K2464:L2464"/>
    <mergeCell ref="C2465:D2465"/>
    <mergeCell ref="K2465:L2465"/>
    <mergeCell ref="K2466:L2466"/>
    <mergeCell ref="G2468:H2468"/>
    <mergeCell ref="G2469:H2469"/>
    <mergeCell ref="C2466:D2466"/>
    <mergeCell ref="C2467:D2467"/>
    <mergeCell ref="G2467:H2467"/>
    <mergeCell ref="K2467:L2467"/>
    <mergeCell ref="C2468:D2468"/>
    <mergeCell ref="K2468:L2468"/>
    <mergeCell ref="K2469:L2469"/>
    <mergeCell ref="G2471:H2471"/>
    <mergeCell ref="G2472:H2472"/>
    <mergeCell ref="C2469:D2469"/>
    <mergeCell ref="C2470:D2470"/>
    <mergeCell ref="G2470:H2470"/>
    <mergeCell ref="K2470:L2470"/>
    <mergeCell ref="C2471:D2471"/>
    <mergeCell ref="K2471:L2471"/>
    <mergeCell ref="K2472:L2472"/>
    <mergeCell ref="G2474:H2474"/>
    <mergeCell ref="G2475:H2475"/>
    <mergeCell ref="C2472:D2472"/>
    <mergeCell ref="C2473:D2473"/>
    <mergeCell ref="G2473:H2473"/>
    <mergeCell ref="K2473:L2473"/>
    <mergeCell ref="C2474:D2474"/>
    <mergeCell ref="K2474:L2474"/>
    <mergeCell ref="K2475:L2475"/>
    <mergeCell ref="G2453:H2453"/>
    <mergeCell ref="G2454:H2454"/>
    <mergeCell ref="C2451:D2451"/>
    <mergeCell ref="C2452:D2452"/>
    <mergeCell ref="G2452:H2452"/>
    <mergeCell ref="K2452:L2452"/>
    <mergeCell ref="C2453:D2453"/>
    <mergeCell ref="K2453:L2453"/>
    <mergeCell ref="K2454:L2454"/>
    <mergeCell ref="G2456:H2456"/>
    <mergeCell ref="G2457:H2457"/>
    <mergeCell ref="C2454:D2454"/>
    <mergeCell ref="C2455:D2455"/>
    <mergeCell ref="G2455:H2455"/>
    <mergeCell ref="K2455:L2455"/>
    <mergeCell ref="C2456:D2456"/>
    <mergeCell ref="K2456:L2456"/>
    <mergeCell ref="K2457:L2457"/>
    <mergeCell ref="G2459:H2459"/>
    <mergeCell ref="G2460:H2460"/>
    <mergeCell ref="C2457:D2457"/>
    <mergeCell ref="C2458:D2458"/>
    <mergeCell ref="G2458:H2458"/>
    <mergeCell ref="K2458:L2458"/>
    <mergeCell ref="C2459:D2459"/>
    <mergeCell ref="K2459:L2459"/>
    <mergeCell ref="K2460:L2460"/>
    <mergeCell ref="G2462:H2462"/>
    <mergeCell ref="G2463:H2463"/>
    <mergeCell ref="C2460:D2460"/>
    <mergeCell ref="C2461:D2461"/>
    <mergeCell ref="G2461:H2461"/>
    <mergeCell ref="K2461:L2461"/>
    <mergeCell ref="C2462:D2462"/>
    <mergeCell ref="K2462:L2462"/>
    <mergeCell ref="K2463:L2463"/>
    <mergeCell ref="G2441:H2441"/>
    <mergeCell ref="G2442:H2442"/>
    <mergeCell ref="C2439:D2439"/>
    <mergeCell ref="C2440:D2440"/>
    <mergeCell ref="G2440:H2440"/>
    <mergeCell ref="K2440:L2440"/>
    <mergeCell ref="C2441:D2441"/>
    <mergeCell ref="K2441:L2441"/>
    <mergeCell ref="K2442:L2442"/>
    <mergeCell ref="G2444:H2444"/>
    <mergeCell ref="G2445:H2445"/>
    <mergeCell ref="C2442:D2442"/>
    <mergeCell ref="C2443:D2443"/>
    <mergeCell ref="G2443:H2443"/>
    <mergeCell ref="K2443:L2443"/>
    <mergeCell ref="C2444:D2444"/>
    <mergeCell ref="K2444:L2444"/>
    <mergeCell ref="K2445:L2445"/>
    <mergeCell ref="G2447:H2447"/>
    <mergeCell ref="G2448:H2448"/>
    <mergeCell ref="C2445:D2445"/>
    <mergeCell ref="C2446:D2446"/>
    <mergeCell ref="G2446:H2446"/>
    <mergeCell ref="K2446:L2446"/>
    <mergeCell ref="C2447:D2447"/>
    <mergeCell ref="K2447:L2447"/>
    <mergeCell ref="K2448:L2448"/>
    <mergeCell ref="G2450:H2450"/>
    <mergeCell ref="G2451:H2451"/>
    <mergeCell ref="C2448:D2448"/>
    <mergeCell ref="C2449:D2449"/>
    <mergeCell ref="G2449:H2449"/>
    <mergeCell ref="K2449:L2449"/>
    <mergeCell ref="C2450:D2450"/>
    <mergeCell ref="K2450:L2450"/>
    <mergeCell ref="K2451:L2451"/>
    <mergeCell ref="G2429:H2429"/>
    <mergeCell ref="G2430:H2430"/>
    <mergeCell ref="C2427:D2427"/>
    <mergeCell ref="C2428:D2428"/>
    <mergeCell ref="G2428:H2428"/>
    <mergeCell ref="K2428:L2428"/>
    <mergeCell ref="C2429:D2429"/>
    <mergeCell ref="K2429:L2429"/>
    <mergeCell ref="K2430:L2430"/>
    <mergeCell ref="G2432:H2432"/>
    <mergeCell ref="G2433:H2433"/>
    <mergeCell ref="C2430:D2430"/>
    <mergeCell ref="C2431:D2431"/>
    <mergeCell ref="G2431:H2431"/>
    <mergeCell ref="K2431:L2431"/>
    <mergeCell ref="C2432:D2432"/>
    <mergeCell ref="K2432:L2432"/>
    <mergeCell ref="K2433:L2433"/>
    <mergeCell ref="G2435:H2435"/>
    <mergeCell ref="G2436:H2436"/>
    <mergeCell ref="C2433:D2433"/>
    <mergeCell ref="C2434:D2434"/>
    <mergeCell ref="G2434:H2434"/>
    <mergeCell ref="K2434:L2434"/>
    <mergeCell ref="C2435:D2435"/>
    <mergeCell ref="K2435:L2435"/>
    <mergeCell ref="K2436:L2436"/>
    <mergeCell ref="G2438:H2438"/>
    <mergeCell ref="G2439:H2439"/>
    <mergeCell ref="C2436:D2436"/>
    <mergeCell ref="C2437:D2437"/>
    <mergeCell ref="G2437:H2437"/>
    <mergeCell ref="K2437:L2437"/>
    <mergeCell ref="C2438:D2438"/>
    <mergeCell ref="K2438:L2438"/>
    <mergeCell ref="K2439:L2439"/>
    <mergeCell ref="G2417:H2417"/>
    <mergeCell ref="G2418:H2418"/>
    <mergeCell ref="C2415:D2415"/>
    <mergeCell ref="C2416:D2416"/>
    <mergeCell ref="G2416:H2416"/>
    <mergeCell ref="K2416:L2416"/>
    <mergeCell ref="C2417:D2417"/>
    <mergeCell ref="K2417:L2417"/>
    <mergeCell ref="K2418:L2418"/>
    <mergeCell ref="G2420:H2420"/>
    <mergeCell ref="G2421:H2421"/>
    <mergeCell ref="C2418:D2418"/>
    <mergeCell ref="C2419:D2419"/>
    <mergeCell ref="G2419:H2419"/>
    <mergeCell ref="K2419:L2419"/>
    <mergeCell ref="C2420:D2420"/>
    <mergeCell ref="K2420:L2420"/>
    <mergeCell ref="K2421:L2421"/>
    <mergeCell ref="G2423:H2423"/>
    <mergeCell ref="G2424:H2424"/>
    <mergeCell ref="C2421:D2421"/>
    <mergeCell ref="C2422:D2422"/>
    <mergeCell ref="G2422:H2422"/>
    <mergeCell ref="K2422:L2422"/>
    <mergeCell ref="C2423:D2423"/>
    <mergeCell ref="K2423:L2423"/>
    <mergeCell ref="K2424:L2424"/>
    <mergeCell ref="G2426:H2426"/>
    <mergeCell ref="G2427:H2427"/>
    <mergeCell ref="C2424:D2424"/>
    <mergeCell ref="C2425:D2425"/>
    <mergeCell ref="G2425:H2425"/>
    <mergeCell ref="K2425:L2425"/>
    <mergeCell ref="C2426:D2426"/>
    <mergeCell ref="K2426:L2426"/>
    <mergeCell ref="K2427:L2427"/>
    <mergeCell ref="G2405:H2405"/>
    <mergeCell ref="G2406:H2406"/>
    <mergeCell ref="C2403:D2403"/>
    <mergeCell ref="C2404:D2404"/>
    <mergeCell ref="G2404:H2404"/>
    <mergeCell ref="K2404:L2404"/>
    <mergeCell ref="C2405:D2405"/>
    <mergeCell ref="K2405:L2405"/>
    <mergeCell ref="K2406:L2406"/>
    <mergeCell ref="G2408:H2408"/>
    <mergeCell ref="G2409:H2409"/>
    <mergeCell ref="C2406:D2406"/>
    <mergeCell ref="C2407:D2407"/>
    <mergeCell ref="G2407:H2407"/>
    <mergeCell ref="K2407:L2407"/>
    <mergeCell ref="C2408:D2408"/>
    <mergeCell ref="K2408:L2408"/>
    <mergeCell ref="K2409:L2409"/>
    <mergeCell ref="G2411:H2411"/>
    <mergeCell ref="G2412:H2412"/>
    <mergeCell ref="C2409:D2409"/>
    <mergeCell ref="C2410:D2410"/>
    <mergeCell ref="G2410:H2410"/>
    <mergeCell ref="K2410:L2410"/>
    <mergeCell ref="C2411:D2411"/>
    <mergeCell ref="K2411:L2411"/>
    <mergeCell ref="K2412:L2412"/>
    <mergeCell ref="G2414:H2414"/>
    <mergeCell ref="G2415:H2415"/>
    <mergeCell ref="C2412:D2412"/>
    <mergeCell ref="C2413:D2413"/>
    <mergeCell ref="G2413:H2413"/>
    <mergeCell ref="K2413:L2413"/>
    <mergeCell ref="C2414:D2414"/>
    <mergeCell ref="K2414:L2414"/>
    <mergeCell ref="K2415:L2415"/>
    <mergeCell ref="G2393:H2393"/>
    <mergeCell ref="G2394:H2394"/>
    <mergeCell ref="C2391:D2391"/>
    <mergeCell ref="C2392:D2392"/>
    <mergeCell ref="G2392:H2392"/>
    <mergeCell ref="K2392:L2392"/>
    <mergeCell ref="C2393:D2393"/>
    <mergeCell ref="K2393:L2393"/>
    <mergeCell ref="K2394:L2394"/>
    <mergeCell ref="G2396:H2396"/>
    <mergeCell ref="G2397:H2397"/>
    <mergeCell ref="C2394:D2394"/>
    <mergeCell ref="C2395:D2395"/>
    <mergeCell ref="G2395:H2395"/>
    <mergeCell ref="K2395:L2395"/>
    <mergeCell ref="C2396:D2396"/>
    <mergeCell ref="K2396:L2396"/>
    <mergeCell ref="K2397:L2397"/>
    <mergeCell ref="G2399:H2399"/>
    <mergeCell ref="G2400:H2400"/>
    <mergeCell ref="C2397:D2397"/>
    <mergeCell ref="C2398:D2398"/>
    <mergeCell ref="G2398:H2398"/>
    <mergeCell ref="K2398:L2398"/>
    <mergeCell ref="C2399:D2399"/>
    <mergeCell ref="K2399:L2399"/>
    <mergeCell ref="K2400:L2400"/>
    <mergeCell ref="G2402:H2402"/>
    <mergeCell ref="G2403:H2403"/>
    <mergeCell ref="C2400:D2400"/>
    <mergeCell ref="C2401:D2401"/>
    <mergeCell ref="G2401:H2401"/>
    <mergeCell ref="K2401:L2401"/>
    <mergeCell ref="C2402:D2402"/>
    <mergeCell ref="K2402:L2402"/>
    <mergeCell ref="K2403:L2403"/>
    <mergeCell ref="G2381:H2381"/>
    <mergeCell ref="G2382:H2382"/>
    <mergeCell ref="C2379:D2379"/>
    <mergeCell ref="C2380:D2380"/>
    <mergeCell ref="G2380:H2380"/>
    <mergeCell ref="K2380:L2380"/>
    <mergeCell ref="C2381:D2381"/>
    <mergeCell ref="K2381:L2381"/>
    <mergeCell ref="K2382:L2382"/>
    <mergeCell ref="G2384:H2384"/>
    <mergeCell ref="G2385:H2385"/>
    <mergeCell ref="C2382:D2382"/>
    <mergeCell ref="C2383:D2383"/>
    <mergeCell ref="G2383:H2383"/>
    <mergeCell ref="K2383:L2383"/>
    <mergeCell ref="C2384:D2384"/>
    <mergeCell ref="K2384:L2384"/>
    <mergeCell ref="K2385:L2385"/>
    <mergeCell ref="G2387:H2387"/>
    <mergeCell ref="G2388:H2388"/>
    <mergeCell ref="C2385:D2385"/>
    <mergeCell ref="C2386:D2386"/>
    <mergeCell ref="G2386:H2386"/>
    <mergeCell ref="K2386:L2386"/>
    <mergeCell ref="C2387:D2387"/>
    <mergeCell ref="K2387:L2387"/>
    <mergeCell ref="K2388:L2388"/>
    <mergeCell ref="G2390:H2390"/>
    <mergeCell ref="G2391:H2391"/>
    <mergeCell ref="C2388:D2388"/>
    <mergeCell ref="C2389:D2389"/>
    <mergeCell ref="G2389:H2389"/>
    <mergeCell ref="K2389:L2389"/>
    <mergeCell ref="C2390:D2390"/>
    <mergeCell ref="K2390:L2390"/>
    <mergeCell ref="K2391:L2391"/>
    <mergeCell ref="G2369:H2369"/>
    <mergeCell ref="G2370:H2370"/>
    <mergeCell ref="C2367:D2367"/>
    <mergeCell ref="C2368:D2368"/>
    <mergeCell ref="G2368:H2368"/>
    <mergeCell ref="K2368:L2368"/>
    <mergeCell ref="C2369:D2369"/>
    <mergeCell ref="K2369:L2369"/>
    <mergeCell ref="K2370:L2370"/>
    <mergeCell ref="G2372:H2372"/>
    <mergeCell ref="G2373:H2373"/>
    <mergeCell ref="C2370:D2370"/>
    <mergeCell ref="C2371:D2371"/>
    <mergeCell ref="G2371:H2371"/>
    <mergeCell ref="K2371:L2371"/>
    <mergeCell ref="C2372:D2372"/>
    <mergeCell ref="K2372:L2372"/>
    <mergeCell ref="K2373:L2373"/>
    <mergeCell ref="G2375:H2375"/>
    <mergeCell ref="G2376:H2376"/>
    <mergeCell ref="C2373:D2373"/>
    <mergeCell ref="C2374:D2374"/>
    <mergeCell ref="G2374:H2374"/>
    <mergeCell ref="K2374:L2374"/>
    <mergeCell ref="C2375:D2375"/>
    <mergeCell ref="K2375:L2375"/>
    <mergeCell ref="K2376:L2376"/>
    <mergeCell ref="G2378:H2378"/>
    <mergeCell ref="G2379:H2379"/>
    <mergeCell ref="C2376:D2376"/>
    <mergeCell ref="C2377:D2377"/>
    <mergeCell ref="G2377:H2377"/>
    <mergeCell ref="K2377:L2377"/>
    <mergeCell ref="C2378:D2378"/>
    <mergeCell ref="K2378:L2378"/>
    <mergeCell ref="K2379:L2379"/>
    <mergeCell ref="G2357:H2357"/>
    <mergeCell ref="G2358:H2358"/>
    <mergeCell ref="C2355:D2355"/>
    <mergeCell ref="C2356:D2356"/>
    <mergeCell ref="G2356:H2356"/>
    <mergeCell ref="K2356:L2356"/>
    <mergeCell ref="C2357:D2357"/>
    <mergeCell ref="K2357:L2357"/>
    <mergeCell ref="K2358:L2358"/>
    <mergeCell ref="G2360:H2360"/>
    <mergeCell ref="G2361:H2361"/>
    <mergeCell ref="C2358:D2358"/>
    <mergeCell ref="C2359:D2359"/>
    <mergeCell ref="G2359:H2359"/>
    <mergeCell ref="K2359:L2359"/>
    <mergeCell ref="C2360:D2360"/>
    <mergeCell ref="K2360:L2360"/>
    <mergeCell ref="K2361:L2361"/>
    <mergeCell ref="G2363:H2363"/>
    <mergeCell ref="G2364:H2364"/>
    <mergeCell ref="C2361:D2361"/>
    <mergeCell ref="C2362:D2362"/>
    <mergeCell ref="G2362:H2362"/>
    <mergeCell ref="K2362:L2362"/>
    <mergeCell ref="C2363:D2363"/>
    <mergeCell ref="K2363:L2363"/>
    <mergeCell ref="K2364:L2364"/>
    <mergeCell ref="G2366:H2366"/>
    <mergeCell ref="G2367:H2367"/>
    <mergeCell ref="C2364:D2364"/>
    <mergeCell ref="C2365:D2365"/>
    <mergeCell ref="G2365:H2365"/>
    <mergeCell ref="K2365:L2365"/>
    <mergeCell ref="C2366:D2366"/>
    <mergeCell ref="K2366:L2366"/>
    <mergeCell ref="K2367:L2367"/>
    <mergeCell ref="G2345:H2345"/>
    <mergeCell ref="G2346:H2346"/>
    <mergeCell ref="C2343:D2343"/>
    <mergeCell ref="C2344:D2344"/>
    <mergeCell ref="G2344:H2344"/>
    <mergeCell ref="K2344:L2344"/>
    <mergeCell ref="C2345:D2345"/>
    <mergeCell ref="K2345:L2345"/>
    <mergeCell ref="K2346:L2346"/>
    <mergeCell ref="G2348:H2348"/>
    <mergeCell ref="G2349:H2349"/>
    <mergeCell ref="C2346:D2346"/>
    <mergeCell ref="C2347:D2347"/>
    <mergeCell ref="G2347:H2347"/>
    <mergeCell ref="K2347:L2347"/>
    <mergeCell ref="C2348:D2348"/>
    <mergeCell ref="K2348:L2348"/>
    <mergeCell ref="K2349:L2349"/>
    <mergeCell ref="G2351:H2351"/>
    <mergeCell ref="G2352:H2352"/>
    <mergeCell ref="C2349:D2349"/>
    <mergeCell ref="C2350:D2350"/>
    <mergeCell ref="G2350:H2350"/>
    <mergeCell ref="K2350:L2350"/>
    <mergeCell ref="C2351:D2351"/>
    <mergeCell ref="K2351:L2351"/>
    <mergeCell ref="K2352:L2352"/>
    <mergeCell ref="G2354:H2354"/>
    <mergeCell ref="G2355:H2355"/>
    <mergeCell ref="C2352:D2352"/>
    <mergeCell ref="C2353:D2353"/>
    <mergeCell ref="G2353:H2353"/>
    <mergeCell ref="K2353:L2353"/>
    <mergeCell ref="C2354:D2354"/>
    <mergeCell ref="K2354:L2354"/>
    <mergeCell ref="K2355:L2355"/>
    <mergeCell ref="G2333:H2333"/>
    <mergeCell ref="G2334:H2334"/>
    <mergeCell ref="C2331:D2331"/>
    <mergeCell ref="C2332:D2332"/>
    <mergeCell ref="G2332:H2332"/>
    <mergeCell ref="K2332:L2332"/>
    <mergeCell ref="C2333:D2333"/>
    <mergeCell ref="K2333:L2333"/>
    <mergeCell ref="K2334:L2334"/>
    <mergeCell ref="G2336:H2336"/>
    <mergeCell ref="G2337:H2337"/>
    <mergeCell ref="C2334:D2334"/>
    <mergeCell ref="C2335:D2335"/>
    <mergeCell ref="G2335:H2335"/>
    <mergeCell ref="K2335:L2335"/>
    <mergeCell ref="C2336:D2336"/>
    <mergeCell ref="K2336:L2336"/>
    <mergeCell ref="K2337:L2337"/>
    <mergeCell ref="G2339:H2339"/>
    <mergeCell ref="G2340:H2340"/>
    <mergeCell ref="C2337:D2337"/>
    <mergeCell ref="C2338:D2338"/>
    <mergeCell ref="G2338:H2338"/>
    <mergeCell ref="K2338:L2338"/>
    <mergeCell ref="C2339:D2339"/>
    <mergeCell ref="K2339:L2339"/>
    <mergeCell ref="K2340:L2340"/>
    <mergeCell ref="G2342:H2342"/>
    <mergeCell ref="G2343:H2343"/>
    <mergeCell ref="C2340:D2340"/>
    <mergeCell ref="C2341:D2341"/>
    <mergeCell ref="G2341:H2341"/>
    <mergeCell ref="K2341:L2341"/>
    <mergeCell ref="C2342:D2342"/>
    <mergeCell ref="K2342:L2342"/>
    <mergeCell ref="K2343:L2343"/>
    <mergeCell ref="G2321:H2321"/>
    <mergeCell ref="G2322:H2322"/>
    <mergeCell ref="C2319:D2319"/>
    <mergeCell ref="C2320:D2320"/>
    <mergeCell ref="G2320:H2320"/>
    <mergeCell ref="K2320:L2320"/>
    <mergeCell ref="C2321:D2321"/>
    <mergeCell ref="K2321:L2321"/>
    <mergeCell ref="K2322:L2322"/>
    <mergeCell ref="G2324:H2324"/>
    <mergeCell ref="G2325:H2325"/>
    <mergeCell ref="C2322:D2322"/>
    <mergeCell ref="C2323:D2323"/>
    <mergeCell ref="G2323:H2323"/>
    <mergeCell ref="K2323:L2323"/>
    <mergeCell ref="C2324:D2324"/>
    <mergeCell ref="K2324:L2324"/>
    <mergeCell ref="K2325:L2325"/>
    <mergeCell ref="G2327:H2327"/>
    <mergeCell ref="G2328:H2328"/>
    <mergeCell ref="C2325:D2325"/>
    <mergeCell ref="C2326:D2326"/>
    <mergeCell ref="G2326:H2326"/>
    <mergeCell ref="K2326:L2326"/>
    <mergeCell ref="C2327:D2327"/>
    <mergeCell ref="K2327:L2327"/>
    <mergeCell ref="K2328:L2328"/>
    <mergeCell ref="G2330:H2330"/>
    <mergeCell ref="G2331:H2331"/>
    <mergeCell ref="C2328:D2328"/>
    <mergeCell ref="C2329:D2329"/>
    <mergeCell ref="G2329:H2329"/>
    <mergeCell ref="K2329:L2329"/>
    <mergeCell ref="C2330:D2330"/>
    <mergeCell ref="K2330:L2330"/>
    <mergeCell ref="K2331:L2331"/>
    <mergeCell ref="G2309:H2309"/>
    <mergeCell ref="G2310:H2310"/>
    <mergeCell ref="C2307:D2307"/>
    <mergeCell ref="C2308:D2308"/>
    <mergeCell ref="G2308:H2308"/>
    <mergeCell ref="K2308:L2308"/>
    <mergeCell ref="C2309:D2309"/>
    <mergeCell ref="K2309:L2309"/>
    <mergeCell ref="K2310:L2310"/>
    <mergeCell ref="G2312:H2312"/>
    <mergeCell ref="G2313:H2313"/>
    <mergeCell ref="C2310:D2310"/>
    <mergeCell ref="C2311:D2311"/>
    <mergeCell ref="G2311:H2311"/>
    <mergeCell ref="K2311:L2311"/>
    <mergeCell ref="C2312:D2312"/>
    <mergeCell ref="K2312:L2312"/>
    <mergeCell ref="K2313:L2313"/>
    <mergeCell ref="G2315:H2315"/>
    <mergeCell ref="G2316:H2316"/>
    <mergeCell ref="C2313:D2313"/>
    <mergeCell ref="C2314:D2314"/>
    <mergeCell ref="G2314:H2314"/>
    <mergeCell ref="K2314:L2314"/>
    <mergeCell ref="C2315:D2315"/>
    <mergeCell ref="K2315:L2315"/>
    <mergeCell ref="K2316:L2316"/>
    <mergeCell ref="G2318:H2318"/>
    <mergeCell ref="G2319:H2319"/>
    <mergeCell ref="C2316:D2316"/>
    <mergeCell ref="C2317:D2317"/>
    <mergeCell ref="G2317:H2317"/>
    <mergeCell ref="K2317:L2317"/>
    <mergeCell ref="C2318:D2318"/>
    <mergeCell ref="K2318:L2318"/>
    <mergeCell ref="K2319:L2319"/>
    <mergeCell ref="G2297:H2297"/>
    <mergeCell ref="G2298:H2298"/>
    <mergeCell ref="C2295:D2295"/>
    <mergeCell ref="C2296:D2296"/>
    <mergeCell ref="G2296:H2296"/>
    <mergeCell ref="K2296:L2296"/>
    <mergeCell ref="C2297:D2297"/>
    <mergeCell ref="K2297:L2297"/>
    <mergeCell ref="K2298:L2298"/>
    <mergeCell ref="G2300:H2300"/>
    <mergeCell ref="G2301:H2301"/>
    <mergeCell ref="C2298:D2298"/>
    <mergeCell ref="C2299:D2299"/>
    <mergeCell ref="G2299:H2299"/>
    <mergeCell ref="K2299:L2299"/>
    <mergeCell ref="C2300:D2300"/>
    <mergeCell ref="K2300:L2300"/>
    <mergeCell ref="K2301:L2301"/>
    <mergeCell ref="G2303:H2303"/>
    <mergeCell ref="G2304:H2304"/>
    <mergeCell ref="C2301:D2301"/>
    <mergeCell ref="C2302:D2302"/>
    <mergeCell ref="G2302:H2302"/>
    <mergeCell ref="K2302:L2302"/>
    <mergeCell ref="C2303:D2303"/>
    <mergeCell ref="K2303:L2303"/>
    <mergeCell ref="K2304:L2304"/>
    <mergeCell ref="G2306:H2306"/>
    <mergeCell ref="G2307:H2307"/>
    <mergeCell ref="C2304:D2304"/>
    <mergeCell ref="C2305:D2305"/>
    <mergeCell ref="G2305:H2305"/>
    <mergeCell ref="K2305:L2305"/>
    <mergeCell ref="C2306:D2306"/>
    <mergeCell ref="K2306:L2306"/>
    <mergeCell ref="K2307:L2307"/>
    <mergeCell ref="G2285:H2285"/>
    <mergeCell ref="G2286:H2286"/>
    <mergeCell ref="C2283:D2283"/>
    <mergeCell ref="C2284:D2284"/>
    <mergeCell ref="G2284:H2284"/>
    <mergeCell ref="K2284:L2284"/>
    <mergeCell ref="C2285:D2285"/>
    <mergeCell ref="K2285:L2285"/>
    <mergeCell ref="K2286:L2286"/>
    <mergeCell ref="G2288:H2288"/>
    <mergeCell ref="G2289:H2289"/>
    <mergeCell ref="C2286:D2286"/>
    <mergeCell ref="C2287:D2287"/>
    <mergeCell ref="G2287:H2287"/>
    <mergeCell ref="K2287:L2287"/>
    <mergeCell ref="C2288:D2288"/>
    <mergeCell ref="K2288:L2288"/>
    <mergeCell ref="K2289:L2289"/>
    <mergeCell ref="G2291:H2291"/>
    <mergeCell ref="G2292:H2292"/>
    <mergeCell ref="C2289:D2289"/>
    <mergeCell ref="C2290:D2290"/>
    <mergeCell ref="G2290:H2290"/>
    <mergeCell ref="K2290:L2290"/>
    <mergeCell ref="C2291:D2291"/>
    <mergeCell ref="K2291:L2291"/>
    <mergeCell ref="K2292:L2292"/>
    <mergeCell ref="G2294:H2294"/>
    <mergeCell ref="G2295:H2295"/>
    <mergeCell ref="C2292:D2292"/>
    <mergeCell ref="C2293:D2293"/>
    <mergeCell ref="G2293:H2293"/>
    <mergeCell ref="K2293:L2293"/>
    <mergeCell ref="C2294:D2294"/>
    <mergeCell ref="K2294:L2294"/>
    <mergeCell ref="K2295:L2295"/>
    <mergeCell ref="G2273:H2273"/>
    <mergeCell ref="G2274:H2274"/>
    <mergeCell ref="C2271:D2271"/>
    <mergeCell ref="C2272:D2272"/>
    <mergeCell ref="G2272:H2272"/>
    <mergeCell ref="K2272:L2272"/>
    <mergeCell ref="C2273:D2273"/>
    <mergeCell ref="K2273:L2273"/>
    <mergeCell ref="K2274:L2274"/>
    <mergeCell ref="G2276:H2276"/>
    <mergeCell ref="G2277:H2277"/>
    <mergeCell ref="C2274:D2274"/>
    <mergeCell ref="C2275:D2275"/>
    <mergeCell ref="G2275:H2275"/>
    <mergeCell ref="K2275:L2275"/>
    <mergeCell ref="C2276:D2276"/>
    <mergeCell ref="K2276:L2276"/>
    <mergeCell ref="K2277:L2277"/>
    <mergeCell ref="G2279:H2279"/>
    <mergeCell ref="G2280:H2280"/>
    <mergeCell ref="C2277:D2277"/>
    <mergeCell ref="C2278:D2278"/>
    <mergeCell ref="G2278:H2278"/>
    <mergeCell ref="K2278:L2278"/>
    <mergeCell ref="C2279:D2279"/>
    <mergeCell ref="K2279:L2279"/>
    <mergeCell ref="K2280:L2280"/>
    <mergeCell ref="G2282:H2282"/>
    <mergeCell ref="G2283:H2283"/>
    <mergeCell ref="C2280:D2280"/>
    <mergeCell ref="C2281:D2281"/>
    <mergeCell ref="G2281:H2281"/>
    <mergeCell ref="K2281:L2281"/>
    <mergeCell ref="C2282:D2282"/>
    <mergeCell ref="K2282:L2282"/>
    <mergeCell ref="K2283:L2283"/>
    <mergeCell ref="G2261:H2261"/>
    <mergeCell ref="G2262:H2262"/>
    <mergeCell ref="C2259:D2259"/>
    <mergeCell ref="C2260:D2260"/>
    <mergeCell ref="G2260:H2260"/>
    <mergeCell ref="K2260:L2260"/>
    <mergeCell ref="C2261:D2261"/>
    <mergeCell ref="K2261:L2261"/>
    <mergeCell ref="K2262:L2262"/>
    <mergeCell ref="G2264:H2264"/>
    <mergeCell ref="G2265:H2265"/>
    <mergeCell ref="C2262:D2262"/>
    <mergeCell ref="C2263:D2263"/>
    <mergeCell ref="G2263:H2263"/>
    <mergeCell ref="K2263:L2263"/>
    <mergeCell ref="C2264:D2264"/>
    <mergeCell ref="K2264:L2264"/>
    <mergeCell ref="K2265:L2265"/>
    <mergeCell ref="G2267:H2267"/>
    <mergeCell ref="G2268:H2268"/>
    <mergeCell ref="C2265:D2265"/>
    <mergeCell ref="C2266:D2266"/>
    <mergeCell ref="G2266:H2266"/>
    <mergeCell ref="K2266:L2266"/>
    <mergeCell ref="C2267:D2267"/>
    <mergeCell ref="K2267:L2267"/>
    <mergeCell ref="K2268:L2268"/>
    <mergeCell ref="G2270:H2270"/>
    <mergeCell ref="G2271:H2271"/>
    <mergeCell ref="C2268:D2268"/>
    <mergeCell ref="C2269:D2269"/>
    <mergeCell ref="G2269:H2269"/>
    <mergeCell ref="K2269:L2269"/>
    <mergeCell ref="C2270:D2270"/>
    <mergeCell ref="K2270:L2270"/>
    <mergeCell ref="K2271:L2271"/>
    <mergeCell ref="G2249:H2249"/>
    <mergeCell ref="G2250:H2250"/>
    <mergeCell ref="C2247:D2247"/>
    <mergeCell ref="C2248:D2248"/>
    <mergeCell ref="G2248:H2248"/>
    <mergeCell ref="K2248:L2248"/>
    <mergeCell ref="C2249:D2249"/>
    <mergeCell ref="K2249:L2249"/>
    <mergeCell ref="K2250:L2250"/>
    <mergeCell ref="G2252:H2252"/>
    <mergeCell ref="G2253:H2253"/>
    <mergeCell ref="C2250:D2250"/>
    <mergeCell ref="C2251:D2251"/>
    <mergeCell ref="G2251:H2251"/>
    <mergeCell ref="K2251:L2251"/>
    <mergeCell ref="C2252:D2252"/>
    <mergeCell ref="K2252:L2252"/>
    <mergeCell ref="K2253:L2253"/>
    <mergeCell ref="G2255:H2255"/>
    <mergeCell ref="G2256:H2256"/>
    <mergeCell ref="C2253:D2253"/>
    <mergeCell ref="C2254:D2254"/>
    <mergeCell ref="G2254:H2254"/>
    <mergeCell ref="K2254:L2254"/>
    <mergeCell ref="C2255:D2255"/>
    <mergeCell ref="K2255:L2255"/>
    <mergeCell ref="K2256:L2256"/>
    <mergeCell ref="G2258:H2258"/>
    <mergeCell ref="G2259:H2259"/>
    <mergeCell ref="C2256:D2256"/>
    <mergeCell ref="C2257:D2257"/>
    <mergeCell ref="G2257:H2257"/>
    <mergeCell ref="K2257:L2257"/>
    <mergeCell ref="C2258:D2258"/>
    <mergeCell ref="K2258:L2258"/>
    <mergeCell ref="K2259:L2259"/>
    <mergeCell ref="G2237:H2237"/>
    <mergeCell ref="G2238:H2238"/>
    <mergeCell ref="C2235:D2235"/>
    <mergeCell ref="C2236:D2236"/>
    <mergeCell ref="G2236:H2236"/>
    <mergeCell ref="K2236:L2236"/>
    <mergeCell ref="C2237:D2237"/>
    <mergeCell ref="K2237:L2237"/>
    <mergeCell ref="K2238:L2238"/>
    <mergeCell ref="G2240:H2240"/>
    <mergeCell ref="G2241:H2241"/>
    <mergeCell ref="C2238:D2238"/>
    <mergeCell ref="C2239:D2239"/>
    <mergeCell ref="G2239:H2239"/>
    <mergeCell ref="K2239:L2239"/>
    <mergeCell ref="C2240:D2240"/>
    <mergeCell ref="K2240:L2240"/>
    <mergeCell ref="K2241:L2241"/>
    <mergeCell ref="G2243:H2243"/>
    <mergeCell ref="G2244:H2244"/>
    <mergeCell ref="C2241:D2241"/>
    <mergeCell ref="C2242:D2242"/>
    <mergeCell ref="G2242:H2242"/>
    <mergeCell ref="K2242:L2242"/>
    <mergeCell ref="C2243:D2243"/>
    <mergeCell ref="K2243:L2243"/>
    <mergeCell ref="K2244:L2244"/>
    <mergeCell ref="G2246:H2246"/>
    <mergeCell ref="G2247:H2247"/>
    <mergeCell ref="C2244:D2244"/>
    <mergeCell ref="C2245:D2245"/>
    <mergeCell ref="G2245:H2245"/>
    <mergeCell ref="K2245:L2245"/>
    <mergeCell ref="C2246:D2246"/>
    <mergeCell ref="K2246:L2246"/>
    <mergeCell ref="K2247:L2247"/>
    <mergeCell ref="G2225:H2225"/>
    <mergeCell ref="G2226:H2226"/>
    <mergeCell ref="C2223:D2223"/>
    <mergeCell ref="C2224:D2224"/>
    <mergeCell ref="G2224:H2224"/>
    <mergeCell ref="K2224:L2224"/>
    <mergeCell ref="C2225:D2225"/>
    <mergeCell ref="K2225:L2225"/>
    <mergeCell ref="K2226:L2226"/>
    <mergeCell ref="G2228:H2228"/>
    <mergeCell ref="G2229:H2229"/>
    <mergeCell ref="C2226:D2226"/>
    <mergeCell ref="C2227:D2227"/>
    <mergeCell ref="G2227:H2227"/>
    <mergeCell ref="K2227:L2227"/>
    <mergeCell ref="C2228:D2228"/>
    <mergeCell ref="K2228:L2228"/>
    <mergeCell ref="K2229:L2229"/>
    <mergeCell ref="G2231:H2231"/>
    <mergeCell ref="G2232:H2232"/>
    <mergeCell ref="C2229:D2229"/>
    <mergeCell ref="C2230:D2230"/>
    <mergeCell ref="G2230:H2230"/>
    <mergeCell ref="K2230:L2230"/>
    <mergeCell ref="C2231:D2231"/>
    <mergeCell ref="K2231:L2231"/>
    <mergeCell ref="K2232:L2232"/>
    <mergeCell ref="G2234:H2234"/>
    <mergeCell ref="G2235:H2235"/>
    <mergeCell ref="C2232:D2232"/>
    <mergeCell ref="C2233:D2233"/>
    <mergeCell ref="G2233:H2233"/>
    <mergeCell ref="K2233:L2233"/>
    <mergeCell ref="C2234:D2234"/>
    <mergeCell ref="K2234:L2234"/>
    <mergeCell ref="K2235:L2235"/>
    <mergeCell ref="G2213:H2213"/>
    <mergeCell ref="G2214:H2214"/>
    <mergeCell ref="C2211:D2211"/>
    <mergeCell ref="C2212:D2212"/>
    <mergeCell ref="G2212:H2212"/>
    <mergeCell ref="K2212:L2212"/>
    <mergeCell ref="C2213:D2213"/>
    <mergeCell ref="K2213:L2213"/>
    <mergeCell ref="K2214:L2214"/>
    <mergeCell ref="G2216:H2216"/>
    <mergeCell ref="G2217:H2217"/>
    <mergeCell ref="C2214:D2214"/>
    <mergeCell ref="C2215:D2215"/>
    <mergeCell ref="G2215:H2215"/>
    <mergeCell ref="K2215:L2215"/>
    <mergeCell ref="C2216:D2216"/>
    <mergeCell ref="K2216:L2216"/>
    <mergeCell ref="K2217:L2217"/>
    <mergeCell ref="G2219:H2219"/>
    <mergeCell ref="G2220:H2220"/>
    <mergeCell ref="C2217:D2217"/>
    <mergeCell ref="C2218:D2218"/>
    <mergeCell ref="G2218:H2218"/>
    <mergeCell ref="K2218:L2218"/>
    <mergeCell ref="C2219:D2219"/>
    <mergeCell ref="K2219:L2219"/>
    <mergeCell ref="K2220:L2220"/>
    <mergeCell ref="G2222:H2222"/>
    <mergeCell ref="G2223:H2223"/>
    <mergeCell ref="C2220:D2220"/>
    <mergeCell ref="C2221:D2221"/>
    <mergeCell ref="G2221:H2221"/>
    <mergeCell ref="K2221:L2221"/>
    <mergeCell ref="C2222:D2222"/>
    <mergeCell ref="K2222:L2222"/>
    <mergeCell ref="K2223:L2223"/>
    <mergeCell ref="G2201:H2201"/>
    <mergeCell ref="G2202:H2202"/>
    <mergeCell ref="C2199:D2199"/>
    <mergeCell ref="C2200:D2200"/>
    <mergeCell ref="G2200:H2200"/>
    <mergeCell ref="K2200:L2200"/>
    <mergeCell ref="C2201:D2201"/>
    <mergeCell ref="K2201:L2201"/>
    <mergeCell ref="K2202:L2202"/>
    <mergeCell ref="G2204:H2204"/>
    <mergeCell ref="G2205:H2205"/>
    <mergeCell ref="C2202:D2202"/>
    <mergeCell ref="C2203:D2203"/>
    <mergeCell ref="G2203:H2203"/>
    <mergeCell ref="K2203:L2203"/>
    <mergeCell ref="C2204:D2204"/>
    <mergeCell ref="K2204:L2204"/>
    <mergeCell ref="K2205:L2205"/>
    <mergeCell ref="G2207:H2207"/>
    <mergeCell ref="G2208:H2208"/>
    <mergeCell ref="C2205:D2205"/>
    <mergeCell ref="C2206:D2206"/>
    <mergeCell ref="G2206:H2206"/>
    <mergeCell ref="K2206:L2206"/>
    <mergeCell ref="C2207:D2207"/>
    <mergeCell ref="K2207:L2207"/>
    <mergeCell ref="K2208:L2208"/>
    <mergeCell ref="G2210:H2210"/>
    <mergeCell ref="G2211:H2211"/>
    <mergeCell ref="C2208:D2208"/>
    <mergeCell ref="C2209:D2209"/>
    <mergeCell ref="G2209:H2209"/>
    <mergeCell ref="K2209:L2209"/>
    <mergeCell ref="C2210:D2210"/>
    <mergeCell ref="K2210:L2210"/>
    <mergeCell ref="K2211:L2211"/>
    <mergeCell ref="G2189:H2189"/>
    <mergeCell ref="G2190:H2190"/>
    <mergeCell ref="C2187:D2187"/>
    <mergeCell ref="C2188:D2188"/>
    <mergeCell ref="G2188:H2188"/>
    <mergeCell ref="K2188:L2188"/>
    <mergeCell ref="C2189:D2189"/>
    <mergeCell ref="K2189:L2189"/>
    <mergeCell ref="K2190:L2190"/>
    <mergeCell ref="G2192:H2192"/>
    <mergeCell ref="G2193:H2193"/>
    <mergeCell ref="C2190:D2190"/>
    <mergeCell ref="C2191:D2191"/>
    <mergeCell ref="G2191:H2191"/>
    <mergeCell ref="K2191:L2191"/>
    <mergeCell ref="C2192:D2192"/>
    <mergeCell ref="K2192:L2192"/>
    <mergeCell ref="K2193:L2193"/>
    <mergeCell ref="G2195:H2195"/>
    <mergeCell ref="G2196:H2196"/>
    <mergeCell ref="C2193:D2193"/>
    <mergeCell ref="C2194:D2194"/>
    <mergeCell ref="G2194:H2194"/>
    <mergeCell ref="K2194:L2194"/>
    <mergeCell ref="C2195:D2195"/>
    <mergeCell ref="K2195:L2195"/>
    <mergeCell ref="K2196:L2196"/>
    <mergeCell ref="G2198:H2198"/>
    <mergeCell ref="G2199:H2199"/>
    <mergeCell ref="C2196:D2196"/>
    <mergeCell ref="C2197:D2197"/>
    <mergeCell ref="G2197:H2197"/>
    <mergeCell ref="K2197:L2197"/>
    <mergeCell ref="C2198:D2198"/>
    <mergeCell ref="K2198:L2198"/>
    <mergeCell ref="K2199:L2199"/>
    <mergeCell ref="G2177:H2177"/>
    <mergeCell ref="G2178:H2178"/>
    <mergeCell ref="C2175:D2175"/>
    <mergeCell ref="C2176:D2176"/>
    <mergeCell ref="G2176:H2176"/>
    <mergeCell ref="K2176:L2176"/>
    <mergeCell ref="C2177:D2177"/>
    <mergeCell ref="K2177:L2177"/>
    <mergeCell ref="K2178:L2178"/>
    <mergeCell ref="G2180:H2180"/>
    <mergeCell ref="G2181:H2181"/>
    <mergeCell ref="C2178:D2178"/>
    <mergeCell ref="C2179:D2179"/>
    <mergeCell ref="G2179:H2179"/>
    <mergeCell ref="K2179:L2179"/>
    <mergeCell ref="C2180:D2180"/>
    <mergeCell ref="K2180:L2180"/>
    <mergeCell ref="K2181:L2181"/>
    <mergeCell ref="G2183:H2183"/>
    <mergeCell ref="G2184:H2184"/>
    <mergeCell ref="C2181:D2181"/>
    <mergeCell ref="C2182:D2182"/>
    <mergeCell ref="G2182:H2182"/>
    <mergeCell ref="K2182:L2182"/>
    <mergeCell ref="C2183:D2183"/>
    <mergeCell ref="K2183:L2183"/>
    <mergeCell ref="K2184:L2184"/>
    <mergeCell ref="G2186:H2186"/>
    <mergeCell ref="G2187:H2187"/>
    <mergeCell ref="C2184:D2184"/>
    <mergeCell ref="C2185:D2185"/>
    <mergeCell ref="G2185:H2185"/>
    <mergeCell ref="K2185:L2185"/>
    <mergeCell ref="C2186:D2186"/>
    <mergeCell ref="K2186:L2186"/>
    <mergeCell ref="K2187:L2187"/>
    <mergeCell ref="G2165:H2165"/>
    <mergeCell ref="G2166:H2166"/>
    <mergeCell ref="C2163:D2163"/>
    <mergeCell ref="C2164:D2164"/>
    <mergeCell ref="G2164:H2164"/>
    <mergeCell ref="K2164:L2164"/>
    <mergeCell ref="C2165:D2165"/>
    <mergeCell ref="K2165:L2165"/>
    <mergeCell ref="K2166:L2166"/>
    <mergeCell ref="G2168:H2168"/>
    <mergeCell ref="G2169:H2169"/>
    <mergeCell ref="C2166:D2166"/>
    <mergeCell ref="C2167:D2167"/>
    <mergeCell ref="G2167:H2167"/>
    <mergeCell ref="K2167:L2167"/>
    <mergeCell ref="C2168:D2168"/>
    <mergeCell ref="K2168:L2168"/>
    <mergeCell ref="K2169:L2169"/>
    <mergeCell ref="G2171:H2171"/>
    <mergeCell ref="G2172:H2172"/>
    <mergeCell ref="C2169:D2169"/>
    <mergeCell ref="C2170:D2170"/>
    <mergeCell ref="G2170:H2170"/>
    <mergeCell ref="K2170:L2170"/>
    <mergeCell ref="C2171:D2171"/>
    <mergeCell ref="K2171:L2171"/>
    <mergeCell ref="K2172:L2172"/>
    <mergeCell ref="G2174:H2174"/>
    <mergeCell ref="G2175:H2175"/>
    <mergeCell ref="C2172:D2172"/>
    <mergeCell ref="C2173:D2173"/>
    <mergeCell ref="G2173:H2173"/>
    <mergeCell ref="K2173:L2173"/>
    <mergeCell ref="C2174:D2174"/>
    <mergeCell ref="K2174:L2174"/>
    <mergeCell ref="K2175:L2175"/>
    <mergeCell ref="G2153:H2153"/>
    <mergeCell ref="G2154:H2154"/>
    <mergeCell ref="C2151:D2151"/>
    <mergeCell ref="C2152:D2152"/>
    <mergeCell ref="G2152:H2152"/>
    <mergeCell ref="K2152:L2152"/>
    <mergeCell ref="C2153:D2153"/>
    <mergeCell ref="K2153:L2153"/>
    <mergeCell ref="K2154:L2154"/>
    <mergeCell ref="G2156:H2156"/>
    <mergeCell ref="G2157:H2157"/>
    <mergeCell ref="C2154:D2154"/>
    <mergeCell ref="C2155:D2155"/>
    <mergeCell ref="G2155:H2155"/>
    <mergeCell ref="K2155:L2155"/>
    <mergeCell ref="C2156:D2156"/>
    <mergeCell ref="K2156:L2156"/>
    <mergeCell ref="K2157:L2157"/>
    <mergeCell ref="G2159:H2159"/>
    <mergeCell ref="G2160:H2160"/>
    <mergeCell ref="C2157:D2157"/>
    <mergeCell ref="C2158:D2158"/>
    <mergeCell ref="G2158:H2158"/>
    <mergeCell ref="K2158:L2158"/>
    <mergeCell ref="C2159:D2159"/>
    <mergeCell ref="K2159:L2159"/>
    <mergeCell ref="K2160:L2160"/>
    <mergeCell ref="G2162:H2162"/>
    <mergeCell ref="G2163:H2163"/>
    <mergeCell ref="C2160:D2160"/>
    <mergeCell ref="C2161:D2161"/>
    <mergeCell ref="G2161:H2161"/>
    <mergeCell ref="K2161:L2161"/>
    <mergeCell ref="C2162:D2162"/>
    <mergeCell ref="K2162:L2162"/>
    <mergeCell ref="K2163:L2163"/>
    <mergeCell ref="G2141:H2141"/>
    <mergeCell ref="G2142:H2142"/>
    <mergeCell ref="C2139:D2139"/>
    <mergeCell ref="C2140:D2140"/>
    <mergeCell ref="G2140:H2140"/>
    <mergeCell ref="K2140:L2140"/>
    <mergeCell ref="C2141:D2141"/>
    <mergeCell ref="K2141:L2141"/>
    <mergeCell ref="K2142:L2142"/>
    <mergeCell ref="G2144:H2144"/>
    <mergeCell ref="G2145:H2145"/>
    <mergeCell ref="C2142:D2142"/>
    <mergeCell ref="C2143:D2143"/>
    <mergeCell ref="G2143:H2143"/>
    <mergeCell ref="K2143:L2143"/>
    <mergeCell ref="C2144:D2144"/>
    <mergeCell ref="K2144:L2144"/>
    <mergeCell ref="K2145:L2145"/>
    <mergeCell ref="G2147:H2147"/>
    <mergeCell ref="G2148:H2148"/>
    <mergeCell ref="C2145:D2145"/>
    <mergeCell ref="C2146:D2146"/>
    <mergeCell ref="G2146:H2146"/>
    <mergeCell ref="K2146:L2146"/>
    <mergeCell ref="C2147:D2147"/>
    <mergeCell ref="K2147:L2147"/>
    <mergeCell ref="K2148:L2148"/>
    <mergeCell ref="G2150:H2150"/>
    <mergeCell ref="G2151:H2151"/>
    <mergeCell ref="C2148:D2148"/>
    <mergeCell ref="C2149:D2149"/>
    <mergeCell ref="G2149:H2149"/>
    <mergeCell ref="K2149:L2149"/>
    <mergeCell ref="C2150:D2150"/>
    <mergeCell ref="K2150:L2150"/>
    <mergeCell ref="K2151:L2151"/>
    <mergeCell ref="G2129:H2129"/>
    <mergeCell ref="G2130:H2130"/>
    <mergeCell ref="C2127:D2127"/>
    <mergeCell ref="C2128:D2128"/>
    <mergeCell ref="G2128:H2128"/>
    <mergeCell ref="K2128:L2128"/>
    <mergeCell ref="C2129:D2129"/>
    <mergeCell ref="K2129:L2129"/>
    <mergeCell ref="K2130:L2130"/>
    <mergeCell ref="G2132:H2132"/>
    <mergeCell ref="G2133:H2133"/>
    <mergeCell ref="C2130:D2130"/>
    <mergeCell ref="C2131:D2131"/>
    <mergeCell ref="G2131:H2131"/>
    <mergeCell ref="K2131:L2131"/>
    <mergeCell ref="C2132:D2132"/>
    <mergeCell ref="K2132:L2132"/>
    <mergeCell ref="K2133:L2133"/>
    <mergeCell ref="G2135:H2135"/>
    <mergeCell ref="G2136:H2136"/>
    <mergeCell ref="C2133:D2133"/>
    <mergeCell ref="C2134:D2134"/>
    <mergeCell ref="G2134:H2134"/>
    <mergeCell ref="K2134:L2134"/>
    <mergeCell ref="C2135:D2135"/>
    <mergeCell ref="K2135:L2135"/>
    <mergeCell ref="K2136:L2136"/>
    <mergeCell ref="G2138:H2138"/>
    <mergeCell ref="G2139:H2139"/>
    <mergeCell ref="C2136:D2136"/>
    <mergeCell ref="C2137:D2137"/>
    <mergeCell ref="G2137:H2137"/>
    <mergeCell ref="K2137:L2137"/>
    <mergeCell ref="C2138:D2138"/>
    <mergeCell ref="K2138:L2138"/>
    <mergeCell ref="K2139:L2139"/>
    <mergeCell ref="G2117:H2117"/>
    <mergeCell ref="G2118:H2118"/>
    <mergeCell ref="C2115:D2115"/>
    <mergeCell ref="C2116:D2116"/>
    <mergeCell ref="G2116:H2116"/>
    <mergeCell ref="K2116:L2116"/>
    <mergeCell ref="C2117:D2117"/>
    <mergeCell ref="K2117:L2117"/>
    <mergeCell ref="K2118:L2118"/>
    <mergeCell ref="G2120:H2120"/>
    <mergeCell ref="G2121:H2121"/>
    <mergeCell ref="C2118:D2118"/>
    <mergeCell ref="C2119:D2119"/>
    <mergeCell ref="G2119:H2119"/>
    <mergeCell ref="K2119:L2119"/>
    <mergeCell ref="C2120:D2120"/>
    <mergeCell ref="K2120:L2120"/>
    <mergeCell ref="K2121:L2121"/>
    <mergeCell ref="G2123:H2123"/>
    <mergeCell ref="G2124:H2124"/>
    <mergeCell ref="C2121:D2121"/>
    <mergeCell ref="C2122:D2122"/>
    <mergeCell ref="G2122:H2122"/>
    <mergeCell ref="K2122:L2122"/>
    <mergeCell ref="C2123:D2123"/>
    <mergeCell ref="K2123:L2123"/>
    <mergeCell ref="K2124:L2124"/>
    <mergeCell ref="G2126:H2126"/>
    <mergeCell ref="G2127:H2127"/>
    <mergeCell ref="C2124:D2124"/>
    <mergeCell ref="C2125:D2125"/>
    <mergeCell ref="G2125:H2125"/>
    <mergeCell ref="K2125:L2125"/>
    <mergeCell ref="C2126:D2126"/>
    <mergeCell ref="K2126:L2126"/>
    <mergeCell ref="K2127:L2127"/>
    <mergeCell ref="G2105:H2105"/>
    <mergeCell ref="G2106:H2106"/>
    <mergeCell ref="C2103:D2103"/>
    <mergeCell ref="C2104:D2104"/>
    <mergeCell ref="G2104:H2104"/>
    <mergeCell ref="K2104:L2104"/>
    <mergeCell ref="C2105:D2105"/>
    <mergeCell ref="K2105:L2105"/>
    <mergeCell ref="K2106:L2106"/>
    <mergeCell ref="G2108:H2108"/>
    <mergeCell ref="G2109:H2109"/>
    <mergeCell ref="C2106:D2106"/>
    <mergeCell ref="C2107:D2107"/>
    <mergeCell ref="G2107:H2107"/>
    <mergeCell ref="K2107:L2107"/>
    <mergeCell ref="C2108:D2108"/>
    <mergeCell ref="K2108:L2108"/>
    <mergeCell ref="K2109:L2109"/>
    <mergeCell ref="G2111:H2111"/>
    <mergeCell ref="G2112:H2112"/>
    <mergeCell ref="C2109:D2109"/>
    <mergeCell ref="C2110:D2110"/>
    <mergeCell ref="G2110:H2110"/>
    <mergeCell ref="K2110:L2110"/>
    <mergeCell ref="C2111:D2111"/>
    <mergeCell ref="K2111:L2111"/>
    <mergeCell ref="K2112:L2112"/>
    <mergeCell ref="G2114:H2114"/>
    <mergeCell ref="G2115:H2115"/>
    <mergeCell ref="C2112:D2112"/>
    <mergeCell ref="C2113:D2113"/>
    <mergeCell ref="G2113:H2113"/>
    <mergeCell ref="K2113:L2113"/>
    <mergeCell ref="C2114:D2114"/>
    <mergeCell ref="K2114:L2114"/>
    <mergeCell ref="K2115:L2115"/>
    <mergeCell ref="G2093:H2093"/>
    <mergeCell ref="G2094:H2094"/>
    <mergeCell ref="C2091:D2091"/>
    <mergeCell ref="C2092:D2092"/>
    <mergeCell ref="G2092:H2092"/>
    <mergeCell ref="K2092:L2092"/>
    <mergeCell ref="C2093:D2093"/>
    <mergeCell ref="K2093:L2093"/>
    <mergeCell ref="K2094:L2094"/>
    <mergeCell ref="G2096:H2096"/>
    <mergeCell ref="G2097:H2097"/>
    <mergeCell ref="C2094:D2094"/>
    <mergeCell ref="C2095:D2095"/>
    <mergeCell ref="G2095:H2095"/>
    <mergeCell ref="K2095:L2095"/>
    <mergeCell ref="C2096:D2096"/>
    <mergeCell ref="K2096:L2096"/>
    <mergeCell ref="K2097:L2097"/>
    <mergeCell ref="G2099:H2099"/>
    <mergeCell ref="G2100:H2100"/>
    <mergeCell ref="C2097:D2097"/>
    <mergeCell ref="C2098:D2098"/>
    <mergeCell ref="G2098:H2098"/>
    <mergeCell ref="K2098:L2098"/>
    <mergeCell ref="C2099:D2099"/>
    <mergeCell ref="K2099:L2099"/>
    <mergeCell ref="K2100:L2100"/>
    <mergeCell ref="G2102:H2102"/>
    <mergeCell ref="G2103:H2103"/>
    <mergeCell ref="C2100:D2100"/>
    <mergeCell ref="C2101:D2101"/>
    <mergeCell ref="G2101:H2101"/>
    <mergeCell ref="K2101:L2101"/>
    <mergeCell ref="C2102:D2102"/>
    <mergeCell ref="K2102:L2102"/>
    <mergeCell ref="K2103:L2103"/>
    <mergeCell ref="G2081:H2081"/>
    <mergeCell ref="G2082:H2082"/>
    <mergeCell ref="C2079:D2079"/>
    <mergeCell ref="C2080:D2080"/>
    <mergeCell ref="G2080:H2080"/>
    <mergeCell ref="K2080:L2080"/>
    <mergeCell ref="C2081:D2081"/>
    <mergeCell ref="K2081:L2081"/>
    <mergeCell ref="K2082:L2082"/>
    <mergeCell ref="G2084:H2084"/>
    <mergeCell ref="G2085:H2085"/>
    <mergeCell ref="C2082:D2082"/>
    <mergeCell ref="C2083:D2083"/>
    <mergeCell ref="G2083:H2083"/>
    <mergeCell ref="K2083:L2083"/>
    <mergeCell ref="C2084:D2084"/>
    <mergeCell ref="K2084:L2084"/>
    <mergeCell ref="K2085:L2085"/>
    <mergeCell ref="G2087:H2087"/>
    <mergeCell ref="G2088:H2088"/>
    <mergeCell ref="C2085:D2085"/>
    <mergeCell ref="C2086:D2086"/>
    <mergeCell ref="G2086:H2086"/>
    <mergeCell ref="K2086:L2086"/>
    <mergeCell ref="C2087:D2087"/>
    <mergeCell ref="K2087:L2087"/>
    <mergeCell ref="K2088:L2088"/>
    <mergeCell ref="G2090:H2090"/>
    <mergeCell ref="G2091:H2091"/>
    <mergeCell ref="C2088:D2088"/>
    <mergeCell ref="C2089:D2089"/>
    <mergeCell ref="G2089:H2089"/>
    <mergeCell ref="K2089:L2089"/>
    <mergeCell ref="C2090:D2090"/>
    <mergeCell ref="K2090:L2090"/>
    <mergeCell ref="K2091:L2091"/>
    <mergeCell ref="G2069:H2069"/>
    <mergeCell ref="G2070:H2070"/>
    <mergeCell ref="C2067:D2067"/>
    <mergeCell ref="C2068:D2068"/>
    <mergeCell ref="G2068:H2068"/>
    <mergeCell ref="K2068:L2068"/>
    <mergeCell ref="C2069:D2069"/>
    <mergeCell ref="K2069:L2069"/>
    <mergeCell ref="K2070:L2070"/>
    <mergeCell ref="G2072:H2072"/>
    <mergeCell ref="G2073:H2073"/>
    <mergeCell ref="C2070:D2070"/>
    <mergeCell ref="C2071:D2071"/>
    <mergeCell ref="G2071:H2071"/>
    <mergeCell ref="K2071:L2071"/>
    <mergeCell ref="C2072:D2072"/>
    <mergeCell ref="K2072:L2072"/>
    <mergeCell ref="K2073:L2073"/>
    <mergeCell ref="G2075:H2075"/>
    <mergeCell ref="G2076:H2076"/>
    <mergeCell ref="C2073:D2073"/>
    <mergeCell ref="C2074:D2074"/>
    <mergeCell ref="G2074:H2074"/>
    <mergeCell ref="K2074:L2074"/>
    <mergeCell ref="C2075:D2075"/>
    <mergeCell ref="K2075:L2075"/>
    <mergeCell ref="K2076:L2076"/>
    <mergeCell ref="G2078:H2078"/>
    <mergeCell ref="G2079:H2079"/>
    <mergeCell ref="C2076:D2076"/>
    <mergeCell ref="C2077:D2077"/>
    <mergeCell ref="G2077:H2077"/>
    <mergeCell ref="K2077:L2077"/>
    <mergeCell ref="C2078:D2078"/>
    <mergeCell ref="K2078:L2078"/>
    <mergeCell ref="K2079:L2079"/>
    <mergeCell ref="G2057:H2057"/>
    <mergeCell ref="G2058:H2058"/>
    <mergeCell ref="C2055:D2055"/>
    <mergeCell ref="C2056:D2056"/>
    <mergeCell ref="G2056:H2056"/>
    <mergeCell ref="K2056:L2056"/>
    <mergeCell ref="C2057:D2057"/>
    <mergeCell ref="K2057:L2057"/>
    <mergeCell ref="K2058:L2058"/>
    <mergeCell ref="G2060:H2060"/>
    <mergeCell ref="G2061:H2061"/>
    <mergeCell ref="C2058:D2058"/>
    <mergeCell ref="C2059:D2059"/>
    <mergeCell ref="G2059:H2059"/>
    <mergeCell ref="K2059:L2059"/>
    <mergeCell ref="C2060:D2060"/>
    <mergeCell ref="K2060:L2060"/>
    <mergeCell ref="K2061:L2061"/>
    <mergeCell ref="G2063:H2063"/>
    <mergeCell ref="G2064:H2064"/>
    <mergeCell ref="C2061:D2061"/>
    <mergeCell ref="C2062:D2062"/>
    <mergeCell ref="G2062:H2062"/>
    <mergeCell ref="K2062:L2062"/>
    <mergeCell ref="C2063:D2063"/>
    <mergeCell ref="K2063:L2063"/>
    <mergeCell ref="K2064:L2064"/>
    <mergeCell ref="G2066:H2066"/>
    <mergeCell ref="G2067:H2067"/>
    <mergeCell ref="C2064:D2064"/>
    <mergeCell ref="C2065:D2065"/>
    <mergeCell ref="G2065:H2065"/>
    <mergeCell ref="K2065:L2065"/>
    <mergeCell ref="C2066:D2066"/>
    <mergeCell ref="K2066:L2066"/>
    <mergeCell ref="K2067:L2067"/>
    <mergeCell ref="G2045:H2045"/>
    <mergeCell ref="G2046:H2046"/>
    <mergeCell ref="C2043:D2043"/>
    <mergeCell ref="C2044:D2044"/>
    <mergeCell ref="G2044:H2044"/>
    <mergeCell ref="K2044:L2044"/>
    <mergeCell ref="C2045:D2045"/>
    <mergeCell ref="K2045:L2045"/>
    <mergeCell ref="K2046:L2046"/>
    <mergeCell ref="G2048:H2048"/>
    <mergeCell ref="G2049:H2049"/>
    <mergeCell ref="C2046:D2046"/>
    <mergeCell ref="C2047:D2047"/>
    <mergeCell ref="G2047:H2047"/>
    <mergeCell ref="K2047:L2047"/>
    <mergeCell ref="C2048:D2048"/>
    <mergeCell ref="K2048:L2048"/>
    <mergeCell ref="K2049:L2049"/>
    <mergeCell ref="G2051:H2051"/>
    <mergeCell ref="G2052:H2052"/>
    <mergeCell ref="C2049:D2049"/>
    <mergeCell ref="C2050:D2050"/>
    <mergeCell ref="G2050:H2050"/>
    <mergeCell ref="K2050:L2050"/>
    <mergeCell ref="C2051:D2051"/>
    <mergeCell ref="K2051:L2051"/>
    <mergeCell ref="K2052:L2052"/>
    <mergeCell ref="G2054:H2054"/>
    <mergeCell ref="G2055:H2055"/>
    <mergeCell ref="C2052:D2052"/>
    <mergeCell ref="C2053:D2053"/>
    <mergeCell ref="G2053:H2053"/>
    <mergeCell ref="K2053:L2053"/>
    <mergeCell ref="C2054:D2054"/>
    <mergeCell ref="K2054:L2054"/>
    <mergeCell ref="K2055:L2055"/>
    <mergeCell ref="G2033:H2033"/>
    <mergeCell ref="G2034:H2034"/>
    <mergeCell ref="C2031:D2031"/>
    <mergeCell ref="C2032:D2032"/>
    <mergeCell ref="G2032:H2032"/>
    <mergeCell ref="K2032:L2032"/>
    <mergeCell ref="C2033:D2033"/>
    <mergeCell ref="K2033:L2033"/>
    <mergeCell ref="K2034:L2034"/>
    <mergeCell ref="G2036:H2036"/>
    <mergeCell ref="G2037:H2037"/>
    <mergeCell ref="C2034:D2034"/>
    <mergeCell ref="C2035:D2035"/>
    <mergeCell ref="G2035:H2035"/>
    <mergeCell ref="K2035:L2035"/>
    <mergeCell ref="C2036:D2036"/>
    <mergeCell ref="K2036:L2036"/>
    <mergeCell ref="K2037:L2037"/>
    <mergeCell ref="G2039:H2039"/>
    <mergeCell ref="G2040:H2040"/>
    <mergeCell ref="C2037:D2037"/>
    <mergeCell ref="C2038:D2038"/>
    <mergeCell ref="G2038:H2038"/>
    <mergeCell ref="K2038:L2038"/>
    <mergeCell ref="C2039:D2039"/>
    <mergeCell ref="K2039:L2039"/>
    <mergeCell ref="K2040:L2040"/>
    <mergeCell ref="G2042:H2042"/>
    <mergeCell ref="G2043:H2043"/>
    <mergeCell ref="C2040:D2040"/>
    <mergeCell ref="C2041:D2041"/>
    <mergeCell ref="G2041:H2041"/>
    <mergeCell ref="K2041:L2041"/>
    <mergeCell ref="C2042:D2042"/>
    <mergeCell ref="K2042:L2042"/>
    <mergeCell ref="K2043:L2043"/>
    <mergeCell ref="G2021:H2021"/>
    <mergeCell ref="G2022:H2022"/>
    <mergeCell ref="C2019:D2019"/>
    <mergeCell ref="C2020:D2020"/>
    <mergeCell ref="G2020:H2020"/>
    <mergeCell ref="K2020:L2020"/>
    <mergeCell ref="C2021:D2021"/>
    <mergeCell ref="K2021:L2021"/>
    <mergeCell ref="K2022:L2022"/>
    <mergeCell ref="G2024:H2024"/>
    <mergeCell ref="G2025:H2025"/>
    <mergeCell ref="C2022:D2022"/>
    <mergeCell ref="C2023:D2023"/>
    <mergeCell ref="G2023:H2023"/>
    <mergeCell ref="K2023:L2023"/>
    <mergeCell ref="C2024:D2024"/>
    <mergeCell ref="K2024:L2024"/>
    <mergeCell ref="K2025:L2025"/>
    <mergeCell ref="G2027:H2027"/>
    <mergeCell ref="G2028:H2028"/>
    <mergeCell ref="C2025:D2025"/>
    <mergeCell ref="C2026:D2026"/>
    <mergeCell ref="G2026:H2026"/>
    <mergeCell ref="K2026:L2026"/>
    <mergeCell ref="C2027:D2027"/>
    <mergeCell ref="K2027:L2027"/>
    <mergeCell ref="K2028:L2028"/>
    <mergeCell ref="G2030:H2030"/>
    <mergeCell ref="G2031:H2031"/>
    <mergeCell ref="C2028:D2028"/>
    <mergeCell ref="C2029:D2029"/>
    <mergeCell ref="G2029:H2029"/>
    <mergeCell ref="K2029:L2029"/>
    <mergeCell ref="C2030:D2030"/>
    <mergeCell ref="K2030:L2030"/>
    <mergeCell ref="K2031:L2031"/>
    <mergeCell ref="G2009:H2009"/>
    <mergeCell ref="G2010:H2010"/>
    <mergeCell ref="C2007:D2007"/>
    <mergeCell ref="C2008:D2008"/>
    <mergeCell ref="G2008:H2008"/>
    <mergeCell ref="K2008:L2008"/>
    <mergeCell ref="C2009:D2009"/>
    <mergeCell ref="K2009:L2009"/>
    <mergeCell ref="K2010:L2010"/>
    <mergeCell ref="G2012:H2012"/>
    <mergeCell ref="G2013:H2013"/>
    <mergeCell ref="C2010:D2010"/>
    <mergeCell ref="C2011:D2011"/>
    <mergeCell ref="G2011:H2011"/>
    <mergeCell ref="K2011:L2011"/>
    <mergeCell ref="C2012:D2012"/>
    <mergeCell ref="K2012:L2012"/>
    <mergeCell ref="K2013:L2013"/>
    <mergeCell ref="G2015:H2015"/>
    <mergeCell ref="G2016:H2016"/>
    <mergeCell ref="C2013:D2013"/>
    <mergeCell ref="C2014:D2014"/>
    <mergeCell ref="G2014:H2014"/>
    <mergeCell ref="K2014:L2014"/>
    <mergeCell ref="C2015:D2015"/>
    <mergeCell ref="K2015:L2015"/>
    <mergeCell ref="K2016:L2016"/>
    <mergeCell ref="G2018:H2018"/>
    <mergeCell ref="G2019:H2019"/>
    <mergeCell ref="C2016:D2016"/>
    <mergeCell ref="C2017:D2017"/>
    <mergeCell ref="G2017:H2017"/>
    <mergeCell ref="K2017:L2017"/>
    <mergeCell ref="C2018:D2018"/>
    <mergeCell ref="K2018:L2018"/>
    <mergeCell ref="K2019:L2019"/>
    <mergeCell ref="G1997:H1997"/>
    <mergeCell ref="G1998:H1998"/>
    <mergeCell ref="C1995:D1995"/>
    <mergeCell ref="C1996:D1996"/>
    <mergeCell ref="G1996:H1996"/>
    <mergeCell ref="K1996:L1996"/>
    <mergeCell ref="C1997:D1997"/>
    <mergeCell ref="K1997:L1997"/>
    <mergeCell ref="K1998:L1998"/>
    <mergeCell ref="G2000:H2000"/>
    <mergeCell ref="G2001:H2001"/>
    <mergeCell ref="C1998:D1998"/>
    <mergeCell ref="C1999:D1999"/>
    <mergeCell ref="G1999:H1999"/>
    <mergeCell ref="K1999:L1999"/>
    <mergeCell ref="C2000:D2000"/>
    <mergeCell ref="K2000:L2000"/>
    <mergeCell ref="K2001:L2001"/>
    <mergeCell ref="G2003:H2003"/>
    <mergeCell ref="G2004:H2004"/>
    <mergeCell ref="C2001:D2001"/>
    <mergeCell ref="C2002:D2002"/>
    <mergeCell ref="G2002:H2002"/>
    <mergeCell ref="K2002:L2002"/>
    <mergeCell ref="C2003:D2003"/>
    <mergeCell ref="K2003:L2003"/>
    <mergeCell ref="K2004:L2004"/>
    <mergeCell ref="G2006:H2006"/>
    <mergeCell ref="G2007:H2007"/>
    <mergeCell ref="C2004:D2004"/>
    <mergeCell ref="C2005:D2005"/>
    <mergeCell ref="G2005:H2005"/>
    <mergeCell ref="K2005:L2005"/>
    <mergeCell ref="C2006:D2006"/>
    <mergeCell ref="K2006:L2006"/>
    <mergeCell ref="K2007:L2007"/>
    <mergeCell ref="G1985:H1985"/>
    <mergeCell ref="G1986:H1986"/>
    <mergeCell ref="C1983:D1983"/>
    <mergeCell ref="C1984:D1984"/>
    <mergeCell ref="G1984:H1984"/>
    <mergeCell ref="K1984:L1984"/>
    <mergeCell ref="C1985:D1985"/>
    <mergeCell ref="K1985:L1985"/>
    <mergeCell ref="K1986:L1986"/>
    <mergeCell ref="G1988:H1988"/>
    <mergeCell ref="G1989:H1989"/>
    <mergeCell ref="C1986:D1986"/>
    <mergeCell ref="C1987:D1987"/>
    <mergeCell ref="G1987:H1987"/>
    <mergeCell ref="K1987:L1987"/>
    <mergeCell ref="C1988:D1988"/>
    <mergeCell ref="K1988:L1988"/>
    <mergeCell ref="K1989:L1989"/>
    <mergeCell ref="G1991:H1991"/>
    <mergeCell ref="G1992:H1992"/>
    <mergeCell ref="C1989:D1989"/>
    <mergeCell ref="C1990:D1990"/>
    <mergeCell ref="G1990:H1990"/>
    <mergeCell ref="K1990:L1990"/>
    <mergeCell ref="C1991:D1991"/>
    <mergeCell ref="K1991:L1991"/>
    <mergeCell ref="K1992:L1992"/>
    <mergeCell ref="G1994:H1994"/>
    <mergeCell ref="G1995:H1995"/>
    <mergeCell ref="C1992:D1992"/>
    <mergeCell ref="C1993:D1993"/>
    <mergeCell ref="G1993:H1993"/>
    <mergeCell ref="K1993:L1993"/>
    <mergeCell ref="C1994:D1994"/>
    <mergeCell ref="K1994:L1994"/>
    <mergeCell ref="K1995:L1995"/>
    <mergeCell ref="G1973:H1973"/>
    <mergeCell ref="G1974:H1974"/>
    <mergeCell ref="C1971:D1971"/>
    <mergeCell ref="C1972:D1972"/>
    <mergeCell ref="G1972:H1972"/>
    <mergeCell ref="K1972:L1972"/>
    <mergeCell ref="C1973:D1973"/>
    <mergeCell ref="K1973:L1973"/>
    <mergeCell ref="K1974:L1974"/>
    <mergeCell ref="G1976:H1976"/>
    <mergeCell ref="G1977:H1977"/>
    <mergeCell ref="C1974:D1974"/>
    <mergeCell ref="C1975:D1975"/>
    <mergeCell ref="G1975:H1975"/>
    <mergeCell ref="K1975:L1975"/>
    <mergeCell ref="C1976:D1976"/>
    <mergeCell ref="K1976:L1976"/>
    <mergeCell ref="K1977:L1977"/>
    <mergeCell ref="G1979:H1979"/>
    <mergeCell ref="G1980:H1980"/>
    <mergeCell ref="C1977:D1977"/>
    <mergeCell ref="C1978:D1978"/>
    <mergeCell ref="G1978:H1978"/>
    <mergeCell ref="K1978:L1978"/>
    <mergeCell ref="C1979:D1979"/>
    <mergeCell ref="K1979:L1979"/>
    <mergeCell ref="K1980:L1980"/>
    <mergeCell ref="G1982:H1982"/>
    <mergeCell ref="G1983:H1983"/>
    <mergeCell ref="C1980:D1980"/>
    <mergeCell ref="C1981:D1981"/>
    <mergeCell ref="G1981:H1981"/>
    <mergeCell ref="K1981:L1981"/>
    <mergeCell ref="C1982:D1982"/>
    <mergeCell ref="K1982:L1982"/>
    <mergeCell ref="K1983:L1983"/>
    <mergeCell ref="G1961:H1961"/>
    <mergeCell ref="G1962:H1962"/>
    <mergeCell ref="C1959:D1959"/>
    <mergeCell ref="C1960:D1960"/>
    <mergeCell ref="G1960:H1960"/>
    <mergeCell ref="K1960:L1960"/>
    <mergeCell ref="C1961:D1961"/>
    <mergeCell ref="K1961:L1961"/>
    <mergeCell ref="K1962:L1962"/>
    <mergeCell ref="G1964:H1964"/>
    <mergeCell ref="G1965:H1965"/>
    <mergeCell ref="C1962:D1962"/>
    <mergeCell ref="C1963:D1963"/>
    <mergeCell ref="G1963:H1963"/>
    <mergeCell ref="K1963:L1963"/>
    <mergeCell ref="C1964:D1964"/>
    <mergeCell ref="K1964:L1964"/>
    <mergeCell ref="K1965:L1965"/>
    <mergeCell ref="G1967:H1967"/>
    <mergeCell ref="G1968:H1968"/>
    <mergeCell ref="C1965:D1965"/>
    <mergeCell ref="C1966:D1966"/>
    <mergeCell ref="G1966:H1966"/>
    <mergeCell ref="K1966:L1966"/>
    <mergeCell ref="C1967:D1967"/>
    <mergeCell ref="K1967:L1967"/>
    <mergeCell ref="K1968:L1968"/>
    <mergeCell ref="G1970:H1970"/>
    <mergeCell ref="G1971:H1971"/>
    <mergeCell ref="C1968:D1968"/>
    <mergeCell ref="C1969:D1969"/>
    <mergeCell ref="G1969:H1969"/>
    <mergeCell ref="K1969:L1969"/>
    <mergeCell ref="C1970:D1970"/>
    <mergeCell ref="K1970:L1970"/>
    <mergeCell ref="K1971:L1971"/>
    <mergeCell ref="G1949:H1949"/>
    <mergeCell ref="G1950:H1950"/>
    <mergeCell ref="C1947:D1947"/>
    <mergeCell ref="C1948:D1948"/>
    <mergeCell ref="G1948:H1948"/>
    <mergeCell ref="K1948:L1948"/>
    <mergeCell ref="C1949:D1949"/>
    <mergeCell ref="K1949:L1949"/>
    <mergeCell ref="K1950:L1950"/>
    <mergeCell ref="G1952:H1952"/>
    <mergeCell ref="G1953:H1953"/>
    <mergeCell ref="C1950:D1950"/>
    <mergeCell ref="C1951:D1951"/>
    <mergeCell ref="G1951:H1951"/>
    <mergeCell ref="K1951:L1951"/>
    <mergeCell ref="C1952:D1952"/>
    <mergeCell ref="K1952:L1952"/>
    <mergeCell ref="K1953:L1953"/>
    <mergeCell ref="G1955:H1955"/>
    <mergeCell ref="G1956:H1956"/>
    <mergeCell ref="C1953:D1953"/>
    <mergeCell ref="C1954:D1954"/>
    <mergeCell ref="G1954:H1954"/>
    <mergeCell ref="K1954:L1954"/>
    <mergeCell ref="C1955:D1955"/>
    <mergeCell ref="K1955:L1955"/>
    <mergeCell ref="K1956:L1956"/>
    <mergeCell ref="G1958:H1958"/>
    <mergeCell ref="G1959:H1959"/>
    <mergeCell ref="C1956:D1956"/>
    <mergeCell ref="C1957:D1957"/>
    <mergeCell ref="G1957:H1957"/>
    <mergeCell ref="K1957:L1957"/>
    <mergeCell ref="C1958:D1958"/>
    <mergeCell ref="K1958:L1958"/>
    <mergeCell ref="K1959:L1959"/>
    <mergeCell ref="G1937:H1937"/>
    <mergeCell ref="G1938:H1938"/>
    <mergeCell ref="C1935:D1935"/>
    <mergeCell ref="C1936:D1936"/>
    <mergeCell ref="G1936:H1936"/>
    <mergeCell ref="K1936:L1936"/>
    <mergeCell ref="C1937:D1937"/>
    <mergeCell ref="K1937:L1937"/>
    <mergeCell ref="K1938:L1938"/>
    <mergeCell ref="G1940:H1940"/>
    <mergeCell ref="G1941:H1941"/>
    <mergeCell ref="C1938:D1938"/>
    <mergeCell ref="C1939:D1939"/>
    <mergeCell ref="G1939:H1939"/>
    <mergeCell ref="K1939:L1939"/>
    <mergeCell ref="C1940:D1940"/>
    <mergeCell ref="K1940:L1940"/>
    <mergeCell ref="K1941:L1941"/>
    <mergeCell ref="G1943:H1943"/>
    <mergeCell ref="G1944:H1944"/>
    <mergeCell ref="C1941:D1941"/>
    <mergeCell ref="C1942:D1942"/>
    <mergeCell ref="G1942:H1942"/>
    <mergeCell ref="K1942:L1942"/>
    <mergeCell ref="C1943:D1943"/>
    <mergeCell ref="K1943:L1943"/>
    <mergeCell ref="K1944:L1944"/>
    <mergeCell ref="G1946:H1946"/>
    <mergeCell ref="G1947:H1947"/>
    <mergeCell ref="C1944:D1944"/>
    <mergeCell ref="C1945:D1945"/>
    <mergeCell ref="G1945:H1945"/>
    <mergeCell ref="K1945:L1945"/>
    <mergeCell ref="C1946:D1946"/>
    <mergeCell ref="K1946:L1946"/>
    <mergeCell ref="K1947:L1947"/>
    <mergeCell ref="G1925:H1925"/>
    <mergeCell ref="G1926:H1926"/>
    <mergeCell ref="C1923:D1923"/>
    <mergeCell ref="C1924:D1924"/>
    <mergeCell ref="G1924:H1924"/>
    <mergeCell ref="K1924:L1924"/>
    <mergeCell ref="C1925:D1925"/>
    <mergeCell ref="K1925:L1925"/>
    <mergeCell ref="K1926:L1926"/>
    <mergeCell ref="G1928:H1928"/>
    <mergeCell ref="G1929:H1929"/>
    <mergeCell ref="C1926:D1926"/>
    <mergeCell ref="C1927:D1927"/>
    <mergeCell ref="G1927:H1927"/>
    <mergeCell ref="K1927:L1927"/>
    <mergeCell ref="C1928:D1928"/>
    <mergeCell ref="K1928:L1928"/>
    <mergeCell ref="K1929:L1929"/>
    <mergeCell ref="G1931:H1931"/>
    <mergeCell ref="G1932:H1932"/>
    <mergeCell ref="C1929:D1929"/>
    <mergeCell ref="C1930:D1930"/>
    <mergeCell ref="G1930:H1930"/>
    <mergeCell ref="K1930:L1930"/>
    <mergeCell ref="C1931:D1931"/>
    <mergeCell ref="K1931:L1931"/>
    <mergeCell ref="K1932:L1932"/>
    <mergeCell ref="G1934:H1934"/>
    <mergeCell ref="G1935:H1935"/>
    <mergeCell ref="C1932:D1932"/>
    <mergeCell ref="C1933:D1933"/>
    <mergeCell ref="G1933:H1933"/>
    <mergeCell ref="K1933:L1933"/>
    <mergeCell ref="C1934:D1934"/>
    <mergeCell ref="K1934:L1934"/>
    <mergeCell ref="K1935:L1935"/>
    <mergeCell ref="G1913:H1913"/>
    <mergeCell ref="G1914:H1914"/>
    <mergeCell ref="C1911:D1911"/>
    <mergeCell ref="C1912:D1912"/>
    <mergeCell ref="G1912:H1912"/>
    <mergeCell ref="K1912:L1912"/>
    <mergeCell ref="C1913:D1913"/>
    <mergeCell ref="K1913:L1913"/>
    <mergeCell ref="K1914:L1914"/>
    <mergeCell ref="G1916:H1916"/>
    <mergeCell ref="G1917:H1917"/>
    <mergeCell ref="C1914:D1914"/>
    <mergeCell ref="C1915:D1915"/>
    <mergeCell ref="G1915:H1915"/>
    <mergeCell ref="K1915:L1915"/>
    <mergeCell ref="C1916:D1916"/>
    <mergeCell ref="K1916:L1916"/>
    <mergeCell ref="K1917:L1917"/>
    <mergeCell ref="G1919:H1919"/>
    <mergeCell ref="G1920:H1920"/>
    <mergeCell ref="C1917:D1917"/>
    <mergeCell ref="C1918:D1918"/>
    <mergeCell ref="G1918:H1918"/>
    <mergeCell ref="K1918:L1918"/>
    <mergeCell ref="C1919:D1919"/>
    <mergeCell ref="K1919:L1919"/>
    <mergeCell ref="K1920:L1920"/>
    <mergeCell ref="G1922:H1922"/>
    <mergeCell ref="G1923:H1923"/>
    <mergeCell ref="C1920:D1920"/>
    <mergeCell ref="C1921:D1921"/>
    <mergeCell ref="G1921:H1921"/>
    <mergeCell ref="K1921:L1921"/>
    <mergeCell ref="C1922:D1922"/>
    <mergeCell ref="K1922:L1922"/>
    <mergeCell ref="K1923:L1923"/>
    <mergeCell ref="G1901:H1901"/>
    <mergeCell ref="G1902:H1902"/>
    <mergeCell ref="C1899:D1899"/>
    <mergeCell ref="C1900:D1900"/>
    <mergeCell ref="G1900:H1900"/>
    <mergeCell ref="K1900:L1900"/>
    <mergeCell ref="C1901:D1901"/>
    <mergeCell ref="K1901:L1901"/>
    <mergeCell ref="K1902:L1902"/>
    <mergeCell ref="G1904:H1904"/>
    <mergeCell ref="G1905:H1905"/>
    <mergeCell ref="C1902:D1902"/>
    <mergeCell ref="C1903:D1903"/>
    <mergeCell ref="G1903:H1903"/>
    <mergeCell ref="K1903:L1903"/>
    <mergeCell ref="C1904:D1904"/>
    <mergeCell ref="K1904:L1904"/>
    <mergeCell ref="K1905:L1905"/>
    <mergeCell ref="G1907:H1907"/>
    <mergeCell ref="G1908:H1908"/>
    <mergeCell ref="C1905:D1905"/>
    <mergeCell ref="C1906:D1906"/>
    <mergeCell ref="G1906:H1906"/>
    <mergeCell ref="K1906:L1906"/>
    <mergeCell ref="C1907:D1907"/>
    <mergeCell ref="K1907:L1907"/>
    <mergeCell ref="K1908:L1908"/>
    <mergeCell ref="G1910:H1910"/>
    <mergeCell ref="G1911:H1911"/>
    <mergeCell ref="C1908:D1908"/>
    <mergeCell ref="C1909:D1909"/>
    <mergeCell ref="G1909:H1909"/>
    <mergeCell ref="K1909:L1909"/>
    <mergeCell ref="C1910:D1910"/>
    <mergeCell ref="K1910:L1910"/>
    <mergeCell ref="K1911:L1911"/>
    <mergeCell ref="G1889:H1889"/>
    <mergeCell ref="G1890:H1890"/>
    <mergeCell ref="C1887:D1887"/>
    <mergeCell ref="C1888:D1888"/>
    <mergeCell ref="G1888:H1888"/>
    <mergeCell ref="K1888:L1888"/>
    <mergeCell ref="C1889:D1889"/>
    <mergeCell ref="K1889:L1889"/>
    <mergeCell ref="K1890:L1890"/>
    <mergeCell ref="G1892:H1892"/>
    <mergeCell ref="G1893:H1893"/>
    <mergeCell ref="C1890:D1890"/>
    <mergeCell ref="C1891:D1891"/>
    <mergeCell ref="G1891:H1891"/>
    <mergeCell ref="K1891:L1891"/>
    <mergeCell ref="C1892:D1892"/>
    <mergeCell ref="K1892:L1892"/>
    <mergeCell ref="K1893:L1893"/>
    <mergeCell ref="G1895:H1895"/>
    <mergeCell ref="G1896:H1896"/>
    <mergeCell ref="C1893:D1893"/>
    <mergeCell ref="C1894:D1894"/>
    <mergeCell ref="G1894:H1894"/>
    <mergeCell ref="K1894:L1894"/>
    <mergeCell ref="C1895:D1895"/>
    <mergeCell ref="K1895:L1895"/>
    <mergeCell ref="K1896:L1896"/>
    <mergeCell ref="G1898:H1898"/>
    <mergeCell ref="G1899:H1899"/>
    <mergeCell ref="C1896:D1896"/>
    <mergeCell ref="C1897:D1897"/>
    <mergeCell ref="G1897:H1897"/>
    <mergeCell ref="K1897:L1897"/>
    <mergeCell ref="C1898:D1898"/>
    <mergeCell ref="K1898:L1898"/>
    <mergeCell ref="K1899:L1899"/>
    <mergeCell ref="G1877:H1877"/>
    <mergeCell ref="G1878:H1878"/>
    <mergeCell ref="C1875:D1875"/>
    <mergeCell ref="C1876:D1876"/>
    <mergeCell ref="G1876:H1876"/>
    <mergeCell ref="K1876:L1876"/>
    <mergeCell ref="C1877:D1877"/>
    <mergeCell ref="K1877:L1877"/>
    <mergeCell ref="K1878:L1878"/>
    <mergeCell ref="G1880:H1880"/>
    <mergeCell ref="G1881:H1881"/>
    <mergeCell ref="C1878:D1878"/>
    <mergeCell ref="C1879:D1879"/>
    <mergeCell ref="G1879:H1879"/>
    <mergeCell ref="K1879:L1879"/>
    <mergeCell ref="C1880:D1880"/>
    <mergeCell ref="K1880:L1880"/>
    <mergeCell ref="K1881:L1881"/>
    <mergeCell ref="G1883:H1883"/>
    <mergeCell ref="G1884:H1884"/>
    <mergeCell ref="C1881:D1881"/>
    <mergeCell ref="C1882:D1882"/>
    <mergeCell ref="G1882:H1882"/>
    <mergeCell ref="K1882:L1882"/>
    <mergeCell ref="C1883:D1883"/>
    <mergeCell ref="K1883:L1883"/>
    <mergeCell ref="K1884:L1884"/>
    <mergeCell ref="G1886:H1886"/>
    <mergeCell ref="G1887:H1887"/>
    <mergeCell ref="C1884:D1884"/>
    <mergeCell ref="C1885:D1885"/>
    <mergeCell ref="G1885:H1885"/>
    <mergeCell ref="K1885:L1885"/>
    <mergeCell ref="C1886:D1886"/>
    <mergeCell ref="K1886:L1886"/>
    <mergeCell ref="K1887:L1887"/>
    <mergeCell ref="G1865:H1865"/>
    <mergeCell ref="G1866:H1866"/>
    <mergeCell ref="C1863:D1863"/>
    <mergeCell ref="C1864:D1864"/>
    <mergeCell ref="G1864:H1864"/>
    <mergeCell ref="K1864:L1864"/>
    <mergeCell ref="C1865:D1865"/>
    <mergeCell ref="K1865:L1865"/>
    <mergeCell ref="K1866:L1866"/>
    <mergeCell ref="G1868:H1868"/>
    <mergeCell ref="G1869:H1869"/>
    <mergeCell ref="C1866:D1866"/>
    <mergeCell ref="C1867:D1867"/>
    <mergeCell ref="G1867:H1867"/>
    <mergeCell ref="K1867:L1867"/>
    <mergeCell ref="C1868:D1868"/>
    <mergeCell ref="K1868:L1868"/>
    <mergeCell ref="K1869:L1869"/>
    <mergeCell ref="G1871:H1871"/>
    <mergeCell ref="G1872:H1872"/>
    <mergeCell ref="C1869:D1869"/>
    <mergeCell ref="C1870:D1870"/>
    <mergeCell ref="G1870:H1870"/>
    <mergeCell ref="K1870:L1870"/>
    <mergeCell ref="C1871:D1871"/>
    <mergeCell ref="K1871:L1871"/>
    <mergeCell ref="K1872:L1872"/>
    <mergeCell ref="G1874:H1874"/>
    <mergeCell ref="G1875:H1875"/>
    <mergeCell ref="C1872:D1872"/>
    <mergeCell ref="C1873:D1873"/>
    <mergeCell ref="G1873:H1873"/>
    <mergeCell ref="K1873:L1873"/>
    <mergeCell ref="C1874:D1874"/>
    <mergeCell ref="K1874:L1874"/>
    <mergeCell ref="K1875:L1875"/>
    <mergeCell ref="G1853:H1853"/>
    <mergeCell ref="G1854:H1854"/>
    <mergeCell ref="C1851:D1851"/>
    <mergeCell ref="C1852:D1852"/>
    <mergeCell ref="G1852:H1852"/>
    <mergeCell ref="K1852:L1852"/>
    <mergeCell ref="C1853:D1853"/>
    <mergeCell ref="K1853:L1853"/>
    <mergeCell ref="K1854:L1854"/>
    <mergeCell ref="G1856:H1856"/>
    <mergeCell ref="G1857:H1857"/>
    <mergeCell ref="C1854:D1854"/>
    <mergeCell ref="C1855:D1855"/>
    <mergeCell ref="G1855:H1855"/>
    <mergeCell ref="K1855:L1855"/>
    <mergeCell ref="C1856:D1856"/>
    <mergeCell ref="K1856:L1856"/>
    <mergeCell ref="K1857:L1857"/>
    <mergeCell ref="G1859:H1859"/>
    <mergeCell ref="G1860:H1860"/>
    <mergeCell ref="C1857:D1857"/>
    <mergeCell ref="C1858:D1858"/>
    <mergeCell ref="G1858:H1858"/>
    <mergeCell ref="K1858:L1858"/>
    <mergeCell ref="C1859:D1859"/>
    <mergeCell ref="K1859:L1859"/>
    <mergeCell ref="K1860:L1860"/>
    <mergeCell ref="G1862:H1862"/>
    <mergeCell ref="G1863:H1863"/>
    <mergeCell ref="C1860:D1860"/>
    <mergeCell ref="C1861:D1861"/>
    <mergeCell ref="G1861:H1861"/>
    <mergeCell ref="K1861:L1861"/>
    <mergeCell ref="C1862:D1862"/>
    <mergeCell ref="K1862:L1862"/>
    <mergeCell ref="K1863:L1863"/>
    <mergeCell ref="G1841:H1841"/>
    <mergeCell ref="G1842:H1842"/>
    <mergeCell ref="C1839:D1839"/>
    <mergeCell ref="C1840:D1840"/>
    <mergeCell ref="G1840:H1840"/>
    <mergeCell ref="K1840:L1840"/>
    <mergeCell ref="C1841:D1841"/>
    <mergeCell ref="K1841:L1841"/>
    <mergeCell ref="K1842:L1842"/>
    <mergeCell ref="G1844:H1844"/>
    <mergeCell ref="G1845:H1845"/>
    <mergeCell ref="C1842:D1842"/>
    <mergeCell ref="C1843:D1843"/>
    <mergeCell ref="G1843:H1843"/>
    <mergeCell ref="K1843:L1843"/>
    <mergeCell ref="C1844:D1844"/>
    <mergeCell ref="K1844:L1844"/>
    <mergeCell ref="K1845:L1845"/>
    <mergeCell ref="G1847:H1847"/>
    <mergeCell ref="G1848:H1848"/>
    <mergeCell ref="C1845:D1845"/>
    <mergeCell ref="C1846:D1846"/>
    <mergeCell ref="G1846:H1846"/>
    <mergeCell ref="K1846:L1846"/>
    <mergeCell ref="C1847:D1847"/>
    <mergeCell ref="K1847:L1847"/>
    <mergeCell ref="K1848:L1848"/>
    <mergeCell ref="G1850:H1850"/>
    <mergeCell ref="G1851:H1851"/>
    <mergeCell ref="C1848:D1848"/>
    <mergeCell ref="C1849:D1849"/>
    <mergeCell ref="G1849:H1849"/>
    <mergeCell ref="K1849:L1849"/>
    <mergeCell ref="C1850:D1850"/>
    <mergeCell ref="K1850:L1850"/>
    <mergeCell ref="K1851:L1851"/>
    <mergeCell ref="G1829:H1829"/>
    <mergeCell ref="G1830:H1830"/>
    <mergeCell ref="C1827:D1827"/>
    <mergeCell ref="C1828:D1828"/>
    <mergeCell ref="G1828:H1828"/>
    <mergeCell ref="K1828:L1828"/>
    <mergeCell ref="C1829:D1829"/>
    <mergeCell ref="K1829:L1829"/>
    <mergeCell ref="K1830:L1830"/>
    <mergeCell ref="G1832:H1832"/>
    <mergeCell ref="G1833:H1833"/>
    <mergeCell ref="C1830:D1830"/>
    <mergeCell ref="C1831:D1831"/>
    <mergeCell ref="G1831:H1831"/>
    <mergeCell ref="K1831:L1831"/>
    <mergeCell ref="C1832:D1832"/>
    <mergeCell ref="K1832:L1832"/>
    <mergeCell ref="K1833:L1833"/>
    <mergeCell ref="G1835:H1835"/>
    <mergeCell ref="G1836:H1836"/>
    <mergeCell ref="C1833:D1833"/>
    <mergeCell ref="C1834:D1834"/>
    <mergeCell ref="G1834:H1834"/>
    <mergeCell ref="K1834:L1834"/>
    <mergeCell ref="C1835:D1835"/>
    <mergeCell ref="K1835:L1835"/>
    <mergeCell ref="K1836:L1836"/>
    <mergeCell ref="G1838:H1838"/>
    <mergeCell ref="G1839:H1839"/>
    <mergeCell ref="C1836:D1836"/>
    <mergeCell ref="C1837:D1837"/>
    <mergeCell ref="G1837:H1837"/>
    <mergeCell ref="K1837:L1837"/>
    <mergeCell ref="C1838:D1838"/>
    <mergeCell ref="K1838:L1838"/>
    <mergeCell ref="K1839:L1839"/>
    <mergeCell ref="G1817:H1817"/>
    <mergeCell ref="G1818:H1818"/>
    <mergeCell ref="C1815:D1815"/>
    <mergeCell ref="C1816:D1816"/>
    <mergeCell ref="G1816:H1816"/>
    <mergeCell ref="K1816:L1816"/>
    <mergeCell ref="C1817:D1817"/>
    <mergeCell ref="K1817:L1817"/>
    <mergeCell ref="K1818:L1818"/>
    <mergeCell ref="G1820:H1820"/>
    <mergeCell ref="G1821:H1821"/>
    <mergeCell ref="C1818:D1818"/>
    <mergeCell ref="C1819:D1819"/>
    <mergeCell ref="G1819:H1819"/>
    <mergeCell ref="K1819:L1819"/>
    <mergeCell ref="C1820:D1820"/>
    <mergeCell ref="K1820:L1820"/>
    <mergeCell ref="K1821:L1821"/>
    <mergeCell ref="G1823:H1823"/>
    <mergeCell ref="G1824:H1824"/>
    <mergeCell ref="C1821:D1821"/>
    <mergeCell ref="C1822:D1822"/>
    <mergeCell ref="G1822:H1822"/>
    <mergeCell ref="K1822:L1822"/>
    <mergeCell ref="C1823:D1823"/>
    <mergeCell ref="K1823:L1823"/>
    <mergeCell ref="K1824:L1824"/>
    <mergeCell ref="G1826:H1826"/>
    <mergeCell ref="G1827:H1827"/>
    <mergeCell ref="C1824:D1824"/>
    <mergeCell ref="C1825:D1825"/>
    <mergeCell ref="G1825:H1825"/>
    <mergeCell ref="K1825:L1825"/>
    <mergeCell ref="C1826:D1826"/>
    <mergeCell ref="K1826:L1826"/>
    <mergeCell ref="K1827:L1827"/>
    <mergeCell ref="G1805:H1805"/>
    <mergeCell ref="G1806:H1806"/>
    <mergeCell ref="C1803:D1803"/>
    <mergeCell ref="C1804:D1804"/>
    <mergeCell ref="G1804:H1804"/>
    <mergeCell ref="K1804:L1804"/>
    <mergeCell ref="C1805:D1805"/>
    <mergeCell ref="K1805:L1805"/>
    <mergeCell ref="K1806:L1806"/>
    <mergeCell ref="G1808:H1808"/>
    <mergeCell ref="G1809:H1809"/>
    <mergeCell ref="C1806:D1806"/>
    <mergeCell ref="C1807:D1807"/>
    <mergeCell ref="G1807:H1807"/>
    <mergeCell ref="K1807:L1807"/>
    <mergeCell ref="C1808:D1808"/>
    <mergeCell ref="K1808:L1808"/>
    <mergeCell ref="K1809:L1809"/>
    <mergeCell ref="G1811:H1811"/>
    <mergeCell ref="G1812:H1812"/>
    <mergeCell ref="C1809:D1809"/>
    <mergeCell ref="C1810:D1810"/>
    <mergeCell ref="G1810:H1810"/>
    <mergeCell ref="K1810:L1810"/>
    <mergeCell ref="C1811:D1811"/>
    <mergeCell ref="K1811:L1811"/>
    <mergeCell ref="K1812:L1812"/>
    <mergeCell ref="G1814:H1814"/>
    <mergeCell ref="G1815:H1815"/>
    <mergeCell ref="C1812:D1812"/>
    <mergeCell ref="C1813:D1813"/>
    <mergeCell ref="G1813:H1813"/>
    <mergeCell ref="K1813:L1813"/>
    <mergeCell ref="C1814:D1814"/>
    <mergeCell ref="K1814:L1814"/>
    <mergeCell ref="K1815:L1815"/>
    <mergeCell ref="G1793:H1793"/>
    <mergeCell ref="G1794:H1794"/>
    <mergeCell ref="C1791:D1791"/>
    <mergeCell ref="C1792:D1792"/>
    <mergeCell ref="G1792:H1792"/>
    <mergeCell ref="K1792:L1792"/>
    <mergeCell ref="C1793:D1793"/>
    <mergeCell ref="K1793:L1793"/>
    <mergeCell ref="K1794:L1794"/>
    <mergeCell ref="G1796:H1796"/>
    <mergeCell ref="G1797:H1797"/>
    <mergeCell ref="C1794:D1794"/>
    <mergeCell ref="C1795:D1795"/>
    <mergeCell ref="G1795:H1795"/>
    <mergeCell ref="K1795:L1795"/>
    <mergeCell ref="C1796:D1796"/>
    <mergeCell ref="K1796:L1796"/>
    <mergeCell ref="K1797:L1797"/>
    <mergeCell ref="G1799:H1799"/>
    <mergeCell ref="G1800:H1800"/>
    <mergeCell ref="C1797:D1797"/>
    <mergeCell ref="C1798:D1798"/>
    <mergeCell ref="G1798:H1798"/>
    <mergeCell ref="K1798:L1798"/>
    <mergeCell ref="C1799:D1799"/>
    <mergeCell ref="K1799:L1799"/>
    <mergeCell ref="K1800:L1800"/>
    <mergeCell ref="G1802:H1802"/>
    <mergeCell ref="G1803:H1803"/>
    <mergeCell ref="C1800:D1800"/>
    <mergeCell ref="C1801:D1801"/>
    <mergeCell ref="G1801:H1801"/>
    <mergeCell ref="K1801:L1801"/>
    <mergeCell ref="C1802:D1802"/>
    <mergeCell ref="K1802:L1802"/>
    <mergeCell ref="K1803:L1803"/>
    <mergeCell ref="G1781:H1781"/>
    <mergeCell ref="G1782:H1782"/>
    <mergeCell ref="C1779:D1779"/>
    <mergeCell ref="C1780:D1780"/>
    <mergeCell ref="G1780:H1780"/>
    <mergeCell ref="K1780:L1780"/>
    <mergeCell ref="C1781:D1781"/>
    <mergeCell ref="K1781:L1781"/>
    <mergeCell ref="K1782:L1782"/>
    <mergeCell ref="G1784:H1784"/>
    <mergeCell ref="G1785:H1785"/>
    <mergeCell ref="C1782:D1782"/>
    <mergeCell ref="C1783:D1783"/>
    <mergeCell ref="G1783:H1783"/>
    <mergeCell ref="K1783:L1783"/>
    <mergeCell ref="C1784:D1784"/>
    <mergeCell ref="K1784:L1784"/>
    <mergeCell ref="K1785:L1785"/>
    <mergeCell ref="G1787:H1787"/>
    <mergeCell ref="G1788:H1788"/>
    <mergeCell ref="C1785:D1785"/>
    <mergeCell ref="C1786:D1786"/>
    <mergeCell ref="G1786:H1786"/>
    <mergeCell ref="K1786:L1786"/>
    <mergeCell ref="C1787:D1787"/>
    <mergeCell ref="K1787:L1787"/>
    <mergeCell ref="K1788:L1788"/>
    <mergeCell ref="G1790:H1790"/>
    <mergeCell ref="G1791:H1791"/>
    <mergeCell ref="C1788:D1788"/>
    <mergeCell ref="C1789:D1789"/>
    <mergeCell ref="G1789:H1789"/>
    <mergeCell ref="K1789:L1789"/>
    <mergeCell ref="C1790:D1790"/>
    <mergeCell ref="K1790:L1790"/>
    <mergeCell ref="K1791:L1791"/>
    <mergeCell ref="G1769:H1769"/>
    <mergeCell ref="G1770:H1770"/>
    <mergeCell ref="C1767:D1767"/>
    <mergeCell ref="C1768:D1768"/>
    <mergeCell ref="G1768:H1768"/>
    <mergeCell ref="K1768:L1768"/>
    <mergeCell ref="C1769:D1769"/>
    <mergeCell ref="K1769:L1769"/>
    <mergeCell ref="K1770:L1770"/>
    <mergeCell ref="G1772:H1772"/>
    <mergeCell ref="G1773:H1773"/>
    <mergeCell ref="C1770:D1770"/>
    <mergeCell ref="C1771:D1771"/>
    <mergeCell ref="G1771:H1771"/>
    <mergeCell ref="K1771:L1771"/>
    <mergeCell ref="C1772:D1772"/>
    <mergeCell ref="K1772:L1772"/>
    <mergeCell ref="K1773:L1773"/>
    <mergeCell ref="G1775:H1775"/>
    <mergeCell ref="G1776:H1776"/>
    <mergeCell ref="C1773:D1773"/>
    <mergeCell ref="C1774:D1774"/>
    <mergeCell ref="G1774:H1774"/>
    <mergeCell ref="K1774:L1774"/>
    <mergeCell ref="C1775:D1775"/>
    <mergeCell ref="K1775:L1775"/>
    <mergeCell ref="K1776:L1776"/>
    <mergeCell ref="G1778:H1778"/>
    <mergeCell ref="G1779:H1779"/>
    <mergeCell ref="C1776:D1776"/>
    <mergeCell ref="C1777:D1777"/>
    <mergeCell ref="G1777:H1777"/>
    <mergeCell ref="K1777:L1777"/>
    <mergeCell ref="C1778:D1778"/>
    <mergeCell ref="K1778:L1778"/>
    <mergeCell ref="K1779:L1779"/>
    <mergeCell ref="G1757:H1757"/>
    <mergeCell ref="G1758:H1758"/>
    <mergeCell ref="C1755:D1755"/>
    <mergeCell ref="C1756:D1756"/>
    <mergeCell ref="G1756:H1756"/>
    <mergeCell ref="K1756:L1756"/>
    <mergeCell ref="C1757:D1757"/>
    <mergeCell ref="K1757:L1757"/>
    <mergeCell ref="K1758:L1758"/>
    <mergeCell ref="G1760:H1760"/>
    <mergeCell ref="G1761:H1761"/>
    <mergeCell ref="C1758:D1758"/>
    <mergeCell ref="C1759:D1759"/>
    <mergeCell ref="G1759:H1759"/>
    <mergeCell ref="K1759:L1759"/>
    <mergeCell ref="C1760:D1760"/>
    <mergeCell ref="K1760:L1760"/>
    <mergeCell ref="K1761:L1761"/>
    <mergeCell ref="G1763:H1763"/>
    <mergeCell ref="G1764:H1764"/>
    <mergeCell ref="C1761:D1761"/>
    <mergeCell ref="C1762:D1762"/>
    <mergeCell ref="G1762:H1762"/>
    <mergeCell ref="K1762:L1762"/>
    <mergeCell ref="C1763:D1763"/>
    <mergeCell ref="K1763:L1763"/>
    <mergeCell ref="K1764:L1764"/>
    <mergeCell ref="G1766:H1766"/>
    <mergeCell ref="G1767:H1767"/>
    <mergeCell ref="C1764:D1764"/>
    <mergeCell ref="C1765:D1765"/>
    <mergeCell ref="G1765:H1765"/>
    <mergeCell ref="K1765:L1765"/>
    <mergeCell ref="C1766:D1766"/>
    <mergeCell ref="K1766:L1766"/>
    <mergeCell ref="K1767:L1767"/>
    <mergeCell ref="G1745:H1745"/>
    <mergeCell ref="G1746:H1746"/>
    <mergeCell ref="C1743:D1743"/>
    <mergeCell ref="C1744:D1744"/>
    <mergeCell ref="G1744:H1744"/>
    <mergeCell ref="K1744:L1744"/>
    <mergeCell ref="C1745:D1745"/>
    <mergeCell ref="K1745:L1745"/>
    <mergeCell ref="K1746:L1746"/>
    <mergeCell ref="G1748:H1748"/>
    <mergeCell ref="G1749:H1749"/>
    <mergeCell ref="C1746:D1746"/>
    <mergeCell ref="C1747:D1747"/>
    <mergeCell ref="G1747:H1747"/>
    <mergeCell ref="K1747:L1747"/>
    <mergeCell ref="C1748:D1748"/>
    <mergeCell ref="K1748:L1748"/>
    <mergeCell ref="K1749:L1749"/>
    <mergeCell ref="G1751:H1751"/>
    <mergeCell ref="G1752:H1752"/>
    <mergeCell ref="C1749:D1749"/>
    <mergeCell ref="C1750:D1750"/>
    <mergeCell ref="G1750:H1750"/>
    <mergeCell ref="K1750:L1750"/>
    <mergeCell ref="C1751:D1751"/>
    <mergeCell ref="K1751:L1751"/>
    <mergeCell ref="K1752:L1752"/>
    <mergeCell ref="G1754:H1754"/>
    <mergeCell ref="G1755:H1755"/>
    <mergeCell ref="C1752:D1752"/>
    <mergeCell ref="C1753:D1753"/>
    <mergeCell ref="G1753:H1753"/>
    <mergeCell ref="K1753:L1753"/>
    <mergeCell ref="C1754:D1754"/>
    <mergeCell ref="K1754:L1754"/>
    <mergeCell ref="K1755:L1755"/>
    <mergeCell ref="G1733:H1733"/>
    <mergeCell ref="G1734:H1734"/>
    <mergeCell ref="C1731:D1731"/>
    <mergeCell ref="C1732:D1732"/>
    <mergeCell ref="G1732:H1732"/>
    <mergeCell ref="K1732:L1732"/>
    <mergeCell ref="C1733:D1733"/>
    <mergeCell ref="K1733:L1733"/>
    <mergeCell ref="K1734:L1734"/>
    <mergeCell ref="G1736:H1736"/>
    <mergeCell ref="G1737:H1737"/>
    <mergeCell ref="C1734:D1734"/>
    <mergeCell ref="C1735:D1735"/>
    <mergeCell ref="G1735:H1735"/>
    <mergeCell ref="K1735:L1735"/>
    <mergeCell ref="C1736:D1736"/>
    <mergeCell ref="K1736:L1736"/>
    <mergeCell ref="K1737:L1737"/>
    <mergeCell ref="G1739:H1739"/>
    <mergeCell ref="G1740:H1740"/>
    <mergeCell ref="C1737:D1737"/>
    <mergeCell ref="C1738:D1738"/>
    <mergeCell ref="G1738:H1738"/>
    <mergeCell ref="K1738:L1738"/>
    <mergeCell ref="C1739:D1739"/>
    <mergeCell ref="K1739:L1739"/>
    <mergeCell ref="K1740:L1740"/>
    <mergeCell ref="G1742:H1742"/>
    <mergeCell ref="G1743:H1743"/>
    <mergeCell ref="C1740:D1740"/>
    <mergeCell ref="C1741:D1741"/>
    <mergeCell ref="G1741:H1741"/>
    <mergeCell ref="K1741:L1741"/>
    <mergeCell ref="C1742:D1742"/>
    <mergeCell ref="K1742:L1742"/>
    <mergeCell ref="K1743:L1743"/>
    <mergeCell ref="G1721:H1721"/>
    <mergeCell ref="G1722:H1722"/>
    <mergeCell ref="C1719:D1719"/>
    <mergeCell ref="C1720:D1720"/>
    <mergeCell ref="G1720:H1720"/>
    <mergeCell ref="K1720:L1720"/>
    <mergeCell ref="C1721:D1721"/>
    <mergeCell ref="K1721:L1721"/>
    <mergeCell ref="K1722:L1722"/>
    <mergeCell ref="G1724:H1724"/>
    <mergeCell ref="G1725:H1725"/>
    <mergeCell ref="C1722:D1722"/>
    <mergeCell ref="C1723:D1723"/>
    <mergeCell ref="G1723:H1723"/>
    <mergeCell ref="K1723:L1723"/>
    <mergeCell ref="C1724:D1724"/>
    <mergeCell ref="K1724:L1724"/>
    <mergeCell ref="K1725:L1725"/>
    <mergeCell ref="G1727:H1727"/>
    <mergeCell ref="G1728:H1728"/>
    <mergeCell ref="C1725:D1725"/>
    <mergeCell ref="C1726:D1726"/>
    <mergeCell ref="G1726:H1726"/>
    <mergeCell ref="K1726:L1726"/>
    <mergeCell ref="C1727:D1727"/>
    <mergeCell ref="K1727:L1727"/>
    <mergeCell ref="K1728:L1728"/>
    <mergeCell ref="G1730:H1730"/>
    <mergeCell ref="G1731:H1731"/>
    <mergeCell ref="C1728:D1728"/>
    <mergeCell ref="C1729:D1729"/>
    <mergeCell ref="G1729:H1729"/>
    <mergeCell ref="K1729:L1729"/>
    <mergeCell ref="C1730:D1730"/>
    <mergeCell ref="K1730:L1730"/>
    <mergeCell ref="K1731:L1731"/>
    <mergeCell ref="G1709:H1709"/>
    <mergeCell ref="G1710:H1710"/>
    <mergeCell ref="C1707:D1707"/>
    <mergeCell ref="C1708:D1708"/>
    <mergeCell ref="G1708:H1708"/>
    <mergeCell ref="K1708:L1708"/>
    <mergeCell ref="C1709:D1709"/>
    <mergeCell ref="K1709:L1709"/>
    <mergeCell ref="K1710:L1710"/>
    <mergeCell ref="G1712:H1712"/>
    <mergeCell ref="G1713:H1713"/>
    <mergeCell ref="C1710:D1710"/>
    <mergeCell ref="C1711:D1711"/>
    <mergeCell ref="G1711:H1711"/>
    <mergeCell ref="K1711:L1711"/>
    <mergeCell ref="C1712:D1712"/>
    <mergeCell ref="K1712:L1712"/>
    <mergeCell ref="K1713:L1713"/>
    <mergeCell ref="G1715:H1715"/>
    <mergeCell ref="G1716:H1716"/>
    <mergeCell ref="C1713:D1713"/>
    <mergeCell ref="C1714:D1714"/>
    <mergeCell ref="G1714:H1714"/>
    <mergeCell ref="K1714:L1714"/>
    <mergeCell ref="C1715:D1715"/>
    <mergeCell ref="K1715:L1715"/>
    <mergeCell ref="K1716:L1716"/>
    <mergeCell ref="G1718:H1718"/>
    <mergeCell ref="G1719:H1719"/>
    <mergeCell ref="C1716:D1716"/>
    <mergeCell ref="C1717:D1717"/>
    <mergeCell ref="G1717:H1717"/>
    <mergeCell ref="K1717:L1717"/>
    <mergeCell ref="C1718:D1718"/>
    <mergeCell ref="K1718:L1718"/>
    <mergeCell ref="K1719:L1719"/>
    <mergeCell ref="G1697:H1697"/>
    <mergeCell ref="G1698:H1698"/>
    <mergeCell ref="C1695:D1695"/>
    <mergeCell ref="C1696:D1696"/>
    <mergeCell ref="G1696:H1696"/>
    <mergeCell ref="K1696:L1696"/>
    <mergeCell ref="C1697:D1697"/>
    <mergeCell ref="K1697:L1697"/>
    <mergeCell ref="K1698:L1698"/>
    <mergeCell ref="G1700:H1700"/>
    <mergeCell ref="G1701:H1701"/>
    <mergeCell ref="C1698:D1698"/>
    <mergeCell ref="C1699:D1699"/>
    <mergeCell ref="G1699:H1699"/>
    <mergeCell ref="K1699:L1699"/>
    <mergeCell ref="C1700:D1700"/>
    <mergeCell ref="K1700:L1700"/>
    <mergeCell ref="K1701:L1701"/>
    <mergeCell ref="G1703:H1703"/>
    <mergeCell ref="G1704:H1704"/>
    <mergeCell ref="C1701:D1701"/>
    <mergeCell ref="C1702:D1702"/>
    <mergeCell ref="G1702:H1702"/>
    <mergeCell ref="K1702:L1702"/>
    <mergeCell ref="C1703:D1703"/>
    <mergeCell ref="K1703:L1703"/>
    <mergeCell ref="K1704:L1704"/>
    <mergeCell ref="G1706:H1706"/>
    <mergeCell ref="G1707:H1707"/>
    <mergeCell ref="C1704:D1704"/>
    <mergeCell ref="C1705:D1705"/>
    <mergeCell ref="G1705:H1705"/>
    <mergeCell ref="K1705:L1705"/>
    <mergeCell ref="C1706:D1706"/>
    <mergeCell ref="K1706:L1706"/>
    <mergeCell ref="K1707:L1707"/>
    <mergeCell ref="G1685:H1685"/>
    <mergeCell ref="G1686:H1686"/>
    <mergeCell ref="C1683:D1683"/>
    <mergeCell ref="C1684:D1684"/>
    <mergeCell ref="G1684:H1684"/>
    <mergeCell ref="K1684:L1684"/>
    <mergeCell ref="C1685:D1685"/>
    <mergeCell ref="K1685:L1685"/>
    <mergeCell ref="K1686:L1686"/>
    <mergeCell ref="G1688:H1688"/>
    <mergeCell ref="G1689:H1689"/>
    <mergeCell ref="C1686:D1686"/>
    <mergeCell ref="C1687:D1687"/>
    <mergeCell ref="G1687:H1687"/>
    <mergeCell ref="K1687:L1687"/>
    <mergeCell ref="C1688:D1688"/>
    <mergeCell ref="K1688:L1688"/>
    <mergeCell ref="K1689:L1689"/>
    <mergeCell ref="G1691:H1691"/>
    <mergeCell ref="G1692:H1692"/>
    <mergeCell ref="C1689:D1689"/>
    <mergeCell ref="C1690:D1690"/>
    <mergeCell ref="G1690:H1690"/>
    <mergeCell ref="K1690:L1690"/>
    <mergeCell ref="C1691:D1691"/>
    <mergeCell ref="K1691:L1691"/>
    <mergeCell ref="K1692:L1692"/>
    <mergeCell ref="G1694:H1694"/>
    <mergeCell ref="G1695:H1695"/>
    <mergeCell ref="C1692:D1692"/>
    <mergeCell ref="C1693:D1693"/>
    <mergeCell ref="G1693:H1693"/>
    <mergeCell ref="K1693:L1693"/>
    <mergeCell ref="C1694:D1694"/>
    <mergeCell ref="K1694:L1694"/>
    <mergeCell ref="K1695:L1695"/>
    <mergeCell ref="G1673:H1673"/>
    <mergeCell ref="G1674:H1674"/>
    <mergeCell ref="C1671:D1671"/>
    <mergeCell ref="C1672:D1672"/>
    <mergeCell ref="G1672:H1672"/>
    <mergeCell ref="K1672:L1672"/>
    <mergeCell ref="C1673:D1673"/>
    <mergeCell ref="K1673:L1673"/>
    <mergeCell ref="K1674:L1674"/>
    <mergeCell ref="G1676:H1676"/>
    <mergeCell ref="G1677:H1677"/>
    <mergeCell ref="C1674:D1674"/>
    <mergeCell ref="C1675:D1675"/>
    <mergeCell ref="G1675:H1675"/>
    <mergeCell ref="K1675:L1675"/>
    <mergeCell ref="C1676:D1676"/>
    <mergeCell ref="K1676:L1676"/>
    <mergeCell ref="K1677:L1677"/>
    <mergeCell ref="G1679:H1679"/>
    <mergeCell ref="G1680:H1680"/>
    <mergeCell ref="C1677:D1677"/>
    <mergeCell ref="C1678:D1678"/>
    <mergeCell ref="G1678:H1678"/>
    <mergeCell ref="K1678:L1678"/>
    <mergeCell ref="C1679:D1679"/>
    <mergeCell ref="K1679:L1679"/>
    <mergeCell ref="K1680:L1680"/>
    <mergeCell ref="G1682:H1682"/>
    <mergeCell ref="G1683:H1683"/>
    <mergeCell ref="C1680:D1680"/>
    <mergeCell ref="C1681:D1681"/>
    <mergeCell ref="G1681:H1681"/>
    <mergeCell ref="K1681:L1681"/>
    <mergeCell ref="C1682:D1682"/>
    <mergeCell ref="K1682:L1682"/>
    <mergeCell ref="K1683:L1683"/>
    <mergeCell ref="G1661:H1661"/>
    <mergeCell ref="G1662:H1662"/>
    <mergeCell ref="C1659:D1659"/>
    <mergeCell ref="C1660:D1660"/>
    <mergeCell ref="G1660:H1660"/>
    <mergeCell ref="K1660:L1660"/>
    <mergeCell ref="C1661:D1661"/>
    <mergeCell ref="K1661:L1661"/>
    <mergeCell ref="K1662:L1662"/>
    <mergeCell ref="G1664:H1664"/>
    <mergeCell ref="G1665:H1665"/>
    <mergeCell ref="C1662:D1662"/>
    <mergeCell ref="C1663:D1663"/>
    <mergeCell ref="G1663:H1663"/>
    <mergeCell ref="K1663:L1663"/>
    <mergeCell ref="C1664:D1664"/>
    <mergeCell ref="K1664:L1664"/>
    <mergeCell ref="K1665:L1665"/>
    <mergeCell ref="G1667:H1667"/>
    <mergeCell ref="G1668:H1668"/>
    <mergeCell ref="C1665:D1665"/>
    <mergeCell ref="C1666:D1666"/>
    <mergeCell ref="G1666:H1666"/>
    <mergeCell ref="K1666:L1666"/>
    <mergeCell ref="C1667:D1667"/>
    <mergeCell ref="K1667:L1667"/>
    <mergeCell ref="K1668:L1668"/>
    <mergeCell ref="G1670:H1670"/>
    <mergeCell ref="G1671:H1671"/>
    <mergeCell ref="C1668:D1668"/>
    <mergeCell ref="C1669:D1669"/>
    <mergeCell ref="G1669:H1669"/>
    <mergeCell ref="K1669:L1669"/>
    <mergeCell ref="C1670:D1670"/>
    <mergeCell ref="K1670:L1670"/>
    <mergeCell ref="K1671:L1671"/>
    <mergeCell ref="G1649:H1649"/>
    <mergeCell ref="G1650:H1650"/>
    <mergeCell ref="C1647:D1647"/>
    <mergeCell ref="C1648:D1648"/>
    <mergeCell ref="G1648:H1648"/>
    <mergeCell ref="K1648:L1648"/>
    <mergeCell ref="C1649:D1649"/>
    <mergeCell ref="K1649:L1649"/>
    <mergeCell ref="K1650:L1650"/>
    <mergeCell ref="G1652:H1652"/>
    <mergeCell ref="G1653:H1653"/>
    <mergeCell ref="C1650:D1650"/>
    <mergeCell ref="C1651:D1651"/>
    <mergeCell ref="G1651:H1651"/>
    <mergeCell ref="K1651:L1651"/>
    <mergeCell ref="C1652:D1652"/>
    <mergeCell ref="K1652:L1652"/>
    <mergeCell ref="K1653:L1653"/>
    <mergeCell ref="G1655:H1655"/>
    <mergeCell ref="G1656:H1656"/>
    <mergeCell ref="C1653:D1653"/>
    <mergeCell ref="C1654:D1654"/>
    <mergeCell ref="G1654:H1654"/>
    <mergeCell ref="K1654:L1654"/>
    <mergeCell ref="C1655:D1655"/>
    <mergeCell ref="K1655:L1655"/>
    <mergeCell ref="K1656:L1656"/>
    <mergeCell ref="G1658:H1658"/>
    <mergeCell ref="G1659:H1659"/>
    <mergeCell ref="C1656:D1656"/>
    <mergeCell ref="C1657:D1657"/>
    <mergeCell ref="G1657:H1657"/>
    <mergeCell ref="K1657:L1657"/>
    <mergeCell ref="C1658:D1658"/>
    <mergeCell ref="K1658:L1658"/>
    <mergeCell ref="K1659:L1659"/>
    <mergeCell ref="G1637:H1637"/>
    <mergeCell ref="G1638:H1638"/>
    <mergeCell ref="C1635:D1635"/>
    <mergeCell ref="C1636:D1636"/>
    <mergeCell ref="G1636:H1636"/>
    <mergeCell ref="K1636:L1636"/>
    <mergeCell ref="C1637:D1637"/>
    <mergeCell ref="K1637:L1637"/>
    <mergeCell ref="K1638:L1638"/>
    <mergeCell ref="G1640:H1640"/>
    <mergeCell ref="G1641:H1641"/>
    <mergeCell ref="C1638:D1638"/>
    <mergeCell ref="C1639:D1639"/>
    <mergeCell ref="G1639:H1639"/>
    <mergeCell ref="K1639:L1639"/>
    <mergeCell ref="C1640:D1640"/>
    <mergeCell ref="K1640:L1640"/>
    <mergeCell ref="K1641:L1641"/>
    <mergeCell ref="G1643:H1643"/>
    <mergeCell ref="G1644:H1644"/>
    <mergeCell ref="C1641:D1641"/>
    <mergeCell ref="C1642:D1642"/>
    <mergeCell ref="G1642:H1642"/>
    <mergeCell ref="K1642:L1642"/>
    <mergeCell ref="C1643:D1643"/>
    <mergeCell ref="K1643:L1643"/>
    <mergeCell ref="K1644:L1644"/>
    <mergeCell ref="G1646:H1646"/>
    <mergeCell ref="G1647:H1647"/>
    <mergeCell ref="C1644:D1644"/>
    <mergeCell ref="C1645:D1645"/>
    <mergeCell ref="G1645:H1645"/>
    <mergeCell ref="K1645:L1645"/>
    <mergeCell ref="C1646:D1646"/>
    <mergeCell ref="K1646:L1646"/>
    <mergeCell ref="K1647:L1647"/>
    <mergeCell ref="G1625:H1625"/>
    <mergeCell ref="G1626:H1626"/>
    <mergeCell ref="C1623:D1623"/>
    <mergeCell ref="C1624:D1624"/>
    <mergeCell ref="G1624:H1624"/>
    <mergeCell ref="K1624:L1624"/>
    <mergeCell ref="C1625:D1625"/>
    <mergeCell ref="K1625:L1625"/>
    <mergeCell ref="K1626:L1626"/>
    <mergeCell ref="G1628:H1628"/>
    <mergeCell ref="G1629:H1629"/>
    <mergeCell ref="C1626:D1626"/>
    <mergeCell ref="C1627:D1627"/>
    <mergeCell ref="G1627:H1627"/>
    <mergeCell ref="K1627:L1627"/>
    <mergeCell ref="C1628:D1628"/>
    <mergeCell ref="K1628:L1628"/>
    <mergeCell ref="K1629:L1629"/>
    <mergeCell ref="G1631:H1631"/>
    <mergeCell ref="G1632:H1632"/>
    <mergeCell ref="C1629:D1629"/>
    <mergeCell ref="C1630:D1630"/>
    <mergeCell ref="G1630:H1630"/>
    <mergeCell ref="K1630:L1630"/>
    <mergeCell ref="C1631:D1631"/>
    <mergeCell ref="K1631:L1631"/>
    <mergeCell ref="K1632:L1632"/>
    <mergeCell ref="G1634:H1634"/>
    <mergeCell ref="G1635:H1635"/>
    <mergeCell ref="C1632:D1632"/>
    <mergeCell ref="C1633:D1633"/>
    <mergeCell ref="G1633:H1633"/>
    <mergeCell ref="K1633:L1633"/>
    <mergeCell ref="C1634:D1634"/>
    <mergeCell ref="K1634:L1634"/>
    <mergeCell ref="K1635:L1635"/>
    <mergeCell ref="G1613:H1613"/>
    <mergeCell ref="G1614:H1614"/>
    <mergeCell ref="C1611:D1611"/>
    <mergeCell ref="C1612:D1612"/>
    <mergeCell ref="G1612:H1612"/>
    <mergeCell ref="K1612:L1612"/>
    <mergeCell ref="C1613:D1613"/>
    <mergeCell ref="K1613:L1613"/>
    <mergeCell ref="K1614:L1614"/>
    <mergeCell ref="G1616:H1616"/>
    <mergeCell ref="G1617:H1617"/>
    <mergeCell ref="C1614:D1614"/>
    <mergeCell ref="C1615:D1615"/>
    <mergeCell ref="G1615:H1615"/>
    <mergeCell ref="K1615:L1615"/>
    <mergeCell ref="C1616:D1616"/>
    <mergeCell ref="K1616:L1616"/>
    <mergeCell ref="K1617:L1617"/>
    <mergeCell ref="G1619:H1619"/>
    <mergeCell ref="G1620:H1620"/>
    <mergeCell ref="C1617:D1617"/>
    <mergeCell ref="C1618:D1618"/>
    <mergeCell ref="G1618:H1618"/>
    <mergeCell ref="K1618:L1618"/>
    <mergeCell ref="C1619:D1619"/>
    <mergeCell ref="K1619:L1619"/>
    <mergeCell ref="K1620:L1620"/>
    <mergeCell ref="G1622:H1622"/>
    <mergeCell ref="G1623:H1623"/>
    <mergeCell ref="C1620:D1620"/>
    <mergeCell ref="C1621:D1621"/>
    <mergeCell ref="G1621:H1621"/>
    <mergeCell ref="K1621:L1621"/>
    <mergeCell ref="C1622:D1622"/>
    <mergeCell ref="K1622:L1622"/>
    <mergeCell ref="K1623:L1623"/>
    <mergeCell ref="G1601:H1601"/>
    <mergeCell ref="G1602:H1602"/>
    <mergeCell ref="C1599:D1599"/>
    <mergeCell ref="C1600:D1600"/>
    <mergeCell ref="G1600:H1600"/>
    <mergeCell ref="K1600:L1600"/>
    <mergeCell ref="C1601:D1601"/>
    <mergeCell ref="K1601:L1601"/>
    <mergeCell ref="K1602:L1602"/>
    <mergeCell ref="G1604:H1604"/>
    <mergeCell ref="G1605:H1605"/>
    <mergeCell ref="C1602:D1602"/>
    <mergeCell ref="C1603:D1603"/>
    <mergeCell ref="G1603:H1603"/>
    <mergeCell ref="K1603:L1603"/>
    <mergeCell ref="C1604:D1604"/>
    <mergeCell ref="K1604:L1604"/>
    <mergeCell ref="K1605:L1605"/>
    <mergeCell ref="G1607:H1607"/>
    <mergeCell ref="G1608:H1608"/>
    <mergeCell ref="C1605:D1605"/>
    <mergeCell ref="C1606:D1606"/>
    <mergeCell ref="G1606:H1606"/>
    <mergeCell ref="K1606:L1606"/>
    <mergeCell ref="C1607:D1607"/>
    <mergeCell ref="K1607:L1607"/>
    <mergeCell ref="K1608:L1608"/>
    <mergeCell ref="G1610:H1610"/>
    <mergeCell ref="G1611:H1611"/>
    <mergeCell ref="C1608:D1608"/>
    <mergeCell ref="C1609:D1609"/>
    <mergeCell ref="G1609:H1609"/>
    <mergeCell ref="K1609:L1609"/>
    <mergeCell ref="C1610:D1610"/>
    <mergeCell ref="K1610:L1610"/>
    <mergeCell ref="K1611:L1611"/>
    <mergeCell ref="G1589:H1589"/>
    <mergeCell ref="G1590:H1590"/>
    <mergeCell ref="C1587:D1587"/>
    <mergeCell ref="C1588:D1588"/>
    <mergeCell ref="G1588:H1588"/>
    <mergeCell ref="K1588:L1588"/>
    <mergeCell ref="C1589:D1589"/>
    <mergeCell ref="K1589:L1589"/>
    <mergeCell ref="K1590:L1590"/>
    <mergeCell ref="G1592:H1592"/>
    <mergeCell ref="G1593:H1593"/>
    <mergeCell ref="C1590:D1590"/>
    <mergeCell ref="C1591:D1591"/>
    <mergeCell ref="G1591:H1591"/>
    <mergeCell ref="K1591:L1591"/>
    <mergeCell ref="C1592:D1592"/>
    <mergeCell ref="K1592:L1592"/>
    <mergeCell ref="K1593:L1593"/>
    <mergeCell ref="G1595:H1595"/>
    <mergeCell ref="G1596:H1596"/>
    <mergeCell ref="C1593:D1593"/>
    <mergeCell ref="C1594:D1594"/>
    <mergeCell ref="G1594:H1594"/>
    <mergeCell ref="K1594:L1594"/>
    <mergeCell ref="C1595:D1595"/>
    <mergeCell ref="K1595:L1595"/>
    <mergeCell ref="K1596:L1596"/>
    <mergeCell ref="G1598:H1598"/>
    <mergeCell ref="G1599:H1599"/>
    <mergeCell ref="C1596:D1596"/>
    <mergeCell ref="C1597:D1597"/>
    <mergeCell ref="G1597:H1597"/>
    <mergeCell ref="K1597:L1597"/>
    <mergeCell ref="C1598:D1598"/>
    <mergeCell ref="K1598:L1598"/>
    <mergeCell ref="K1599:L1599"/>
    <mergeCell ref="G1577:H1577"/>
    <mergeCell ref="G1578:H1578"/>
    <mergeCell ref="C1575:D1575"/>
    <mergeCell ref="C1576:D1576"/>
    <mergeCell ref="G1576:H1576"/>
    <mergeCell ref="K1576:L1576"/>
    <mergeCell ref="C1577:D1577"/>
    <mergeCell ref="K1577:L1577"/>
    <mergeCell ref="K1578:L1578"/>
    <mergeCell ref="G1580:H1580"/>
    <mergeCell ref="G1581:H1581"/>
    <mergeCell ref="C1578:D1578"/>
    <mergeCell ref="C1579:D1579"/>
    <mergeCell ref="G1579:H1579"/>
    <mergeCell ref="K1579:L1579"/>
    <mergeCell ref="C1580:D1580"/>
    <mergeCell ref="K1580:L1580"/>
    <mergeCell ref="K1581:L1581"/>
    <mergeCell ref="G1583:H1583"/>
    <mergeCell ref="G1584:H1584"/>
    <mergeCell ref="C1581:D1581"/>
    <mergeCell ref="C1582:D1582"/>
    <mergeCell ref="G1582:H1582"/>
    <mergeCell ref="K1582:L1582"/>
    <mergeCell ref="C1583:D1583"/>
    <mergeCell ref="K1583:L1583"/>
    <mergeCell ref="K1584:L1584"/>
    <mergeCell ref="G1586:H1586"/>
    <mergeCell ref="G1587:H1587"/>
    <mergeCell ref="C1584:D1584"/>
    <mergeCell ref="C1585:D1585"/>
    <mergeCell ref="G1585:H1585"/>
    <mergeCell ref="K1585:L1585"/>
    <mergeCell ref="C1586:D1586"/>
    <mergeCell ref="K1586:L1586"/>
    <mergeCell ref="K1587:L1587"/>
    <mergeCell ref="G1565:H1565"/>
    <mergeCell ref="G1566:H1566"/>
    <mergeCell ref="C1563:D1563"/>
    <mergeCell ref="C1564:D1564"/>
    <mergeCell ref="G1564:H1564"/>
    <mergeCell ref="K1564:L1564"/>
    <mergeCell ref="C1565:D1565"/>
    <mergeCell ref="K1565:L1565"/>
    <mergeCell ref="K1566:L1566"/>
    <mergeCell ref="G1568:H1568"/>
    <mergeCell ref="G1569:H1569"/>
    <mergeCell ref="C1566:D1566"/>
    <mergeCell ref="C1567:D1567"/>
    <mergeCell ref="G1567:H1567"/>
    <mergeCell ref="K1567:L1567"/>
    <mergeCell ref="C1568:D1568"/>
    <mergeCell ref="K1568:L1568"/>
    <mergeCell ref="K1569:L1569"/>
    <mergeCell ref="G1571:H1571"/>
    <mergeCell ref="G1572:H1572"/>
    <mergeCell ref="C1569:D1569"/>
    <mergeCell ref="C1570:D1570"/>
    <mergeCell ref="G1570:H1570"/>
    <mergeCell ref="K1570:L1570"/>
    <mergeCell ref="C1571:D1571"/>
    <mergeCell ref="K1571:L1571"/>
    <mergeCell ref="K1572:L1572"/>
    <mergeCell ref="G1574:H1574"/>
    <mergeCell ref="G1575:H1575"/>
    <mergeCell ref="C1572:D1572"/>
    <mergeCell ref="C1573:D1573"/>
    <mergeCell ref="G1573:H1573"/>
    <mergeCell ref="K1573:L1573"/>
    <mergeCell ref="C1574:D1574"/>
    <mergeCell ref="K1574:L1574"/>
    <mergeCell ref="K1575:L1575"/>
    <mergeCell ref="G1553:H1553"/>
    <mergeCell ref="G1554:H1554"/>
    <mergeCell ref="C1551:D1551"/>
    <mergeCell ref="C1552:D1552"/>
    <mergeCell ref="G1552:H1552"/>
    <mergeCell ref="K1552:L1552"/>
    <mergeCell ref="C1553:D1553"/>
    <mergeCell ref="K1553:L1553"/>
    <mergeCell ref="K1554:L1554"/>
    <mergeCell ref="G1556:H1556"/>
    <mergeCell ref="G1557:H1557"/>
    <mergeCell ref="C1554:D1554"/>
    <mergeCell ref="C1555:D1555"/>
    <mergeCell ref="G1555:H1555"/>
    <mergeCell ref="K1555:L1555"/>
    <mergeCell ref="C1556:D1556"/>
    <mergeCell ref="K1556:L1556"/>
    <mergeCell ref="K1557:L1557"/>
    <mergeCell ref="G1559:H1559"/>
    <mergeCell ref="G1560:H1560"/>
    <mergeCell ref="C1557:D1557"/>
    <mergeCell ref="C1558:D1558"/>
    <mergeCell ref="G1558:H1558"/>
    <mergeCell ref="K1558:L1558"/>
    <mergeCell ref="C1559:D1559"/>
    <mergeCell ref="K1559:L1559"/>
    <mergeCell ref="K1560:L1560"/>
    <mergeCell ref="G1562:H1562"/>
    <mergeCell ref="G1563:H1563"/>
    <mergeCell ref="C1560:D1560"/>
    <mergeCell ref="C1561:D1561"/>
    <mergeCell ref="G1561:H1561"/>
    <mergeCell ref="K1561:L1561"/>
    <mergeCell ref="C1562:D1562"/>
    <mergeCell ref="K1562:L1562"/>
    <mergeCell ref="K1563:L1563"/>
    <mergeCell ref="G1541:H1541"/>
    <mergeCell ref="G1542:H1542"/>
    <mergeCell ref="C1539:D1539"/>
    <mergeCell ref="C1540:D1540"/>
    <mergeCell ref="G1540:H1540"/>
    <mergeCell ref="K1540:L1540"/>
    <mergeCell ref="C1541:D1541"/>
    <mergeCell ref="K1541:L1541"/>
    <mergeCell ref="K1542:L1542"/>
    <mergeCell ref="G1544:H1544"/>
    <mergeCell ref="G1545:H1545"/>
    <mergeCell ref="C1542:D1542"/>
    <mergeCell ref="C1543:D1543"/>
    <mergeCell ref="G1543:H1543"/>
    <mergeCell ref="K1543:L1543"/>
    <mergeCell ref="C1544:D1544"/>
    <mergeCell ref="K1544:L1544"/>
    <mergeCell ref="K1545:L1545"/>
    <mergeCell ref="G1547:H1547"/>
    <mergeCell ref="G1548:H1548"/>
    <mergeCell ref="C1545:D1545"/>
    <mergeCell ref="C1546:D1546"/>
    <mergeCell ref="G1546:H1546"/>
    <mergeCell ref="K1546:L1546"/>
    <mergeCell ref="C1547:D1547"/>
    <mergeCell ref="K1547:L1547"/>
    <mergeCell ref="K1548:L1548"/>
    <mergeCell ref="G1550:H1550"/>
    <mergeCell ref="G1551:H1551"/>
    <mergeCell ref="C1548:D1548"/>
    <mergeCell ref="C1549:D1549"/>
    <mergeCell ref="G1549:H1549"/>
    <mergeCell ref="K1549:L1549"/>
    <mergeCell ref="C1550:D1550"/>
    <mergeCell ref="K1550:L1550"/>
    <mergeCell ref="K1551:L1551"/>
    <mergeCell ref="G1529:H1529"/>
    <mergeCell ref="G1530:H1530"/>
    <mergeCell ref="C1527:D1527"/>
    <mergeCell ref="C1528:D1528"/>
    <mergeCell ref="G1528:H1528"/>
    <mergeCell ref="K1528:L1528"/>
    <mergeCell ref="C1529:D1529"/>
    <mergeCell ref="K1529:L1529"/>
    <mergeCell ref="K1530:L1530"/>
    <mergeCell ref="G1532:H1532"/>
    <mergeCell ref="G1533:H1533"/>
    <mergeCell ref="C1530:D1530"/>
    <mergeCell ref="C1531:D1531"/>
    <mergeCell ref="G1531:H1531"/>
    <mergeCell ref="K1531:L1531"/>
    <mergeCell ref="C1532:D1532"/>
    <mergeCell ref="K1532:L1532"/>
    <mergeCell ref="K1533:L1533"/>
    <mergeCell ref="G1535:H1535"/>
    <mergeCell ref="G1536:H1536"/>
    <mergeCell ref="C1533:D1533"/>
    <mergeCell ref="C1534:D1534"/>
    <mergeCell ref="G1534:H1534"/>
    <mergeCell ref="K1534:L1534"/>
    <mergeCell ref="C1535:D1535"/>
    <mergeCell ref="K1535:L1535"/>
    <mergeCell ref="K1536:L1536"/>
    <mergeCell ref="G1538:H1538"/>
    <mergeCell ref="G1539:H1539"/>
    <mergeCell ref="C1536:D1536"/>
    <mergeCell ref="C1537:D1537"/>
    <mergeCell ref="G1537:H1537"/>
    <mergeCell ref="K1537:L1537"/>
    <mergeCell ref="C1538:D1538"/>
    <mergeCell ref="K1538:L1538"/>
    <mergeCell ref="K1539:L1539"/>
    <mergeCell ref="G1517:H1517"/>
    <mergeCell ref="G1518:H1518"/>
    <mergeCell ref="C1515:D1515"/>
    <mergeCell ref="C1516:D1516"/>
    <mergeCell ref="G1516:H1516"/>
    <mergeCell ref="K1516:L1516"/>
    <mergeCell ref="C1517:D1517"/>
    <mergeCell ref="K1517:L1517"/>
    <mergeCell ref="K1518:L1518"/>
    <mergeCell ref="G1520:H1520"/>
    <mergeCell ref="G1521:H1521"/>
    <mergeCell ref="C1518:D1518"/>
    <mergeCell ref="C1519:D1519"/>
    <mergeCell ref="G1519:H1519"/>
    <mergeCell ref="K1519:L1519"/>
    <mergeCell ref="C1520:D1520"/>
    <mergeCell ref="K1520:L1520"/>
    <mergeCell ref="K1521:L1521"/>
    <mergeCell ref="G1523:H1523"/>
    <mergeCell ref="G1524:H1524"/>
    <mergeCell ref="C1521:D1521"/>
    <mergeCell ref="C1522:D1522"/>
    <mergeCell ref="G1522:H1522"/>
    <mergeCell ref="K1522:L1522"/>
    <mergeCell ref="C1523:D1523"/>
    <mergeCell ref="K1523:L1523"/>
    <mergeCell ref="K1524:L1524"/>
    <mergeCell ref="G1526:H1526"/>
    <mergeCell ref="G1527:H1527"/>
    <mergeCell ref="C1524:D1524"/>
    <mergeCell ref="C1525:D1525"/>
    <mergeCell ref="G1525:H1525"/>
    <mergeCell ref="K1525:L1525"/>
    <mergeCell ref="C1526:D1526"/>
    <mergeCell ref="K1526:L1526"/>
    <mergeCell ref="K1527:L1527"/>
    <mergeCell ref="G1505:H1505"/>
    <mergeCell ref="G1506:H1506"/>
    <mergeCell ref="C1503:D1503"/>
    <mergeCell ref="C1504:D1504"/>
    <mergeCell ref="G1504:H1504"/>
    <mergeCell ref="K1504:L1504"/>
    <mergeCell ref="C1505:D1505"/>
    <mergeCell ref="K1505:L1505"/>
    <mergeCell ref="K1506:L1506"/>
    <mergeCell ref="G1508:H1508"/>
    <mergeCell ref="G1509:H1509"/>
    <mergeCell ref="C1506:D1506"/>
    <mergeCell ref="C1507:D1507"/>
    <mergeCell ref="G1507:H1507"/>
    <mergeCell ref="K1507:L1507"/>
    <mergeCell ref="C1508:D1508"/>
    <mergeCell ref="K1508:L1508"/>
    <mergeCell ref="K1509:L1509"/>
    <mergeCell ref="G1511:H1511"/>
    <mergeCell ref="G1512:H1512"/>
    <mergeCell ref="C1509:D1509"/>
    <mergeCell ref="C1510:D1510"/>
    <mergeCell ref="G1510:H1510"/>
    <mergeCell ref="K1510:L1510"/>
    <mergeCell ref="C1511:D1511"/>
    <mergeCell ref="K1511:L1511"/>
    <mergeCell ref="K1512:L1512"/>
    <mergeCell ref="G1514:H1514"/>
    <mergeCell ref="G1515:H1515"/>
    <mergeCell ref="C1512:D1512"/>
    <mergeCell ref="C1513:D1513"/>
    <mergeCell ref="G1513:H1513"/>
    <mergeCell ref="K1513:L1513"/>
    <mergeCell ref="C1514:D1514"/>
    <mergeCell ref="K1514:L1514"/>
    <mergeCell ref="K1515:L1515"/>
    <mergeCell ref="G1493:H1493"/>
    <mergeCell ref="G1494:H1494"/>
    <mergeCell ref="C1491:D1491"/>
    <mergeCell ref="C1492:D1492"/>
    <mergeCell ref="G1492:H1492"/>
    <mergeCell ref="K1492:L1492"/>
    <mergeCell ref="C1493:D1493"/>
    <mergeCell ref="K1493:L1493"/>
    <mergeCell ref="K1494:L1494"/>
    <mergeCell ref="G1496:H1496"/>
    <mergeCell ref="G1497:H1497"/>
    <mergeCell ref="C1494:D1494"/>
    <mergeCell ref="C1495:D1495"/>
    <mergeCell ref="G1495:H1495"/>
    <mergeCell ref="K1495:L1495"/>
    <mergeCell ref="C1496:D1496"/>
    <mergeCell ref="K1496:L1496"/>
    <mergeCell ref="K1497:L1497"/>
    <mergeCell ref="G1499:H1499"/>
    <mergeCell ref="G1500:H1500"/>
    <mergeCell ref="C1497:D1497"/>
    <mergeCell ref="C1498:D1498"/>
    <mergeCell ref="G1498:H1498"/>
    <mergeCell ref="K1498:L1498"/>
    <mergeCell ref="C1499:D1499"/>
    <mergeCell ref="K1499:L1499"/>
    <mergeCell ref="K1500:L1500"/>
    <mergeCell ref="G1502:H1502"/>
    <mergeCell ref="G1503:H1503"/>
    <mergeCell ref="C1500:D1500"/>
    <mergeCell ref="C1501:D1501"/>
    <mergeCell ref="G1501:H1501"/>
    <mergeCell ref="K1501:L1501"/>
    <mergeCell ref="C1502:D1502"/>
    <mergeCell ref="K1502:L1502"/>
    <mergeCell ref="K1503:L1503"/>
    <mergeCell ref="G1481:H1481"/>
    <mergeCell ref="G1482:H1482"/>
    <mergeCell ref="C1479:D1479"/>
    <mergeCell ref="C1480:D1480"/>
    <mergeCell ref="G1480:H1480"/>
    <mergeCell ref="K1480:L1480"/>
    <mergeCell ref="C1481:D1481"/>
    <mergeCell ref="K1481:L1481"/>
    <mergeCell ref="K1482:L1482"/>
    <mergeCell ref="G1484:H1484"/>
    <mergeCell ref="G1485:H1485"/>
    <mergeCell ref="C1482:D1482"/>
    <mergeCell ref="C1483:D1483"/>
    <mergeCell ref="G1483:H1483"/>
    <mergeCell ref="K1483:L1483"/>
    <mergeCell ref="C1484:D1484"/>
    <mergeCell ref="K1484:L1484"/>
    <mergeCell ref="K1485:L1485"/>
    <mergeCell ref="G1487:H1487"/>
    <mergeCell ref="G1488:H1488"/>
    <mergeCell ref="C1485:D1485"/>
    <mergeCell ref="C1486:D1486"/>
    <mergeCell ref="G1486:H1486"/>
    <mergeCell ref="K1486:L1486"/>
    <mergeCell ref="C1487:D1487"/>
    <mergeCell ref="K1487:L1487"/>
    <mergeCell ref="K1488:L1488"/>
    <mergeCell ref="G1490:H1490"/>
    <mergeCell ref="G1491:H1491"/>
    <mergeCell ref="C1488:D1488"/>
    <mergeCell ref="C1489:D1489"/>
    <mergeCell ref="G1489:H1489"/>
    <mergeCell ref="K1489:L1489"/>
    <mergeCell ref="C1490:D1490"/>
    <mergeCell ref="K1490:L1490"/>
    <mergeCell ref="K1491:L1491"/>
    <mergeCell ref="G1469:H1469"/>
    <mergeCell ref="G1470:H1470"/>
    <mergeCell ref="C1467:D1467"/>
    <mergeCell ref="C1468:D1468"/>
    <mergeCell ref="G1468:H1468"/>
    <mergeCell ref="K1468:L1468"/>
    <mergeCell ref="C1469:D1469"/>
    <mergeCell ref="K1469:L1469"/>
    <mergeCell ref="K1470:L1470"/>
    <mergeCell ref="G1472:H1472"/>
    <mergeCell ref="G1473:H1473"/>
    <mergeCell ref="C1470:D1470"/>
    <mergeCell ref="C1471:D1471"/>
    <mergeCell ref="G1471:H1471"/>
    <mergeCell ref="K1471:L1471"/>
    <mergeCell ref="C1472:D1472"/>
    <mergeCell ref="K1472:L1472"/>
    <mergeCell ref="K1473:L1473"/>
    <mergeCell ref="G1475:H1475"/>
    <mergeCell ref="G1476:H1476"/>
    <mergeCell ref="C1473:D1473"/>
    <mergeCell ref="C1474:D1474"/>
    <mergeCell ref="G1474:H1474"/>
    <mergeCell ref="K1474:L1474"/>
    <mergeCell ref="C1475:D1475"/>
    <mergeCell ref="K1475:L1475"/>
    <mergeCell ref="K1476:L1476"/>
    <mergeCell ref="G1478:H1478"/>
    <mergeCell ref="G1479:H1479"/>
    <mergeCell ref="C1476:D1476"/>
    <mergeCell ref="C1477:D1477"/>
    <mergeCell ref="G1477:H1477"/>
    <mergeCell ref="K1477:L1477"/>
    <mergeCell ref="C1478:D1478"/>
    <mergeCell ref="K1478:L1478"/>
    <mergeCell ref="K1479:L1479"/>
    <mergeCell ref="G1457:H1457"/>
    <mergeCell ref="G1458:H1458"/>
    <mergeCell ref="C1455:D1455"/>
    <mergeCell ref="C1456:D1456"/>
    <mergeCell ref="G1456:H1456"/>
    <mergeCell ref="K1456:L1456"/>
    <mergeCell ref="C1457:D1457"/>
    <mergeCell ref="K1457:L1457"/>
    <mergeCell ref="K1458:L1458"/>
    <mergeCell ref="G1460:H1460"/>
    <mergeCell ref="G1461:H1461"/>
    <mergeCell ref="C1458:D1458"/>
    <mergeCell ref="C1459:D1459"/>
    <mergeCell ref="G1459:H1459"/>
    <mergeCell ref="K1459:L1459"/>
    <mergeCell ref="C1460:D1460"/>
    <mergeCell ref="K1460:L1460"/>
    <mergeCell ref="K1461:L1461"/>
    <mergeCell ref="G1463:H1463"/>
    <mergeCell ref="G1464:H1464"/>
    <mergeCell ref="C1461:D1461"/>
    <mergeCell ref="C1462:D1462"/>
    <mergeCell ref="G1462:H1462"/>
    <mergeCell ref="K1462:L1462"/>
    <mergeCell ref="C1463:D1463"/>
    <mergeCell ref="K1463:L1463"/>
    <mergeCell ref="K1464:L1464"/>
    <mergeCell ref="G1466:H1466"/>
    <mergeCell ref="G1467:H1467"/>
    <mergeCell ref="C1464:D1464"/>
    <mergeCell ref="C1465:D1465"/>
    <mergeCell ref="G1465:H1465"/>
    <mergeCell ref="K1465:L1465"/>
    <mergeCell ref="C1466:D1466"/>
    <mergeCell ref="K1466:L1466"/>
    <mergeCell ref="K1467:L1467"/>
    <mergeCell ref="G1445:H1445"/>
    <mergeCell ref="G1446:H1446"/>
    <mergeCell ref="C1443:D1443"/>
    <mergeCell ref="C1444:D1444"/>
    <mergeCell ref="G1444:H1444"/>
    <mergeCell ref="K1444:L1444"/>
    <mergeCell ref="C1445:D1445"/>
    <mergeCell ref="K1445:L1445"/>
    <mergeCell ref="K1446:L1446"/>
    <mergeCell ref="G1448:H1448"/>
    <mergeCell ref="G1449:H1449"/>
    <mergeCell ref="C1446:D1446"/>
    <mergeCell ref="C1447:D1447"/>
    <mergeCell ref="G1447:H1447"/>
    <mergeCell ref="K1447:L1447"/>
    <mergeCell ref="C1448:D1448"/>
    <mergeCell ref="K1448:L1448"/>
    <mergeCell ref="K1449:L1449"/>
    <mergeCell ref="G1451:H1451"/>
    <mergeCell ref="G1452:H1452"/>
    <mergeCell ref="C1449:D1449"/>
    <mergeCell ref="C1450:D1450"/>
    <mergeCell ref="G1450:H1450"/>
    <mergeCell ref="K1450:L1450"/>
    <mergeCell ref="C1451:D1451"/>
    <mergeCell ref="K1451:L1451"/>
    <mergeCell ref="K1452:L1452"/>
    <mergeCell ref="G1454:H1454"/>
    <mergeCell ref="G1455:H1455"/>
    <mergeCell ref="C1452:D1452"/>
    <mergeCell ref="C1453:D1453"/>
    <mergeCell ref="G1453:H1453"/>
    <mergeCell ref="K1453:L1453"/>
    <mergeCell ref="C1454:D1454"/>
    <mergeCell ref="K1454:L1454"/>
    <mergeCell ref="K1455:L1455"/>
    <mergeCell ref="G1433:H1433"/>
    <mergeCell ref="G1434:H1434"/>
    <mergeCell ref="C1431:D1431"/>
    <mergeCell ref="C1432:D1432"/>
    <mergeCell ref="G1432:H1432"/>
    <mergeCell ref="K1432:L1432"/>
    <mergeCell ref="C1433:D1433"/>
    <mergeCell ref="K1433:L1433"/>
    <mergeCell ref="K1434:L1434"/>
    <mergeCell ref="G1436:H1436"/>
    <mergeCell ref="G1437:H1437"/>
    <mergeCell ref="C1434:D1434"/>
    <mergeCell ref="C1435:D1435"/>
    <mergeCell ref="G1435:H1435"/>
    <mergeCell ref="K1435:L1435"/>
    <mergeCell ref="C1436:D1436"/>
    <mergeCell ref="K1436:L1436"/>
    <mergeCell ref="K1437:L1437"/>
    <mergeCell ref="G1439:H1439"/>
    <mergeCell ref="G1440:H1440"/>
    <mergeCell ref="C1437:D1437"/>
    <mergeCell ref="C1438:D1438"/>
    <mergeCell ref="G1438:H1438"/>
    <mergeCell ref="K1438:L1438"/>
    <mergeCell ref="C1439:D1439"/>
    <mergeCell ref="K1439:L1439"/>
    <mergeCell ref="K1440:L1440"/>
    <mergeCell ref="G1442:H1442"/>
    <mergeCell ref="G1443:H1443"/>
    <mergeCell ref="C1440:D1440"/>
    <mergeCell ref="C1441:D1441"/>
    <mergeCell ref="G1441:H1441"/>
    <mergeCell ref="K1441:L1441"/>
    <mergeCell ref="C1442:D1442"/>
    <mergeCell ref="K1442:L1442"/>
    <mergeCell ref="K1443:L1443"/>
    <mergeCell ref="G1421:H1421"/>
    <mergeCell ref="G1422:H1422"/>
    <mergeCell ref="C1419:D1419"/>
    <mergeCell ref="C1420:D1420"/>
    <mergeCell ref="G1420:H1420"/>
    <mergeCell ref="K1420:L1420"/>
    <mergeCell ref="C1421:D1421"/>
    <mergeCell ref="K1421:L1421"/>
    <mergeCell ref="K1422:L1422"/>
    <mergeCell ref="G1424:H1424"/>
    <mergeCell ref="G1425:H1425"/>
    <mergeCell ref="C1422:D1422"/>
    <mergeCell ref="C1423:D1423"/>
    <mergeCell ref="G1423:H1423"/>
    <mergeCell ref="K1423:L1423"/>
    <mergeCell ref="C1424:D1424"/>
    <mergeCell ref="K1424:L1424"/>
    <mergeCell ref="K1425:L1425"/>
    <mergeCell ref="G1427:H1427"/>
    <mergeCell ref="G1428:H1428"/>
    <mergeCell ref="C1425:D1425"/>
    <mergeCell ref="C1426:D1426"/>
    <mergeCell ref="G1426:H1426"/>
    <mergeCell ref="K1426:L1426"/>
    <mergeCell ref="C1427:D1427"/>
    <mergeCell ref="K1427:L1427"/>
    <mergeCell ref="K1428:L1428"/>
    <mergeCell ref="G1430:H1430"/>
    <mergeCell ref="G1431:H1431"/>
    <mergeCell ref="C1428:D1428"/>
    <mergeCell ref="C1429:D1429"/>
    <mergeCell ref="G1429:H1429"/>
    <mergeCell ref="K1429:L1429"/>
    <mergeCell ref="C1430:D1430"/>
    <mergeCell ref="K1430:L1430"/>
    <mergeCell ref="K1431:L1431"/>
    <mergeCell ref="G1409:H1409"/>
    <mergeCell ref="G1410:H1410"/>
    <mergeCell ref="C1407:D1407"/>
    <mergeCell ref="C1408:D1408"/>
    <mergeCell ref="G1408:H1408"/>
    <mergeCell ref="K1408:L1408"/>
    <mergeCell ref="C1409:D1409"/>
    <mergeCell ref="K1409:L1409"/>
    <mergeCell ref="K1410:L1410"/>
    <mergeCell ref="G1412:H1412"/>
    <mergeCell ref="G1413:H1413"/>
    <mergeCell ref="C1410:D1410"/>
    <mergeCell ref="C1411:D1411"/>
    <mergeCell ref="G1411:H1411"/>
    <mergeCell ref="K1411:L1411"/>
    <mergeCell ref="C1412:D1412"/>
    <mergeCell ref="K1412:L1412"/>
    <mergeCell ref="K1413:L1413"/>
    <mergeCell ref="G1415:H1415"/>
    <mergeCell ref="G1416:H1416"/>
    <mergeCell ref="C1413:D1413"/>
    <mergeCell ref="C1414:D1414"/>
    <mergeCell ref="G1414:H1414"/>
    <mergeCell ref="K1414:L1414"/>
    <mergeCell ref="C1415:D1415"/>
    <mergeCell ref="K1415:L1415"/>
    <mergeCell ref="K1416:L1416"/>
    <mergeCell ref="G1418:H1418"/>
    <mergeCell ref="G1419:H1419"/>
    <mergeCell ref="C1416:D1416"/>
    <mergeCell ref="C1417:D1417"/>
    <mergeCell ref="G1417:H1417"/>
    <mergeCell ref="K1417:L1417"/>
    <mergeCell ref="C1418:D1418"/>
    <mergeCell ref="K1418:L1418"/>
    <mergeCell ref="K1419:L1419"/>
    <mergeCell ref="G1397:H1397"/>
    <mergeCell ref="G1398:H1398"/>
    <mergeCell ref="C1395:D1395"/>
    <mergeCell ref="C1396:D1396"/>
    <mergeCell ref="G1396:H1396"/>
    <mergeCell ref="K1396:L1396"/>
    <mergeCell ref="C1397:D1397"/>
    <mergeCell ref="K1397:L1397"/>
    <mergeCell ref="K1398:L1398"/>
    <mergeCell ref="G1400:H1400"/>
    <mergeCell ref="G1401:H1401"/>
    <mergeCell ref="C1398:D1398"/>
    <mergeCell ref="C1399:D1399"/>
    <mergeCell ref="G1399:H1399"/>
    <mergeCell ref="K1399:L1399"/>
    <mergeCell ref="C1400:D1400"/>
    <mergeCell ref="K1400:L1400"/>
    <mergeCell ref="K1401:L1401"/>
    <mergeCell ref="G1403:H1403"/>
    <mergeCell ref="G1404:H1404"/>
    <mergeCell ref="C1401:D1401"/>
    <mergeCell ref="C1402:D1402"/>
    <mergeCell ref="G1402:H1402"/>
    <mergeCell ref="K1402:L1402"/>
    <mergeCell ref="C1403:D1403"/>
    <mergeCell ref="K1403:L1403"/>
    <mergeCell ref="K1404:L1404"/>
    <mergeCell ref="G1406:H1406"/>
    <mergeCell ref="G1407:H1407"/>
    <mergeCell ref="C1404:D1404"/>
    <mergeCell ref="C1405:D1405"/>
    <mergeCell ref="G1405:H1405"/>
    <mergeCell ref="K1405:L1405"/>
    <mergeCell ref="C1406:D1406"/>
    <mergeCell ref="K1406:L1406"/>
    <mergeCell ref="K1407:L1407"/>
    <mergeCell ref="G1385:H1385"/>
    <mergeCell ref="G1386:H1386"/>
    <mergeCell ref="C1383:D1383"/>
    <mergeCell ref="C1384:D1384"/>
    <mergeCell ref="G1384:H1384"/>
    <mergeCell ref="K1384:L1384"/>
    <mergeCell ref="C1385:D1385"/>
    <mergeCell ref="K1385:L1385"/>
    <mergeCell ref="K1386:L1386"/>
    <mergeCell ref="G1388:H1388"/>
    <mergeCell ref="G1389:H1389"/>
    <mergeCell ref="C1386:D1386"/>
    <mergeCell ref="C1387:D1387"/>
    <mergeCell ref="G1387:H1387"/>
    <mergeCell ref="K1387:L1387"/>
    <mergeCell ref="C1388:D1388"/>
    <mergeCell ref="K1388:L1388"/>
    <mergeCell ref="K1389:L1389"/>
    <mergeCell ref="G1391:H1391"/>
    <mergeCell ref="G1392:H1392"/>
    <mergeCell ref="C1389:D1389"/>
    <mergeCell ref="C1390:D1390"/>
    <mergeCell ref="G1390:H1390"/>
    <mergeCell ref="K1390:L1390"/>
    <mergeCell ref="C1391:D1391"/>
    <mergeCell ref="K1391:L1391"/>
    <mergeCell ref="K1392:L1392"/>
    <mergeCell ref="G1394:H1394"/>
    <mergeCell ref="G1395:H1395"/>
    <mergeCell ref="C1392:D1392"/>
    <mergeCell ref="C1393:D1393"/>
    <mergeCell ref="G1393:H1393"/>
    <mergeCell ref="K1393:L1393"/>
    <mergeCell ref="C1394:D1394"/>
    <mergeCell ref="K1394:L1394"/>
    <mergeCell ref="K1395:L1395"/>
    <mergeCell ref="G1373:H1373"/>
    <mergeCell ref="G1374:H1374"/>
    <mergeCell ref="C1371:D1371"/>
    <mergeCell ref="C1372:D1372"/>
    <mergeCell ref="G1372:H1372"/>
    <mergeCell ref="K1372:L1372"/>
    <mergeCell ref="C1373:D1373"/>
    <mergeCell ref="K1373:L1373"/>
    <mergeCell ref="K1374:L1374"/>
    <mergeCell ref="G1376:H1376"/>
    <mergeCell ref="G1377:H1377"/>
    <mergeCell ref="C1374:D1374"/>
    <mergeCell ref="C1375:D1375"/>
    <mergeCell ref="G1375:H1375"/>
    <mergeCell ref="K1375:L1375"/>
    <mergeCell ref="C1376:D1376"/>
    <mergeCell ref="K1376:L1376"/>
    <mergeCell ref="K1377:L1377"/>
    <mergeCell ref="G1379:H1379"/>
    <mergeCell ref="G1380:H1380"/>
    <mergeCell ref="C1377:D1377"/>
    <mergeCell ref="C1378:D1378"/>
    <mergeCell ref="G1378:H1378"/>
    <mergeCell ref="K1378:L1378"/>
    <mergeCell ref="C1379:D1379"/>
    <mergeCell ref="K1379:L1379"/>
    <mergeCell ref="K1380:L1380"/>
    <mergeCell ref="G1382:H1382"/>
    <mergeCell ref="G1383:H1383"/>
    <mergeCell ref="C1380:D1380"/>
    <mergeCell ref="C1381:D1381"/>
    <mergeCell ref="G1381:H1381"/>
    <mergeCell ref="K1381:L1381"/>
    <mergeCell ref="C1382:D1382"/>
    <mergeCell ref="K1382:L1382"/>
    <mergeCell ref="K1383:L1383"/>
    <mergeCell ref="G1361:H1361"/>
    <mergeCell ref="G1362:H1362"/>
    <mergeCell ref="C1359:D1359"/>
    <mergeCell ref="C1360:D1360"/>
    <mergeCell ref="G1360:H1360"/>
    <mergeCell ref="K1360:L1360"/>
    <mergeCell ref="C1361:D1361"/>
    <mergeCell ref="K1361:L1361"/>
    <mergeCell ref="K1362:L1362"/>
    <mergeCell ref="G1364:H1364"/>
    <mergeCell ref="G1365:H1365"/>
    <mergeCell ref="C1362:D1362"/>
    <mergeCell ref="C1363:D1363"/>
    <mergeCell ref="G1363:H1363"/>
    <mergeCell ref="K1363:L1363"/>
    <mergeCell ref="C1364:D1364"/>
    <mergeCell ref="K1364:L1364"/>
    <mergeCell ref="K1365:L1365"/>
    <mergeCell ref="G1367:H1367"/>
    <mergeCell ref="G1368:H1368"/>
    <mergeCell ref="C1365:D1365"/>
    <mergeCell ref="C1366:D1366"/>
    <mergeCell ref="G1366:H1366"/>
    <mergeCell ref="K1366:L1366"/>
    <mergeCell ref="C1367:D1367"/>
    <mergeCell ref="K1367:L1367"/>
    <mergeCell ref="K1368:L1368"/>
    <mergeCell ref="G1370:H1370"/>
    <mergeCell ref="G1371:H1371"/>
    <mergeCell ref="C1368:D1368"/>
    <mergeCell ref="C1369:D1369"/>
    <mergeCell ref="G1369:H1369"/>
    <mergeCell ref="K1369:L1369"/>
    <mergeCell ref="C1370:D1370"/>
    <mergeCell ref="K1370:L1370"/>
    <mergeCell ref="K1371:L1371"/>
    <mergeCell ref="G1349:H1349"/>
    <mergeCell ref="G1350:H1350"/>
    <mergeCell ref="C1347:D1347"/>
    <mergeCell ref="C1348:D1348"/>
    <mergeCell ref="G1348:H1348"/>
    <mergeCell ref="K1348:L1348"/>
    <mergeCell ref="C1349:D1349"/>
    <mergeCell ref="K1349:L1349"/>
    <mergeCell ref="K1350:L1350"/>
    <mergeCell ref="G1352:H1352"/>
    <mergeCell ref="G1353:H1353"/>
    <mergeCell ref="C1350:D1350"/>
    <mergeCell ref="C1351:D1351"/>
    <mergeCell ref="G1351:H1351"/>
    <mergeCell ref="K1351:L1351"/>
    <mergeCell ref="C1352:D1352"/>
    <mergeCell ref="K1352:L1352"/>
    <mergeCell ref="K1353:L1353"/>
    <mergeCell ref="G1355:H1355"/>
    <mergeCell ref="G1356:H1356"/>
    <mergeCell ref="C1353:D1353"/>
    <mergeCell ref="C1354:D1354"/>
    <mergeCell ref="G1354:H1354"/>
    <mergeCell ref="K1354:L1354"/>
    <mergeCell ref="C1355:D1355"/>
    <mergeCell ref="K1355:L1355"/>
    <mergeCell ref="K1356:L1356"/>
    <mergeCell ref="G1358:H1358"/>
    <mergeCell ref="G1359:H1359"/>
    <mergeCell ref="C1356:D1356"/>
    <mergeCell ref="C1357:D1357"/>
    <mergeCell ref="G1357:H1357"/>
    <mergeCell ref="K1357:L1357"/>
    <mergeCell ref="C1358:D1358"/>
    <mergeCell ref="K1358:L1358"/>
    <mergeCell ref="K1359:L1359"/>
    <mergeCell ref="G1337:H1337"/>
    <mergeCell ref="G1338:H1338"/>
    <mergeCell ref="C1335:D1335"/>
    <mergeCell ref="C1336:D1336"/>
    <mergeCell ref="G1336:H1336"/>
    <mergeCell ref="K1336:L1336"/>
    <mergeCell ref="C1337:D1337"/>
    <mergeCell ref="K1337:L1337"/>
    <mergeCell ref="K1338:L1338"/>
    <mergeCell ref="G1340:H1340"/>
    <mergeCell ref="G1341:H1341"/>
    <mergeCell ref="C1338:D1338"/>
    <mergeCell ref="C1339:D1339"/>
    <mergeCell ref="G1339:H1339"/>
    <mergeCell ref="K1339:L1339"/>
    <mergeCell ref="C1340:D1340"/>
    <mergeCell ref="K1340:L1340"/>
    <mergeCell ref="K1341:L1341"/>
    <mergeCell ref="G1343:H1343"/>
    <mergeCell ref="G1344:H1344"/>
    <mergeCell ref="C1341:D1341"/>
    <mergeCell ref="C1342:D1342"/>
    <mergeCell ref="G1342:H1342"/>
    <mergeCell ref="K1342:L1342"/>
    <mergeCell ref="C1343:D1343"/>
    <mergeCell ref="K1343:L1343"/>
    <mergeCell ref="K1344:L1344"/>
    <mergeCell ref="G1346:H1346"/>
    <mergeCell ref="G1347:H1347"/>
    <mergeCell ref="C1344:D1344"/>
    <mergeCell ref="C1345:D1345"/>
    <mergeCell ref="G1345:H1345"/>
    <mergeCell ref="K1345:L1345"/>
    <mergeCell ref="C1346:D1346"/>
    <mergeCell ref="K1346:L1346"/>
    <mergeCell ref="K1347:L1347"/>
    <mergeCell ref="G1325:H1325"/>
    <mergeCell ref="G1326:H1326"/>
    <mergeCell ref="C1323:D1323"/>
    <mergeCell ref="C1324:D1324"/>
    <mergeCell ref="G1324:H1324"/>
    <mergeCell ref="K1324:L1324"/>
    <mergeCell ref="C1325:D1325"/>
    <mergeCell ref="K1325:L1325"/>
    <mergeCell ref="K1326:L1326"/>
    <mergeCell ref="G1328:H1328"/>
    <mergeCell ref="G1329:H1329"/>
    <mergeCell ref="C1326:D1326"/>
    <mergeCell ref="C1327:D1327"/>
    <mergeCell ref="G1327:H1327"/>
    <mergeCell ref="K1327:L1327"/>
    <mergeCell ref="C1328:D1328"/>
    <mergeCell ref="K1328:L1328"/>
    <mergeCell ref="K1329:L1329"/>
    <mergeCell ref="G1331:H1331"/>
    <mergeCell ref="G1332:H1332"/>
    <mergeCell ref="C1329:D1329"/>
    <mergeCell ref="C1330:D1330"/>
    <mergeCell ref="G1330:H1330"/>
    <mergeCell ref="K1330:L1330"/>
    <mergeCell ref="C1331:D1331"/>
    <mergeCell ref="K1331:L1331"/>
    <mergeCell ref="K1332:L1332"/>
    <mergeCell ref="G1334:H1334"/>
    <mergeCell ref="G1335:H1335"/>
    <mergeCell ref="C1332:D1332"/>
    <mergeCell ref="C1333:D1333"/>
    <mergeCell ref="G1333:H1333"/>
    <mergeCell ref="K1333:L1333"/>
    <mergeCell ref="C1334:D1334"/>
    <mergeCell ref="K1334:L1334"/>
    <mergeCell ref="K1335:L1335"/>
    <mergeCell ref="G1313:H1313"/>
    <mergeCell ref="G1314:H1314"/>
    <mergeCell ref="C1311:D1311"/>
    <mergeCell ref="C1312:D1312"/>
    <mergeCell ref="G1312:H1312"/>
    <mergeCell ref="K1312:L1312"/>
    <mergeCell ref="C1313:D1313"/>
    <mergeCell ref="K1313:L1313"/>
    <mergeCell ref="K1314:L1314"/>
    <mergeCell ref="G1316:H1316"/>
    <mergeCell ref="G1317:H1317"/>
    <mergeCell ref="C1314:D1314"/>
    <mergeCell ref="C1315:D1315"/>
    <mergeCell ref="G1315:H1315"/>
    <mergeCell ref="K1315:L1315"/>
    <mergeCell ref="C1316:D1316"/>
    <mergeCell ref="K1316:L1316"/>
    <mergeCell ref="K1317:L1317"/>
    <mergeCell ref="G1319:H1319"/>
    <mergeCell ref="G1320:H1320"/>
    <mergeCell ref="C1317:D1317"/>
    <mergeCell ref="C1318:D1318"/>
    <mergeCell ref="G1318:H1318"/>
    <mergeCell ref="K1318:L1318"/>
    <mergeCell ref="C1319:D1319"/>
    <mergeCell ref="K1319:L1319"/>
    <mergeCell ref="K1320:L1320"/>
    <mergeCell ref="G1322:H1322"/>
    <mergeCell ref="G1323:H1323"/>
    <mergeCell ref="C1320:D1320"/>
    <mergeCell ref="C1321:D1321"/>
    <mergeCell ref="G1321:H1321"/>
    <mergeCell ref="K1321:L1321"/>
    <mergeCell ref="C1322:D1322"/>
    <mergeCell ref="K1322:L1322"/>
    <mergeCell ref="K1323:L1323"/>
    <mergeCell ref="G1301:H1301"/>
    <mergeCell ref="G1302:H1302"/>
    <mergeCell ref="C1299:D1299"/>
    <mergeCell ref="C1300:D1300"/>
    <mergeCell ref="G1300:H1300"/>
    <mergeCell ref="K1300:L1300"/>
    <mergeCell ref="C1301:D1301"/>
    <mergeCell ref="K1301:L1301"/>
    <mergeCell ref="K1302:L1302"/>
    <mergeCell ref="G1304:H1304"/>
    <mergeCell ref="G1305:H1305"/>
    <mergeCell ref="C1302:D1302"/>
    <mergeCell ref="C1303:D1303"/>
    <mergeCell ref="G1303:H1303"/>
    <mergeCell ref="K1303:L1303"/>
    <mergeCell ref="C1304:D1304"/>
    <mergeCell ref="K1304:L1304"/>
    <mergeCell ref="K1305:L1305"/>
    <mergeCell ref="G1307:H1307"/>
    <mergeCell ref="G1308:H1308"/>
    <mergeCell ref="C1305:D1305"/>
    <mergeCell ref="C1306:D1306"/>
    <mergeCell ref="G1306:H1306"/>
    <mergeCell ref="K1306:L1306"/>
    <mergeCell ref="C1307:D1307"/>
    <mergeCell ref="K1307:L1307"/>
    <mergeCell ref="K1308:L1308"/>
    <mergeCell ref="G1310:H1310"/>
    <mergeCell ref="G1311:H1311"/>
    <mergeCell ref="C1308:D1308"/>
    <mergeCell ref="C1309:D1309"/>
    <mergeCell ref="G1309:H1309"/>
    <mergeCell ref="K1309:L1309"/>
    <mergeCell ref="C1310:D1310"/>
    <mergeCell ref="K1310:L1310"/>
    <mergeCell ref="K1311:L1311"/>
    <mergeCell ref="G1289:H1289"/>
    <mergeCell ref="G1290:H1290"/>
    <mergeCell ref="C1287:D1287"/>
    <mergeCell ref="C1288:D1288"/>
    <mergeCell ref="G1288:H1288"/>
    <mergeCell ref="K1288:L1288"/>
    <mergeCell ref="C1289:D1289"/>
    <mergeCell ref="K1289:L1289"/>
    <mergeCell ref="K1290:L1290"/>
    <mergeCell ref="G1292:H1292"/>
    <mergeCell ref="G1293:H1293"/>
    <mergeCell ref="C1290:D1290"/>
    <mergeCell ref="C1291:D1291"/>
    <mergeCell ref="G1291:H1291"/>
    <mergeCell ref="K1291:L1291"/>
    <mergeCell ref="C1292:D1292"/>
    <mergeCell ref="K1292:L1292"/>
    <mergeCell ref="K1293:L1293"/>
    <mergeCell ref="G1295:H1295"/>
    <mergeCell ref="G1296:H1296"/>
    <mergeCell ref="C1293:D1293"/>
    <mergeCell ref="C1294:D1294"/>
    <mergeCell ref="G1294:H1294"/>
    <mergeCell ref="K1294:L1294"/>
    <mergeCell ref="C1295:D1295"/>
    <mergeCell ref="K1295:L1295"/>
    <mergeCell ref="K1296:L1296"/>
    <mergeCell ref="G1298:H1298"/>
    <mergeCell ref="G1299:H1299"/>
    <mergeCell ref="C1296:D1296"/>
    <mergeCell ref="C1297:D1297"/>
    <mergeCell ref="G1297:H1297"/>
    <mergeCell ref="K1297:L1297"/>
    <mergeCell ref="C1298:D1298"/>
    <mergeCell ref="K1298:L1298"/>
    <mergeCell ref="K1299:L1299"/>
    <mergeCell ref="G1277:H1277"/>
    <mergeCell ref="G1278:H1278"/>
    <mergeCell ref="C1275:D1275"/>
    <mergeCell ref="C1276:D1276"/>
    <mergeCell ref="G1276:H1276"/>
    <mergeCell ref="K1276:L1276"/>
    <mergeCell ref="C1277:D1277"/>
    <mergeCell ref="K1277:L1277"/>
    <mergeCell ref="K1278:L1278"/>
    <mergeCell ref="G1280:H1280"/>
    <mergeCell ref="G1281:H1281"/>
    <mergeCell ref="C1278:D1278"/>
    <mergeCell ref="C1279:D1279"/>
    <mergeCell ref="G1279:H1279"/>
    <mergeCell ref="K1279:L1279"/>
    <mergeCell ref="C1280:D1280"/>
    <mergeCell ref="K1280:L1280"/>
    <mergeCell ref="K1281:L1281"/>
    <mergeCell ref="G1283:H1283"/>
    <mergeCell ref="G1284:H1284"/>
    <mergeCell ref="C1281:D1281"/>
    <mergeCell ref="C1282:D1282"/>
    <mergeCell ref="G1282:H1282"/>
    <mergeCell ref="K1282:L1282"/>
    <mergeCell ref="C1283:D1283"/>
    <mergeCell ref="K1283:L1283"/>
    <mergeCell ref="K1284:L1284"/>
    <mergeCell ref="G1286:H1286"/>
    <mergeCell ref="G1287:H1287"/>
    <mergeCell ref="C1284:D1284"/>
    <mergeCell ref="C1285:D1285"/>
    <mergeCell ref="G1285:H1285"/>
    <mergeCell ref="K1285:L1285"/>
    <mergeCell ref="C1286:D1286"/>
    <mergeCell ref="K1286:L1286"/>
    <mergeCell ref="K1287:L1287"/>
    <mergeCell ref="G1265:H1265"/>
    <mergeCell ref="G1266:H1266"/>
    <mergeCell ref="C1263:D1263"/>
    <mergeCell ref="C1264:D1264"/>
    <mergeCell ref="G1264:H1264"/>
    <mergeCell ref="K1264:L1264"/>
    <mergeCell ref="C1265:D1265"/>
    <mergeCell ref="K1265:L1265"/>
    <mergeCell ref="K1266:L1266"/>
    <mergeCell ref="G1268:H1268"/>
    <mergeCell ref="G1269:H1269"/>
    <mergeCell ref="C1266:D1266"/>
    <mergeCell ref="C1267:D1267"/>
    <mergeCell ref="G1267:H1267"/>
    <mergeCell ref="K1267:L1267"/>
    <mergeCell ref="C1268:D1268"/>
    <mergeCell ref="K1268:L1268"/>
    <mergeCell ref="K1269:L1269"/>
    <mergeCell ref="G1271:H1271"/>
    <mergeCell ref="G1272:H1272"/>
    <mergeCell ref="C1269:D1269"/>
    <mergeCell ref="C1270:D1270"/>
    <mergeCell ref="G1270:H1270"/>
    <mergeCell ref="K1270:L1270"/>
    <mergeCell ref="C1271:D1271"/>
    <mergeCell ref="K1271:L1271"/>
    <mergeCell ref="K1272:L1272"/>
    <mergeCell ref="G1274:H1274"/>
    <mergeCell ref="G1275:H1275"/>
    <mergeCell ref="C1272:D1272"/>
    <mergeCell ref="C1273:D1273"/>
    <mergeCell ref="G1273:H1273"/>
    <mergeCell ref="K1273:L1273"/>
    <mergeCell ref="C1274:D1274"/>
    <mergeCell ref="K1274:L1274"/>
    <mergeCell ref="K1275:L1275"/>
    <mergeCell ref="G1253:H1253"/>
    <mergeCell ref="G1254:H1254"/>
    <mergeCell ref="C1251:D1251"/>
    <mergeCell ref="C1252:D1252"/>
    <mergeCell ref="G1252:H1252"/>
    <mergeCell ref="K1252:L1252"/>
    <mergeCell ref="C1253:D1253"/>
    <mergeCell ref="K1253:L1253"/>
    <mergeCell ref="K1254:L1254"/>
    <mergeCell ref="G1256:H1256"/>
    <mergeCell ref="G1257:H1257"/>
    <mergeCell ref="C1254:D1254"/>
    <mergeCell ref="C1255:D1255"/>
    <mergeCell ref="G1255:H1255"/>
    <mergeCell ref="K1255:L1255"/>
    <mergeCell ref="C1256:D1256"/>
    <mergeCell ref="K1256:L1256"/>
    <mergeCell ref="K1257:L1257"/>
    <mergeCell ref="G1259:H1259"/>
    <mergeCell ref="G1260:H1260"/>
    <mergeCell ref="C1257:D1257"/>
    <mergeCell ref="C1258:D1258"/>
    <mergeCell ref="G1258:H1258"/>
    <mergeCell ref="K1258:L1258"/>
    <mergeCell ref="C1259:D1259"/>
    <mergeCell ref="K1259:L1259"/>
    <mergeCell ref="K1260:L1260"/>
    <mergeCell ref="G1262:H1262"/>
    <mergeCell ref="G1263:H1263"/>
    <mergeCell ref="C1260:D1260"/>
    <mergeCell ref="C1261:D1261"/>
    <mergeCell ref="G1261:H1261"/>
    <mergeCell ref="K1261:L1261"/>
    <mergeCell ref="C1262:D1262"/>
    <mergeCell ref="K1262:L1262"/>
    <mergeCell ref="K1263:L1263"/>
    <mergeCell ref="G1241:H1241"/>
    <mergeCell ref="G1242:H1242"/>
    <mergeCell ref="C1239:D1239"/>
    <mergeCell ref="C1240:D1240"/>
    <mergeCell ref="G1240:H1240"/>
    <mergeCell ref="K1240:L1240"/>
    <mergeCell ref="C1241:D1241"/>
    <mergeCell ref="K1241:L1241"/>
    <mergeCell ref="K1242:L1242"/>
    <mergeCell ref="G1244:H1244"/>
    <mergeCell ref="G1245:H1245"/>
    <mergeCell ref="C1242:D1242"/>
    <mergeCell ref="C1243:D1243"/>
    <mergeCell ref="G1243:H1243"/>
    <mergeCell ref="K1243:L1243"/>
    <mergeCell ref="C1244:D1244"/>
    <mergeCell ref="K1244:L1244"/>
    <mergeCell ref="K1245:L1245"/>
    <mergeCell ref="G1247:H1247"/>
    <mergeCell ref="G1248:H1248"/>
    <mergeCell ref="C1245:D1245"/>
    <mergeCell ref="C1246:D1246"/>
    <mergeCell ref="G1246:H1246"/>
    <mergeCell ref="K1246:L1246"/>
    <mergeCell ref="C1247:D1247"/>
    <mergeCell ref="K1247:L1247"/>
    <mergeCell ref="K1248:L1248"/>
    <mergeCell ref="G1250:H1250"/>
    <mergeCell ref="G1251:H1251"/>
    <mergeCell ref="C1248:D1248"/>
    <mergeCell ref="C1249:D1249"/>
    <mergeCell ref="G1249:H1249"/>
    <mergeCell ref="K1249:L1249"/>
    <mergeCell ref="C1250:D1250"/>
    <mergeCell ref="K1250:L1250"/>
    <mergeCell ref="K1251:L1251"/>
    <mergeCell ref="G1229:H1229"/>
    <mergeCell ref="G1230:H1230"/>
    <mergeCell ref="C1227:D1227"/>
    <mergeCell ref="C1228:D1228"/>
    <mergeCell ref="G1228:H1228"/>
    <mergeCell ref="K1228:L1228"/>
    <mergeCell ref="C1229:D1229"/>
    <mergeCell ref="K1229:L1229"/>
    <mergeCell ref="K1230:L1230"/>
    <mergeCell ref="G1232:H1232"/>
    <mergeCell ref="G1233:H1233"/>
    <mergeCell ref="C1230:D1230"/>
    <mergeCell ref="C1231:D1231"/>
    <mergeCell ref="G1231:H1231"/>
    <mergeCell ref="K1231:L1231"/>
    <mergeCell ref="C1232:D1232"/>
    <mergeCell ref="K1232:L1232"/>
    <mergeCell ref="K1233:L1233"/>
    <mergeCell ref="G1235:H1235"/>
    <mergeCell ref="G1236:H1236"/>
    <mergeCell ref="C1233:D1233"/>
    <mergeCell ref="C1234:D1234"/>
    <mergeCell ref="G1234:H1234"/>
    <mergeCell ref="K1234:L1234"/>
    <mergeCell ref="C1235:D1235"/>
    <mergeCell ref="K1235:L1235"/>
    <mergeCell ref="K1236:L1236"/>
    <mergeCell ref="G1238:H1238"/>
    <mergeCell ref="G1239:H1239"/>
    <mergeCell ref="C1236:D1236"/>
    <mergeCell ref="C1237:D1237"/>
    <mergeCell ref="G1237:H1237"/>
    <mergeCell ref="K1237:L1237"/>
    <mergeCell ref="C1238:D1238"/>
    <mergeCell ref="K1238:L1238"/>
    <mergeCell ref="K1239:L1239"/>
    <mergeCell ref="G1217:H1217"/>
    <mergeCell ref="G1218:H1218"/>
    <mergeCell ref="C1215:D1215"/>
    <mergeCell ref="C1216:D1216"/>
    <mergeCell ref="G1216:H1216"/>
    <mergeCell ref="K1216:L1216"/>
    <mergeCell ref="C1217:D1217"/>
    <mergeCell ref="K1217:L1217"/>
    <mergeCell ref="K1218:L1218"/>
    <mergeCell ref="G1220:H1220"/>
    <mergeCell ref="G1221:H1221"/>
    <mergeCell ref="C1218:D1218"/>
    <mergeCell ref="C1219:D1219"/>
    <mergeCell ref="G1219:H1219"/>
    <mergeCell ref="K1219:L1219"/>
    <mergeCell ref="C1220:D1220"/>
    <mergeCell ref="K1220:L1220"/>
    <mergeCell ref="K1221:L1221"/>
    <mergeCell ref="G1223:H1223"/>
    <mergeCell ref="G1224:H1224"/>
    <mergeCell ref="C1221:D1221"/>
    <mergeCell ref="C1222:D1222"/>
    <mergeCell ref="G1222:H1222"/>
    <mergeCell ref="K1222:L1222"/>
    <mergeCell ref="C1223:D1223"/>
    <mergeCell ref="K1223:L1223"/>
    <mergeCell ref="K1224:L1224"/>
    <mergeCell ref="G1226:H1226"/>
    <mergeCell ref="G1227:H1227"/>
    <mergeCell ref="C1224:D1224"/>
    <mergeCell ref="C1225:D1225"/>
    <mergeCell ref="G1225:H1225"/>
    <mergeCell ref="K1225:L1225"/>
    <mergeCell ref="C1226:D1226"/>
    <mergeCell ref="K1226:L1226"/>
    <mergeCell ref="K1227:L1227"/>
    <mergeCell ref="G1205:H1205"/>
    <mergeCell ref="G1206:H1206"/>
    <mergeCell ref="C1203:D1203"/>
    <mergeCell ref="C1204:D1204"/>
    <mergeCell ref="G1204:H1204"/>
    <mergeCell ref="K1204:L1204"/>
    <mergeCell ref="C1205:D1205"/>
    <mergeCell ref="K1205:L1205"/>
    <mergeCell ref="K1206:L1206"/>
    <mergeCell ref="G1208:H1208"/>
    <mergeCell ref="G1209:H1209"/>
    <mergeCell ref="C1206:D1206"/>
    <mergeCell ref="C1207:D1207"/>
    <mergeCell ref="G1207:H1207"/>
    <mergeCell ref="K1207:L1207"/>
    <mergeCell ref="C1208:D1208"/>
    <mergeCell ref="K1208:L1208"/>
    <mergeCell ref="K1209:L1209"/>
    <mergeCell ref="G1211:H1211"/>
    <mergeCell ref="G1212:H1212"/>
    <mergeCell ref="C1209:D1209"/>
    <mergeCell ref="C1210:D1210"/>
    <mergeCell ref="G1210:H1210"/>
    <mergeCell ref="K1210:L1210"/>
    <mergeCell ref="C1211:D1211"/>
    <mergeCell ref="K1211:L1211"/>
    <mergeCell ref="K1212:L1212"/>
    <mergeCell ref="G1214:H1214"/>
    <mergeCell ref="G1215:H1215"/>
    <mergeCell ref="C1212:D1212"/>
    <mergeCell ref="C1213:D1213"/>
    <mergeCell ref="G1213:H1213"/>
    <mergeCell ref="K1213:L1213"/>
    <mergeCell ref="C1214:D1214"/>
    <mergeCell ref="K1214:L1214"/>
    <mergeCell ref="K1215:L1215"/>
    <mergeCell ref="G1193:H1193"/>
    <mergeCell ref="G1194:H1194"/>
    <mergeCell ref="C1191:D1191"/>
    <mergeCell ref="C1192:D1192"/>
    <mergeCell ref="G1192:H1192"/>
    <mergeCell ref="K1192:L1192"/>
    <mergeCell ref="C1193:D1193"/>
    <mergeCell ref="K1193:L1193"/>
    <mergeCell ref="K1194:L1194"/>
    <mergeCell ref="G1196:H1196"/>
    <mergeCell ref="G1197:H1197"/>
    <mergeCell ref="C1194:D1194"/>
    <mergeCell ref="C1195:D1195"/>
    <mergeCell ref="G1195:H1195"/>
    <mergeCell ref="K1195:L1195"/>
    <mergeCell ref="C1196:D1196"/>
    <mergeCell ref="K1196:L1196"/>
    <mergeCell ref="K1197:L1197"/>
    <mergeCell ref="G1199:H1199"/>
    <mergeCell ref="G1200:H1200"/>
    <mergeCell ref="C1197:D1197"/>
    <mergeCell ref="C1198:D1198"/>
    <mergeCell ref="G1198:H1198"/>
    <mergeCell ref="K1198:L1198"/>
    <mergeCell ref="C1199:D1199"/>
    <mergeCell ref="K1199:L1199"/>
    <mergeCell ref="K1200:L1200"/>
    <mergeCell ref="G1202:H1202"/>
    <mergeCell ref="G1203:H1203"/>
    <mergeCell ref="C1200:D1200"/>
    <mergeCell ref="C1201:D1201"/>
    <mergeCell ref="G1201:H1201"/>
    <mergeCell ref="K1201:L1201"/>
    <mergeCell ref="C1202:D1202"/>
    <mergeCell ref="K1202:L1202"/>
    <mergeCell ref="K1203:L1203"/>
    <mergeCell ref="G1181:H1181"/>
    <mergeCell ref="G1182:H1182"/>
    <mergeCell ref="C1179:D1179"/>
    <mergeCell ref="C1180:D1180"/>
    <mergeCell ref="G1180:H1180"/>
    <mergeCell ref="K1180:L1180"/>
    <mergeCell ref="C1181:D1181"/>
    <mergeCell ref="K1181:L1181"/>
    <mergeCell ref="K1182:L1182"/>
    <mergeCell ref="G1184:H1184"/>
    <mergeCell ref="G1185:H1185"/>
    <mergeCell ref="C1182:D1182"/>
    <mergeCell ref="C1183:D1183"/>
    <mergeCell ref="G1183:H1183"/>
    <mergeCell ref="K1183:L1183"/>
    <mergeCell ref="C1184:D1184"/>
    <mergeCell ref="K1184:L1184"/>
    <mergeCell ref="K1185:L1185"/>
    <mergeCell ref="G1187:H1187"/>
    <mergeCell ref="G1188:H1188"/>
    <mergeCell ref="C1185:D1185"/>
    <mergeCell ref="C1186:D1186"/>
    <mergeCell ref="G1186:H1186"/>
    <mergeCell ref="K1186:L1186"/>
    <mergeCell ref="C1187:D1187"/>
    <mergeCell ref="K1187:L1187"/>
    <mergeCell ref="K1188:L1188"/>
    <mergeCell ref="G1190:H1190"/>
    <mergeCell ref="G1191:H1191"/>
    <mergeCell ref="C1188:D1188"/>
    <mergeCell ref="C1189:D1189"/>
    <mergeCell ref="G1189:H1189"/>
    <mergeCell ref="K1189:L1189"/>
    <mergeCell ref="C1190:D1190"/>
    <mergeCell ref="K1190:L1190"/>
    <mergeCell ref="K1191:L1191"/>
    <mergeCell ref="G1169:H1169"/>
    <mergeCell ref="G1170:H1170"/>
    <mergeCell ref="C1167:D1167"/>
    <mergeCell ref="C1168:D1168"/>
    <mergeCell ref="G1168:H1168"/>
    <mergeCell ref="K1168:L1168"/>
    <mergeCell ref="C1169:D1169"/>
    <mergeCell ref="K1169:L1169"/>
    <mergeCell ref="K1170:L1170"/>
    <mergeCell ref="G1172:H1172"/>
    <mergeCell ref="G1173:H1173"/>
    <mergeCell ref="C1170:D1170"/>
    <mergeCell ref="C1171:D1171"/>
    <mergeCell ref="G1171:H1171"/>
    <mergeCell ref="K1171:L1171"/>
    <mergeCell ref="C1172:D1172"/>
    <mergeCell ref="K1172:L1172"/>
    <mergeCell ref="K1173:L1173"/>
    <mergeCell ref="G1175:H1175"/>
    <mergeCell ref="G1176:H1176"/>
    <mergeCell ref="C1173:D1173"/>
    <mergeCell ref="C1174:D1174"/>
    <mergeCell ref="G1174:H1174"/>
    <mergeCell ref="K1174:L1174"/>
    <mergeCell ref="C1175:D1175"/>
    <mergeCell ref="K1175:L1175"/>
    <mergeCell ref="K1176:L1176"/>
    <mergeCell ref="G1178:H1178"/>
    <mergeCell ref="G1179:H1179"/>
    <mergeCell ref="C1176:D1176"/>
    <mergeCell ref="C1177:D1177"/>
    <mergeCell ref="G1177:H1177"/>
    <mergeCell ref="K1177:L1177"/>
    <mergeCell ref="C1178:D1178"/>
    <mergeCell ref="K1178:L1178"/>
    <mergeCell ref="K1179:L1179"/>
    <mergeCell ref="G1157:H1157"/>
    <mergeCell ref="G1158:H1158"/>
    <mergeCell ref="C1155:D1155"/>
    <mergeCell ref="C1156:D1156"/>
    <mergeCell ref="G1156:H1156"/>
    <mergeCell ref="K1156:L1156"/>
    <mergeCell ref="C1157:D1157"/>
    <mergeCell ref="K1157:L1157"/>
    <mergeCell ref="K1158:L1158"/>
    <mergeCell ref="G1160:H1160"/>
    <mergeCell ref="G1161:H1161"/>
    <mergeCell ref="C1158:D1158"/>
    <mergeCell ref="C1159:D1159"/>
    <mergeCell ref="G1159:H1159"/>
    <mergeCell ref="K1159:L1159"/>
    <mergeCell ref="C1160:D1160"/>
    <mergeCell ref="K1160:L1160"/>
    <mergeCell ref="K1161:L1161"/>
    <mergeCell ref="G1163:H1163"/>
    <mergeCell ref="G1164:H1164"/>
    <mergeCell ref="C1161:D1161"/>
    <mergeCell ref="C1162:D1162"/>
    <mergeCell ref="G1162:H1162"/>
    <mergeCell ref="K1162:L1162"/>
    <mergeCell ref="C1163:D1163"/>
    <mergeCell ref="K1163:L1163"/>
    <mergeCell ref="K1164:L1164"/>
    <mergeCell ref="G1166:H1166"/>
    <mergeCell ref="G1167:H1167"/>
    <mergeCell ref="C1164:D1164"/>
    <mergeCell ref="C1165:D1165"/>
    <mergeCell ref="G1165:H1165"/>
    <mergeCell ref="K1165:L1165"/>
    <mergeCell ref="C1166:D1166"/>
    <mergeCell ref="K1166:L1166"/>
    <mergeCell ref="K1167:L1167"/>
    <mergeCell ref="G1145:H1145"/>
    <mergeCell ref="G1146:H1146"/>
    <mergeCell ref="C1143:D1143"/>
    <mergeCell ref="C1144:D1144"/>
    <mergeCell ref="G1144:H1144"/>
    <mergeCell ref="K1144:L1144"/>
    <mergeCell ref="C1145:D1145"/>
    <mergeCell ref="K1145:L1145"/>
    <mergeCell ref="K1146:L1146"/>
    <mergeCell ref="G1148:H1148"/>
    <mergeCell ref="G1149:H1149"/>
    <mergeCell ref="C1146:D1146"/>
    <mergeCell ref="C1147:D1147"/>
    <mergeCell ref="G1147:H1147"/>
    <mergeCell ref="K1147:L1147"/>
    <mergeCell ref="C1148:D1148"/>
    <mergeCell ref="K1148:L1148"/>
    <mergeCell ref="K1149:L1149"/>
    <mergeCell ref="G1151:H1151"/>
    <mergeCell ref="G1152:H1152"/>
    <mergeCell ref="C1149:D1149"/>
    <mergeCell ref="C1150:D1150"/>
    <mergeCell ref="G1150:H1150"/>
    <mergeCell ref="K1150:L1150"/>
    <mergeCell ref="C1151:D1151"/>
    <mergeCell ref="K1151:L1151"/>
    <mergeCell ref="K1152:L1152"/>
    <mergeCell ref="G1154:H1154"/>
    <mergeCell ref="G1155:H1155"/>
    <mergeCell ref="C1152:D1152"/>
    <mergeCell ref="C1153:D1153"/>
    <mergeCell ref="G1153:H1153"/>
    <mergeCell ref="K1153:L1153"/>
    <mergeCell ref="C1154:D1154"/>
    <mergeCell ref="K1154:L1154"/>
    <mergeCell ref="K1155:L1155"/>
    <mergeCell ref="G1133:H1133"/>
    <mergeCell ref="G1134:H1134"/>
    <mergeCell ref="C1131:D1131"/>
    <mergeCell ref="C1132:D1132"/>
    <mergeCell ref="G1132:H1132"/>
    <mergeCell ref="K1132:L1132"/>
    <mergeCell ref="C1133:D1133"/>
    <mergeCell ref="K1133:L1133"/>
    <mergeCell ref="K1134:L1134"/>
    <mergeCell ref="G1136:H1136"/>
    <mergeCell ref="G1137:H1137"/>
    <mergeCell ref="C1134:D1134"/>
    <mergeCell ref="C1135:D1135"/>
    <mergeCell ref="G1135:H1135"/>
    <mergeCell ref="K1135:L1135"/>
    <mergeCell ref="C1136:D1136"/>
    <mergeCell ref="K1136:L1136"/>
    <mergeCell ref="K1137:L1137"/>
    <mergeCell ref="G1139:H1139"/>
    <mergeCell ref="G1140:H1140"/>
    <mergeCell ref="C1137:D1137"/>
    <mergeCell ref="C1138:D1138"/>
    <mergeCell ref="G1138:H1138"/>
    <mergeCell ref="K1138:L1138"/>
    <mergeCell ref="C1139:D1139"/>
    <mergeCell ref="K1139:L1139"/>
    <mergeCell ref="K1140:L1140"/>
    <mergeCell ref="G1142:H1142"/>
    <mergeCell ref="G1143:H1143"/>
    <mergeCell ref="C1140:D1140"/>
    <mergeCell ref="C1141:D1141"/>
    <mergeCell ref="G1141:H1141"/>
    <mergeCell ref="K1141:L1141"/>
    <mergeCell ref="C1142:D1142"/>
    <mergeCell ref="K1142:L1142"/>
    <mergeCell ref="K1143:L1143"/>
    <mergeCell ref="G1121:H1121"/>
    <mergeCell ref="G1122:H1122"/>
    <mergeCell ref="C1119:D1119"/>
    <mergeCell ref="C1120:D1120"/>
    <mergeCell ref="G1120:H1120"/>
    <mergeCell ref="K1120:L1120"/>
    <mergeCell ref="C1121:D1121"/>
    <mergeCell ref="K1121:L1121"/>
    <mergeCell ref="K1122:L1122"/>
    <mergeCell ref="G1124:H1124"/>
    <mergeCell ref="G1125:H1125"/>
    <mergeCell ref="C1122:D1122"/>
    <mergeCell ref="C1123:D1123"/>
    <mergeCell ref="G1123:H1123"/>
    <mergeCell ref="K1123:L1123"/>
    <mergeCell ref="C1124:D1124"/>
    <mergeCell ref="K1124:L1124"/>
    <mergeCell ref="K1125:L1125"/>
    <mergeCell ref="G1127:H1127"/>
    <mergeCell ref="G1128:H1128"/>
    <mergeCell ref="C1125:D1125"/>
    <mergeCell ref="C1126:D1126"/>
    <mergeCell ref="G1126:H1126"/>
    <mergeCell ref="K1126:L1126"/>
    <mergeCell ref="C1127:D1127"/>
    <mergeCell ref="K1127:L1127"/>
    <mergeCell ref="K1128:L1128"/>
    <mergeCell ref="G1130:H1130"/>
    <mergeCell ref="G1131:H1131"/>
    <mergeCell ref="C1128:D1128"/>
    <mergeCell ref="C1129:D1129"/>
    <mergeCell ref="G1129:H1129"/>
    <mergeCell ref="K1129:L1129"/>
    <mergeCell ref="C1130:D1130"/>
    <mergeCell ref="K1130:L1130"/>
    <mergeCell ref="K1131:L1131"/>
    <mergeCell ref="G1109:H1109"/>
    <mergeCell ref="G1110:H1110"/>
    <mergeCell ref="C1107:D1107"/>
    <mergeCell ref="C1108:D1108"/>
    <mergeCell ref="G1108:H1108"/>
    <mergeCell ref="K1108:L1108"/>
    <mergeCell ref="C1109:D1109"/>
    <mergeCell ref="K1109:L1109"/>
    <mergeCell ref="K1110:L1110"/>
    <mergeCell ref="G1112:H1112"/>
    <mergeCell ref="G1113:H1113"/>
    <mergeCell ref="C1110:D1110"/>
    <mergeCell ref="C1111:D1111"/>
    <mergeCell ref="G1111:H1111"/>
    <mergeCell ref="K1111:L1111"/>
    <mergeCell ref="C1112:D1112"/>
    <mergeCell ref="K1112:L1112"/>
    <mergeCell ref="K1113:L1113"/>
    <mergeCell ref="G1115:H1115"/>
    <mergeCell ref="G1116:H1116"/>
    <mergeCell ref="C1113:D1113"/>
    <mergeCell ref="C1114:D1114"/>
    <mergeCell ref="G1114:H1114"/>
    <mergeCell ref="K1114:L1114"/>
    <mergeCell ref="C1115:D1115"/>
    <mergeCell ref="K1115:L1115"/>
    <mergeCell ref="K1116:L1116"/>
    <mergeCell ref="G1118:H1118"/>
    <mergeCell ref="G1119:H1119"/>
    <mergeCell ref="C1116:D1116"/>
    <mergeCell ref="C1117:D1117"/>
    <mergeCell ref="G1117:H1117"/>
    <mergeCell ref="K1117:L1117"/>
    <mergeCell ref="C1118:D1118"/>
    <mergeCell ref="K1118:L1118"/>
    <mergeCell ref="K1119:L1119"/>
    <mergeCell ref="G1097:H1097"/>
    <mergeCell ref="G1098:H1098"/>
    <mergeCell ref="C1095:D1095"/>
    <mergeCell ref="C1096:D1096"/>
    <mergeCell ref="G1096:H1096"/>
    <mergeCell ref="K1096:L1096"/>
    <mergeCell ref="C1097:D1097"/>
    <mergeCell ref="K1097:L1097"/>
    <mergeCell ref="K1098:L1098"/>
    <mergeCell ref="G1100:H1100"/>
    <mergeCell ref="G1101:H1101"/>
    <mergeCell ref="C1098:D1098"/>
    <mergeCell ref="C1099:D1099"/>
    <mergeCell ref="G1099:H1099"/>
    <mergeCell ref="K1099:L1099"/>
    <mergeCell ref="C1100:D1100"/>
    <mergeCell ref="K1100:L1100"/>
    <mergeCell ref="K1101:L1101"/>
    <mergeCell ref="G1103:H1103"/>
    <mergeCell ref="G1104:H1104"/>
    <mergeCell ref="C1101:D1101"/>
    <mergeCell ref="C1102:D1102"/>
    <mergeCell ref="G1102:H1102"/>
    <mergeCell ref="K1102:L1102"/>
    <mergeCell ref="C1103:D1103"/>
    <mergeCell ref="K1103:L1103"/>
    <mergeCell ref="K1104:L1104"/>
    <mergeCell ref="G1106:H1106"/>
    <mergeCell ref="G1107:H1107"/>
    <mergeCell ref="C1104:D1104"/>
    <mergeCell ref="C1105:D1105"/>
    <mergeCell ref="G1105:H1105"/>
    <mergeCell ref="K1105:L1105"/>
    <mergeCell ref="C1106:D1106"/>
    <mergeCell ref="K1106:L1106"/>
    <mergeCell ref="K1107:L1107"/>
    <mergeCell ref="G1085:H1085"/>
    <mergeCell ref="G1086:H1086"/>
    <mergeCell ref="C1083:D1083"/>
    <mergeCell ref="C1084:D1084"/>
    <mergeCell ref="G1084:H1084"/>
    <mergeCell ref="K1084:L1084"/>
    <mergeCell ref="C1085:D1085"/>
    <mergeCell ref="K1085:L1085"/>
    <mergeCell ref="K1086:L1086"/>
    <mergeCell ref="G1088:H1088"/>
    <mergeCell ref="G1089:H1089"/>
    <mergeCell ref="C1086:D1086"/>
    <mergeCell ref="C1087:D1087"/>
    <mergeCell ref="G1087:H1087"/>
    <mergeCell ref="K1087:L1087"/>
    <mergeCell ref="C1088:D1088"/>
    <mergeCell ref="K1088:L1088"/>
    <mergeCell ref="K1089:L1089"/>
    <mergeCell ref="G1091:H1091"/>
    <mergeCell ref="G1092:H1092"/>
    <mergeCell ref="C1089:D1089"/>
    <mergeCell ref="C1090:D1090"/>
    <mergeCell ref="G1090:H1090"/>
    <mergeCell ref="K1090:L1090"/>
    <mergeCell ref="C1091:D1091"/>
    <mergeCell ref="K1091:L1091"/>
    <mergeCell ref="K1092:L1092"/>
    <mergeCell ref="G1094:H1094"/>
    <mergeCell ref="G1095:H1095"/>
    <mergeCell ref="C1092:D1092"/>
    <mergeCell ref="C1093:D1093"/>
    <mergeCell ref="G1093:H1093"/>
    <mergeCell ref="K1093:L1093"/>
    <mergeCell ref="C1094:D1094"/>
    <mergeCell ref="K1094:L1094"/>
    <mergeCell ref="K1095:L1095"/>
    <mergeCell ref="G1073:H1073"/>
    <mergeCell ref="G1074:H1074"/>
    <mergeCell ref="C1071:D1071"/>
    <mergeCell ref="C1072:D1072"/>
    <mergeCell ref="G1072:H1072"/>
    <mergeCell ref="K1072:L1072"/>
    <mergeCell ref="C1073:D1073"/>
    <mergeCell ref="K1073:L1073"/>
    <mergeCell ref="K1074:L1074"/>
    <mergeCell ref="G1076:H1076"/>
    <mergeCell ref="G1077:H1077"/>
    <mergeCell ref="C1074:D1074"/>
    <mergeCell ref="C1075:D1075"/>
    <mergeCell ref="G1075:H1075"/>
    <mergeCell ref="K1075:L1075"/>
    <mergeCell ref="C1076:D1076"/>
    <mergeCell ref="K1076:L1076"/>
    <mergeCell ref="K1077:L1077"/>
    <mergeCell ref="G1079:H1079"/>
    <mergeCell ref="G1080:H1080"/>
    <mergeCell ref="C1077:D1077"/>
    <mergeCell ref="C1078:D1078"/>
    <mergeCell ref="G1078:H1078"/>
    <mergeCell ref="K1078:L1078"/>
    <mergeCell ref="C1079:D1079"/>
    <mergeCell ref="K1079:L1079"/>
    <mergeCell ref="K1080:L1080"/>
    <mergeCell ref="G1082:H1082"/>
    <mergeCell ref="G1083:H1083"/>
    <mergeCell ref="C1080:D1080"/>
    <mergeCell ref="C1081:D1081"/>
    <mergeCell ref="G1081:H1081"/>
    <mergeCell ref="K1081:L1081"/>
    <mergeCell ref="C1082:D1082"/>
    <mergeCell ref="K1082:L1082"/>
    <mergeCell ref="K1083:L1083"/>
    <mergeCell ref="G1061:H1061"/>
    <mergeCell ref="G1062:H1062"/>
    <mergeCell ref="C1059:D1059"/>
    <mergeCell ref="C1060:D1060"/>
    <mergeCell ref="G1060:H1060"/>
    <mergeCell ref="K1060:L1060"/>
    <mergeCell ref="C1061:D1061"/>
    <mergeCell ref="K1061:L1061"/>
    <mergeCell ref="K1062:L1062"/>
    <mergeCell ref="G1064:H1064"/>
    <mergeCell ref="G1065:H1065"/>
    <mergeCell ref="C1062:D1062"/>
    <mergeCell ref="C1063:D1063"/>
    <mergeCell ref="G1063:H1063"/>
    <mergeCell ref="K1063:L1063"/>
    <mergeCell ref="C1064:D1064"/>
    <mergeCell ref="K1064:L1064"/>
    <mergeCell ref="K1065:L1065"/>
    <mergeCell ref="G1067:H1067"/>
    <mergeCell ref="G1068:H1068"/>
    <mergeCell ref="C1065:D1065"/>
    <mergeCell ref="C1066:D1066"/>
    <mergeCell ref="G1066:H1066"/>
    <mergeCell ref="K1066:L1066"/>
    <mergeCell ref="C1067:D1067"/>
    <mergeCell ref="K1067:L1067"/>
    <mergeCell ref="K1068:L1068"/>
    <mergeCell ref="G1070:H1070"/>
    <mergeCell ref="G1071:H1071"/>
    <mergeCell ref="C1068:D1068"/>
    <mergeCell ref="C1069:D1069"/>
    <mergeCell ref="G1069:H1069"/>
    <mergeCell ref="K1069:L1069"/>
    <mergeCell ref="C1070:D1070"/>
    <mergeCell ref="K1070:L1070"/>
    <mergeCell ref="K1071:L1071"/>
    <mergeCell ref="G1049:H1049"/>
    <mergeCell ref="G1050:H1050"/>
    <mergeCell ref="C1047:D1047"/>
    <mergeCell ref="C1048:D1048"/>
    <mergeCell ref="G1048:H1048"/>
    <mergeCell ref="K1048:L1048"/>
    <mergeCell ref="C1049:D1049"/>
    <mergeCell ref="K1049:L1049"/>
    <mergeCell ref="K1050:L1050"/>
    <mergeCell ref="G1052:H1052"/>
    <mergeCell ref="G1053:H1053"/>
    <mergeCell ref="C1050:D1050"/>
    <mergeCell ref="C1051:D1051"/>
    <mergeCell ref="G1051:H1051"/>
    <mergeCell ref="K1051:L1051"/>
    <mergeCell ref="C1052:D1052"/>
    <mergeCell ref="K1052:L1052"/>
    <mergeCell ref="K1053:L1053"/>
    <mergeCell ref="G1055:H1055"/>
    <mergeCell ref="G1056:H1056"/>
    <mergeCell ref="C1053:D1053"/>
    <mergeCell ref="C1054:D1054"/>
    <mergeCell ref="G1054:H1054"/>
    <mergeCell ref="K1054:L1054"/>
    <mergeCell ref="C1055:D1055"/>
    <mergeCell ref="K1055:L1055"/>
    <mergeCell ref="K1056:L1056"/>
    <mergeCell ref="G1058:H1058"/>
    <mergeCell ref="G1059:H1059"/>
    <mergeCell ref="C1056:D1056"/>
    <mergeCell ref="C1057:D1057"/>
    <mergeCell ref="G1057:H1057"/>
    <mergeCell ref="K1057:L1057"/>
    <mergeCell ref="C1058:D1058"/>
    <mergeCell ref="K1058:L1058"/>
    <mergeCell ref="K1059:L1059"/>
    <mergeCell ref="G1037:H1037"/>
    <mergeCell ref="G1038:H1038"/>
    <mergeCell ref="C1035:D1035"/>
    <mergeCell ref="C1036:D1036"/>
    <mergeCell ref="G1036:H1036"/>
    <mergeCell ref="K1036:L1036"/>
    <mergeCell ref="C1037:D1037"/>
    <mergeCell ref="K1037:L1037"/>
    <mergeCell ref="K1038:L1038"/>
    <mergeCell ref="G1040:H1040"/>
    <mergeCell ref="G1041:H1041"/>
    <mergeCell ref="C1038:D1038"/>
    <mergeCell ref="C1039:D1039"/>
    <mergeCell ref="G1039:H1039"/>
    <mergeCell ref="K1039:L1039"/>
    <mergeCell ref="C1040:D1040"/>
    <mergeCell ref="K1040:L1040"/>
    <mergeCell ref="K1041:L1041"/>
    <mergeCell ref="G1043:H1043"/>
    <mergeCell ref="G1044:H1044"/>
    <mergeCell ref="C1041:D1041"/>
    <mergeCell ref="C1042:D1042"/>
    <mergeCell ref="G1042:H1042"/>
    <mergeCell ref="K1042:L1042"/>
    <mergeCell ref="C1043:D1043"/>
    <mergeCell ref="K1043:L1043"/>
    <mergeCell ref="K1044:L1044"/>
    <mergeCell ref="G1046:H1046"/>
    <mergeCell ref="G1047:H1047"/>
    <mergeCell ref="C1044:D1044"/>
    <mergeCell ref="C1045:D1045"/>
    <mergeCell ref="G1045:H1045"/>
    <mergeCell ref="K1045:L1045"/>
    <mergeCell ref="C1046:D1046"/>
    <mergeCell ref="K1046:L1046"/>
    <mergeCell ref="K1047:L1047"/>
    <mergeCell ref="G1025:H1025"/>
    <mergeCell ref="G1026:H1026"/>
    <mergeCell ref="C1023:D1023"/>
    <mergeCell ref="C1024:D1024"/>
    <mergeCell ref="G1024:H1024"/>
    <mergeCell ref="K1024:L1024"/>
    <mergeCell ref="C1025:D1025"/>
    <mergeCell ref="K1025:L1025"/>
    <mergeCell ref="K1026:L1026"/>
    <mergeCell ref="G1028:H1028"/>
    <mergeCell ref="G1029:H1029"/>
    <mergeCell ref="C1026:D1026"/>
    <mergeCell ref="C1027:D1027"/>
    <mergeCell ref="G1027:H1027"/>
    <mergeCell ref="K1027:L1027"/>
    <mergeCell ref="C1028:D1028"/>
    <mergeCell ref="K1028:L1028"/>
    <mergeCell ref="K1029:L1029"/>
    <mergeCell ref="G1031:H1031"/>
    <mergeCell ref="G1032:H1032"/>
    <mergeCell ref="C1029:D1029"/>
    <mergeCell ref="C1030:D1030"/>
    <mergeCell ref="G1030:H1030"/>
    <mergeCell ref="K1030:L1030"/>
    <mergeCell ref="C1031:D1031"/>
    <mergeCell ref="K1031:L1031"/>
    <mergeCell ref="K1032:L1032"/>
    <mergeCell ref="G1034:H1034"/>
    <mergeCell ref="G1035:H1035"/>
    <mergeCell ref="C1032:D1032"/>
    <mergeCell ref="C1033:D1033"/>
    <mergeCell ref="G1033:H1033"/>
    <mergeCell ref="K1033:L1033"/>
    <mergeCell ref="C1034:D1034"/>
    <mergeCell ref="K1034:L1034"/>
    <mergeCell ref="K1035:L1035"/>
    <mergeCell ref="G1013:H1013"/>
    <mergeCell ref="G1014:H1014"/>
    <mergeCell ref="C1011:D1011"/>
    <mergeCell ref="C1012:D1012"/>
    <mergeCell ref="G1012:H1012"/>
    <mergeCell ref="K1012:L1012"/>
    <mergeCell ref="C1013:D1013"/>
    <mergeCell ref="K1013:L1013"/>
    <mergeCell ref="K1014:L1014"/>
    <mergeCell ref="G1016:H1016"/>
    <mergeCell ref="G1017:H1017"/>
    <mergeCell ref="C1014:D1014"/>
    <mergeCell ref="C1015:D1015"/>
    <mergeCell ref="G1015:H1015"/>
    <mergeCell ref="K1015:L1015"/>
    <mergeCell ref="C1016:D1016"/>
    <mergeCell ref="K1016:L1016"/>
    <mergeCell ref="K1017:L1017"/>
    <mergeCell ref="G1019:H1019"/>
    <mergeCell ref="G1020:H1020"/>
    <mergeCell ref="C1017:D1017"/>
    <mergeCell ref="C1018:D1018"/>
    <mergeCell ref="G1018:H1018"/>
    <mergeCell ref="K1018:L1018"/>
    <mergeCell ref="C1019:D1019"/>
    <mergeCell ref="K1019:L1019"/>
    <mergeCell ref="K1020:L1020"/>
    <mergeCell ref="G1022:H1022"/>
    <mergeCell ref="G1023:H1023"/>
    <mergeCell ref="C1020:D1020"/>
    <mergeCell ref="C1021:D1021"/>
    <mergeCell ref="G1021:H1021"/>
    <mergeCell ref="K1021:L1021"/>
    <mergeCell ref="C1022:D1022"/>
    <mergeCell ref="K1022:L1022"/>
    <mergeCell ref="K1023:L1023"/>
    <mergeCell ref="G1001:H1001"/>
    <mergeCell ref="G1002:H1002"/>
    <mergeCell ref="C999:D999"/>
    <mergeCell ref="C1000:D1000"/>
    <mergeCell ref="G1000:H1000"/>
    <mergeCell ref="K1000:L1000"/>
    <mergeCell ref="C1001:D1001"/>
    <mergeCell ref="K1001:L1001"/>
    <mergeCell ref="K1002:L1002"/>
    <mergeCell ref="G1004:H1004"/>
    <mergeCell ref="G1005:H1005"/>
    <mergeCell ref="C1002:D1002"/>
    <mergeCell ref="C1003:D1003"/>
    <mergeCell ref="G1003:H1003"/>
    <mergeCell ref="K1003:L1003"/>
    <mergeCell ref="C1004:D1004"/>
    <mergeCell ref="K1004:L1004"/>
    <mergeCell ref="K1005:L1005"/>
    <mergeCell ref="G1007:H1007"/>
    <mergeCell ref="G1008:H1008"/>
    <mergeCell ref="C1005:D1005"/>
    <mergeCell ref="C1006:D1006"/>
    <mergeCell ref="G1006:H1006"/>
    <mergeCell ref="K1006:L1006"/>
    <mergeCell ref="C1007:D1007"/>
    <mergeCell ref="K1007:L1007"/>
    <mergeCell ref="K1008:L1008"/>
    <mergeCell ref="G1010:H1010"/>
    <mergeCell ref="G1011:H1011"/>
    <mergeCell ref="C1008:D1008"/>
    <mergeCell ref="C1009:D1009"/>
    <mergeCell ref="G1009:H1009"/>
    <mergeCell ref="K1009:L1009"/>
    <mergeCell ref="C1010:D1010"/>
    <mergeCell ref="K1010:L1010"/>
    <mergeCell ref="K1011:L1011"/>
    <mergeCell ref="G989:H989"/>
    <mergeCell ref="G990:H990"/>
    <mergeCell ref="C987:D987"/>
    <mergeCell ref="C988:D988"/>
    <mergeCell ref="G988:H988"/>
    <mergeCell ref="K988:L988"/>
    <mergeCell ref="C989:D989"/>
    <mergeCell ref="K989:L989"/>
    <mergeCell ref="K990:L990"/>
    <mergeCell ref="G992:H992"/>
    <mergeCell ref="G993:H993"/>
    <mergeCell ref="C990:D990"/>
    <mergeCell ref="C991:D991"/>
    <mergeCell ref="G991:H991"/>
    <mergeCell ref="K991:L991"/>
    <mergeCell ref="C992:D992"/>
    <mergeCell ref="K992:L992"/>
    <mergeCell ref="K993:L993"/>
    <mergeCell ref="G995:H995"/>
    <mergeCell ref="G996:H996"/>
    <mergeCell ref="C993:D993"/>
    <mergeCell ref="C994:D994"/>
    <mergeCell ref="G994:H994"/>
    <mergeCell ref="K994:L994"/>
    <mergeCell ref="C995:D995"/>
    <mergeCell ref="K995:L995"/>
    <mergeCell ref="K996:L996"/>
    <mergeCell ref="G998:H998"/>
    <mergeCell ref="G999:H999"/>
    <mergeCell ref="C996:D996"/>
    <mergeCell ref="C997:D997"/>
    <mergeCell ref="G997:H997"/>
    <mergeCell ref="K997:L997"/>
    <mergeCell ref="C998:D998"/>
    <mergeCell ref="K998:L998"/>
    <mergeCell ref="K999:L999"/>
    <mergeCell ref="G977:H977"/>
    <mergeCell ref="G978:H978"/>
    <mergeCell ref="C975:D975"/>
    <mergeCell ref="C976:D976"/>
    <mergeCell ref="G976:H976"/>
    <mergeCell ref="K976:L976"/>
    <mergeCell ref="C977:D977"/>
    <mergeCell ref="K977:L977"/>
    <mergeCell ref="K978:L978"/>
    <mergeCell ref="G980:H980"/>
    <mergeCell ref="G981:H981"/>
    <mergeCell ref="C978:D978"/>
    <mergeCell ref="C979:D979"/>
    <mergeCell ref="G979:H979"/>
    <mergeCell ref="K979:L979"/>
    <mergeCell ref="C980:D980"/>
    <mergeCell ref="K980:L980"/>
    <mergeCell ref="K981:L981"/>
    <mergeCell ref="G983:H983"/>
    <mergeCell ref="G984:H984"/>
    <mergeCell ref="C981:D981"/>
    <mergeCell ref="C982:D982"/>
    <mergeCell ref="G982:H982"/>
    <mergeCell ref="K982:L982"/>
    <mergeCell ref="C983:D983"/>
    <mergeCell ref="K983:L983"/>
    <mergeCell ref="K984:L984"/>
    <mergeCell ref="G986:H986"/>
    <mergeCell ref="G987:H987"/>
    <mergeCell ref="C984:D984"/>
    <mergeCell ref="C985:D985"/>
    <mergeCell ref="G985:H985"/>
    <mergeCell ref="K985:L985"/>
    <mergeCell ref="C986:D986"/>
    <mergeCell ref="K986:L986"/>
    <mergeCell ref="K987:L987"/>
    <mergeCell ref="G965:H965"/>
    <mergeCell ref="G966:H966"/>
    <mergeCell ref="C963:D963"/>
    <mergeCell ref="C964:D964"/>
    <mergeCell ref="G964:H964"/>
    <mergeCell ref="K964:L964"/>
    <mergeCell ref="C965:D965"/>
    <mergeCell ref="K965:L965"/>
    <mergeCell ref="K966:L966"/>
    <mergeCell ref="G968:H968"/>
    <mergeCell ref="G969:H969"/>
    <mergeCell ref="C966:D966"/>
    <mergeCell ref="C967:D967"/>
    <mergeCell ref="G967:H967"/>
    <mergeCell ref="K967:L967"/>
    <mergeCell ref="C968:D968"/>
    <mergeCell ref="K968:L968"/>
    <mergeCell ref="K969:L969"/>
    <mergeCell ref="G971:H971"/>
    <mergeCell ref="G972:H972"/>
    <mergeCell ref="C969:D969"/>
    <mergeCell ref="C970:D970"/>
    <mergeCell ref="G970:H970"/>
    <mergeCell ref="K970:L970"/>
    <mergeCell ref="C971:D971"/>
    <mergeCell ref="K971:L971"/>
    <mergeCell ref="K972:L972"/>
    <mergeCell ref="G974:H974"/>
    <mergeCell ref="G975:H975"/>
    <mergeCell ref="C972:D972"/>
    <mergeCell ref="C973:D973"/>
    <mergeCell ref="G973:H973"/>
    <mergeCell ref="K973:L973"/>
    <mergeCell ref="C974:D974"/>
    <mergeCell ref="K974:L974"/>
    <mergeCell ref="K975:L975"/>
    <mergeCell ref="G953:H953"/>
    <mergeCell ref="G954:H954"/>
    <mergeCell ref="C951:D951"/>
    <mergeCell ref="C952:D952"/>
    <mergeCell ref="G952:H952"/>
    <mergeCell ref="K952:L952"/>
    <mergeCell ref="C953:D953"/>
    <mergeCell ref="K953:L953"/>
    <mergeCell ref="K954:L954"/>
    <mergeCell ref="G956:H956"/>
    <mergeCell ref="G957:H957"/>
    <mergeCell ref="C954:D954"/>
    <mergeCell ref="C955:D955"/>
    <mergeCell ref="G955:H955"/>
    <mergeCell ref="K955:L955"/>
    <mergeCell ref="C956:D956"/>
    <mergeCell ref="K956:L956"/>
    <mergeCell ref="K957:L957"/>
    <mergeCell ref="G959:H959"/>
    <mergeCell ref="G960:H960"/>
    <mergeCell ref="C957:D957"/>
    <mergeCell ref="C958:D958"/>
    <mergeCell ref="G958:H958"/>
    <mergeCell ref="K958:L958"/>
    <mergeCell ref="C959:D959"/>
    <mergeCell ref="K959:L959"/>
    <mergeCell ref="K960:L960"/>
    <mergeCell ref="G962:H962"/>
    <mergeCell ref="G963:H963"/>
    <mergeCell ref="C960:D960"/>
    <mergeCell ref="C961:D961"/>
    <mergeCell ref="G961:H961"/>
    <mergeCell ref="K961:L961"/>
    <mergeCell ref="C962:D962"/>
    <mergeCell ref="K962:L962"/>
    <mergeCell ref="K963:L963"/>
    <mergeCell ref="G941:H941"/>
    <mergeCell ref="G942:H942"/>
    <mergeCell ref="C939:D939"/>
    <mergeCell ref="C940:D940"/>
    <mergeCell ref="G940:H940"/>
    <mergeCell ref="K940:L940"/>
    <mergeCell ref="C941:D941"/>
    <mergeCell ref="K941:L941"/>
    <mergeCell ref="K942:L942"/>
    <mergeCell ref="G944:H944"/>
    <mergeCell ref="G945:H945"/>
    <mergeCell ref="C942:D942"/>
    <mergeCell ref="C943:D943"/>
    <mergeCell ref="G943:H943"/>
    <mergeCell ref="K943:L943"/>
    <mergeCell ref="C944:D944"/>
    <mergeCell ref="K944:L944"/>
    <mergeCell ref="K945:L945"/>
    <mergeCell ref="G947:H947"/>
    <mergeCell ref="G948:H948"/>
    <mergeCell ref="C945:D945"/>
    <mergeCell ref="C946:D946"/>
    <mergeCell ref="G946:H946"/>
    <mergeCell ref="K946:L946"/>
    <mergeCell ref="C947:D947"/>
    <mergeCell ref="K947:L947"/>
    <mergeCell ref="K948:L948"/>
    <mergeCell ref="G950:H950"/>
    <mergeCell ref="G951:H951"/>
    <mergeCell ref="C948:D948"/>
    <mergeCell ref="C949:D949"/>
    <mergeCell ref="G949:H949"/>
    <mergeCell ref="K949:L949"/>
    <mergeCell ref="C950:D950"/>
    <mergeCell ref="K950:L950"/>
    <mergeCell ref="K951:L951"/>
    <mergeCell ref="G929:H929"/>
    <mergeCell ref="G930:H930"/>
    <mergeCell ref="C927:D927"/>
    <mergeCell ref="C928:D928"/>
    <mergeCell ref="G928:H928"/>
    <mergeCell ref="K928:L928"/>
    <mergeCell ref="C929:D929"/>
    <mergeCell ref="K929:L929"/>
    <mergeCell ref="K930:L930"/>
    <mergeCell ref="G932:H932"/>
    <mergeCell ref="G933:H933"/>
    <mergeCell ref="C930:D930"/>
    <mergeCell ref="C931:D931"/>
    <mergeCell ref="G931:H931"/>
    <mergeCell ref="K931:L931"/>
    <mergeCell ref="C932:D932"/>
    <mergeCell ref="K932:L932"/>
    <mergeCell ref="K933:L933"/>
    <mergeCell ref="G935:H935"/>
    <mergeCell ref="G936:H936"/>
    <mergeCell ref="C933:D933"/>
    <mergeCell ref="C934:D934"/>
    <mergeCell ref="G934:H934"/>
    <mergeCell ref="K934:L934"/>
    <mergeCell ref="C935:D935"/>
    <mergeCell ref="K935:L935"/>
    <mergeCell ref="K936:L936"/>
    <mergeCell ref="G938:H938"/>
    <mergeCell ref="G939:H939"/>
    <mergeCell ref="C936:D936"/>
    <mergeCell ref="C937:D937"/>
    <mergeCell ref="G937:H937"/>
    <mergeCell ref="K937:L937"/>
    <mergeCell ref="C938:D938"/>
    <mergeCell ref="K938:L938"/>
    <mergeCell ref="K939:L939"/>
    <mergeCell ref="G917:H917"/>
    <mergeCell ref="G918:H918"/>
    <mergeCell ref="C915:D915"/>
    <mergeCell ref="C916:D916"/>
    <mergeCell ref="G916:H916"/>
    <mergeCell ref="K916:L916"/>
    <mergeCell ref="C917:D917"/>
    <mergeCell ref="K917:L917"/>
    <mergeCell ref="K918:L918"/>
    <mergeCell ref="G920:H920"/>
    <mergeCell ref="G921:H921"/>
    <mergeCell ref="C918:D918"/>
    <mergeCell ref="C919:D919"/>
    <mergeCell ref="G919:H919"/>
    <mergeCell ref="K919:L919"/>
    <mergeCell ref="C920:D920"/>
    <mergeCell ref="K920:L920"/>
    <mergeCell ref="K921:L921"/>
    <mergeCell ref="G923:H923"/>
    <mergeCell ref="G924:H924"/>
    <mergeCell ref="C921:D921"/>
    <mergeCell ref="C922:D922"/>
    <mergeCell ref="G922:H922"/>
    <mergeCell ref="K922:L922"/>
    <mergeCell ref="C923:D923"/>
    <mergeCell ref="K923:L923"/>
    <mergeCell ref="K924:L924"/>
    <mergeCell ref="G926:H926"/>
    <mergeCell ref="G927:H927"/>
    <mergeCell ref="C924:D924"/>
    <mergeCell ref="C925:D925"/>
    <mergeCell ref="G925:H925"/>
    <mergeCell ref="K925:L925"/>
    <mergeCell ref="C926:D926"/>
    <mergeCell ref="K926:L926"/>
    <mergeCell ref="K927:L927"/>
    <mergeCell ref="G905:H905"/>
    <mergeCell ref="G906:H906"/>
    <mergeCell ref="C903:D903"/>
    <mergeCell ref="C904:D904"/>
    <mergeCell ref="G904:H904"/>
    <mergeCell ref="K904:L904"/>
    <mergeCell ref="C905:D905"/>
    <mergeCell ref="K905:L905"/>
    <mergeCell ref="K906:L906"/>
    <mergeCell ref="G908:H908"/>
    <mergeCell ref="G909:H909"/>
    <mergeCell ref="C906:D906"/>
    <mergeCell ref="C907:D907"/>
    <mergeCell ref="G907:H907"/>
    <mergeCell ref="K907:L907"/>
    <mergeCell ref="C908:D908"/>
    <mergeCell ref="K908:L908"/>
    <mergeCell ref="K909:L909"/>
    <mergeCell ref="G911:H911"/>
    <mergeCell ref="G912:H912"/>
    <mergeCell ref="C909:D909"/>
    <mergeCell ref="C910:D910"/>
    <mergeCell ref="G910:H910"/>
    <mergeCell ref="K910:L910"/>
    <mergeCell ref="C911:D911"/>
    <mergeCell ref="K911:L911"/>
    <mergeCell ref="K912:L912"/>
    <mergeCell ref="G914:H914"/>
    <mergeCell ref="G915:H915"/>
    <mergeCell ref="C912:D912"/>
    <mergeCell ref="C913:D913"/>
    <mergeCell ref="G913:H913"/>
    <mergeCell ref="K913:L913"/>
    <mergeCell ref="C914:D914"/>
    <mergeCell ref="K914:L914"/>
    <mergeCell ref="K915:L915"/>
    <mergeCell ref="G893:H893"/>
    <mergeCell ref="G894:H894"/>
    <mergeCell ref="C891:D891"/>
    <mergeCell ref="C892:D892"/>
    <mergeCell ref="G892:H892"/>
    <mergeCell ref="K892:L892"/>
    <mergeCell ref="C893:D893"/>
    <mergeCell ref="K893:L893"/>
    <mergeCell ref="K894:L894"/>
    <mergeCell ref="G896:H896"/>
    <mergeCell ref="G897:H897"/>
    <mergeCell ref="C894:D894"/>
    <mergeCell ref="C895:D895"/>
    <mergeCell ref="G895:H895"/>
    <mergeCell ref="K895:L895"/>
    <mergeCell ref="C896:D896"/>
    <mergeCell ref="K896:L896"/>
    <mergeCell ref="K897:L897"/>
    <mergeCell ref="G899:H899"/>
    <mergeCell ref="G900:H900"/>
    <mergeCell ref="C897:D897"/>
    <mergeCell ref="C898:D898"/>
    <mergeCell ref="G898:H898"/>
    <mergeCell ref="K898:L898"/>
    <mergeCell ref="C899:D899"/>
    <mergeCell ref="K899:L899"/>
    <mergeCell ref="K900:L900"/>
    <mergeCell ref="G902:H902"/>
    <mergeCell ref="G903:H903"/>
    <mergeCell ref="C900:D900"/>
    <mergeCell ref="C901:D901"/>
    <mergeCell ref="G901:H901"/>
    <mergeCell ref="K901:L901"/>
    <mergeCell ref="C902:D902"/>
    <mergeCell ref="K902:L902"/>
    <mergeCell ref="K903:L903"/>
    <mergeCell ref="G881:H881"/>
    <mergeCell ref="G882:H882"/>
    <mergeCell ref="C879:D879"/>
    <mergeCell ref="C880:D880"/>
    <mergeCell ref="G880:H880"/>
    <mergeCell ref="K880:L880"/>
    <mergeCell ref="C881:D881"/>
    <mergeCell ref="K881:L881"/>
    <mergeCell ref="K882:L882"/>
    <mergeCell ref="G884:H884"/>
    <mergeCell ref="G885:H885"/>
    <mergeCell ref="C882:D882"/>
    <mergeCell ref="C883:D883"/>
    <mergeCell ref="G883:H883"/>
    <mergeCell ref="K883:L883"/>
    <mergeCell ref="C884:D884"/>
    <mergeCell ref="K884:L884"/>
    <mergeCell ref="K885:L885"/>
    <mergeCell ref="G887:H887"/>
    <mergeCell ref="G888:H888"/>
    <mergeCell ref="C885:D885"/>
    <mergeCell ref="C886:D886"/>
    <mergeCell ref="G886:H886"/>
    <mergeCell ref="K886:L886"/>
    <mergeCell ref="C887:D887"/>
    <mergeCell ref="K887:L887"/>
    <mergeCell ref="K888:L888"/>
    <mergeCell ref="G890:H890"/>
    <mergeCell ref="G891:H891"/>
    <mergeCell ref="C888:D888"/>
    <mergeCell ref="C889:D889"/>
    <mergeCell ref="G889:H889"/>
    <mergeCell ref="K889:L889"/>
    <mergeCell ref="C890:D890"/>
    <mergeCell ref="K890:L890"/>
    <mergeCell ref="K891:L891"/>
    <mergeCell ref="G869:H869"/>
    <mergeCell ref="G870:H870"/>
    <mergeCell ref="C867:D867"/>
    <mergeCell ref="C868:D868"/>
    <mergeCell ref="G868:H868"/>
    <mergeCell ref="K868:L868"/>
    <mergeCell ref="C869:D869"/>
    <mergeCell ref="K869:L869"/>
    <mergeCell ref="K870:L870"/>
    <mergeCell ref="G872:H872"/>
    <mergeCell ref="G873:H873"/>
    <mergeCell ref="C870:D870"/>
    <mergeCell ref="C871:D871"/>
    <mergeCell ref="G871:H871"/>
    <mergeCell ref="K871:L871"/>
    <mergeCell ref="C872:D872"/>
    <mergeCell ref="K872:L872"/>
    <mergeCell ref="K873:L873"/>
    <mergeCell ref="G875:H875"/>
    <mergeCell ref="G876:H876"/>
    <mergeCell ref="C873:D873"/>
    <mergeCell ref="C874:D874"/>
    <mergeCell ref="G874:H874"/>
    <mergeCell ref="K874:L874"/>
    <mergeCell ref="C875:D875"/>
    <mergeCell ref="K875:L875"/>
    <mergeCell ref="K876:L876"/>
    <mergeCell ref="G878:H878"/>
    <mergeCell ref="G879:H879"/>
    <mergeCell ref="C876:D876"/>
    <mergeCell ref="C877:D877"/>
    <mergeCell ref="G877:H877"/>
    <mergeCell ref="K877:L877"/>
    <mergeCell ref="C878:D878"/>
    <mergeCell ref="K878:L878"/>
    <mergeCell ref="K879:L879"/>
    <mergeCell ref="G857:H857"/>
    <mergeCell ref="G858:H858"/>
    <mergeCell ref="C855:D855"/>
    <mergeCell ref="C856:D856"/>
    <mergeCell ref="G856:H856"/>
    <mergeCell ref="K856:L856"/>
    <mergeCell ref="C857:D857"/>
    <mergeCell ref="K857:L857"/>
    <mergeCell ref="K858:L858"/>
    <mergeCell ref="G860:H860"/>
    <mergeCell ref="G861:H861"/>
    <mergeCell ref="C858:D858"/>
    <mergeCell ref="C859:D859"/>
    <mergeCell ref="G859:H859"/>
    <mergeCell ref="K859:L859"/>
    <mergeCell ref="C860:D860"/>
    <mergeCell ref="K860:L860"/>
    <mergeCell ref="K861:L861"/>
    <mergeCell ref="G863:H863"/>
    <mergeCell ref="G864:H864"/>
    <mergeCell ref="C861:D861"/>
    <mergeCell ref="C862:D862"/>
    <mergeCell ref="G862:H862"/>
    <mergeCell ref="K862:L862"/>
    <mergeCell ref="C863:D863"/>
    <mergeCell ref="K863:L863"/>
    <mergeCell ref="K864:L864"/>
    <mergeCell ref="G866:H866"/>
    <mergeCell ref="G867:H867"/>
    <mergeCell ref="C864:D864"/>
    <mergeCell ref="C865:D865"/>
    <mergeCell ref="G865:H865"/>
    <mergeCell ref="K865:L865"/>
    <mergeCell ref="C866:D866"/>
    <mergeCell ref="K866:L866"/>
    <mergeCell ref="K867:L867"/>
    <mergeCell ref="G845:H845"/>
    <mergeCell ref="G846:H846"/>
    <mergeCell ref="C843:D843"/>
    <mergeCell ref="C844:D844"/>
    <mergeCell ref="G844:H844"/>
    <mergeCell ref="K844:L844"/>
    <mergeCell ref="C845:D845"/>
    <mergeCell ref="K845:L845"/>
    <mergeCell ref="K846:L846"/>
    <mergeCell ref="G848:H848"/>
    <mergeCell ref="G849:H849"/>
    <mergeCell ref="C846:D846"/>
    <mergeCell ref="C847:D847"/>
    <mergeCell ref="G847:H847"/>
    <mergeCell ref="K847:L847"/>
    <mergeCell ref="C848:D848"/>
    <mergeCell ref="K848:L848"/>
    <mergeCell ref="K849:L849"/>
    <mergeCell ref="G851:H851"/>
    <mergeCell ref="G852:H852"/>
    <mergeCell ref="C849:D849"/>
    <mergeCell ref="C850:D850"/>
    <mergeCell ref="G850:H850"/>
    <mergeCell ref="K850:L850"/>
    <mergeCell ref="C851:D851"/>
    <mergeCell ref="K851:L851"/>
    <mergeCell ref="K852:L852"/>
    <mergeCell ref="G854:H854"/>
    <mergeCell ref="G855:H855"/>
    <mergeCell ref="C852:D852"/>
    <mergeCell ref="C853:D853"/>
    <mergeCell ref="G853:H853"/>
    <mergeCell ref="K853:L853"/>
    <mergeCell ref="C854:D854"/>
    <mergeCell ref="K854:L854"/>
    <mergeCell ref="K855:L855"/>
    <mergeCell ref="G833:H833"/>
    <mergeCell ref="G834:H834"/>
    <mergeCell ref="C831:D831"/>
    <mergeCell ref="C832:D832"/>
    <mergeCell ref="G832:H832"/>
    <mergeCell ref="K832:L832"/>
    <mergeCell ref="C833:D833"/>
    <mergeCell ref="K833:L833"/>
    <mergeCell ref="K834:L834"/>
    <mergeCell ref="G836:H836"/>
    <mergeCell ref="G837:H837"/>
    <mergeCell ref="C834:D834"/>
    <mergeCell ref="C835:D835"/>
    <mergeCell ref="G835:H835"/>
    <mergeCell ref="K835:L835"/>
    <mergeCell ref="C836:D836"/>
    <mergeCell ref="K836:L836"/>
    <mergeCell ref="K837:L837"/>
    <mergeCell ref="G839:H839"/>
    <mergeCell ref="G840:H840"/>
    <mergeCell ref="C837:D837"/>
    <mergeCell ref="C838:D838"/>
    <mergeCell ref="G838:H838"/>
    <mergeCell ref="K838:L838"/>
    <mergeCell ref="C839:D839"/>
    <mergeCell ref="K839:L839"/>
    <mergeCell ref="K840:L840"/>
    <mergeCell ref="G842:H842"/>
    <mergeCell ref="G843:H843"/>
    <mergeCell ref="C840:D840"/>
    <mergeCell ref="C841:D841"/>
    <mergeCell ref="G841:H841"/>
    <mergeCell ref="K841:L841"/>
    <mergeCell ref="C842:D842"/>
    <mergeCell ref="K842:L842"/>
    <mergeCell ref="K843:L843"/>
    <mergeCell ref="G821:H821"/>
    <mergeCell ref="G822:H822"/>
    <mergeCell ref="C819:D819"/>
    <mergeCell ref="C820:D820"/>
    <mergeCell ref="G820:H820"/>
    <mergeCell ref="K820:L820"/>
    <mergeCell ref="C821:D821"/>
    <mergeCell ref="K821:L821"/>
    <mergeCell ref="K822:L822"/>
    <mergeCell ref="G824:H824"/>
    <mergeCell ref="G825:H825"/>
    <mergeCell ref="C822:D822"/>
    <mergeCell ref="C823:D823"/>
    <mergeCell ref="G823:H823"/>
    <mergeCell ref="K823:L823"/>
    <mergeCell ref="C824:D824"/>
    <mergeCell ref="K824:L824"/>
    <mergeCell ref="K825:L825"/>
    <mergeCell ref="G827:H827"/>
    <mergeCell ref="G828:H828"/>
    <mergeCell ref="C825:D825"/>
    <mergeCell ref="C826:D826"/>
    <mergeCell ref="G826:H826"/>
    <mergeCell ref="K826:L826"/>
    <mergeCell ref="C827:D827"/>
    <mergeCell ref="K827:L827"/>
    <mergeCell ref="K828:L828"/>
    <mergeCell ref="G830:H830"/>
    <mergeCell ref="G831:H831"/>
    <mergeCell ref="C828:D828"/>
    <mergeCell ref="C829:D829"/>
    <mergeCell ref="G829:H829"/>
    <mergeCell ref="K829:L829"/>
    <mergeCell ref="C830:D830"/>
    <mergeCell ref="K830:L830"/>
    <mergeCell ref="K831:L831"/>
    <mergeCell ref="G809:H809"/>
    <mergeCell ref="G810:H810"/>
    <mergeCell ref="C807:D807"/>
    <mergeCell ref="C808:D808"/>
    <mergeCell ref="G808:H808"/>
    <mergeCell ref="K808:L808"/>
    <mergeCell ref="C809:D809"/>
    <mergeCell ref="K809:L809"/>
    <mergeCell ref="K810:L810"/>
    <mergeCell ref="G812:H812"/>
    <mergeCell ref="G813:H813"/>
    <mergeCell ref="C810:D810"/>
    <mergeCell ref="C811:D811"/>
    <mergeCell ref="G811:H811"/>
    <mergeCell ref="K811:L811"/>
    <mergeCell ref="C812:D812"/>
    <mergeCell ref="K812:L812"/>
    <mergeCell ref="K813:L813"/>
    <mergeCell ref="G815:H815"/>
    <mergeCell ref="G816:H816"/>
    <mergeCell ref="C813:D813"/>
    <mergeCell ref="C814:D814"/>
    <mergeCell ref="G814:H814"/>
    <mergeCell ref="K814:L814"/>
    <mergeCell ref="C815:D815"/>
    <mergeCell ref="K815:L815"/>
    <mergeCell ref="K816:L816"/>
    <mergeCell ref="G818:H818"/>
    <mergeCell ref="G819:H819"/>
    <mergeCell ref="C816:D816"/>
    <mergeCell ref="C817:D817"/>
    <mergeCell ref="G817:H817"/>
    <mergeCell ref="K817:L817"/>
    <mergeCell ref="C818:D818"/>
    <mergeCell ref="K818:L818"/>
    <mergeCell ref="K819:L819"/>
    <mergeCell ref="C796:D796"/>
    <mergeCell ref="G796:H796"/>
    <mergeCell ref="K796:L796"/>
    <mergeCell ref="C797:D797"/>
    <mergeCell ref="K797:L797"/>
    <mergeCell ref="K798:L798"/>
    <mergeCell ref="G800:H800"/>
    <mergeCell ref="G801:H801"/>
    <mergeCell ref="C798:D798"/>
    <mergeCell ref="C799:D799"/>
    <mergeCell ref="G799:H799"/>
    <mergeCell ref="K799:L799"/>
    <mergeCell ref="C800:D800"/>
    <mergeCell ref="K800:L800"/>
    <mergeCell ref="K801:L801"/>
    <mergeCell ref="G803:H803"/>
    <mergeCell ref="G804:H804"/>
    <mergeCell ref="C801:D801"/>
    <mergeCell ref="C802:D802"/>
    <mergeCell ref="G802:H802"/>
    <mergeCell ref="K802:L802"/>
    <mergeCell ref="C803:D803"/>
    <mergeCell ref="K803:L803"/>
    <mergeCell ref="K804:L804"/>
    <mergeCell ref="G806:H806"/>
    <mergeCell ref="G807:H807"/>
    <mergeCell ref="C804:D804"/>
    <mergeCell ref="C805:D805"/>
    <mergeCell ref="G805:H805"/>
    <mergeCell ref="K805:L805"/>
    <mergeCell ref="C806:D806"/>
    <mergeCell ref="K806:L806"/>
    <mergeCell ref="K807:L807"/>
    <mergeCell ref="O2826:P2826"/>
    <mergeCell ref="O2827:P2827"/>
    <mergeCell ref="O2828:P2828"/>
    <mergeCell ref="O2829:P2829"/>
    <mergeCell ref="O2830:P2830"/>
    <mergeCell ref="O2831:P2831"/>
    <mergeCell ref="O2832:P2832"/>
    <mergeCell ref="O2833:P2833"/>
    <mergeCell ref="O2834:P2834"/>
    <mergeCell ref="O2835:P2835"/>
    <mergeCell ref="O2836:P2836"/>
    <mergeCell ref="O2837:P2837"/>
    <mergeCell ref="O2838:P2838"/>
    <mergeCell ref="O2839:P2839"/>
    <mergeCell ref="O2840:P2840"/>
    <mergeCell ref="O2841:P2841"/>
    <mergeCell ref="G782:H782"/>
    <mergeCell ref="G783:H783"/>
    <mergeCell ref="C780:D780"/>
    <mergeCell ref="C781:D781"/>
    <mergeCell ref="G781:H781"/>
    <mergeCell ref="K781:L781"/>
    <mergeCell ref="C782:D782"/>
    <mergeCell ref="K782:L782"/>
    <mergeCell ref="K783:L783"/>
    <mergeCell ref="G785:H785"/>
    <mergeCell ref="G786:H786"/>
    <mergeCell ref="C783:D783"/>
    <mergeCell ref="C784:D784"/>
    <mergeCell ref="G784:H784"/>
    <mergeCell ref="K784:L784"/>
    <mergeCell ref="C785:D785"/>
    <mergeCell ref="K785:L785"/>
    <mergeCell ref="K786:L786"/>
    <mergeCell ref="G788:H788"/>
    <mergeCell ref="G789:H789"/>
    <mergeCell ref="C786:D786"/>
    <mergeCell ref="C787:D787"/>
    <mergeCell ref="G787:H787"/>
    <mergeCell ref="K787:L787"/>
    <mergeCell ref="C788:D788"/>
    <mergeCell ref="K788:L788"/>
    <mergeCell ref="K789:L789"/>
    <mergeCell ref="G791:H791"/>
    <mergeCell ref="G792:H792"/>
    <mergeCell ref="C789:D789"/>
    <mergeCell ref="C790:D790"/>
    <mergeCell ref="G790:H790"/>
    <mergeCell ref="K790:L790"/>
    <mergeCell ref="C791:D791"/>
    <mergeCell ref="K791:L791"/>
    <mergeCell ref="K792:L792"/>
    <mergeCell ref="G794:H794"/>
    <mergeCell ref="G795:H795"/>
    <mergeCell ref="C792:D792"/>
    <mergeCell ref="C793:D793"/>
    <mergeCell ref="G793:H793"/>
    <mergeCell ref="K793:L793"/>
    <mergeCell ref="C794:D794"/>
    <mergeCell ref="K794:L794"/>
    <mergeCell ref="K795:L795"/>
    <mergeCell ref="G797:H797"/>
    <mergeCell ref="G798:H798"/>
    <mergeCell ref="C795:D795"/>
    <mergeCell ref="O2793:P2793"/>
    <mergeCell ref="O2794:P2794"/>
    <mergeCell ref="O2795:P2795"/>
    <mergeCell ref="O2796:P2796"/>
    <mergeCell ref="O2797:P2797"/>
    <mergeCell ref="O2798:P2798"/>
    <mergeCell ref="O2799:P2799"/>
    <mergeCell ref="O2800:P2800"/>
    <mergeCell ref="O2801:P2801"/>
    <mergeCell ref="O2802:P2802"/>
    <mergeCell ref="O2803:P2803"/>
    <mergeCell ref="O2804:P2804"/>
    <mergeCell ref="O2805:P2805"/>
    <mergeCell ref="O2806:P2806"/>
    <mergeCell ref="O2807:P2807"/>
    <mergeCell ref="O2808:P2808"/>
    <mergeCell ref="O2809:P2809"/>
    <mergeCell ref="O2810:P2810"/>
    <mergeCell ref="O2811:P2811"/>
    <mergeCell ref="O2812:P2812"/>
    <mergeCell ref="O2813:P2813"/>
    <mergeCell ref="O2814:P2814"/>
    <mergeCell ref="O2815:P2815"/>
    <mergeCell ref="O2816:P2816"/>
    <mergeCell ref="O2817:P2817"/>
    <mergeCell ref="O2818:P2818"/>
    <mergeCell ref="O2819:P2819"/>
    <mergeCell ref="O2820:P2820"/>
    <mergeCell ref="O2821:P2821"/>
    <mergeCell ref="O2822:P2822"/>
    <mergeCell ref="O2823:P2823"/>
    <mergeCell ref="O2824:P2824"/>
    <mergeCell ref="O2825:P2825"/>
    <mergeCell ref="O2760:P2760"/>
    <mergeCell ref="O2761:P2761"/>
    <mergeCell ref="O2762:P2762"/>
    <mergeCell ref="O2763:P2763"/>
    <mergeCell ref="O2764:P2764"/>
    <mergeCell ref="O2765:P2765"/>
    <mergeCell ref="O2766:P2766"/>
    <mergeCell ref="O2767:P2767"/>
    <mergeCell ref="O2768:P2768"/>
    <mergeCell ref="O2769:P2769"/>
    <mergeCell ref="O2770:P2770"/>
    <mergeCell ref="O2771:P2771"/>
    <mergeCell ref="O2772:P2772"/>
    <mergeCell ref="O2773:P2773"/>
    <mergeCell ref="O2774:P2774"/>
    <mergeCell ref="O2775:P2775"/>
    <mergeCell ref="O2776:P2776"/>
    <mergeCell ref="O2777:P2777"/>
    <mergeCell ref="O2778:P2778"/>
    <mergeCell ref="O2779:P2779"/>
    <mergeCell ref="O2780:P2780"/>
    <mergeCell ref="O2781:P2781"/>
    <mergeCell ref="O2782:P2782"/>
    <mergeCell ref="O2783:P2783"/>
    <mergeCell ref="O2784:P2784"/>
    <mergeCell ref="O2785:P2785"/>
    <mergeCell ref="O2786:P2786"/>
    <mergeCell ref="O2787:P2787"/>
    <mergeCell ref="O2788:P2788"/>
    <mergeCell ref="O2789:P2789"/>
    <mergeCell ref="O2790:P2790"/>
    <mergeCell ref="O2791:P2791"/>
    <mergeCell ref="O2792:P2792"/>
    <mergeCell ref="O2727:P2727"/>
    <mergeCell ref="O2728:P2728"/>
    <mergeCell ref="O2729:P2729"/>
    <mergeCell ref="O2730:P2730"/>
    <mergeCell ref="O2731:P2731"/>
    <mergeCell ref="O2732:P2732"/>
    <mergeCell ref="O2733:P2733"/>
    <mergeCell ref="O2734:P2734"/>
    <mergeCell ref="O2735:P2735"/>
    <mergeCell ref="O2736:P2736"/>
    <mergeCell ref="O2737:P2737"/>
    <mergeCell ref="O2738:P2738"/>
    <mergeCell ref="O2739:P2739"/>
    <mergeCell ref="O2740:P2740"/>
    <mergeCell ref="O2741:P2741"/>
    <mergeCell ref="O2742:P2742"/>
    <mergeCell ref="O2743:P2743"/>
    <mergeCell ref="O2744:P2744"/>
    <mergeCell ref="O2745:P2745"/>
    <mergeCell ref="O2746:P2746"/>
    <mergeCell ref="O2747:P2747"/>
    <mergeCell ref="O2748:P2748"/>
    <mergeCell ref="O2749:P2749"/>
    <mergeCell ref="O2750:P2750"/>
    <mergeCell ref="O2751:P2751"/>
    <mergeCell ref="O2752:P2752"/>
    <mergeCell ref="O2753:P2753"/>
    <mergeCell ref="O2754:P2754"/>
    <mergeCell ref="O2755:P2755"/>
    <mergeCell ref="O2756:P2756"/>
    <mergeCell ref="O2757:P2757"/>
    <mergeCell ref="O2758:P2758"/>
    <mergeCell ref="O2759:P2759"/>
    <mergeCell ref="O2694:P2694"/>
    <mergeCell ref="O2695:P2695"/>
    <mergeCell ref="O2696:P2696"/>
    <mergeCell ref="O2697:P2697"/>
    <mergeCell ref="O2698:P2698"/>
    <mergeCell ref="O2699:P2699"/>
    <mergeCell ref="O2700:P2700"/>
    <mergeCell ref="O2701:P2701"/>
    <mergeCell ref="O2702:P2702"/>
    <mergeCell ref="O2703:P2703"/>
    <mergeCell ref="O2704:P2704"/>
    <mergeCell ref="O2705:P2705"/>
    <mergeCell ref="O2706:P2706"/>
    <mergeCell ref="O2707:P2707"/>
    <mergeCell ref="O2708:P2708"/>
    <mergeCell ref="O2709:P2709"/>
    <mergeCell ref="O2710:P2710"/>
    <mergeCell ref="O2711:P2711"/>
    <mergeCell ref="O2712:P2712"/>
    <mergeCell ref="O2713:P2713"/>
    <mergeCell ref="O2714:P2714"/>
    <mergeCell ref="O2715:P2715"/>
    <mergeCell ref="O2716:P2716"/>
    <mergeCell ref="O2717:P2717"/>
    <mergeCell ref="O2718:P2718"/>
    <mergeCell ref="O2719:P2719"/>
    <mergeCell ref="O2720:P2720"/>
    <mergeCell ref="O2721:P2721"/>
    <mergeCell ref="O2722:P2722"/>
    <mergeCell ref="O2723:P2723"/>
    <mergeCell ref="O2724:P2724"/>
    <mergeCell ref="O2725:P2725"/>
    <mergeCell ref="O2726:P2726"/>
    <mergeCell ref="O2661:P2661"/>
    <mergeCell ref="O2662:P2662"/>
    <mergeCell ref="O2663:P2663"/>
    <mergeCell ref="O2664:P2664"/>
    <mergeCell ref="O2665:P2665"/>
    <mergeCell ref="O2666:P2666"/>
    <mergeCell ref="O2667:P2667"/>
    <mergeCell ref="O2668:P2668"/>
    <mergeCell ref="O2669:P2669"/>
    <mergeCell ref="O2670:P2670"/>
    <mergeCell ref="O2671:P2671"/>
    <mergeCell ref="O2672:P2672"/>
    <mergeCell ref="O2673:P2673"/>
    <mergeCell ref="O2674:P2674"/>
    <mergeCell ref="O2675:P2675"/>
    <mergeCell ref="O2676:P2676"/>
    <mergeCell ref="O2677:P2677"/>
    <mergeCell ref="O2678:P2678"/>
    <mergeCell ref="O2679:P2679"/>
    <mergeCell ref="O2680:P2680"/>
    <mergeCell ref="O2681:P2681"/>
    <mergeCell ref="O2682:P2682"/>
    <mergeCell ref="O2683:P2683"/>
    <mergeCell ref="O2684:P2684"/>
    <mergeCell ref="O2685:P2685"/>
    <mergeCell ref="O2686:P2686"/>
    <mergeCell ref="O2687:P2687"/>
    <mergeCell ref="O2688:P2688"/>
    <mergeCell ref="O2689:P2689"/>
    <mergeCell ref="O2690:P2690"/>
    <mergeCell ref="O2691:P2691"/>
    <mergeCell ref="O2692:P2692"/>
    <mergeCell ref="O2693:P2693"/>
    <mergeCell ref="O2628:P2628"/>
    <mergeCell ref="O2629:P2629"/>
    <mergeCell ref="O2630:P2630"/>
    <mergeCell ref="O2631:P2631"/>
    <mergeCell ref="O2632:P2632"/>
    <mergeCell ref="O2633:P2633"/>
    <mergeCell ref="O2634:P2634"/>
    <mergeCell ref="O2635:P2635"/>
    <mergeCell ref="O2636:P2636"/>
    <mergeCell ref="O2637:P2637"/>
    <mergeCell ref="O2638:P2638"/>
    <mergeCell ref="O2639:P2639"/>
    <mergeCell ref="O2640:P2640"/>
    <mergeCell ref="O2641:P2641"/>
    <mergeCell ref="O2642:P2642"/>
    <mergeCell ref="O2643:P2643"/>
    <mergeCell ref="O2644:P2644"/>
    <mergeCell ref="O2645:P2645"/>
    <mergeCell ref="O2646:P2646"/>
    <mergeCell ref="O2647:P2647"/>
    <mergeCell ref="O2648:P2648"/>
    <mergeCell ref="O2649:P2649"/>
    <mergeCell ref="O2650:P2650"/>
    <mergeCell ref="O2651:P2651"/>
    <mergeCell ref="O2652:P2652"/>
    <mergeCell ref="O2653:P2653"/>
    <mergeCell ref="O2654:P2654"/>
    <mergeCell ref="O2655:P2655"/>
    <mergeCell ref="O2656:P2656"/>
    <mergeCell ref="O2657:P2657"/>
    <mergeCell ref="O2658:P2658"/>
    <mergeCell ref="O2659:P2659"/>
    <mergeCell ref="O2660:P2660"/>
    <mergeCell ref="O2595:P2595"/>
    <mergeCell ref="O2596:P2596"/>
    <mergeCell ref="O2597:P2597"/>
    <mergeCell ref="O2598:P2598"/>
    <mergeCell ref="O2599:P2599"/>
    <mergeCell ref="O2600:P2600"/>
    <mergeCell ref="O2601:P2601"/>
    <mergeCell ref="O2602:P2602"/>
    <mergeCell ref="O2603:P2603"/>
    <mergeCell ref="O2604:P2604"/>
    <mergeCell ref="O2605:P2605"/>
    <mergeCell ref="O2606:P2606"/>
    <mergeCell ref="O2607:P2607"/>
    <mergeCell ref="O2608:P2608"/>
    <mergeCell ref="O2609:P2609"/>
    <mergeCell ref="O2610:P2610"/>
    <mergeCell ref="O2611:P2611"/>
    <mergeCell ref="O2612:P2612"/>
    <mergeCell ref="O2613:P2613"/>
    <mergeCell ref="O2614:P2614"/>
    <mergeCell ref="O2615:P2615"/>
    <mergeCell ref="O2616:P2616"/>
    <mergeCell ref="O2617:P2617"/>
    <mergeCell ref="O2618:P2618"/>
    <mergeCell ref="O2619:P2619"/>
    <mergeCell ref="O2620:P2620"/>
    <mergeCell ref="O2621:P2621"/>
    <mergeCell ref="O2622:P2622"/>
    <mergeCell ref="O2623:P2623"/>
    <mergeCell ref="O2624:P2624"/>
    <mergeCell ref="O2625:P2625"/>
    <mergeCell ref="O2626:P2626"/>
    <mergeCell ref="O2627:P2627"/>
    <mergeCell ref="O2562:P2562"/>
    <mergeCell ref="O2563:P2563"/>
    <mergeCell ref="O2564:P2564"/>
    <mergeCell ref="O2565:P2565"/>
    <mergeCell ref="O2566:P2566"/>
    <mergeCell ref="O2567:P2567"/>
    <mergeCell ref="O2568:P2568"/>
    <mergeCell ref="O2569:P2569"/>
    <mergeCell ref="O2570:P2570"/>
    <mergeCell ref="O2571:P2571"/>
    <mergeCell ref="O2572:P2572"/>
    <mergeCell ref="O2573:P2573"/>
    <mergeCell ref="O2574:P2574"/>
    <mergeCell ref="O2575:P2575"/>
    <mergeCell ref="O2576:P2576"/>
    <mergeCell ref="O2577:P2577"/>
    <mergeCell ref="O2578:P2578"/>
    <mergeCell ref="O2579:P2579"/>
    <mergeCell ref="O2580:P2580"/>
    <mergeCell ref="O2581:P2581"/>
    <mergeCell ref="O2582:P2582"/>
    <mergeCell ref="O2583:P2583"/>
    <mergeCell ref="O2584:P2584"/>
    <mergeCell ref="O2585:P2585"/>
    <mergeCell ref="O2586:P2586"/>
    <mergeCell ref="O2587:P2587"/>
    <mergeCell ref="O2588:P2588"/>
    <mergeCell ref="O2589:P2589"/>
    <mergeCell ref="O2590:P2590"/>
    <mergeCell ref="O2591:P2591"/>
    <mergeCell ref="O2592:P2592"/>
    <mergeCell ref="O2593:P2593"/>
    <mergeCell ref="O2594:P2594"/>
    <mergeCell ref="O2529:P2529"/>
    <mergeCell ref="O2530:P2530"/>
    <mergeCell ref="O2531:P2531"/>
    <mergeCell ref="O2532:P2532"/>
    <mergeCell ref="O2533:P2533"/>
    <mergeCell ref="O2534:P2534"/>
    <mergeCell ref="O2535:P2535"/>
    <mergeCell ref="O2536:P2536"/>
    <mergeCell ref="O2537:P2537"/>
    <mergeCell ref="O2538:P2538"/>
    <mergeCell ref="O2539:P2539"/>
    <mergeCell ref="O2540:P2540"/>
    <mergeCell ref="O2541:P2541"/>
    <mergeCell ref="O2542:P2542"/>
    <mergeCell ref="O2543:P2543"/>
    <mergeCell ref="O2544:P2544"/>
    <mergeCell ref="O2545:P2545"/>
    <mergeCell ref="O2546:P2546"/>
    <mergeCell ref="O2547:P2547"/>
    <mergeCell ref="O2548:P2548"/>
    <mergeCell ref="O2549:P2549"/>
    <mergeCell ref="O2550:P2550"/>
    <mergeCell ref="O2551:P2551"/>
    <mergeCell ref="O2552:P2552"/>
    <mergeCell ref="O2553:P2553"/>
    <mergeCell ref="O2554:P2554"/>
    <mergeCell ref="O2555:P2555"/>
    <mergeCell ref="O2556:P2556"/>
    <mergeCell ref="O2557:P2557"/>
    <mergeCell ref="O2558:P2558"/>
    <mergeCell ref="O2559:P2559"/>
    <mergeCell ref="O2560:P2560"/>
    <mergeCell ref="O2561:P2561"/>
    <mergeCell ref="O2496:P2496"/>
    <mergeCell ref="O2497:P2497"/>
    <mergeCell ref="O2498:P2498"/>
    <mergeCell ref="O2499:P2499"/>
    <mergeCell ref="O2500:P2500"/>
    <mergeCell ref="O2501:P2501"/>
    <mergeCell ref="O2502:P2502"/>
    <mergeCell ref="O2503:P2503"/>
    <mergeCell ref="O2504:P2504"/>
    <mergeCell ref="O2505:P2505"/>
    <mergeCell ref="O2506:P2506"/>
    <mergeCell ref="O2507:P2507"/>
    <mergeCell ref="O2508:P2508"/>
    <mergeCell ref="O2509:P2509"/>
    <mergeCell ref="O2510:P2510"/>
    <mergeCell ref="O2511:P2511"/>
    <mergeCell ref="O2512:P2512"/>
    <mergeCell ref="O2513:P2513"/>
    <mergeCell ref="O2514:P2514"/>
    <mergeCell ref="O2515:P2515"/>
    <mergeCell ref="O2516:P2516"/>
    <mergeCell ref="O2517:P2517"/>
    <mergeCell ref="O2518:P2518"/>
    <mergeCell ref="O2519:P2519"/>
    <mergeCell ref="O2520:P2520"/>
    <mergeCell ref="O2521:P2521"/>
    <mergeCell ref="O2522:P2522"/>
    <mergeCell ref="O2523:P2523"/>
    <mergeCell ref="O2524:P2524"/>
    <mergeCell ref="O2525:P2525"/>
    <mergeCell ref="O2526:P2526"/>
    <mergeCell ref="O2527:P2527"/>
    <mergeCell ref="O2528:P2528"/>
    <mergeCell ref="O2463:P2463"/>
    <mergeCell ref="O2464:P2464"/>
    <mergeCell ref="O2465:P2465"/>
    <mergeCell ref="O2466:P2466"/>
    <mergeCell ref="O2467:P2467"/>
    <mergeCell ref="O2468:P2468"/>
    <mergeCell ref="O2469:P2469"/>
    <mergeCell ref="O2470:P2470"/>
    <mergeCell ref="O2471:P2471"/>
    <mergeCell ref="O2472:P2472"/>
    <mergeCell ref="O2473:P2473"/>
    <mergeCell ref="O2474:P2474"/>
    <mergeCell ref="O2475:P2475"/>
    <mergeCell ref="O2476:P2476"/>
    <mergeCell ref="O2477:P2477"/>
    <mergeCell ref="O2478:P2478"/>
    <mergeCell ref="O2479:P2479"/>
    <mergeCell ref="O2480:P2480"/>
    <mergeCell ref="O2481:P2481"/>
    <mergeCell ref="O2482:P2482"/>
    <mergeCell ref="O2483:P2483"/>
    <mergeCell ref="O2484:P2484"/>
    <mergeCell ref="O2485:P2485"/>
    <mergeCell ref="O2486:P2486"/>
    <mergeCell ref="O2487:P2487"/>
    <mergeCell ref="O2488:P2488"/>
    <mergeCell ref="O2489:P2489"/>
    <mergeCell ref="O2490:P2490"/>
    <mergeCell ref="O2491:P2491"/>
    <mergeCell ref="O2492:P2492"/>
    <mergeCell ref="O2493:P2493"/>
    <mergeCell ref="O2494:P2494"/>
    <mergeCell ref="O2495:P2495"/>
    <mergeCell ref="O2430:P2430"/>
    <mergeCell ref="O2431:P2431"/>
    <mergeCell ref="O2432:P2432"/>
    <mergeCell ref="O2433:P2433"/>
    <mergeCell ref="O2434:P2434"/>
    <mergeCell ref="O2435:P2435"/>
    <mergeCell ref="O2436:P2436"/>
    <mergeCell ref="O2437:P2437"/>
    <mergeCell ref="O2438:P2438"/>
    <mergeCell ref="O2439:P2439"/>
    <mergeCell ref="O2440:P2440"/>
    <mergeCell ref="O2441:P2441"/>
    <mergeCell ref="O2442:P2442"/>
    <mergeCell ref="O2443:P2443"/>
    <mergeCell ref="O2444:P2444"/>
    <mergeCell ref="O2445:P2445"/>
    <mergeCell ref="O2446:P2446"/>
    <mergeCell ref="O2447:P2447"/>
    <mergeCell ref="O2448:P2448"/>
    <mergeCell ref="O2449:P2449"/>
    <mergeCell ref="O2450:P2450"/>
    <mergeCell ref="O2451:P2451"/>
    <mergeCell ref="O2452:P2452"/>
    <mergeCell ref="O2453:P2453"/>
    <mergeCell ref="O2454:P2454"/>
    <mergeCell ref="O2455:P2455"/>
    <mergeCell ref="O2456:P2456"/>
    <mergeCell ref="O2457:P2457"/>
    <mergeCell ref="O2458:P2458"/>
    <mergeCell ref="O2459:P2459"/>
    <mergeCell ref="O2460:P2460"/>
    <mergeCell ref="O2461:P2461"/>
    <mergeCell ref="O2462:P2462"/>
    <mergeCell ref="O2397:P2397"/>
    <mergeCell ref="O2398:P2398"/>
    <mergeCell ref="O2399:P2399"/>
    <mergeCell ref="O2400:P2400"/>
    <mergeCell ref="O2401:P2401"/>
    <mergeCell ref="O2402:P2402"/>
    <mergeCell ref="O2403:P2403"/>
    <mergeCell ref="O2404:P2404"/>
    <mergeCell ref="O2405:P2405"/>
    <mergeCell ref="O2406:P2406"/>
    <mergeCell ref="O2407:P2407"/>
    <mergeCell ref="O2408:P2408"/>
    <mergeCell ref="O2409:P2409"/>
    <mergeCell ref="O2410:P2410"/>
    <mergeCell ref="O2411:P2411"/>
    <mergeCell ref="O2412:P2412"/>
    <mergeCell ref="O2413:P2413"/>
    <mergeCell ref="O2414:P2414"/>
    <mergeCell ref="O2415:P2415"/>
    <mergeCell ref="O2416:P2416"/>
    <mergeCell ref="O2417:P2417"/>
    <mergeCell ref="O2418:P2418"/>
    <mergeCell ref="O2419:P2419"/>
    <mergeCell ref="O2420:P2420"/>
    <mergeCell ref="O2421:P2421"/>
    <mergeCell ref="O2422:P2422"/>
    <mergeCell ref="O2423:P2423"/>
    <mergeCell ref="O2424:P2424"/>
    <mergeCell ref="O2425:P2425"/>
    <mergeCell ref="O2426:P2426"/>
    <mergeCell ref="O2427:P2427"/>
    <mergeCell ref="O2428:P2428"/>
    <mergeCell ref="O2429:P2429"/>
    <mergeCell ref="O2364:P2364"/>
    <mergeCell ref="O2365:P2365"/>
    <mergeCell ref="O2366:P2366"/>
    <mergeCell ref="O2367:P2367"/>
    <mergeCell ref="O2368:P2368"/>
    <mergeCell ref="O2369:P2369"/>
    <mergeCell ref="O2370:P2370"/>
    <mergeCell ref="O2371:P2371"/>
    <mergeCell ref="O2372:P2372"/>
    <mergeCell ref="O2373:P2373"/>
    <mergeCell ref="O2374:P2374"/>
    <mergeCell ref="O2375:P2375"/>
    <mergeCell ref="O2376:P2376"/>
    <mergeCell ref="O2377:P2377"/>
    <mergeCell ref="O2378:P2378"/>
    <mergeCell ref="O2379:P2379"/>
    <mergeCell ref="O2380:P2380"/>
    <mergeCell ref="O2381:P2381"/>
    <mergeCell ref="O2382:P2382"/>
    <mergeCell ref="O2383:P2383"/>
    <mergeCell ref="O2384:P2384"/>
    <mergeCell ref="O2385:P2385"/>
    <mergeCell ref="O2386:P2386"/>
    <mergeCell ref="O2387:P2387"/>
    <mergeCell ref="O2388:P2388"/>
    <mergeCell ref="O2389:P2389"/>
    <mergeCell ref="O2390:P2390"/>
    <mergeCell ref="O2391:P2391"/>
    <mergeCell ref="O2392:P2392"/>
    <mergeCell ref="O2393:P2393"/>
    <mergeCell ref="O2394:P2394"/>
    <mergeCell ref="O2395:P2395"/>
    <mergeCell ref="O2396:P2396"/>
    <mergeCell ref="O2331:P2331"/>
    <mergeCell ref="O2332:P2332"/>
    <mergeCell ref="O2333:P2333"/>
    <mergeCell ref="O2334:P2334"/>
    <mergeCell ref="O2335:P2335"/>
    <mergeCell ref="O2336:P2336"/>
    <mergeCell ref="O2337:P2337"/>
    <mergeCell ref="O2338:P2338"/>
    <mergeCell ref="O2339:P2339"/>
    <mergeCell ref="O2340:P2340"/>
    <mergeCell ref="O2341:P2341"/>
    <mergeCell ref="O2342:P2342"/>
    <mergeCell ref="O2343:P2343"/>
    <mergeCell ref="O2344:P2344"/>
    <mergeCell ref="O2345:P2345"/>
    <mergeCell ref="O2346:P2346"/>
    <mergeCell ref="O2347:P2347"/>
    <mergeCell ref="O2348:P2348"/>
    <mergeCell ref="O2349:P2349"/>
    <mergeCell ref="O2350:P2350"/>
    <mergeCell ref="O2351:P2351"/>
    <mergeCell ref="O2352:P2352"/>
    <mergeCell ref="O2353:P2353"/>
    <mergeCell ref="O2354:P2354"/>
    <mergeCell ref="O2355:P2355"/>
    <mergeCell ref="O2356:P2356"/>
    <mergeCell ref="O2357:P2357"/>
    <mergeCell ref="O2358:P2358"/>
    <mergeCell ref="O2359:P2359"/>
    <mergeCell ref="O2360:P2360"/>
    <mergeCell ref="O2361:P2361"/>
    <mergeCell ref="O2362:P2362"/>
    <mergeCell ref="O2363:P2363"/>
    <mergeCell ref="O2298:P2298"/>
    <mergeCell ref="O2299:P2299"/>
    <mergeCell ref="O2300:P2300"/>
    <mergeCell ref="O2301:P2301"/>
    <mergeCell ref="O2302:P2302"/>
    <mergeCell ref="O2303:P2303"/>
    <mergeCell ref="O2304:P2304"/>
    <mergeCell ref="O2305:P2305"/>
    <mergeCell ref="O2306:P2306"/>
    <mergeCell ref="O2307:P2307"/>
    <mergeCell ref="O2308:P2308"/>
    <mergeCell ref="O2309:P2309"/>
    <mergeCell ref="O2310:P2310"/>
    <mergeCell ref="O2311:P2311"/>
    <mergeCell ref="O2312:P2312"/>
    <mergeCell ref="O2313:P2313"/>
    <mergeCell ref="O2314:P2314"/>
    <mergeCell ref="O2315:P2315"/>
    <mergeCell ref="O2316:P2316"/>
    <mergeCell ref="O2317:P2317"/>
    <mergeCell ref="O2318:P2318"/>
    <mergeCell ref="O2319:P2319"/>
    <mergeCell ref="O2320:P2320"/>
    <mergeCell ref="O2321:P2321"/>
    <mergeCell ref="O2322:P2322"/>
    <mergeCell ref="O2323:P2323"/>
    <mergeCell ref="O2324:P2324"/>
    <mergeCell ref="O2325:P2325"/>
    <mergeCell ref="O2326:P2326"/>
    <mergeCell ref="O2327:P2327"/>
    <mergeCell ref="O2328:P2328"/>
    <mergeCell ref="O2329:P2329"/>
    <mergeCell ref="O2330:P2330"/>
    <mergeCell ref="O2265:P2265"/>
    <mergeCell ref="O2266:P2266"/>
    <mergeCell ref="O2267:P2267"/>
    <mergeCell ref="O2268:P2268"/>
    <mergeCell ref="O2269:P2269"/>
    <mergeCell ref="O2270:P2270"/>
    <mergeCell ref="O2271:P2271"/>
    <mergeCell ref="O2272:P2272"/>
    <mergeCell ref="O2273:P2273"/>
    <mergeCell ref="O2274:P2274"/>
    <mergeCell ref="O2275:P2275"/>
    <mergeCell ref="O2276:P2276"/>
    <mergeCell ref="O2277:P2277"/>
    <mergeCell ref="O2278:P2278"/>
    <mergeCell ref="O2279:P2279"/>
    <mergeCell ref="O2280:P2280"/>
    <mergeCell ref="O2281:P2281"/>
    <mergeCell ref="O2282:P2282"/>
    <mergeCell ref="O2283:P2283"/>
    <mergeCell ref="O2284:P2284"/>
    <mergeCell ref="O2285:P2285"/>
    <mergeCell ref="O2286:P2286"/>
    <mergeCell ref="O2287:P2287"/>
    <mergeCell ref="O2288:P2288"/>
    <mergeCell ref="O2289:P2289"/>
    <mergeCell ref="O2290:P2290"/>
    <mergeCell ref="O2291:P2291"/>
    <mergeCell ref="O2292:P2292"/>
    <mergeCell ref="O2293:P2293"/>
    <mergeCell ref="O2294:P2294"/>
    <mergeCell ref="O2295:P2295"/>
    <mergeCell ref="O2296:P2296"/>
    <mergeCell ref="O2297:P2297"/>
    <mergeCell ref="O2232:P2232"/>
    <mergeCell ref="O2233:P2233"/>
    <mergeCell ref="O2234:P2234"/>
    <mergeCell ref="O2235:P2235"/>
    <mergeCell ref="O2236:P2236"/>
    <mergeCell ref="O2237:P2237"/>
    <mergeCell ref="O2238:P2238"/>
    <mergeCell ref="O2239:P2239"/>
    <mergeCell ref="O2240:P2240"/>
    <mergeCell ref="O2241:P2241"/>
    <mergeCell ref="O2242:P2242"/>
    <mergeCell ref="O2243:P2243"/>
    <mergeCell ref="O2244:P2244"/>
    <mergeCell ref="O2245:P2245"/>
    <mergeCell ref="O2246:P2246"/>
    <mergeCell ref="O2247:P2247"/>
    <mergeCell ref="O2248:P2248"/>
    <mergeCell ref="O2249:P2249"/>
    <mergeCell ref="O2250:P2250"/>
    <mergeCell ref="O2251:P2251"/>
    <mergeCell ref="O2252:P2252"/>
    <mergeCell ref="O2253:P2253"/>
    <mergeCell ref="O2254:P2254"/>
    <mergeCell ref="O2255:P2255"/>
    <mergeCell ref="O2256:P2256"/>
    <mergeCell ref="O2257:P2257"/>
    <mergeCell ref="O2258:P2258"/>
    <mergeCell ref="O2259:P2259"/>
    <mergeCell ref="O2260:P2260"/>
    <mergeCell ref="O2261:P2261"/>
    <mergeCell ref="O2262:P2262"/>
    <mergeCell ref="O2263:P2263"/>
    <mergeCell ref="O2264:P2264"/>
    <mergeCell ref="O2199:P2199"/>
    <mergeCell ref="O2200:P2200"/>
    <mergeCell ref="O2201:P2201"/>
    <mergeCell ref="O2202:P2202"/>
    <mergeCell ref="O2203:P2203"/>
    <mergeCell ref="O2204:P2204"/>
    <mergeCell ref="O2205:P2205"/>
    <mergeCell ref="O2206:P2206"/>
    <mergeCell ref="O2207:P2207"/>
    <mergeCell ref="O2208:P2208"/>
    <mergeCell ref="O2209:P2209"/>
    <mergeCell ref="O2210:P2210"/>
    <mergeCell ref="O2211:P2211"/>
    <mergeCell ref="O2212:P2212"/>
    <mergeCell ref="O2213:P2213"/>
    <mergeCell ref="O2214:P2214"/>
    <mergeCell ref="O2215:P2215"/>
    <mergeCell ref="O2216:P2216"/>
    <mergeCell ref="O2217:P2217"/>
    <mergeCell ref="O2218:P2218"/>
    <mergeCell ref="O2219:P2219"/>
    <mergeCell ref="O2220:P2220"/>
    <mergeCell ref="O2221:P2221"/>
    <mergeCell ref="O2222:P2222"/>
    <mergeCell ref="O2223:P2223"/>
    <mergeCell ref="O2224:P2224"/>
    <mergeCell ref="O2225:P2225"/>
    <mergeCell ref="O2226:P2226"/>
    <mergeCell ref="O2227:P2227"/>
    <mergeCell ref="O2228:P2228"/>
    <mergeCell ref="O2229:P2229"/>
    <mergeCell ref="O2230:P2230"/>
    <mergeCell ref="O2231:P2231"/>
    <mergeCell ref="O2166:P2166"/>
    <mergeCell ref="O2167:P2167"/>
    <mergeCell ref="O2168:P2168"/>
    <mergeCell ref="O2169:P2169"/>
    <mergeCell ref="O2170:P2170"/>
    <mergeCell ref="O2171:P2171"/>
    <mergeCell ref="O2172:P2172"/>
    <mergeCell ref="O2173:P2173"/>
    <mergeCell ref="O2174:P2174"/>
    <mergeCell ref="O2175:P2175"/>
    <mergeCell ref="O2176:P2176"/>
    <mergeCell ref="O2177:P2177"/>
    <mergeCell ref="O2178:P2178"/>
    <mergeCell ref="O2179:P2179"/>
    <mergeCell ref="O2180:P2180"/>
    <mergeCell ref="O2181:P2181"/>
    <mergeCell ref="O2182:P2182"/>
    <mergeCell ref="O2183:P2183"/>
    <mergeCell ref="O2184:P2184"/>
    <mergeCell ref="O2185:P2185"/>
    <mergeCell ref="O2186:P2186"/>
    <mergeCell ref="O2187:P2187"/>
    <mergeCell ref="O2188:P2188"/>
    <mergeCell ref="O2189:P2189"/>
    <mergeCell ref="O2190:P2190"/>
    <mergeCell ref="O2191:P2191"/>
    <mergeCell ref="O2192:P2192"/>
    <mergeCell ref="O2193:P2193"/>
    <mergeCell ref="O2194:P2194"/>
    <mergeCell ref="O2195:P2195"/>
    <mergeCell ref="O2196:P2196"/>
    <mergeCell ref="O2197:P2197"/>
    <mergeCell ref="O2198:P2198"/>
    <mergeCell ref="O2133:P2133"/>
    <mergeCell ref="O2134:P2134"/>
    <mergeCell ref="O2135:P2135"/>
    <mergeCell ref="O2136:P2136"/>
    <mergeCell ref="O2137:P2137"/>
    <mergeCell ref="O2138:P2138"/>
    <mergeCell ref="O2139:P2139"/>
    <mergeCell ref="O2140:P2140"/>
    <mergeCell ref="O2141:P2141"/>
    <mergeCell ref="O2142:P2142"/>
    <mergeCell ref="O2143:P2143"/>
    <mergeCell ref="O2144:P2144"/>
    <mergeCell ref="O2145:P2145"/>
    <mergeCell ref="O2146:P2146"/>
    <mergeCell ref="O2147:P2147"/>
    <mergeCell ref="O2148:P2148"/>
    <mergeCell ref="O2149:P2149"/>
    <mergeCell ref="O2150:P2150"/>
    <mergeCell ref="O2151:P2151"/>
    <mergeCell ref="O2152:P2152"/>
    <mergeCell ref="O2153:P2153"/>
    <mergeCell ref="O2154:P2154"/>
    <mergeCell ref="O2155:P2155"/>
    <mergeCell ref="O2156:P2156"/>
    <mergeCell ref="O2157:P2157"/>
    <mergeCell ref="O2158:P2158"/>
    <mergeCell ref="O2159:P2159"/>
    <mergeCell ref="O2160:P2160"/>
    <mergeCell ref="O2161:P2161"/>
    <mergeCell ref="O2162:P2162"/>
    <mergeCell ref="O2163:P2163"/>
    <mergeCell ref="O2164:P2164"/>
    <mergeCell ref="O2165:P2165"/>
    <mergeCell ref="O2100:P2100"/>
    <mergeCell ref="O2101:P2101"/>
    <mergeCell ref="O2102:P2102"/>
    <mergeCell ref="O2103:P2103"/>
    <mergeCell ref="O2104:P2104"/>
    <mergeCell ref="O2105:P2105"/>
    <mergeCell ref="O2106:P2106"/>
    <mergeCell ref="O2107:P2107"/>
    <mergeCell ref="O2108:P2108"/>
    <mergeCell ref="O2109:P2109"/>
    <mergeCell ref="O2110:P2110"/>
    <mergeCell ref="O2111:P2111"/>
    <mergeCell ref="O2112:P2112"/>
    <mergeCell ref="O2113:P2113"/>
    <mergeCell ref="O2114:P2114"/>
    <mergeCell ref="O2115:P2115"/>
    <mergeCell ref="O2116:P2116"/>
    <mergeCell ref="O2117:P2117"/>
    <mergeCell ref="O2118:P2118"/>
    <mergeCell ref="O2119:P2119"/>
    <mergeCell ref="O2120:P2120"/>
    <mergeCell ref="O2121:P2121"/>
    <mergeCell ref="O2122:P2122"/>
    <mergeCell ref="O2123:P2123"/>
    <mergeCell ref="O2124:P2124"/>
    <mergeCell ref="O2125:P2125"/>
    <mergeCell ref="O2126:P2126"/>
    <mergeCell ref="O2127:P2127"/>
    <mergeCell ref="O2128:P2128"/>
    <mergeCell ref="O2129:P2129"/>
    <mergeCell ref="O2130:P2130"/>
    <mergeCell ref="O2131:P2131"/>
    <mergeCell ref="O2132:P2132"/>
    <mergeCell ref="O2067:P2067"/>
    <mergeCell ref="O2068:P2068"/>
    <mergeCell ref="O2069:P2069"/>
    <mergeCell ref="O2070:P2070"/>
    <mergeCell ref="O2071:P2071"/>
    <mergeCell ref="O2072:P2072"/>
    <mergeCell ref="O2073:P2073"/>
    <mergeCell ref="O2074:P2074"/>
    <mergeCell ref="O2075:P2075"/>
    <mergeCell ref="O2076:P2076"/>
    <mergeCell ref="O2077:P2077"/>
    <mergeCell ref="O2078:P2078"/>
    <mergeCell ref="O2079:P2079"/>
    <mergeCell ref="O2080:P2080"/>
    <mergeCell ref="O2081:P2081"/>
    <mergeCell ref="O2082:P2082"/>
    <mergeCell ref="O2083:P2083"/>
    <mergeCell ref="O2084:P2084"/>
    <mergeCell ref="O2085:P2085"/>
    <mergeCell ref="O2086:P2086"/>
    <mergeCell ref="O2087:P2087"/>
    <mergeCell ref="O2088:P2088"/>
    <mergeCell ref="O2089:P2089"/>
    <mergeCell ref="O2090:P2090"/>
    <mergeCell ref="O2091:P2091"/>
    <mergeCell ref="O2092:P2092"/>
    <mergeCell ref="O2093:P2093"/>
    <mergeCell ref="O2094:P2094"/>
    <mergeCell ref="O2095:P2095"/>
    <mergeCell ref="O2096:P2096"/>
    <mergeCell ref="O2097:P2097"/>
    <mergeCell ref="O2098:P2098"/>
    <mergeCell ref="O2099:P2099"/>
    <mergeCell ref="O2034:P2034"/>
    <mergeCell ref="O2035:P2035"/>
    <mergeCell ref="O2036:P2036"/>
    <mergeCell ref="O2037:P2037"/>
    <mergeCell ref="O2038:P2038"/>
    <mergeCell ref="O2039:P2039"/>
    <mergeCell ref="O2040:P2040"/>
    <mergeCell ref="O2041:P2041"/>
    <mergeCell ref="O2042:P2042"/>
    <mergeCell ref="O2043:P2043"/>
    <mergeCell ref="O2044:P2044"/>
    <mergeCell ref="O2045:P2045"/>
    <mergeCell ref="O2046:P2046"/>
    <mergeCell ref="O2047:P2047"/>
    <mergeCell ref="O2048:P2048"/>
    <mergeCell ref="O2049:P2049"/>
    <mergeCell ref="O2050:P2050"/>
    <mergeCell ref="O2051:P2051"/>
    <mergeCell ref="O2052:P2052"/>
    <mergeCell ref="O2053:P2053"/>
    <mergeCell ref="O2054:P2054"/>
    <mergeCell ref="O2055:P2055"/>
    <mergeCell ref="O2056:P2056"/>
    <mergeCell ref="O2057:P2057"/>
    <mergeCell ref="O2058:P2058"/>
    <mergeCell ref="O2059:P2059"/>
    <mergeCell ref="O2060:P2060"/>
    <mergeCell ref="O2061:P2061"/>
    <mergeCell ref="O2062:P2062"/>
    <mergeCell ref="O2063:P2063"/>
    <mergeCell ref="O2064:P2064"/>
    <mergeCell ref="O2065:P2065"/>
    <mergeCell ref="O2066:P2066"/>
    <mergeCell ref="O2001:P2001"/>
    <mergeCell ref="O2002:P2002"/>
    <mergeCell ref="O2003:P2003"/>
    <mergeCell ref="O2004:P2004"/>
    <mergeCell ref="O2005:P2005"/>
    <mergeCell ref="O2006:P2006"/>
    <mergeCell ref="O2007:P2007"/>
    <mergeCell ref="O2008:P2008"/>
    <mergeCell ref="O2009:P2009"/>
    <mergeCell ref="O2010:P2010"/>
    <mergeCell ref="O2011:P2011"/>
    <mergeCell ref="O2012:P2012"/>
    <mergeCell ref="O2013:P2013"/>
    <mergeCell ref="O2014:P2014"/>
    <mergeCell ref="O2015:P2015"/>
    <mergeCell ref="O2016:P2016"/>
    <mergeCell ref="O2017:P2017"/>
    <mergeCell ref="O2018:P2018"/>
    <mergeCell ref="O2019:P2019"/>
    <mergeCell ref="O2020:P2020"/>
    <mergeCell ref="O2021:P2021"/>
    <mergeCell ref="O2022:P2022"/>
    <mergeCell ref="O2023:P2023"/>
    <mergeCell ref="O2024:P2024"/>
    <mergeCell ref="O2025:P2025"/>
    <mergeCell ref="O2026:P2026"/>
    <mergeCell ref="O2027:P2027"/>
    <mergeCell ref="O2028:P2028"/>
    <mergeCell ref="O2029:P2029"/>
    <mergeCell ref="O2030:P2030"/>
    <mergeCell ref="O2031:P2031"/>
    <mergeCell ref="O2032:P2032"/>
    <mergeCell ref="O2033:P2033"/>
    <mergeCell ref="O1968:P1968"/>
    <mergeCell ref="O1969:P1969"/>
    <mergeCell ref="O1970:P1970"/>
    <mergeCell ref="O1971:P1971"/>
    <mergeCell ref="O1972:P1972"/>
    <mergeCell ref="O1973:P1973"/>
    <mergeCell ref="O1974:P1974"/>
    <mergeCell ref="O1975:P1975"/>
    <mergeCell ref="O1976:P1976"/>
    <mergeCell ref="O1977:P1977"/>
    <mergeCell ref="O1978:P1978"/>
    <mergeCell ref="O1979:P1979"/>
    <mergeCell ref="O1980:P1980"/>
    <mergeCell ref="O1981:P1981"/>
    <mergeCell ref="O1982:P1982"/>
    <mergeCell ref="O1983:P1983"/>
    <mergeCell ref="O1984:P1984"/>
    <mergeCell ref="O1985:P1985"/>
    <mergeCell ref="O1986:P1986"/>
    <mergeCell ref="O1987:P1987"/>
    <mergeCell ref="O1988:P1988"/>
    <mergeCell ref="O1989:P1989"/>
    <mergeCell ref="O1990:P1990"/>
    <mergeCell ref="O1991:P1991"/>
    <mergeCell ref="O1992:P1992"/>
    <mergeCell ref="O1993:P1993"/>
    <mergeCell ref="O1994:P1994"/>
    <mergeCell ref="O1995:P1995"/>
    <mergeCell ref="O1996:P1996"/>
    <mergeCell ref="O1997:P1997"/>
    <mergeCell ref="O1998:P1998"/>
    <mergeCell ref="O1999:P1999"/>
    <mergeCell ref="O2000:P2000"/>
    <mergeCell ref="O1935:P1935"/>
    <mergeCell ref="O1936:P1936"/>
    <mergeCell ref="O1937:P1937"/>
    <mergeCell ref="O1938:P1938"/>
    <mergeCell ref="O1939:P1939"/>
    <mergeCell ref="O1940:P1940"/>
    <mergeCell ref="O1941:P1941"/>
    <mergeCell ref="O1942:P1942"/>
    <mergeCell ref="O1943:P1943"/>
    <mergeCell ref="O1944:P1944"/>
    <mergeCell ref="O1945:P1945"/>
    <mergeCell ref="O1946:P1946"/>
    <mergeCell ref="O1947:P1947"/>
    <mergeCell ref="O1948:P1948"/>
    <mergeCell ref="O1949:P1949"/>
    <mergeCell ref="O1950:P1950"/>
    <mergeCell ref="O1951:P1951"/>
    <mergeCell ref="O1952:P1952"/>
    <mergeCell ref="O1953:P1953"/>
    <mergeCell ref="O1954:P1954"/>
    <mergeCell ref="O1955:P1955"/>
    <mergeCell ref="O1956:P1956"/>
    <mergeCell ref="O1957:P1957"/>
    <mergeCell ref="O1958:P1958"/>
    <mergeCell ref="O1959:P1959"/>
    <mergeCell ref="O1960:P1960"/>
    <mergeCell ref="O1961:P1961"/>
    <mergeCell ref="O1962:P1962"/>
    <mergeCell ref="O1963:P1963"/>
    <mergeCell ref="O1964:P1964"/>
    <mergeCell ref="O1965:P1965"/>
    <mergeCell ref="O1966:P1966"/>
    <mergeCell ref="O1967:P1967"/>
    <mergeCell ref="O1902:P1902"/>
    <mergeCell ref="O1903:P1903"/>
    <mergeCell ref="O1904:P1904"/>
    <mergeCell ref="O1905:P1905"/>
    <mergeCell ref="O1906:P1906"/>
    <mergeCell ref="O1907:P1907"/>
    <mergeCell ref="O1908:P1908"/>
    <mergeCell ref="O1909:P1909"/>
    <mergeCell ref="O1910:P1910"/>
    <mergeCell ref="O1911:P1911"/>
    <mergeCell ref="O1912:P1912"/>
    <mergeCell ref="O1913:P1913"/>
    <mergeCell ref="O1914:P1914"/>
    <mergeCell ref="O1915:P1915"/>
    <mergeCell ref="O1916:P1916"/>
    <mergeCell ref="O1917:P1917"/>
    <mergeCell ref="O1918:P1918"/>
    <mergeCell ref="O1919:P1919"/>
    <mergeCell ref="O1920:P1920"/>
    <mergeCell ref="O1921:P1921"/>
    <mergeCell ref="O1922:P1922"/>
    <mergeCell ref="O1923:P1923"/>
    <mergeCell ref="O1924:P1924"/>
    <mergeCell ref="O1925:P1925"/>
    <mergeCell ref="O1926:P1926"/>
    <mergeCell ref="O1927:P1927"/>
    <mergeCell ref="O1928:P1928"/>
    <mergeCell ref="O1929:P1929"/>
    <mergeCell ref="O1930:P1930"/>
    <mergeCell ref="O1931:P1931"/>
    <mergeCell ref="O1932:P1932"/>
    <mergeCell ref="O1933:P1933"/>
    <mergeCell ref="O1934:P1934"/>
    <mergeCell ref="O1869:P1869"/>
    <mergeCell ref="O1870:P1870"/>
    <mergeCell ref="O1871:P1871"/>
    <mergeCell ref="O1872:P1872"/>
    <mergeCell ref="O1873:P1873"/>
    <mergeCell ref="O1874:P1874"/>
    <mergeCell ref="O1875:P1875"/>
    <mergeCell ref="O1876:P1876"/>
    <mergeCell ref="O1877:P1877"/>
    <mergeCell ref="O1878:P1878"/>
    <mergeCell ref="O1879:P1879"/>
    <mergeCell ref="O1880:P1880"/>
    <mergeCell ref="O1881:P1881"/>
    <mergeCell ref="O1882:P1882"/>
    <mergeCell ref="O1883:P1883"/>
    <mergeCell ref="O1884:P1884"/>
    <mergeCell ref="O1885:P1885"/>
    <mergeCell ref="O1886:P1886"/>
    <mergeCell ref="O1887:P1887"/>
    <mergeCell ref="O1888:P1888"/>
    <mergeCell ref="O1889:P1889"/>
    <mergeCell ref="O1890:P1890"/>
    <mergeCell ref="O1891:P1891"/>
    <mergeCell ref="O1892:P1892"/>
    <mergeCell ref="O1893:P1893"/>
    <mergeCell ref="O1894:P1894"/>
    <mergeCell ref="O1895:P1895"/>
    <mergeCell ref="O1896:P1896"/>
    <mergeCell ref="O1897:P1897"/>
    <mergeCell ref="O1898:P1898"/>
    <mergeCell ref="O1899:P1899"/>
    <mergeCell ref="O1900:P1900"/>
    <mergeCell ref="O1901:P1901"/>
    <mergeCell ref="O1836:P1836"/>
    <mergeCell ref="O1837:P1837"/>
    <mergeCell ref="O1838:P1838"/>
    <mergeCell ref="O1839:P1839"/>
    <mergeCell ref="O1840:P1840"/>
    <mergeCell ref="O1841:P1841"/>
    <mergeCell ref="O1842:P1842"/>
    <mergeCell ref="O1843:P1843"/>
    <mergeCell ref="O1844:P1844"/>
    <mergeCell ref="O1845:P1845"/>
    <mergeCell ref="O1846:P1846"/>
    <mergeCell ref="O1847:P1847"/>
    <mergeCell ref="O1848:P1848"/>
    <mergeCell ref="O1849:P1849"/>
    <mergeCell ref="O1850:P1850"/>
    <mergeCell ref="O1851:P1851"/>
    <mergeCell ref="O1852:P1852"/>
    <mergeCell ref="O1853:P1853"/>
    <mergeCell ref="O1854:P1854"/>
    <mergeCell ref="O1855:P1855"/>
    <mergeCell ref="O1856:P1856"/>
    <mergeCell ref="O1857:P1857"/>
    <mergeCell ref="O1858:P1858"/>
    <mergeCell ref="O1859:P1859"/>
    <mergeCell ref="O1860:P1860"/>
    <mergeCell ref="O1861:P1861"/>
    <mergeCell ref="O1862:P1862"/>
    <mergeCell ref="O1863:P1863"/>
    <mergeCell ref="O1864:P1864"/>
    <mergeCell ref="O1865:P1865"/>
    <mergeCell ref="O1866:P1866"/>
    <mergeCell ref="O1867:P1867"/>
    <mergeCell ref="O1868:P1868"/>
    <mergeCell ref="O1803:P1803"/>
    <mergeCell ref="O1804:P1804"/>
    <mergeCell ref="O1805:P1805"/>
    <mergeCell ref="O1806:P1806"/>
    <mergeCell ref="O1807:P1807"/>
    <mergeCell ref="O1808:P1808"/>
    <mergeCell ref="O1809:P1809"/>
    <mergeCell ref="O1810:P1810"/>
    <mergeCell ref="O1811:P1811"/>
    <mergeCell ref="O1812:P1812"/>
    <mergeCell ref="O1813:P1813"/>
    <mergeCell ref="O1814:P1814"/>
    <mergeCell ref="O1815:P1815"/>
    <mergeCell ref="O1816:P1816"/>
    <mergeCell ref="O1817:P1817"/>
    <mergeCell ref="O1818:P1818"/>
    <mergeCell ref="O1819:P1819"/>
    <mergeCell ref="O1820:P1820"/>
    <mergeCell ref="O1821:P1821"/>
    <mergeCell ref="O1822:P1822"/>
    <mergeCell ref="O1823:P1823"/>
    <mergeCell ref="O1824:P1824"/>
    <mergeCell ref="O1825:P1825"/>
    <mergeCell ref="O1826:P1826"/>
    <mergeCell ref="O1827:P1827"/>
    <mergeCell ref="O1828:P1828"/>
    <mergeCell ref="O1829:P1829"/>
    <mergeCell ref="O1830:P1830"/>
    <mergeCell ref="O1831:P1831"/>
    <mergeCell ref="O1832:P1832"/>
    <mergeCell ref="O1833:P1833"/>
    <mergeCell ref="O1834:P1834"/>
    <mergeCell ref="O1835:P1835"/>
    <mergeCell ref="O1770:P1770"/>
    <mergeCell ref="O1771:P1771"/>
    <mergeCell ref="O1772:P1772"/>
    <mergeCell ref="O1773:P1773"/>
    <mergeCell ref="O1774:P1774"/>
    <mergeCell ref="O1775:P1775"/>
    <mergeCell ref="O1776:P1776"/>
    <mergeCell ref="O1777:P1777"/>
    <mergeCell ref="O1778:P1778"/>
    <mergeCell ref="O1779:P1779"/>
    <mergeCell ref="O1780:P1780"/>
    <mergeCell ref="O1781:P1781"/>
    <mergeCell ref="O1782:P1782"/>
    <mergeCell ref="O1783:P1783"/>
    <mergeCell ref="O1784:P1784"/>
    <mergeCell ref="O1785:P1785"/>
    <mergeCell ref="O1786:P1786"/>
    <mergeCell ref="O1787:P1787"/>
    <mergeCell ref="O1788:P1788"/>
    <mergeCell ref="O1789:P1789"/>
    <mergeCell ref="O1790:P1790"/>
    <mergeCell ref="O1791:P1791"/>
    <mergeCell ref="O1792:P1792"/>
    <mergeCell ref="O1793:P1793"/>
    <mergeCell ref="O1794:P1794"/>
    <mergeCell ref="O1795:P1795"/>
    <mergeCell ref="O1796:P1796"/>
    <mergeCell ref="O1797:P1797"/>
    <mergeCell ref="O1798:P1798"/>
    <mergeCell ref="O1799:P1799"/>
    <mergeCell ref="O1800:P1800"/>
    <mergeCell ref="O1801:P1801"/>
    <mergeCell ref="O1802:P1802"/>
    <mergeCell ref="O1737:P1737"/>
    <mergeCell ref="O1738:P1738"/>
    <mergeCell ref="O1739:P1739"/>
    <mergeCell ref="O1740:P1740"/>
    <mergeCell ref="O1741:P1741"/>
    <mergeCell ref="O1742:P1742"/>
    <mergeCell ref="O1743:P1743"/>
    <mergeCell ref="O1744:P1744"/>
    <mergeCell ref="O1745:P1745"/>
    <mergeCell ref="O1746:P1746"/>
    <mergeCell ref="O1747:P1747"/>
    <mergeCell ref="O1748:P1748"/>
    <mergeCell ref="O1749:P1749"/>
    <mergeCell ref="O1750:P1750"/>
    <mergeCell ref="O1751:P1751"/>
    <mergeCell ref="O1752:P1752"/>
    <mergeCell ref="O1753:P1753"/>
    <mergeCell ref="O1754:P1754"/>
    <mergeCell ref="O1755:P1755"/>
    <mergeCell ref="O1756:P1756"/>
    <mergeCell ref="O1757:P1757"/>
    <mergeCell ref="O1758:P1758"/>
    <mergeCell ref="O1759:P1759"/>
    <mergeCell ref="O1760:P1760"/>
    <mergeCell ref="O1761:P1761"/>
    <mergeCell ref="O1762:P1762"/>
    <mergeCell ref="O1763:P1763"/>
    <mergeCell ref="O1764:P1764"/>
    <mergeCell ref="O1765:P1765"/>
    <mergeCell ref="O1766:P1766"/>
    <mergeCell ref="O1767:P1767"/>
    <mergeCell ref="O1768:P1768"/>
    <mergeCell ref="O1769:P1769"/>
    <mergeCell ref="O1704:P1704"/>
    <mergeCell ref="O1705:P1705"/>
    <mergeCell ref="O1706:P1706"/>
    <mergeCell ref="O1707:P1707"/>
    <mergeCell ref="O1708:P1708"/>
    <mergeCell ref="O1709:P1709"/>
    <mergeCell ref="O1710:P1710"/>
    <mergeCell ref="O1711:P1711"/>
    <mergeCell ref="O1712:P1712"/>
    <mergeCell ref="O1713:P1713"/>
    <mergeCell ref="O1714:P1714"/>
    <mergeCell ref="O1715:P1715"/>
    <mergeCell ref="O1716:P1716"/>
    <mergeCell ref="O1717:P1717"/>
    <mergeCell ref="O1718:P1718"/>
    <mergeCell ref="O1719:P1719"/>
    <mergeCell ref="O1720:P1720"/>
    <mergeCell ref="O1721:P1721"/>
    <mergeCell ref="O1722:P1722"/>
    <mergeCell ref="O1723:P1723"/>
    <mergeCell ref="O1724:P1724"/>
    <mergeCell ref="O1725:P1725"/>
    <mergeCell ref="O1726:P1726"/>
    <mergeCell ref="O1727:P1727"/>
    <mergeCell ref="O1728:P1728"/>
    <mergeCell ref="O1729:P1729"/>
    <mergeCell ref="O1730:P1730"/>
    <mergeCell ref="O1731:P1731"/>
    <mergeCell ref="O1732:P1732"/>
    <mergeCell ref="O1733:P1733"/>
    <mergeCell ref="O1734:P1734"/>
    <mergeCell ref="O1735:P1735"/>
    <mergeCell ref="O1736:P1736"/>
    <mergeCell ref="O1671:P1671"/>
    <mergeCell ref="O1672:P1672"/>
    <mergeCell ref="O1673:P1673"/>
    <mergeCell ref="O1674:P1674"/>
    <mergeCell ref="O1675:P1675"/>
    <mergeCell ref="O1676:P1676"/>
    <mergeCell ref="O1677:P1677"/>
    <mergeCell ref="O1678:P1678"/>
    <mergeCell ref="O1679:P1679"/>
    <mergeCell ref="O1680:P1680"/>
    <mergeCell ref="O1681:P1681"/>
    <mergeCell ref="O1682:P1682"/>
    <mergeCell ref="O1683:P1683"/>
    <mergeCell ref="O1684:P1684"/>
    <mergeCell ref="O1685:P1685"/>
    <mergeCell ref="O1686:P1686"/>
    <mergeCell ref="O1687:P1687"/>
    <mergeCell ref="O1688:P1688"/>
    <mergeCell ref="O1689:P1689"/>
    <mergeCell ref="O1690:P1690"/>
    <mergeCell ref="O1691:P1691"/>
    <mergeCell ref="O1692:P1692"/>
    <mergeCell ref="O1693:P1693"/>
    <mergeCell ref="O1694:P1694"/>
    <mergeCell ref="O1695:P1695"/>
    <mergeCell ref="O1696:P1696"/>
    <mergeCell ref="O1697:P1697"/>
    <mergeCell ref="O1698:P1698"/>
    <mergeCell ref="O1699:P1699"/>
    <mergeCell ref="O1700:P1700"/>
    <mergeCell ref="O1701:P1701"/>
    <mergeCell ref="O1702:P1702"/>
    <mergeCell ref="O1703:P1703"/>
    <mergeCell ref="O1638:P1638"/>
    <mergeCell ref="O1639:P1639"/>
    <mergeCell ref="O1640:P1640"/>
    <mergeCell ref="O1641:P1641"/>
    <mergeCell ref="O1642:P1642"/>
    <mergeCell ref="O1643:P1643"/>
    <mergeCell ref="O1644:P1644"/>
    <mergeCell ref="O1645:P1645"/>
    <mergeCell ref="O1646:P1646"/>
    <mergeCell ref="O1647:P1647"/>
    <mergeCell ref="O1648:P1648"/>
    <mergeCell ref="O1649:P1649"/>
    <mergeCell ref="O1650:P1650"/>
    <mergeCell ref="O1651:P1651"/>
    <mergeCell ref="O1652:P1652"/>
    <mergeCell ref="O1653:P1653"/>
    <mergeCell ref="O1654:P1654"/>
    <mergeCell ref="O1655:P1655"/>
    <mergeCell ref="O1656:P1656"/>
    <mergeCell ref="O1657:P1657"/>
    <mergeCell ref="O1658:P1658"/>
    <mergeCell ref="O1659:P1659"/>
    <mergeCell ref="O1660:P1660"/>
    <mergeCell ref="O1661:P1661"/>
    <mergeCell ref="O1662:P1662"/>
    <mergeCell ref="O1663:P1663"/>
    <mergeCell ref="O1664:P1664"/>
    <mergeCell ref="O1665:P1665"/>
    <mergeCell ref="O1666:P1666"/>
    <mergeCell ref="O1667:P1667"/>
    <mergeCell ref="O1668:P1668"/>
    <mergeCell ref="O1669:P1669"/>
    <mergeCell ref="O1670:P1670"/>
    <mergeCell ref="O1605:P1605"/>
    <mergeCell ref="O1606:P1606"/>
    <mergeCell ref="O1607:P1607"/>
    <mergeCell ref="O1608:P1608"/>
    <mergeCell ref="O1609:P1609"/>
    <mergeCell ref="O1610:P1610"/>
    <mergeCell ref="O1611:P1611"/>
    <mergeCell ref="O1612:P1612"/>
    <mergeCell ref="O1613:P1613"/>
    <mergeCell ref="O1614:P1614"/>
    <mergeCell ref="O1615:P1615"/>
    <mergeCell ref="O1616:P1616"/>
    <mergeCell ref="O1617:P1617"/>
    <mergeCell ref="O1618:P1618"/>
    <mergeCell ref="O1619:P1619"/>
    <mergeCell ref="O1620:P1620"/>
    <mergeCell ref="O1621:P1621"/>
    <mergeCell ref="O1622:P1622"/>
    <mergeCell ref="O1623:P1623"/>
    <mergeCell ref="O1624:P1624"/>
    <mergeCell ref="O1625:P1625"/>
    <mergeCell ref="O1626:P1626"/>
    <mergeCell ref="O1627:P1627"/>
    <mergeCell ref="O1628:P1628"/>
    <mergeCell ref="O1629:P1629"/>
    <mergeCell ref="O1630:P1630"/>
    <mergeCell ref="O1631:P1631"/>
    <mergeCell ref="O1632:P1632"/>
    <mergeCell ref="O1633:P1633"/>
    <mergeCell ref="O1634:P1634"/>
    <mergeCell ref="O1635:P1635"/>
    <mergeCell ref="O1636:P1636"/>
    <mergeCell ref="O1637:P1637"/>
    <mergeCell ref="O1572:P1572"/>
    <mergeCell ref="O1573:P1573"/>
    <mergeCell ref="O1574:P1574"/>
    <mergeCell ref="O1575:P1575"/>
    <mergeCell ref="O1576:P1576"/>
    <mergeCell ref="O1577:P1577"/>
    <mergeCell ref="O1578:P1578"/>
    <mergeCell ref="O1579:P1579"/>
    <mergeCell ref="O1580:P1580"/>
    <mergeCell ref="O1581:P1581"/>
    <mergeCell ref="O1582:P1582"/>
    <mergeCell ref="O1583:P1583"/>
    <mergeCell ref="O1584:P1584"/>
    <mergeCell ref="O1585:P1585"/>
    <mergeCell ref="O1586:P1586"/>
    <mergeCell ref="O1587:P1587"/>
    <mergeCell ref="O1588:P1588"/>
    <mergeCell ref="O1589:P1589"/>
    <mergeCell ref="O1590:P1590"/>
    <mergeCell ref="O1591:P1591"/>
    <mergeCell ref="O1592:P1592"/>
    <mergeCell ref="O1593:P1593"/>
    <mergeCell ref="O1594:P1594"/>
    <mergeCell ref="O1595:P1595"/>
    <mergeCell ref="O1596:P1596"/>
    <mergeCell ref="O1597:P1597"/>
    <mergeCell ref="O1598:P1598"/>
    <mergeCell ref="O1599:P1599"/>
    <mergeCell ref="O1600:P1600"/>
    <mergeCell ref="O1601:P1601"/>
    <mergeCell ref="O1602:P1602"/>
    <mergeCell ref="O1603:P1603"/>
    <mergeCell ref="O1604:P1604"/>
    <mergeCell ref="O1539:P1539"/>
    <mergeCell ref="O1540:P1540"/>
    <mergeCell ref="O1541:P1541"/>
    <mergeCell ref="O1542:P1542"/>
    <mergeCell ref="O1543:P1543"/>
    <mergeCell ref="O1544:P1544"/>
    <mergeCell ref="O1545:P1545"/>
    <mergeCell ref="O1546:P1546"/>
    <mergeCell ref="O1547:P1547"/>
    <mergeCell ref="O1548:P1548"/>
    <mergeCell ref="O1549:P1549"/>
    <mergeCell ref="O1550:P1550"/>
    <mergeCell ref="O1551:P1551"/>
    <mergeCell ref="O1552:P1552"/>
    <mergeCell ref="O1553:P1553"/>
    <mergeCell ref="O1554:P1554"/>
    <mergeCell ref="O1555:P1555"/>
    <mergeCell ref="O1556:P1556"/>
    <mergeCell ref="O1557:P1557"/>
    <mergeCell ref="O1558:P1558"/>
    <mergeCell ref="O1559:P1559"/>
    <mergeCell ref="O1560:P1560"/>
    <mergeCell ref="O1561:P1561"/>
    <mergeCell ref="O1562:P1562"/>
    <mergeCell ref="O1563:P1563"/>
    <mergeCell ref="O1564:P1564"/>
    <mergeCell ref="O1565:P1565"/>
    <mergeCell ref="O1566:P1566"/>
    <mergeCell ref="O1567:P1567"/>
    <mergeCell ref="O1568:P1568"/>
    <mergeCell ref="O1569:P1569"/>
    <mergeCell ref="O1570:P1570"/>
    <mergeCell ref="O1571:P1571"/>
    <mergeCell ref="O1506:P1506"/>
    <mergeCell ref="O1507:P1507"/>
    <mergeCell ref="O1508:P1508"/>
    <mergeCell ref="O1509:P1509"/>
    <mergeCell ref="O1510:P1510"/>
    <mergeCell ref="O1511:P1511"/>
    <mergeCell ref="O1512:P1512"/>
    <mergeCell ref="O1513:P1513"/>
    <mergeCell ref="O1514:P1514"/>
    <mergeCell ref="O1515:P1515"/>
    <mergeCell ref="O1516:P1516"/>
    <mergeCell ref="O1517:P1517"/>
    <mergeCell ref="O1518:P1518"/>
    <mergeCell ref="O1519:P1519"/>
    <mergeCell ref="O1520:P1520"/>
    <mergeCell ref="O1521:P1521"/>
    <mergeCell ref="O1522:P1522"/>
    <mergeCell ref="O1523:P1523"/>
    <mergeCell ref="O1524:P1524"/>
    <mergeCell ref="O1525:P1525"/>
    <mergeCell ref="O1526:P1526"/>
    <mergeCell ref="O1527:P1527"/>
    <mergeCell ref="O1528:P1528"/>
    <mergeCell ref="O1529:P1529"/>
    <mergeCell ref="O1530:P1530"/>
    <mergeCell ref="O1531:P1531"/>
    <mergeCell ref="O1532:P1532"/>
    <mergeCell ref="O1533:P1533"/>
    <mergeCell ref="O1534:P1534"/>
    <mergeCell ref="O1535:P1535"/>
    <mergeCell ref="O1536:P1536"/>
    <mergeCell ref="O1537:P1537"/>
    <mergeCell ref="O1538:P1538"/>
    <mergeCell ref="O1473:P1473"/>
    <mergeCell ref="O1474:P1474"/>
    <mergeCell ref="O1475:P1475"/>
    <mergeCell ref="O1476:P1476"/>
    <mergeCell ref="O1477:P1477"/>
    <mergeCell ref="O1478:P1478"/>
    <mergeCell ref="O1479:P1479"/>
    <mergeCell ref="O1480:P1480"/>
    <mergeCell ref="O1481:P1481"/>
    <mergeCell ref="O1482:P1482"/>
    <mergeCell ref="O1483:P1483"/>
    <mergeCell ref="O1484:P1484"/>
    <mergeCell ref="O1485:P1485"/>
    <mergeCell ref="O1486:P1486"/>
    <mergeCell ref="O1487:P1487"/>
    <mergeCell ref="O1488:P1488"/>
    <mergeCell ref="O1489:P1489"/>
    <mergeCell ref="O1490:P1490"/>
    <mergeCell ref="O1491:P1491"/>
    <mergeCell ref="O1492:P1492"/>
    <mergeCell ref="O1493:P1493"/>
    <mergeCell ref="O1494:P1494"/>
    <mergeCell ref="O1495:P1495"/>
    <mergeCell ref="O1496:P1496"/>
    <mergeCell ref="O1497:P1497"/>
    <mergeCell ref="O1498:P1498"/>
    <mergeCell ref="O1499:P1499"/>
    <mergeCell ref="O1500:P1500"/>
    <mergeCell ref="O1501:P1501"/>
    <mergeCell ref="O1502:P1502"/>
    <mergeCell ref="O1503:P1503"/>
    <mergeCell ref="O1504:P1504"/>
    <mergeCell ref="O1505:P1505"/>
    <mergeCell ref="O1440:P1440"/>
    <mergeCell ref="O1441:P1441"/>
    <mergeCell ref="O1442:P1442"/>
    <mergeCell ref="O1443:P1443"/>
    <mergeCell ref="O1444:P1444"/>
    <mergeCell ref="O1445:P1445"/>
    <mergeCell ref="O1446:P1446"/>
    <mergeCell ref="O1447:P1447"/>
    <mergeCell ref="O1448:P1448"/>
    <mergeCell ref="O1449:P1449"/>
    <mergeCell ref="O1450:P1450"/>
    <mergeCell ref="O1451:P1451"/>
    <mergeCell ref="O1452:P1452"/>
    <mergeCell ref="O1453:P1453"/>
    <mergeCell ref="O1454:P1454"/>
    <mergeCell ref="O1455:P1455"/>
    <mergeCell ref="O1456:P1456"/>
    <mergeCell ref="O1457:P1457"/>
    <mergeCell ref="O1458:P1458"/>
    <mergeCell ref="O1459:P1459"/>
    <mergeCell ref="O1460:P1460"/>
    <mergeCell ref="O1461:P1461"/>
    <mergeCell ref="O1462:P1462"/>
    <mergeCell ref="O1463:P1463"/>
    <mergeCell ref="O1464:P1464"/>
    <mergeCell ref="O1465:P1465"/>
    <mergeCell ref="O1466:P1466"/>
    <mergeCell ref="O1467:P1467"/>
    <mergeCell ref="O1468:P1468"/>
    <mergeCell ref="O1469:P1469"/>
    <mergeCell ref="O1470:P1470"/>
    <mergeCell ref="O1471:P1471"/>
    <mergeCell ref="O1472:P1472"/>
    <mergeCell ref="O1407:P1407"/>
    <mergeCell ref="O1408:P1408"/>
    <mergeCell ref="O1409:P1409"/>
    <mergeCell ref="O1410:P1410"/>
    <mergeCell ref="O1411:P1411"/>
    <mergeCell ref="O1412:P1412"/>
    <mergeCell ref="O1413:P1413"/>
    <mergeCell ref="O1414:P1414"/>
    <mergeCell ref="O1415:P1415"/>
    <mergeCell ref="O1416:P1416"/>
    <mergeCell ref="O1417:P1417"/>
    <mergeCell ref="O1418:P1418"/>
    <mergeCell ref="O1419:P1419"/>
    <mergeCell ref="O1420:P1420"/>
    <mergeCell ref="O1421:P1421"/>
    <mergeCell ref="O1422:P1422"/>
    <mergeCell ref="O1423:P1423"/>
    <mergeCell ref="O1424:P1424"/>
    <mergeCell ref="O1425:P1425"/>
    <mergeCell ref="O1426:P1426"/>
    <mergeCell ref="O1427:P1427"/>
    <mergeCell ref="O1428:P1428"/>
    <mergeCell ref="O1429:P1429"/>
    <mergeCell ref="O1430:P1430"/>
    <mergeCell ref="O1431:P1431"/>
    <mergeCell ref="O1432:P1432"/>
    <mergeCell ref="O1433:P1433"/>
    <mergeCell ref="O1434:P1434"/>
    <mergeCell ref="O1435:P1435"/>
    <mergeCell ref="O1436:P1436"/>
    <mergeCell ref="O1437:P1437"/>
    <mergeCell ref="O1438:P1438"/>
    <mergeCell ref="O1439:P1439"/>
    <mergeCell ref="O1374:P1374"/>
    <mergeCell ref="O1375:P1375"/>
    <mergeCell ref="O1376:P1376"/>
    <mergeCell ref="O1377:P1377"/>
    <mergeCell ref="O1378:P1378"/>
    <mergeCell ref="O1379:P1379"/>
    <mergeCell ref="O1380:P1380"/>
    <mergeCell ref="O1381:P1381"/>
    <mergeCell ref="O1382:P1382"/>
    <mergeCell ref="O1383:P1383"/>
    <mergeCell ref="O1384:P1384"/>
    <mergeCell ref="O1385:P1385"/>
    <mergeCell ref="O1386:P1386"/>
    <mergeCell ref="O1387:P1387"/>
    <mergeCell ref="O1388:P1388"/>
    <mergeCell ref="O1389:P1389"/>
    <mergeCell ref="O1390:P1390"/>
    <mergeCell ref="O1391:P1391"/>
    <mergeCell ref="O1392:P1392"/>
    <mergeCell ref="O1393:P1393"/>
    <mergeCell ref="O1394:P1394"/>
    <mergeCell ref="O1395:P1395"/>
    <mergeCell ref="O1396:P1396"/>
    <mergeCell ref="O1397:P1397"/>
    <mergeCell ref="O1398:P1398"/>
    <mergeCell ref="O1399:P1399"/>
    <mergeCell ref="O1400:P1400"/>
    <mergeCell ref="O1401:P1401"/>
    <mergeCell ref="O1402:P1402"/>
    <mergeCell ref="O1403:P1403"/>
    <mergeCell ref="O1404:P1404"/>
    <mergeCell ref="O1405:P1405"/>
    <mergeCell ref="O1406:P1406"/>
    <mergeCell ref="O1341:P1341"/>
    <mergeCell ref="O1342:P1342"/>
    <mergeCell ref="O1343:P1343"/>
    <mergeCell ref="O1344:P1344"/>
    <mergeCell ref="O1345:P1345"/>
    <mergeCell ref="O1346:P1346"/>
    <mergeCell ref="O1347:P1347"/>
    <mergeCell ref="O1348:P1348"/>
    <mergeCell ref="O1349:P1349"/>
    <mergeCell ref="O1350:P1350"/>
    <mergeCell ref="O1351:P1351"/>
    <mergeCell ref="O1352:P1352"/>
    <mergeCell ref="O1353:P1353"/>
    <mergeCell ref="O1354:P1354"/>
    <mergeCell ref="O1355:P1355"/>
    <mergeCell ref="O1356:P1356"/>
    <mergeCell ref="O1357:P1357"/>
    <mergeCell ref="O1358:P1358"/>
    <mergeCell ref="O1359:P1359"/>
    <mergeCell ref="O1360:P1360"/>
    <mergeCell ref="O1361:P1361"/>
    <mergeCell ref="O1362:P1362"/>
    <mergeCell ref="O1363:P1363"/>
    <mergeCell ref="O1364:P1364"/>
    <mergeCell ref="O1365:P1365"/>
    <mergeCell ref="O1366:P1366"/>
    <mergeCell ref="O1367:P1367"/>
    <mergeCell ref="O1368:P1368"/>
    <mergeCell ref="O1369:P1369"/>
    <mergeCell ref="O1370:P1370"/>
    <mergeCell ref="O1371:P1371"/>
    <mergeCell ref="O1372:P1372"/>
    <mergeCell ref="O1373:P1373"/>
    <mergeCell ref="O1308:P1308"/>
    <mergeCell ref="O1309:P1309"/>
    <mergeCell ref="O1310:P1310"/>
    <mergeCell ref="O1311:P1311"/>
    <mergeCell ref="O1312:P1312"/>
    <mergeCell ref="O1313:P1313"/>
    <mergeCell ref="O1314:P1314"/>
    <mergeCell ref="O1315:P1315"/>
    <mergeCell ref="O1316:P1316"/>
    <mergeCell ref="O1317:P1317"/>
    <mergeCell ref="O1318:P1318"/>
    <mergeCell ref="O1319:P1319"/>
    <mergeCell ref="O1320:P1320"/>
    <mergeCell ref="O1321:P1321"/>
    <mergeCell ref="O1322:P1322"/>
    <mergeCell ref="O1323:P1323"/>
    <mergeCell ref="O1324:P1324"/>
    <mergeCell ref="O1325:P1325"/>
    <mergeCell ref="O1326:P1326"/>
    <mergeCell ref="O1327:P1327"/>
    <mergeCell ref="O1328:P1328"/>
    <mergeCell ref="O1329:P1329"/>
    <mergeCell ref="O1330:P1330"/>
    <mergeCell ref="O1331:P1331"/>
    <mergeCell ref="O1332:P1332"/>
    <mergeCell ref="O1333:P1333"/>
    <mergeCell ref="O1334:P1334"/>
    <mergeCell ref="O1335:P1335"/>
    <mergeCell ref="O1336:P1336"/>
    <mergeCell ref="O1337:P1337"/>
    <mergeCell ref="O1338:P1338"/>
    <mergeCell ref="O1339:P1339"/>
    <mergeCell ref="O1340:P1340"/>
    <mergeCell ref="O1275:P1275"/>
    <mergeCell ref="O1276:P1276"/>
    <mergeCell ref="O1277:P1277"/>
    <mergeCell ref="O1278:P1278"/>
    <mergeCell ref="O1279:P1279"/>
    <mergeCell ref="O1280:P1280"/>
    <mergeCell ref="O1281:P1281"/>
    <mergeCell ref="O1282:P1282"/>
    <mergeCell ref="O1283:P1283"/>
    <mergeCell ref="O1284:P1284"/>
    <mergeCell ref="O1285:P1285"/>
    <mergeCell ref="O1286:P1286"/>
    <mergeCell ref="O1287:P1287"/>
    <mergeCell ref="O1288:P1288"/>
    <mergeCell ref="O1289:P1289"/>
    <mergeCell ref="O1290:P1290"/>
    <mergeCell ref="O1291:P1291"/>
    <mergeCell ref="O1292:P1292"/>
    <mergeCell ref="O1293:P1293"/>
    <mergeCell ref="O1294:P1294"/>
    <mergeCell ref="O1295:P1295"/>
    <mergeCell ref="O1296:P1296"/>
    <mergeCell ref="O1297:P1297"/>
    <mergeCell ref="O1298:P1298"/>
    <mergeCell ref="O1299:P1299"/>
    <mergeCell ref="O1300:P1300"/>
    <mergeCell ref="O1301:P1301"/>
    <mergeCell ref="O1302:P1302"/>
    <mergeCell ref="O1303:P1303"/>
    <mergeCell ref="O1304:P1304"/>
    <mergeCell ref="O1305:P1305"/>
    <mergeCell ref="O1306:P1306"/>
    <mergeCell ref="O1307:P1307"/>
    <mergeCell ref="O1242:P1242"/>
    <mergeCell ref="O1243:P1243"/>
    <mergeCell ref="O1244:P1244"/>
    <mergeCell ref="O1245:P1245"/>
    <mergeCell ref="O1246:P1246"/>
    <mergeCell ref="O1247:P1247"/>
    <mergeCell ref="O1248:P1248"/>
    <mergeCell ref="O1249:P1249"/>
    <mergeCell ref="O1250:P1250"/>
    <mergeCell ref="O1251:P1251"/>
    <mergeCell ref="O1252:P1252"/>
    <mergeCell ref="O1253:P1253"/>
    <mergeCell ref="O1254:P1254"/>
    <mergeCell ref="O1255:P1255"/>
    <mergeCell ref="O1256:P1256"/>
    <mergeCell ref="O1257:P1257"/>
    <mergeCell ref="O1258:P1258"/>
    <mergeCell ref="O1259:P1259"/>
    <mergeCell ref="O1260:P1260"/>
    <mergeCell ref="O1261:P1261"/>
    <mergeCell ref="O1262:P1262"/>
    <mergeCell ref="O1263:P1263"/>
    <mergeCell ref="O1264:P1264"/>
    <mergeCell ref="O1265:P1265"/>
    <mergeCell ref="O1266:P1266"/>
    <mergeCell ref="O1267:P1267"/>
    <mergeCell ref="O1268:P1268"/>
    <mergeCell ref="O1269:P1269"/>
    <mergeCell ref="O1270:P1270"/>
    <mergeCell ref="O1271:P1271"/>
    <mergeCell ref="O1272:P1272"/>
    <mergeCell ref="O1273:P1273"/>
    <mergeCell ref="O1274:P1274"/>
    <mergeCell ref="O1209:P1209"/>
    <mergeCell ref="O1210:P1210"/>
    <mergeCell ref="O1211:P1211"/>
    <mergeCell ref="O1212:P1212"/>
    <mergeCell ref="O1213:P1213"/>
    <mergeCell ref="O1214:P1214"/>
    <mergeCell ref="O1215:P1215"/>
    <mergeCell ref="O1216:P1216"/>
    <mergeCell ref="O1217:P1217"/>
    <mergeCell ref="O1218:P1218"/>
    <mergeCell ref="O1219:P1219"/>
    <mergeCell ref="O1220:P1220"/>
    <mergeCell ref="O1221:P1221"/>
    <mergeCell ref="O1222:P1222"/>
    <mergeCell ref="O1223:P1223"/>
    <mergeCell ref="O1224:P1224"/>
    <mergeCell ref="O1225:P1225"/>
    <mergeCell ref="O1226:P1226"/>
    <mergeCell ref="O1227:P1227"/>
    <mergeCell ref="O1228:P1228"/>
    <mergeCell ref="O1229:P1229"/>
    <mergeCell ref="O1230:P1230"/>
    <mergeCell ref="O1231:P1231"/>
    <mergeCell ref="O1232:P1232"/>
    <mergeCell ref="O1233:P1233"/>
    <mergeCell ref="O1234:P1234"/>
    <mergeCell ref="O1235:P1235"/>
    <mergeCell ref="O1236:P1236"/>
    <mergeCell ref="O1237:P1237"/>
    <mergeCell ref="O1238:P1238"/>
    <mergeCell ref="O1239:P1239"/>
    <mergeCell ref="O1240:P1240"/>
    <mergeCell ref="O1241:P1241"/>
    <mergeCell ref="O1176:P1176"/>
    <mergeCell ref="O1177:P1177"/>
    <mergeCell ref="O1178:P1178"/>
    <mergeCell ref="O1179:P1179"/>
    <mergeCell ref="O1180:P1180"/>
    <mergeCell ref="O1181:P1181"/>
    <mergeCell ref="O1182:P1182"/>
    <mergeCell ref="O1183:P1183"/>
    <mergeCell ref="O1184:P1184"/>
    <mergeCell ref="O1185:P1185"/>
    <mergeCell ref="O1186:P1186"/>
    <mergeCell ref="O1187:P1187"/>
    <mergeCell ref="O1188:P1188"/>
    <mergeCell ref="O1189:P1189"/>
    <mergeCell ref="O1190:P1190"/>
    <mergeCell ref="O1191:P1191"/>
    <mergeCell ref="O1192:P1192"/>
    <mergeCell ref="O1193:P1193"/>
    <mergeCell ref="O1194:P1194"/>
    <mergeCell ref="O1195:P1195"/>
    <mergeCell ref="O1196:P1196"/>
    <mergeCell ref="O1197:P1197"/>
    <mergeCell ref="O1198:P1198"/>
    <mergeCell ref="O1199:P1199"/>
    <mergeCell ref="O1200:P1200"/>
    <mergeCell ref="O1201:P1201"/>
    <mergeCell ref="O1202:P1202"/>
    <mergeCell ref="O1203:P1203"/>
    <mergeCell ref="O1204:P1204"/>
    <mergeCell ref="O1205:P1205"/>
    <mergeCell ref="O1206:P1206"/>
    <mergeCell ref="O1207:P1207"/>
    <mergeCell ref="O1208:P1208"/>
    <mergeCell ref="O1143:P1143"/>
    <mergeCell ref="O1144:P1144"/>
    <mergeCell ref="O1145:P1145"/>
    <mergeCell ref="O1146:P1146"/>
    <mergeCell ref="O1147:P1147"/>
    <mergeCell ref="O1148:P1148"/>
    <mergeCell ref="O1149:P1149"/>
    <mergeCell ref="O1150:P1150"/>
    <mergeCell ref="O1151:P1151"/>
    <mergeCell ref="O1152:P1152"/>
    <mergeCell ref="O1153:P1153"/>
    <mergeCell ref="O1154:P1154"/>
    <mergeCell ref="O1155:P1155"/>
    <mergeCell ref="O1156:P1156"/>
    <mergeCell ref="O1157:P1157"/>
    <mergeCell ref="O1158:P1158"/>
    <mergeCell ref="O1159:P1159"/>
    <mergeCell ref="O1160:P1160"/>
    <mergeCell ref="O1161:P1161"/>
    <mergeCell ref="O1162:P1162"/>
    <mergeCell ref="O1163:P1163"/>
    <mergeCell ref="O1164:P1164"/>
    <mergeCell ref="O1165:P1165"/>
    <mergeCell ref="O1166:P1166"/>
    <mergeCell ref="O1167:P1167"/>
    <mergeCell ref="O1168:P1168"/>
    <mergeCell ref="O1169:P1169"/>
    <mergeCell ref="O1170:P1170"/>
    <mergeCell ref="O1171:P1171"/>
    <mergeCell ref="O1172:P1172"/>
    <mergeCell ref="O1173:P1173"/>
    <mergeCell ref="O1174:P1174"/>
    <mergeCell ref="O1175:P1175"/>
    <mergeCell ref="O1110:P1110"/>
    <mergeCell ref="O1111:P1111"/>
    <mergeCell ref="O1112:P1112"/>
    <mergeCell ref="O1113:P1113"/>
    <mergeCell ref="O1114:P1114"/>
    <mergeCell ref="O1115:P1115"/>
    <mergeCell ref="O1116:P1116"/>
    <mergeCell ref="O1117:P1117"/>
    <mergeCell ref="O1118:P1118"/>
    <mergeCell ref="O1119:P1119"/>
    <mergeCell ref="O1120:P1120"/>
    <mergeCell ref="O1121:P1121"/>
    <mergeCell ref="O1122:P1122"/>
    <mergeCell ref="O1123:P1123"/>
    <mergeCell ref="O1124:P1124"/>
    <mergeCell ref="O1125:P1125"/>
    <mergeCell ref="O1126:P1126"/>
    <mergeCell ref="O1127:P1127"/>
    <mergeCell ref="O1128:P1128"/>
    <mergeCell ref="O1129:P1129"/>
    <mergeCell ref="O1130:P1130"/>
    <mergeCell ref="O1131:P1131"/>
    <mergeCell ref="O1132:P1132"/>
    <mergeCell ref="O1133:P1133"/>
    <mergeCell ref="O1134:P1134"/>
    <mergeCell ref="O1135:P1135"/>
    <mergeCell ref="O1136:P1136"/>
    <mergeCell ref="O1137:P1137"/>
    <mergeCell ref="O1138:P1138"/>
    <mergeCell ref="O1139:P1139"/>
    <mergeCell ref="O1140:P1140"/>
    <mergeCell ref="O1141:P1141"/>
    <mergeCell ref="O1142:P1142"/>
    <mergeCell ref="O1077:P1077"/>
    <mergeCell ref="O1078:P1078"/>
    <mergeCell ref="O1079:P1079"/>
    <mergeCell ref="O1080:P1080"/>
    <mergeCell ref="O1081:P1081"/>
    <mergeCell ref="O1082:P1082"/>
    <mergeCell ref="O1083:P1083"/>
    <mergeCell ref="O1084:P1084"/>
    <mergeCell ref="O1085:P1085"/>
    <mergeCell ref="O1086:P1086"/>
    <mergeCell ref="O1087:P1087"/>
    <mergeCell ref="O1088:P1088"/>
    <mergeCell ref="O1089:P1089"/>
    <mergeCell ref="O1090:P1090"/>
    <mergeCell ref="O1091:P1091"/>
    <mergeCell ref="O1092:P1092"/>
    <mergeCell ref="O1093:P1093"/>
    <mergeCell ref="O1094:P1094"/>
    <mergeCell ref="O1095:P1095"/>
    <mergeCell ref="O1096:P1096"/>
    <mergeCell ref="O1097:P1097"/>
    <mergeCell ref="O1098:P1098"/>
    <mergeCell ref="O1099:P1099"/>
    <mergeCell ref="O1100:P1100"/>
    <mergeCell ref="O1101:P1101"/>
    <mergeCell ref="O1102:P1102"/>
    <mergeCell ref="O1103:P1103"/>
    <mergeCell ref="O1104:P1104"/>
    <mergeCell ref="O1105:P1105"/>
    <mergeCell ref="O1106:P1106"/>
    <mergeCell ref="O1107:P1107"/>
    <mergeCell ref="O1108:P1108"/>
    <mergeCell ref="O1109:P1109"/>
    <mergeCell ref="O1044:P1044"/>
    <mergeCell ref="O1045:P1045"/>
    <mergeCell ref="O1046:P1046"/>
    <mergeCell ref="O1047:P1047"/>
    <mergeCell ref="O1048:P1048"/>
    <mergeCell ref="O1049:P1049"/>
    <mergeCell ref="O1050:P1050"/>
    <mergeCell ref="O1051:P1051"/>
    <mergeCell ref="O1052:P1052"/>
    <mergeCell ref="O1053:P1053"/>
    <mergeCell ref="O1054:P1054"/>
    <mergeCell ref="O1055:P1055"/>
    <mergeCell ref="O1056:P1056"/>
    <mergeCell ref="O1057:P1057"/>
    <mergeCell ref="O1058:P1058"/>
    <mergeCell ref="O1059:P1059"/>
    <mergeCell ref="O1060:P1060"/>
    <mergeCell ref="O1061:P1061"/>
    <mergeCell ref="O1062:P1062"/>
    <mergeCell ref="O1063:P1063"/>
    <mergeCell ref="O1064:P1064"/>
    <mergeCell ref="O1065:P1065"/>
    <mergeCell ref="O1066:P1066"/>
    <mergeCell ref="O1067:P1067"/>
    <mergeCell ref="O1068:P1068"/>
    <mergeCell ref="O1069:P1069"/>
    <mergeCell ref="O1070:P1070"/>
    <mergeCell ref="O1071:P1071"/>
    <mergeCell ref="O1072:P1072"/>
    <mergeCell ref="O1073:P1073"/>
    <mergeCell ref="O1074:P1074"/>
    <mergeCell ref="O1075:P1075"/>
    <mergeCell ref="O1076:P1076"/>
    <mergeCell ref="O1011:P1011"/>
    <mergeCell ref="O1012:P1012"/>
    <mergeCell ref="O1013:P1013"/>
    <mergeCell ref="O1014:P1014"/>
    <mergeCell ref="O1015:P1015"/>
    <mergeCell ref="O1016:P1016"/>
    <mergeCell ref="O1017:P1017"/>
    <mergeCell ref="O1018:P1018"/>
    <mergeCell ref="O1019:P1019"/>
    <mergeCell ref="O1020:P1020"/>
    <mergeCell ref="O1021:P1021"/>
    <mergeCell ref="O1022:P1022"/>
    <mergeCell ref="O1023:P1023"/>
    <mergeCell ref="O1024:P1024"/>
    <mergeCell ref="O1025:P1025"/>
    <mergeCell ref="O1026:P1026"/>
    <mergeCell ref="O1027:P1027"/>
    <mergeCell ref="O1028:P1028"/>
    <mergeCell ref="O1029:P1029"/>
    <mergeCell ref="O1030:P1030"/>
    <mergeCell ref="O1031:P1031"/>
    <mergeCell ref="O1032:P1032"/>
    <mergeCell ref="O1033:P1033"/>
    <mergeCell ref="O1034:P1034"/>
    <mergeCell ref="O1035:P1035"/>
    <mergeCell ref="O1036:P1036"/>
    <mergeCell ref="O1037:P1037"/>
    <mergeCell ref="O1038:P1038"/>
    <mergeCell ref="O1039:P1039"/>
    <mergeCell ref="O1040:P1040"/>
    <mergeCell ref="O1041:P1041"/>
    <mergeCell ref="O1042:P1042"/>
    <mergeCell ref="O1043:P1043"/>
    <mergeCell ref="O978:P978"/>
    <mergeCell ref="O979:P979"/>
    <mergeCell ref="O980:P980"/>
    <mergeCell ref="O981:P981"/>
    <mergeCell ref="O982:P982"/>
    <mergeCell ref="O983:P983"/>
    <mergeCell ref="O984:P984"/>
    <mergeCell ref="O985:P985"/>
    <mergeCell ref="O986:P986"/>
    <mergeCell ref="O987:P987"/>
    <mergeCell ref="O988:P988"/>
    <mergeCell ref="O989:P989"/>
    <mergeCell ref="O990:P990"/>
    <mergeCell ref="O991:P991"/>
    <mergeCell ref="O992:P992"/>
    <mergeCell ref="O993:P993"/>
    <mergeCell ref="O994:P994"/>
    <mergeCell ref="O995:P995"/>
    <mergeCell ref="O996:P996"/>
    <mergeCell ref="O997:P997"/>
    <mergeCell ref="O998:P998"/>
    <mergeCell ref="O999:P999"/>
    <mergeCell ref="O1000:P1000"/>
    <mergeCell ref="O1001:P1001"/>
    <mergeCell ref="O1002:P1002"/>
    <mergeCell ref="O1003:P1003"/>
    <mergeCell ref="O1004:P1004"/>
    <mergeCell ref="O1005:P1005"/>
    <mergeCell ref="O1006:P1006"/>
    <mergeCell ref="O1007:P1007"/>
    <mergeCell ref="O1008:P1008"/>
    <mergeCell ref="O1009:P1009"/>
    <mergeCell ref="O1010:P1010"/>
    <mergeCell ref="O945:P945"/>
    <mergeCell ref="O946:P946"/>
    <mergeCell ref="O947:P947"/>
    <mergeCell ref="O948:P948"/>
    <mergeCell ref="O949:P949"/>
    <mergeCell ref="O950:P950"/>
    <mergeCell ref="O951:P951"/>
    <mergeCell ref="O952:P952"/>
    <mergeCell ref="O953:P953"/>
    <mergeCell ref="O954:P954"/>
    <mergeCell ref="O955:P955"/>
    <mergeCell ref="O956:P956"/>
    <mergeCell ref="O957:P957"/>
    <mergeCell ref="O958:P958"/>
    <mergeCell ref="O959:P959"/>
    <mergeCell ref="O960:P960"/>
    <mergeCell ref="O961:P961"/>
    <mergeCell ref="O962:P962"/>
    <mergeCell ref="O963:P963"/>
    <mergeCell ref="O964:P964"/>
    <mergeCell ref="O965:P965"/>
    <mergeCell ref="O966:P966"/>
    <mergeCell ref="O967:P967"/>
    <mergeCell ref="O968:P968"/>
    <mergeCell ref="O969:P969"/>
    <mergeCell ref="O970:P970"/>
    <mergeCell ref="O971:P971"/>
    <mergeCell ref="O972:P972"/>
    <mergeCell ref="O973:P973"/>
    <mergeCell ref="O974:P974"/>
    <mergeCell ref="O975:P975"/>
    <mergeCell ref="O976:P976"/>
    <mergeCell ref="O977:P977"/>
    <mergeCell ref="O912:P912"/>
    <mergeCell ref="O913:P913"/>
    <mergeCell ref="O914:P914"/>
    <mergeCell ref="O915:P915"/>
    <mergeCell ref="O916:P916"/>
    <mergeCell ref="O917:P917"/>
    <mergeCell ref="O918:P918"/>
    <mergeCell ref="O919:P919"/>
    <mergeCell ref="O920:P920"/>
    <mergeCell ref="O921:P921"/>
    <mergeCell ref="O922:P922"/>
    <mergeCell ref="O923:P923"/>
    <mergeCell ref="O924:P924"/>
    <mergeCell ref="O925:P925"/>
    <mergeCell ref="O926:P926"/>
    <mergeCell ref="O927:P927"/>
    <mergeCell ref="O928:P928"/>
    <mergeCell ref="O929:P929"/>
    <mergeCell ref="O930:P930"/>
    <mergeCell ref="O931:P931"/>
    <mergeCell ref="O932:P932"/>
    <mergeCell ref="O933:P933"/>
    <mergeCell ref="O934:P934"/>
    <mergeCell ref="O935:P935"/>
    <mergeCell ref="O936:P936"/>
    <mergeCell ref="O937:P937"/>
    <mergeCell ref="O938:P938"/>
    <mergeCell ref="O939:P939"/>
    <mergeCell ref="O940:P940"/>
    <mergeCell ref="O941:P941"/>
    <mergeCell ref="O942:P942"/>
    <mergeCell ref="O943:P943"/>
    <mergeCell ref="O944:P944"/>
    <mergeCell ref="O879:P879"/>
    <mergeCell ref="O880:P880"/>
    <mergeCell ref="O881:P881"/>
    <mergeCell ref="O882:P882"/>
    <mergeCell ref="O883:P883"/>
    <mergeCell ref="O884:P884"/>
    <mergeCell ref="O885:P885"/>
    <mergeCell ref="O886:P886"/>
    <mergeCell ref="O887:P887"/>
    <mergeCell ref="O888:P888"/>
    <mergeCell ref="O889:P889"/>
    <mergeCell ref="O890:P890"/>
    <mergeCell ref="O891:P891"/>
    <mergeCell ref="O892:P892"/>
    <mergeCell ref="O893:P893"/>
    <mergeCell ref="O894:P894"/>
    <mergeCell ref="O895:P895"/>
    <mergeCell ref="O896:P896"/>
    <mergeCell ref="O897:P897"/>
    <mergeCell ref="O898:P898"/>
    <mergeCell ref="O899:P899"/>
    <mergeCell ref="O900:P900"/>
    <mergeCell ref="O901:P901"/>
    <mergeCell ref="O902:P902"/>
    <mergeCell ref="O903:P903"/>
    <mergeCell ref="O904:P904"/>
    <mergeCell ref="O905:P905"/>
    <mergeCell ref="O906:P906"/>
    <mergeCell ref="O907:P907"/>
    <mergeCell ref="O908:P908"/>
    <mergeCell ref="O909:P909"/>
    <mergeCell ref="O910:P910"/>
    <mergeCell ref="O911:P911"/>
    <mergeCell ref="O846:P846"/>
    <mergeCell ref="O847:P847"/>
    <mergeCell ref="O848:P848"/>
    <mergeCell ref="O849:P849"/>
    <mergeCell ref="O850:P850"/>
    <mergeCell ref="O851:P851"/>
    <mergeCell ref="O852:P852"/>
    <mergeCell ref="O853:P853"/>
    <mergeCell ref="O854:P854"/>
    <mergeCell ref="O855:P855"/>
    <mergeCell ref="O856:P856"/>
    <mergeCell ref="O857:P857"/>
    <mergeCell ref="O858:P858"/>
    <mergeCell ref="O859:P859"/>
    <mergeCell ref="O860:P860"/>
    <mergeCell ref="O861:P861"/>
    <mergeCell ref="O862:P862"/>
    <mergeCell ref="O863:P863"/>
    <mergeCell ref="O864:P864"/>
    <mergeCell ref="O865:P865"/>
    <mergeCell ref="O866:P866"/>
    <mergeCell ref="O867:P867"/>
    <mergeCell ref="O868:P868"/>
    <mergeCell ref="O869:P869"/>
    <mergeCell ref="O870:P870"/>
    <mergeCell ref="O871:P871"/>
    <mergeCell ref="O872:P872"/>
    <mergeCell ref="O873:P873"/>
    <mergeCell ref="O874:P874"/>
    <mergeCell ref="O875:P875"/>
    <mergeCell ref="O876:P876"/>
    <mergeCell ref="O877:P877"/>
    <mergeCell ref="O878:P878"/>
    <mergeCell ref="O813:P813"/>
    <mergeCell ref="O814:P814"/>
    <mergeCell ref="O815:P815"/>
    <mergeCell ref="O816:P816"/>
    <mergeCell ref="O817:P817"/>
    <mergeCell ref="O818:P818"/>
    <mergeCell ref="O819:P819"/>
    <mergeCell ref="O820:P820"/>
    <mergeCell ref="O821:P821"/>
    <mergeCell ref="O822:P822"/>
    <mergeCell ref="O823:P823"/>
    <mergeCell ref="O824:P824"/>
    <mergeCell ref="O825:P825"/>
    <mergeCell ref="O826:P826"/>
    <mergeCell ref="O827:P827"/>
    <mergeCell ref="O828:P828"/>
    <mergeCell ref="O829:P829"/>
    <mergeCell ref="O830:P830"/>
    <mergeCell ref="O831:P831"/>
    <mergeCell ref="O832:P832"/>
    <mergeCell ref="O833:P833"/>
    <mergeCell ref="O834:P834"/>
    <mergeCell ref="O835:P835"/>
    <mergeCell ref="O836:P836"/>
    <mergeCell ref="O837:P837"/>
    <mergeCell ref="O838:P838"/>
    <mergeCell ref="O839:P839"/>
    <mergeCell ref="O840:P840"/>
    <mergeCell ref="O841:P841"/>
    <mergeCell ref="O842:P842"/>
    <mergeCell ref="O843:P843"/>
    <mergeCell ref="O844:P844"/>
    <mergeCell ref="O845:P845"/>
    <mergeCell ref="O780:P780"/>
    <mergeCell ref="O781:P781"/>
    <mergeCell ref="O782:P782"/>
    <mergeCell ref="O783:P783"/>
    <mergeCell ref="O784:P784"/>
    <mergeCell ref="O785:P785"/>
    <mergeCell ref="O786:P786"/>
    <mergeCell ref="O787:P787"/>
    <mergeCell ref="O788:P788"/>
    <mergeCell ref="O789:P789"/>
    <mergeCell ref="O790:P790"/>
    <mergeCell ref="O791:P791"/>
    <mergeCell ref="O792:P792"/>
    <mergeCell ref="O793:P793"/>
    <mergeCell ref="O794:P794"/>
    <mergeCell ref="O795:P795"/>
    <mergeCell ref="O796:P796"/>
    <mergeCell ref="O797:P797"/>
    <mergeCell ref="O798:P798"/>
    <mergeCell ref="O799:P799"/>
    <mergeCell ref="O800:P800"/>
    <mergeCell ref="O801:P801"/>
    <mergeCell ref="O802:P802"/>
    <mergeCell ref="O803:P803"/>
    <mergeCell ref="O804:P804"/>
    <mergeCell ref="O805:P805"/>
    <mergeCell ref="O806:P806"/>
    <mergeCell ref="O807:P807"/>
    <mergeCell ref="O808:P808"/>
    <mergeCell ref="O809:P809"/>
    <mergeCell ref="O810:P810"/>
    <mergeCell ref="O811:P811"/>
    <mergeCell ref="O812:P812"/>
    <mergeCell ref="O747:P747"/>
    <mergeCell ref="O748:P748"/>
    <mergeCell ref="O749:P749"/>
    <mergeCell ref="O750:P750"/>
    <mergeCell ref="O751:P751"/>
    <mergeCell ref="O752:P752"/>
    <mergeCell ref="O753:P753"/>
    <mergeCell ref="O754:P754"/>
    <mergeCell ref="O755:P755"/>
    <mergeCell ref="O756:P756"/>
    <mergeCell ref="O757:P757"/>
    <mergeCell ref="O758:P758"/>
    <mergeCell ref="O759:P759"/>
    <mergeCell ref="O760:P760"/>
    <mergeCell ref="O761:P761"/>
    <mergeCell ref="O762:P762"/>
    <mergeCell ref="O763:P763"/>
    <mergeCell ref="O764:P764"/>
    <mergeCell ref="O765:P765"/>
    <mergeCell ref="O766:P766"/>
    <mergeCell ref="O767:P767"/>
    <mergeCell ref="O768:P768"/>
    <mergeCell ref="O769:P769"/>
    <mergeCell ref="O770:P770"/>
    <mergeCell ref="O771:P771"/>
    <mergeCell ref="O772:P772"/>
    <mergeCell ref="O773:P773"/>
    <mergeCell ref="O774:P774"/>
    <mergeCell ref="O775:P775"/>
    <mergeCell ref="O776:P776"/>
    <mergeCell ref="O777:P777"/>
    <mergeCell ref="O778:P778"/>
    <mergeCell ref="O779:P779"/>
    <mergeCell ref="O714:P714"/>
    <mergeCell ref="O715:P715"/>
    <mergeCell ref="O716:P716"/>
    <mergeCell ref="O717:P717"/>
    <mergeCell ref="O718:P718"/>
    <mergeCell ref="O719:P719"/>
    <mergeCell ref="O720:P720"/>
    <mergeCell ref="O721:P721"/>
    <mergeCell ref="O722:P722"/>
    <mergeCell ref="O723:P723"/>
    <mergeCell ref="O724:P724"/>
    <mergeCell ref="O725:P725"/>
    <mergeCell ref="O726:P726"/>
    <mergeCell ref="O727:P727"/>
    <mergeCell ref="O728:P728"/>
    <mergeCell ref="O729:P729"/>
    <mergeCell ref="O730:P730"/>
    <mergeCell ref="O731:P731"/>
    <mergeCell ref="O732:P732"/>
    <mergeCell ref="O733:P733"/>
    <mergeCell ref="O734:P734"/>
    <mergeCell ref="O735:P735"/>
    <mergeCell ref="O736:P736"/>
    <mergeCell ref="O737:P737"/>
    <mergeCell ref="O738:P738"/>
    <mergeCell ref="O739:P739"/>
    <mergeCell ref="O740:P740"/>
    <mergeCell ref="O741:P741"/>
    <mergeCell ref="O742:P742"/>
    <mergeCell ref="O743:P743"/>
    <mergeCell ref="O744:P744"/>
    <mergeCell ref="O745:P745"/>
    <mergeCell ref="O746:P746"/>
    <mergeCell ref="O681:P681"/>
    <mergeCell ref="O682:P682"/>
    <mergeCell ref="O683:P683"/>
    <mergeCell ref="O684:P684"/>
    <mergeCell ref="O685:P685"/>
    <mergeCell ref="O686:P686"/>
    <mergeCell ref="O687:P687"/>
    <mergeCell ref="O688:P688"/>
    <mergeCell ref="O689:P689"/>
    <mergeCell ref="O690:P690"/>
    <mergeCell ref="O691:P691"/>
    <mergeCell ref="O692:P692"/>
    <mergeCell ref="O693:P693"/>
    <mergeCell ref="O694:P694"/>
    <mergeCell ref="O695:P695"/>
    <mergeCell ref="O696:P696"/>
    <mergeCell ref="O697:P697"/>
    <mergeCell ref="O698:P698"/>
    <mergeCell ref="O699:P699"/>
    <mergeCell ref="O700:P700"/>
    <mergeCell ref="O701:P701"/>
    <mergeCell ref="O702:P702"/>
    <mergeCell ref="O703:P703"/>
    <mergeCell ref="O704:P704"/>
    <mergeCell ref="O705:P705"/>
    <mergeCell ref="O706:P706"/>
    <mergeCell ref="O707:P707"/>
    <mergeCell ref="O708:P708"/>
    <mergeCell ref="O709:P709"/>
    <mergeCell ref="O710:P710"/>
    <mergeCell ref="O711:P711"/>
    <mergeCell ref="O712:P712"/>
    <mergeCell ref="O713:P713"/>
    <mergeCell ref="O648:P648"/>
    <mergeCell ref="O649:P649"/>
    <mergeCell ref="O650:P650"/>
    <mergeCell ref="O651:P651"/>
    <mergeCell ref="O652:P652"/>
    <mergeCell ref="O653:P653"/>
    <mergeCell ref="O654:P654"/>
    <mergeCell ref="O655:P655"/>
    <mergeCell ref="O656:P656"/>
    <mergeCell ref="O657:P657"/>
    <mergeCell ref="O658:P658"/>
    <mergeCell ref="O659:P659"/>
    <mergeCell ref="O660:P660"/>
    <mergeCell ref="O661:P661"/>
    <mergeCell ref="O662:P662"/>
    <mergeCell ref="O663:P663"/>
    <mergeCell ref="O664:P664"/>
    <mergeCell ref="O665:P665"/>
    <mergeCell ref="O666:P666"/>
    <mergeCell ref="O667:P667"/>
    <mergeCell ref="O668:P668"/>
    <mergeCell ref="O669:P669"/>
    <mergeCell ref="O670:P670"/>
    <mergeCell ref="O671:P671"/>
    <mergeCell ref="O672:P672"/>
    <mergeCell ref="O673:P673"/>
    <mergeCell ref="O674:P674"/>
    <mergeCell ref="O675:P675"/>
    <mergeCell ref="O676:P676"/>
    <mergeCell ref="O677:P677"/>
    <mergeCell ref="O678:P678"/>
    <mergeCell ref="O679:P679"/>
    <mergeCell ref="O680:P680"/>
    <mergeCell ref="O615:P615"/>
    <mergeCell ref="O616:P616"/>
    <mergeCell ref="O617:P617"/>
    <mergeCell ref="O618:P618"/>
    <mergeCell ref="O619:P619"/>
    <mergeCell ref="O620:P620"/>
    <mergeCell ref="O621:P621"/>
    <mergeCell ref="O622:P622"/>
    <mergeCell ref="O623:P623"/>
    <mergeCell ref="O624:P624"/>
    <mergeCell ref="O625:P625"/>
    <mergeCell ref="O626:P626"/>
    <mergeCell ref="O627:P627"/>
    <mergeCell ref="O628:P628"/>
    <mergeCell ref="O629:P629"/>
    <mergeCell ref="O630:P630"/>
    <mergeCell ref="O631:P631"/>
    <mergeCell ref="O632:P632"/>
    <mergeCell ref="O633:P633"/>
    <mergeCell ref="O634:P634"/>
    <mergeCell ref="O635:P635"/>
    <mergeCell ref="O636:P636"/>
    <mergeCell ref="O637:P637"/>
    <mergeCell ref="O638:P638"/>
    <mergeCell ref="O639:P639"/>
    <mergeCell ref="O640:P640"/>
    <mergeCell ref="O641:P641"/>
    <mergeCell ref="O642:P642"/>
    <mergeCell ref="O643:P643"/>
    <mergeCell ref="O644:P644"/>
    <mergeCell ref="O645:P645"/>
    <mergeCell ref="O646:P646"/>
    <mergeCell ref="O647:P647"/>
    <mergeCell ref="O582:P582"/>
    <mergeCell ref="O583:P583"/>
    <mergeCell ref="O584:P584"/>
    <mergeCell ref="O585:P585"/>
    <mergeCell ref="O586:P586"/>
    <mergeCell ref="O587:P587"/>
    <mergeCell ref="O588:P588"/>
    <mergeCell ref="O589:P589"/>
    <mergeCell ref="O590:P590"/>
    <mergeCell ref="O591:P591"/>
    <mergeCell ref="O592:P592"/>
    <mergeCell ref="O593:P593"/>
    <mergeCell ref="O594:P594"/>
    <mergeCell ref="O595:P595"/>
    <mergeCell ref="O596:P596"/>
    <mergeCell ref="O597:P597"/>
    <mergeCell ref="O598:P598"/>
    <mergeCell ref="O599:P599"/>
    <mergeCell ref="O600:P600"/>
    <mergeCell ref="O601:P601"/>
    <mergeCell ref="O602:P602"/>
    <mergeCell ref="O603:P603"/>
    <mergeCell ref="O604:P604"/>
    <mergeCell ref="O605:P605"/>
    <mergeCell ref="O606:P606"/>
    <mergeCell ref="O607:P607"/>
    <mergeCell ref="O608:P608"/>
    <mergeCell ref="O609:P609"/>
    <mergeCell ref="O610:P610"/>
    <mergeCell ref="O611:P611"/>
    <mergeCell ref="O612:P612"/>
    <mergeCell ref="O613:P613"/>
    <mergeCell ref="O614:P614"/>
    <mergeCell ref="O549:P549"/>
    <mergeCell ref="O550:P550"/>
    <mergeCell ref="O551:P551"/>
    <mergeCell ref="O552:P552"/>
    <mergeCell ref="O553:P553"/>
    <mergeCell ref="O554:P554"/>
    <mergeCell ref="O555:P555"/>
    <mergeCell ref="O556:P556"/>
    <mergeCell ref="O557:P557"/>
    <mergeCell ref="O558:P558"/>
    <mergeCell ref="O559:P559"/>
    <mergeCell ref="O560:P560"/>
    <mergeCell ref="O561:P561"/>
    <mergeCell ref="O562:P562"/>
    <mergeCell ref="O563:P563"/>
    <mergeCell ref="O564:P564"/>
    <mergeCell ref="O565:P565"/>
    <mergeCell ref="O566:P566"/>
    <mergeCell ref="O567:P567"/>
    <mergeCell ref="O568:P568"/>
    <mergeCell ref="O569:P569"/>
    <mergeCell ref="O570:P570"/>
    <mergeCell ref="O571:P571"/>
    <mergeCell ref="O572:P572"/>
    <mergeCell ref="O573:P573"/>
    <mergeCell ref="O574:P574"/>
    <mergeCell ref="O575:P575"/>
    <mergeCell ref="O576:P576"/>
    <mergeCell ref="O577:P577"/>
    <mergeCell ref="O578:P578"/>
    <mergeCell ref="O579:P579"/>
    <mergeCell ref="O580:P580"/>
    <mergeCell ref="O581:P581"/>
    <mergeCell ref="O516:P516"/>
    <mergeCell ref="O517:P517"/>
    <mergeCell ref="O518:P518"/>
    <mergeCell ref="O519:P519"/>
    <mergeCell ref="O520:P520"/>
    <mergeCell ref="O521:P521"/>
    <mergeCell ref="O522:P522"/>
    <mergeCell ref="O523:P523"/>
    <mergeCell ref="O524:P524"/>
    <mergeCell ref="O525:P525"/>
    <mergeCell ref="O526:P526"/>
    <mergeCell ref="O527:P527"/>
    <mergeCell ref="O528:P528"/>
    <mergeCell ref="O529:P529"/>
    <mergeCell ref="O530:P530"/>
    <mergeCell ref="O531:P531"/>
    <mergeCell ref="O532:P532"/>
    <mergeCell ref="O533:P533"/>
    <mergeCell ref="O534:P534"/>
    <mergeCell ref="O535:P535"/>
    <mergeCell ref="O536:P536"/>
    <mergeCell ref="O537:P537"/>
    <mergeCell ref="O538:P538"/>
    <mergeCell ref="O539:P539"/>
    <mergeCell ref="O540:P540"/>
    <mergeCell ref="O541:P541"/>
    <mergeCell ref="O542:P542"/>
    <mergeCell ref="O543:P543"/>
    <mergeCell ref="O544:P544"/>
    <mergeCell ref="O545:P545"/>
    <mergeCell ref="O546:P546"/>
    <mergeCell ref="O547:P547"/>
    <mergeCell ref="O548:P548"/>
    <mergeCell ref="O4194:P4194"/>
    <mergeCell ref="O4195:P4195"/>
    <mergeCell ref="O4196:P4196"/>
    <mergeCell ref="O4197:P4197"/>
    <mergeCell ref="O4198:P4198"/>
    <mergeCell ref="O4199:P4199"/>
    <mergeCell ref="O4200:P4200"/>
    <mergeCell ref="O4201:P4201"/>
    <mergeCell ref="O4202:P4202"/>
    <mergeCell ref="O4203:P4203"/>
    <mergeCell ref="O4204:P4204"/>
    <mergeCell ref="O4205:P4205"/>
    <mergeCell ref="O4206:P4206"/>
    <mergeCell ref="O4207:P4207"/>
    <mergeCell ref="O4208:P4208"/>
    <mergeCell ref="O4209:P4209"/>
    <mergeCell ref="O4210:P4210"/>
    <mergeCell ref="O4211:P4211"/>
    <mergeCell ref="O4212:P4212"/>
    <mergeCell ref="O4213:P4213"/>
    <mergeCell ref="O441:P441"/>
    <mergeCell ref="O442:P442"/>
    <mergeCell ref="O443:P443"/>
    <mergeCell ref="O444:P444"/>
    <mergeCell ref="O445:P445"/>
    <mergeCell ref="O446:P446"/>
    <mergeCell ref="O447:P447"/>
    <mergeCell ref="O448:P448"/>
    <mergeCell ref="O449:P449"/>
    <mergeCell ref="O450:P450"/>
    <mergeCell ref="O451:P451"/>
    <mergeCell ref="O452:P452"/>
    <mergeCell ref="O453:P453"/>
    <mergeCell ref="O454:P454"/>
    <mergeCell ref="O455:P455"/>
    <mergeCell ref="O456:P456"/>
    <mergeCell ref="O457:P457"/>
    <mergeCell ref="O458:P458"/>
    <mergeCell ref="O459:P459"/>
    <mergeCell ref="O460:P460"/>
    <mergeCell ref="O461:P461"/>
    <mergeCell ref="O462:P462"/>
    <mergeCell ref="O463:P463"/>
    <mergeCell ref="O464:P464"/>
    <mergeCell ref="O465:P465"/>
    <mergeCell ref="O466:P466"/>
    <mergeCell ref="O467:P467"/>
    <mergeCell ref="O468:P468"/>
    <mergeCell ref="O469:P469"/>
    <mergeCell ref="O470:P470"/>
    <mergeCell ref="O471:P471"/>
    <mergeCell ref="O472:P472"/>
    <mergeCell ref="O473:P473"/>
    <mergeCell ref="O474:P474"/>
    <mergeCell ref="O475:P475"/>
    <mergeCell ref="O476:P476"/>
    <mergeCell ref="O477:P477"/>
    <mergeCell ref="O478:P478"/>
    <mergeCell ref="O479:P479"/>
    <mergeCell ref="O480:P480"/>
    <mergeCell ref="O481:P481"/>
    <mergeCell ref="O482:P482"/>
    <mergeCell ref="O483:P483"/>
    <mergeCell ref="O484:P484"/>
    <mergeCell ref="O4161:P4161"/>
    <mergeCell ref="O4162:P4162"/>
    <mergeCell ref="O4163:P4163"/>
    <mergeCell ref="O4164:P4164"/>
    <mergeCell ref="O4165:P4165"/>
    <mergeCell ref="O4166:P4166"/>
    <mergeCell ref="O4167:P4167"/>
    <mergeCell ref="O4168:P4168"/>
    <mergeCell ref="O4169:P4169"/>
    <mergeCell ref="O4170:P4170"/>
    <mergeCell ref="O4171:P4171"/>
    <mergeCell ref="O4172:P4172"/>
    <mergeCell ref="O4173:P4173"/>
    <mergeCell ref="O4174:P4174"/>
    <mergeCell ref="O4175:P4175"/>
    <mergeCell ref="O4176:P4176"/>
    <mergeCell ref="O4177:P4177"/>
    <mergeCell ref="O4178:P4178"/>
    <mergeCell ref="O4179:P4179"/>
    <mergeCell ref="O4180:P4180"/>
    <mergeCell ref="O4181:P4181"/>
    <mergeCell ref="O4182:P4182"/>
    <mergeCell ref="O4183:P4183"/>
    <mergeCell ref="O4184:P4184"/>
    <mergeCell ref="O4185:P4185"/>
    <mergeCell ref="O4186:P4186"/>
    <mergeCell ref="O4187:P4187"/>
    <mergeCell ref="O4188:P4188"/>
    <mergeCell ref="O4189:P4189"/>
    <mergeCell ref="O4190:P4190"/>
    <mergeCell ref="O4191:P4191"/>
    <mergeCell ref="O4192:P4192"/>
    <mergeCell ref="O4193:P4193"/>
    <mergeCell ref="O4128:P4128"/>
    <mergeCell ref="O4129:P4129"/>
    <mergeCell ref="O4130:P4130"/>
    <mergeCell ref="O4131:P4131"/>
    <mergeCell ref="O4132:P4132"/>
    <mergeCell ref="O4133:P4133"/>
    <mergeCell ref="O4134:P4134"/>
    <mergeCell ref="O4135:P4135"/>
    <mergeCell ref="O4136:P4136"/>
    <mergeCell ref="O4137:P4137"/>
    <mergeCell ref="O4138:P4138"/>
    <mergeCell ref="O4139:P4139"/>
    <mergeCell ref="O4140:P4140"/>
    <mergeCell ref="O4141:P4141"/>
    <mergeCell ref="O4142:P4142"/>
    <mergeCell ref="O4143:P4143"/>
    <mergeCell ref="O4144:P4144"/>
    <mergeCell ref="O4145:P4145"/>
    <mergeCell ref="O4146:P4146"/>
    <mergeCell ref="O4147:P4147"/>
    <mergeCell ref="O4148:P4148"/>
    <mergeCell ref="O4149:P4149"/>
    <mergeCell ref="O4150:P4150"/>
    <mergeCell ref="O4151:P4151"/>
    <mergeCell ref="O4152:P4152"/>
    <mergeCell ref="O4153:P4153"/>
    <mergeCell ref="O4154:P4154"/>
    <mergeCell ref="O4155:P4155"/>
    <mergeCell ref="O4156:P4156"/>
    <mergeCell ref="O4157:P4157"/>
    <mergeCell ref="O4158:P4158"/>
    <mergeCell ref="O4159:P4159"/>
    <mergeCell ref="O4160:P4160"/>
    <mergeCell ref="O4095:P4095"/>
    <mergeCell ref="O4096:P4096"/>
    <mergeCell ref="O4097:P4097"/>
    <mergeCell ref="O4098:P4098"/>
    <mergeCell ref="O4099:P4099"/>
    <mergeCell ref="O4100:P4100"/>
    <mergeCell ref="O4101:P4101"/>
    <mergeCell ref="O4102:P4102"/>
    <mergeCell ref="O4103:P4103"/>
    <mergeCell ref="O4104:P4104"/>
    <mergeCell ref="O4105:P4105"/>
    <mergeCell ref="O4106:P4106"/>
    <mergeCell ref="O4107:P4107"/>
    <mergeCell ref="O4108:P4108"/>
    <mergeCell ref="O4109:P4109"/>
    <mergeCell ref="O4110:P4110"/>
    <mergeCell ref="O4111:P4111"/>
    <mergeCell ref="O4112:P4112"/>
    <mergeCell ref="O4113:P4113"/>
    <mergeCell ref="O4114:P4114"/>
    <mergeCell ref="O4115:P4115"/>
    <mergeCell ref="O4116:P4116"/>
    <mergeCell ref="O4117:P4117"/>
    <mergeCell ref="O4118:P4118"/>
    <mergeCell ref="O4119:P4119"/>
    <mergeCell ref="O4120:P4120"/>
    <mergeCell ref="O4121:P4121"/>
    <mergeCell ref="O4122:P4122"/>
    <mergeCell ref="O4123:P4123"/>
    <mergeCell ref="O4124:P4124"/>
    <mergeCell ref="O4125:P4125"/>
    <mergeCell ref="O4126:P4126"/>
    <mergeCell ref="O4127:P4127"/>
    <mergeCell ref="O4062:P4062"/>
    <mergeCell ref="O4063:P4063"/>
    <mergeCell ref="O4064:P4064"/>
    <mergeCell ref="O4065:P4065"/>
    <mergeCell ref="O4066:P4066"/>
    <mergeCell ref="O4067:P4067"/>
    <mergeCell ref="O4068:P4068"/>
    <mergeCell ref="O4069:P4069"/>
    <mergeCell ref="O4070:P4070"/>
    <mergeCell ref="O4071:P4071"/>
    <mergeCell ref="O4072:P4072"/>
    <mergeCell ref="O4073:P4073"/>
    <mergeCell ref="O4074:P4074"/>
    <mergeCell ref="O4075:P4075"/>
    <mergeCell ref="O4076:P4076"/>
    <mergeCell ref="O4077:P4077"/>
    <mergeCell ref="O4078:P4078"/>
    <mergeCell ref="O4079:P4079"/>
    <mergeCell ref="O4080:P4080"/>
    <mergeCell ref="O4081:P4081"/>
    <mergeCell ref="O4082:P4082"/>
    <mergeCell ref="O4083:P4083"/>
    <mergeCell ref="O4084:P4084"/>
    <mergeCell ref="O4085:P4085"/>
    <mergeCell ref="O4086:P4086"/>
    <mergeCell ref="O4087:P4087"/>
    <mergeCell ref="O4088:P4088"/>
    <mergeCell ref="O4089:P4089"/>
    <mergeCell ref="O4090:P4090"/>
    <mergeCell ref="O4091:P4091"/>
    <mergeCell ref="O4092:P4092"/>
    <mergeCell ref="O4093:P4093"/>
    <mergeCell ref="O4094:P4094"/>
    <mergeCell ref="O4029:P4029"/>
    <mergeCell ref="O4030:P4030"/>
    <mergeCell ref="O4031:P4031"/>
    <mergeCell ref="O4032:P4032"/>
    <mergeCell ref="O4033:P4033"/>
    <mergeCell ref="O4034:P4034"/>
    <mergeCell ref="O4035:P4035"/>
    <mergeCell ref="O4036:P4036"/>
    <mergeCell ref="O4037:P4037"/>
    <mergeCell ref="O4038:P4038"/>
    <mergeCell ref="O4039:P4039"/>
    <mergeCell ref="O4040:P4040"/>
    <mergeCell ref="O4041:P4041"/>
    <mergeCell ref="O4042:P4042"/>
    <mergeCell ref="O4043:P4043"/>
    <mergeCell ref="O4044:P4044"/>
    <mergeCell ref="O4045:P4045"/>
    <mergeCell ref="O4046:P4046"/>
    <mergeCell ref="O4047:P4047"/>
    <mergeCell ref="O4048:P4048"/>
    <mergeCell ref="O4049:P4049"/>
    <mergeCell ref="O4050:P4050"/>
    <mergeCell ref="O4051:P4051"/>
    <mergeCell ref="O4052:P4052"/>
    <mergeCell ref="O4053:P4053"/>
    <mergeCell ref="O4054:P4054"/>
    <mergeCell ref="O4055:P4055"/>
    <mergeCell ref="O4056:P4056"/>
    <mergeCell ref="O4057:P4057"/>
    <mergeCell ref="O4058:P4058"/>
    <mergeCell ref="O4059:P4059"/>
    <mergeCell ref="O4060:P4060"/>
    <mergeCell ref="O4061:P4061"/>
    <mergeCell ref="O3996:P3996"/>
    <mergeCell ref="O3997:P3997"/>
    <mergeCell ref="O3998:P3998"/>
    <mergeCell ref="O3999:P3999"/>
    <mergeCell ref="O4000:P4000"/>
    <mergeCell ref="O4001:P4001"/>
    <mergeCell ref="O4002:P4002"/>
    <mergeCell ref="O4003:P4003"/>
    <mergeCell ref="O4004:P4004"/>
    <mergeCell ref="O4005:P4005"/>
    <mergeCell ref="O4006:P4006"/>
    <mergeCell ref="O4007:P4007"/>
    <mergeCell ref="O4008:P4008"/>
    <mergeCell ref="O4009:P4009"/>
    <mergeCell ref="O4010:P4010"/>
    <mergeCell ref="O4011:P4011"/>
    <mergeCell ref="O4012:P4012"/>
    <mergeCell ref="O4013:P4013"/>
    <mergeCell ref="O4014:P4014"/>
    <mergeCell ref="O4015:P4015"/>
    <mergeCell ref="O4016:P4016"/>
    <mergeCell ref="O4017:P4017"/>
    <mergeCell ref="O4018:P4018"/>
    <mergeCell ref="O4019:P4019"/>
    <mergeCell ref="O4020:P4020"/>
    <mergeCell ref="O4021:P4021"/>
    <mergeCell ref="O4022:P4022"/>
    <mergeCell ref="O4023:P4023"/>
    <mergeCell ref="O4024:P4024"/>
    <mergeCell ref="O4025:P4025"/>
    <mergeCell ref="O4026:P4026"/>
    <mergeCell ref="O4027:P4027"/>
    <mergeCell ref="O4028:P4028"/>
    <mergeCell ref="O3963:P3963"/>
    <mergeCell ref="O3964:P3964"/>
    <mergeCell ref="O3965:P3965"/>
    <mergeCell ref="O3966:P3966"/>
    <mergeCell ref="O3967:P3967"/>
    <mergeCell ref="O3968:P3968"/>
    <mergeCell ref="O3969:P3969"/>
    <mergeCell ref="O3970:P3970"/>
    <mergeCell ref="O3971:P3971"/>
    <mergeCell ref="O3972:P3972"/>
    <mergeCell ref="O3973:P3973"/>
    <mergeCell ref="O3974:P3974"/>
    <mergeCell ref="O3975:P3975"/>
    <mergeCell ref="O3976:P3976"/>
    <mergeCell ref="O3977:P3977"/>
    <mergeCell ref="O3978:P3978"/>
    <mergeCell ref="O3979:P3979"/>
    <mergeCell ref="O3980:P3980"/>
    <mergeCell ref="O3981:P3981"/>
    <mergeCell ref="O3982:P3982"/>
    <mergeCell ref="O3983:P3983"/>
    <mergeCell ref="O3984:P3984"/>
    <mergeCell ref="O3985:P3985"/>
    <mergeCell ref="O3986:P3986"/>
    <mergeCell ref="O3987:P3987"/>
    <mergeCell ref="O3988:P3988"/>
    <mergeCell ref="O3989:P3989"/>
    <mergeCell ref="O3990:P3990"/>
    <mergeCell ref="O3991:P3991"/>
    <mergeCell ref="O3992:P3992"/>
    <mergeCell ref="O3993:P3993"/>
    <mergeCell ref="O3994:P3994"/>
    <mergeCell ref="O3995:P3995"/>
    <mergeCell ref="O4505:P4505"/>
    <mergeCell ref="O4506:P4506"/>
    <mergeCell ref="O4507:P4507"/>
    <mergeCell ref="O3871:P3871"/>
    <mergeCell ref="O3872:P3872"/>
    <mergeCell ref="O3873:P3873"/>
    <mergeCell ref="O3874:P3874"/>
    <mergeCell ref="O3875:P3875"/>
    <mergeCell ref="O3876:P3876"/>
    <mergeCell ref="O3877:P3877"/>
    <mergeCell ref="O3878:P3878"/>
    <mergeCell ref="O3879:P3879"/>
    <mergeCell ref="O3880:P3880"/>
    <mergeCell ref="O3881:P3881"/>
    <mergeCell ref="O3882:P3882"/>
    <mergeCell ref="O3883:P3883"/>
    <mergeCell ref="O3884:P3884"/>
    <mergeCell ref="O3885:P3885"/>
    <mergeCell ref="O3886:P3886"/>
    <mergeCell ref="O3887:P3887"/>
    <mergeCell ref="O3888:P3888"/>
    <mergeCell ref="O3889:P3889"/>
    <mergeCell ref="O3890:P3890"/>
    <mergeCell ref="O3891:P3891"/>
    <mergeCell ref="O3892:P3892"/>
    <mergeCell ref="O3893:P3893"/>
    <mergeCell ref="O3894:P3894"/>
    <mergeCell ref="O3895:P3895"/>
    <mergeCell ref="O3896:P3896"/>
    <mergeCell ref="O3897:P3897"/>
    <mergeCell ref="O3898:P3898"/>
    <mergeCell ref="O3899:P3899"/>
    <mergeCell ref="O3900:P3900"/>
    <mergeCell ref="O3901:P3901"/>
    <mergeCell ref="O3902:P3902"/>
    <mergeCell ref="O3903:P3903"/>
    <mergeCell ref="O3904:P3904"/>
    <mergeCell ref="O3905:P3905"/>
    <mergeCell ref="O3906:P3906"/>
    <mergeCell ref="O3907:P3907"/>
    <mergeCell ref="O3908:P3908"/>
    <mergeCell ref="O3909:P3909"/>
    <mergeCell ref="O3910:P3910"/>
    <mergeCell ref="O3911:P3911"/>
    <mergeCell ref="O3912:P3912"/>
    <mergeCell ref="O3913:P3913"/>
    <mergeCell ref="O3914:P3914"/>
    <mergeCell ref="O3915:P3915"/>
    <mergeCell ref="O3916:P3916"/>
    <mergeCell ref="O3917:P3917"/>
    <mergeCell ref="O3918:P3918"/>
    <mergeCell ref="O3919:P3919"/>
    <mergeCell ref="O3920:P3920"/>
    <mergeCell ref="O3921:P3921"/>
    <mergeCell ref="O3922:P3922"/>
    <mergeCell ref="O3923:P3923"/>
    <mergeCell ref="O3924:P3924"/>
    <mergeCell ref="O3925:P3925"/>
    <mergeCell ref="O3926:P3926"/>
    <mergeCell ref="O3927:P3927"/>
    <mergeCell ref="O3928:P3928"/>
    <mergeCell ref="O3929:P3929"/>
    <mergeCell ref="O3930:P3930"/>
    <mergeCell ref="O3931:P3931"/>
    <mergeCell ref="O4451:P4451"/>
    <mergeCell ref="O4452:P4452"/>
    <mergeCell ref="O4453:P4453"/>
    <mergeCell ref="O4454:P4454"/>
    <mergeCell ref="O4455:P4455"/>
    <mergeCell ref="O4456:P4456"/>
    <mergeCell ref="O4457:P4457"/>
    <mergeCell ref="O4458:P4458"/>
    <mergeCell ref="O4515:P4515"/>
    <mergeCell ref="O4516:P4516"/>
    <mergeCell ref="O4517:P4517"/>
    <mergeCell ref="O4508:P4508"/>
    <mergeCell ref="O4509:P4509"/>
    <mergeCell ref="O4510:P4510"/>
    <mergeCell ref="O4511:P4511"/>
    <mergeCell ref="O4512:P4512"/>
    <mergeCell ref="O4513:P4513"/>
    <mergeCell ref="O4514:P4514"/>
    <mergeCell ref="O4459:P4459"/>
    <mergeCell ref="O4460:P4460"/>
    <mergeCell ref="O4461:P4461"/>
    <mergeCell ref="O4462:P4462"/>
    <mergeCell ref="O4463:P4463"/>
    <mergeCell ref="O4464:P4464"/>
    <mergeCell ref="O4465:P4465"/>
    <mergeCell ref="O4466:P4466"/>
    <mergeCell ref="O4467:P4467"/>
    <mergeCell ref="O4468:P4468"/>
    <mergeCell ref="O4469:P4469"/>
    <mergeCell ref="O4470:P4470"/>
    <mergeCell ref="O4471:P4471"/>
    <mergeCell ref="O4472:P4472"/>
    <mergeCell ref="O4473:P4473"/>
    <mergeCell ref="O4474:P4474"/>
    <mergeCell ref="O4475:P4475"/>
    <mergeCell ref="O4476:P4476"/>
    <mergeCell ref="O4477:P4477"/>
    <mergeCell ref="O4478:P4478"/>
    <mergeCell ref="O4479:P4479"/>
    <mergeCell ref="O4480:P4480"/>
    <mergeCell ref="O4481:P4481"/>
    <mergeCell ref="O4482:P4482"/>
    <mergeCell ref="O4483:P4483"/>
    <mergeCell ref="O4484:P4484"/>
    <mergeCell ref="O4485:P4485"/>
    <mergeCell ref="O4486:P4486"/>
    <mergeCell ref="O4487:P4487"/>
    <mergeCell ref="O4488:P4488"/>
    <mergeCell ref="O4489:P4489"/>
    <mergeCell ref="O4490:P4490"/>
    <mergeCell ref="O4491:P4491"/>
    <mergeCell ref="O4492:P4492"/>
    <mergeCell ref="O4493:P4493"/>
    <mergeCell ref="O4494:P4494"/>
    <mergeCell ref="O4495:P4495"/>
    <mergeCell ref="O4496:P4496"/>
    <mergeCell ref="O4497:P4497"/>
    <mergeCell ref="O4498:P4498"/>
    <mergeCell ref="O4499:P4499"/>
    <mergeCell ref="O4500:P4500"/>
    <mergeCell ref="O4501:P4501"/>
    <mergeCell ref="O4502:P4502"/>
    <mergeCell ref="O4503:P4503"/>
    <mergeCell ref="O4504:P4504"/>
    <mergeCell ref="O4418:P4418"/>
    <mergeCell ref="O4419:P4419"/>
    <mergeCell ref="O4420:P4420"/>
    <mergeCell ref="O4421:P4421"/>
    <mergeCell ref="O4422:P4422"/>
    <mergeCell ref="O4423:P4423"/>
    <mergeCell ref="O4424:P4424"/>
    <mergeCell ref="O4425:P4425"/>
    <mergeCell ref="O4426:P4426"/>
    <mergeCell ref="O4427:P4427"/>
    <mergeCell ref="O4428:P4428"/>
    <mergeCell ref="O4429:P4429"/>
    <mergeCell ref="O4430:P4430"/>
    <mergeCell ref="O4431:P4431"/>
    <mergeCell ref="O4432:P4432"/>
    <mergeCell ref="O4433:P4433"/>
    <mergeCell ref="O4434:P4434"/>
    <mergeCell ref="O4435:P4435"/>
    <mergeCell ref="O4436:P4436"/>
    <mergeCell ref="O4437:P4437"/>
    <mergeCell ref="O4438:P4438"/>
    <mergeCell ref="O4439:P4439"/>
    <mergeCell ref="O4440:P4440"/>
    <mergeCell ref="O4441:P4441"/>
    <mergeCell ref="O4442:P4442"/>
    <mergeCell ref="O4443:P4443"/>
    <mergeCell ref="O4444:P4444"/>
    <mergeCell ref="O4445:P4445"/>
    <mergeCell ref="O4446:P4446"/>
    <mergeCell ref="O4447:P4447"/>
    <mergeCell ref="O4448:P4448"/>
    <mergeCell ref="O4449:P4449"/>
    <mergeCell ref="O4450:P4450"/>
    <mergeCell ref="O4385:P4385"/>
    <mergeCell ref="O4386:P4386"/>
    <mergeCell ref="O4387:P4387"/>
    <mergeCell ref="O4388:P4388"/>
    <mergeCell ref="O4389:P4389"/>
    <mergeCell ref="O4390:P4390"/>
    <mergeCell ref="O4391:P4391"/>
    <mergeCell ref="O4392:P4392"/>
    <mergeCell ref="O4393:P4393"/>
    <mergeCell ref="O4394:P4394"/>
    <mergeCell ref="O4395:P4395"/>
    <mergeCell ref="O4396:P4396"/>
    <mergeCell ref="O4397:P4397"/>
    <mergeCell ref="O4398:P4398"/>
    <mergeCell ref="O4399:P4399"/>
    <mergeCell ref="O4400:P4400"/>
    <mergeCell ref="O4401:P4401"/>
    <mergeCell ref="O4402:P4402"/>
    <mergeCell ref="O4403:P4403"/>
    <mergeCell ref="O4404:P4404"/>
    <mergeCell ref="O4405:P4405"/>
    <mergeCell ref="O4406:P4406"/>
    <mergeCell ref="O4407:P4407"/>
    <mergeCell ref="O4408:P4408"/>
    <mergeCell ref="O4409:P4409"/>
    <mergeCell ref="O4410:P4410"/>
    <mergeCell ref="O4411:P4411"/>
    <mergeCell ref="O4412:P4412"/>
    <mergeCell ref="O4413:P4413"/>
    <mergeCell ref="O4414:P4414"/>
    <mergeCell ref="O4415:P4415"/>
    <mergeCell ref="O4416:P4416"/>
    <mergeCell ref="O4417:P4417"/>
    <mergeCell ref="O4352:P4352"/>
    <mergeCell ref="O4353:P4353"/>
    <mergeCell ref="O4354:P4354"/>
    <mergeCell ref="O4355:P4355"/>
    <mergeCell ref="O4356:P4356"/>
    <mergeCell ref="O4357:P4357"/>
    <mergeCell ref="O4358:P4358"/>
    <mergeCell ref="O4359:P4359"/>
    <mergeCell ref="O4360:P4360"/>
    <mergeCell ref="O4361:P4361"/>
    <mergeCell ref="O4362:P4362"/>
    <mergeCell ref="O4363:P4363"/>
    <mergeCell ref="O4364:P4364"/>
    <mergeCell ref="O4365:P4365"/>
    <mergeCell ref="O4366:P4366"/>
    <mergeCell ref="O4367:P4367"/>
    <mergeCell ref="O4368:P4368"/>
    <mergeCell ref="O4369:P4369"/>
    <mergeCell ref="O4370:P4370"/>
    <mergeCell ref="O4371:P4371"/>
    <mergeCell ref="O4372:P4372"/>
    <mergeCell ref="O4373:P4373"/>
    <mergeCell ref="O4374:P4374"/>
    <mergeCell ref="O4375:P4375"/>
    <mergeCell ref="O4376:P4376"/>
    <mergeCell ref="O4377:P4377"/>
    <mergeCell ref="O4378:P4378"/>
    <mergeCell ref="O4379:P4379"/>
    <mergeCell ref="O4380:P4380"/>
    <mergeCell ref="O4381:P4381"/>
    <mergeCell ref="O4382:P4382"/>
    <mergeCell ref="O4383:P4383"/>
    <mergeCell ref="O4384:P4384"/>
    <mergeCell ref="O4319:P4319"/>
    <mergeCell ref="O4320:P4320"/>
    <mergeCell ref="O4321:P4321"/>
    <mergeCell ref="O4322:P4322"/>
    <mergeCell ref="O4323:P4323"/>
    <mergeCell ref="O4324:P4324"/>
    <mergeCell ref="O4325:P4325"/>
    <mergeCell ref="O4326:P4326"/>
    <mergeCell ref="O4327:P4327"/>
    <mergeCell ref="O4328:P4328"/>
    <mergeCell ref="O4329:P4329"/>
    <mergeCell ref="O4330:P4330"/>
    <mergeCell ref="O4331:P4331"/>
    <mergeCell ref="O4332:P4332"/>
    <mergeCell ref="O4333:P4333"/>
    <mergeCell ref="O4334:P4334"/>
    <mergeCell ref="O4335:P4335"/>
    <mergeCell ref="O4336:P4336"/>
    <mergeCell ref="O4337:P4337"/>
    <mergeCell ref="O4338:P4338"/>
    <mergeCell ref="O4339:P4339"/>
    <mergeCell ref="O4340:P4340"/>
    <mergeCell ref="O4341:P4341"/>
    <mergeCell ref="O4342:P4342"/>
    <mergeCell ref="O4343:P4343"/>
    <mergeCell ref="O4344:P4344"/>
    <mergeCell ref="O4345:P4345"/>
    <mergeCell ref="O4346:P4346"/>
    <mergeCell ref="O4347:P4347"/>
    <mergeCell ref="O4348:P4348"/>
    <mergeCell ref="O4349:P4349"/>
    <mergeCell ref="O4350:P4350"/>
    <mergeCell ref="O4351:P4351"/>
    <mergeCell ref="O4286:P4286"/>
    <mergeCell ref="O4287:P4287"/>
    <mergeCell ref="O4288:P4288"/>
    <mergeCell ref="O4289:P4289"/>
    <mergeCell ref="O4290:P4290"/>
    <mergeCell ref="O4291:P4291"/>
    <mergeCell ref="O4292:P4292"/>
    <mergeCell ref="O4293:P4293"/>
    <mergeCell ref="O4294:P4294"/>
    <mergeCell ref="O4295:P4295"/>
    <mergeCell ref="O4296:P4296"/>
    <mergeCell ref="O4297:P4297"/>
    <mergeCell ref="O4298:P4298"/>
    <mergeCell ref="O4299:P4299"/>
    <mergeCell ref="O4300:P4300"/>
    <mergeCell ref="O4301:P4301"/>
    <mergeCell ref="O4302:P4302"/>
    <mergeCell ref="O4303:P4303"/>
    <mergeCell ref="O4304:P4304"/>
    <mergeCell ref="O4305:P4305"/>
    <mergeCell ref="O4306:P4306"/>
    <mergeCell ref="O4307:P4307"/>
    <mergeCell ref="O4308:P4308"/>
    <mergeCell ref="O4309:P4309"/>
    <mergeCell ref="O4310:P4310"/>
    <mergeCell ref="O4311:P4311"/>
    <mergeCell ref="O4312:P4312"/>
    <mergeCell ref="O4313:P4313"/>
    <mergeCell ref="O4314:P4314"/>
    <mergeCell ref="O4315:P4315"/>
    <mergeCell ref="O4316:P4316"/>
    <mergeCell ref="O4317:P4317"/>
    <mergeCell ref="O4318:P4318"/>
    <mergeCell ref="O4253:P4253"/>
    <mergeCell ref="O4254:P4254"/>
    <mergeCell ref="O4255:P4255"/>
    <mergeCell ref="O4256:P4256"/>
    <mergeCell ref="O4257:P4257"/>
    <mergeCell ref="O4258:P4258"/>
    <mergeCell ref="O4259:P4259"/>
    <mergeCell ref="O4260:P4260"/>
    <mergeCell ref="O4261:P4261"/>
    <mergeCell ref="O4262:P4262"/>
    <mergeCell ref="O4263:P4263"/>
    <mergeCell ref="O4264:P4264"/>
    <mergeCell ref="O4265:P4265"/>
    <mergeCell ref="O4266:P4266"/>
    <mergeCell ref="O4267:P4267"/>
    <mergeCell ref="O4268:P4268"/>
    <mergeCell ref="O4269:P4269"/>
    <mergeCell ref="O4270:P4270"/>
    <mergeCell ref="O4271:P4271"/>
    <mergeCell ref="O4272:P4272"/>
    <mergeCell ref="O4273:P4273"/>
    <mergeCell ref="O4274:P4274"/>
    <mergeCell ref="O4275:P4275"/>
    <mergeCell ref="O4276:P4276"/>
    <mergeCell ref="O4277:P4277"/>
    <mergeCell ref="O4278:P4278"/>
    <mergeCell ref="O4279:P4279"/>
    <mergeCell ref="O4280:P4280"/>
    <mergeCell ref="O4281:P4281"/>
    <mergeCell ref="O4282:P4282"/>
    <mergeCell ref="O4283:P4283"/>
    <mergeCell ref="O4284:P4284"/>
    <mergeCell ref="O4285:P4285"/>
    <mergeCell ref="O4220:P4220"/>
    <mergeCell ref="O4221:P4221"/>
    <mergeCell ref="O4222:P4222"/>
    <mergeCell ref="O4223:P4223"/>
    <mergeCell ref="O4224:P4224"/>
    <mergeCell ref="O4225:P4225"/>
    <mergeCell ref="O4226:P4226"/>
    <mergeCell ref="O4227:P4227"/>
    <mergeCell ref="O4228:P4228"/>
    <mergeCell ref="O4229:P4229"/>
    <mergeCell ref="O4230:P4230"/>
    <mergeCell ref="O4231:P4231"/>
    <mergeCell ref="O4232:P4232"/>
    <mergeCell ref="O4233:P4233"/>
    <mergeCell ref="O4234:P4234"/>
    <mergeCell ref="O4235:P4235"/>
    <mergeCell ref="O4236:P4236"/>
    <mergeCell ref="O4237:P4237"/>
    <mergeCell ref="O4238:P4238"/>
    <mergeCell ref="O4239:P4239"/>
    <mergeCell ref="O4240:P4240"/>
    <mergeCell ref="O4241:P4241"/>
    <mergeCell ref="O4242:P4242"/>
    <mergeCell ref="O4243:P4243"/>
    <mergeCell ref="O4244:P4244"/>
    <mergeCell ref="O4245:P4245"/>
    <mergeCell ref="O4246:P4246"/>
    <mergeCell ref="O4247:P4247"/>
    <mergeCell ref="O4248:P4248"/>
    <mergeCell ref="O4249:P4249"/>
    <mergeCell ref="O4250:P4250"/>
    <mergeCell ref="O4251:P4251"/>
    <mergeCell ref="O4252:P4252"/>
    <mergeCell ref="O3844:P3844"/>
    <mergeCell ref="O3845:P3845"/>
    <mergeCell ref="O3846:P3846"/>
    <mergeCell ref="O3847:P3847"/>
    <mergeCell ref="O3848:P3848"/>
    <mergeCell ref="O3849:P3849"/>
    <mergeCell ref="O3850:P3850"/>
    <mergeCell ref="O3851:P3851"/>
    <mergeCell ref="O3852:P3852"/>
    <mergeCell ref="O3853:P3853"/>
    <mergeCell ref="O3854:P3854"/>
    <mergeCell ref="O3855:P3855"/>
    <mergeCell ref="O3856:P3856"/>
    <mergeCell ref="O3857:P3857"/>
    <mergeCell ref="O3858:P3858"/>
    <mergeCell ref="O3859:P3859"/>
    <mergeCell ref="O3860:P3860"/>
    <mergeCell ref="O3861:P3861"/>
    <mergeCell ref="O3862:P3862"/>
    <mergeCell ref="O3863:P3863"/>
    <mergeCell ref="O3864:P3864"/>
    <mergeCell ref="O3865:P3865"/>
    <mergeCell ref="O3866:P3866"/>
    <mergeCell ref="O3867:P3867"/>
    <mergeCell ref="O3868:P3868"/>
    <mergeCell ref="O3869:P3869"/>
    <mergeCell ref="O3870:P3870"/>
    <mergeCell ref="O4214:P4214"/>
    <mergeCell ref="O4215:P4215"/>
    <mergeCell ref="O4216:P4216"/>
    <mergeCell ref="O4217:P4217"/>
    <mergeCell ref="O4218:P4218"/>
    <mergeCell ref="O4219:P4219"/>
    <mergeCell ref="O3932:P3932"/>
    <mergeCell ref="O3933:P3933"/>
    <mergeCell ref="O3934:P3934"/>
    <mergeCell ref="O3935:P3935"/>
    <mergeCell ref="O3936:P3936"/>
    <mergeCell ref="O3937:P3937"/>
    <mergeCell ref="O3938:P3938"/>
    <mergeCell ref="O3939:P3939"/>
    <mergeCell ref="O3940:P3940"/>
    <mergeCell ref="O3941:P3941"/>
    <mergeCell ref="O3942:P3942"/>
    <mergeCell ref="O3943:P3943"/>
    <mergeCell ref="O3944:P3944"/>
    <mergeCell ref="O3945:P3945"/>
    <mergeCell ref="O3946:P3946"/>
    <mergeCell ref="O3947:P3947"/>
    <mergeCell ref="O3948:P3948"/>
    <mergeCell ref="O3949:P3949"/>
    <mergeCell ref="O3950:P3950"/>
    <mergeCell ref="O3951:P3951"/>
    <mergeCell ref="O3952:P3952"/>
    <mergeCell ref="O3953:P3953"/>
    <mergeCell ref="O3954:P3954"/>
    <mergeCell ref="O3955:P3955"/>
    <mergeCell ref="O3956:P3956"/>
    <mergeCell ref="O3957:P3957"/>
    <mergeCell ref="O3958:P3958"/>
    <mergeCell ref="O3959:P3959"/>
    <mergeCell ref="O3960:P3960"/>
    <mergeCell ref="O3961:P3961"/>
    <mergeCell ref="O3962:P3962"/>
    <mergeCell ref="O3811:P3811"/>
    <mergeCell ref="O3812:P3812"/>
    <mergeCell ref="O3813:P3813"/>
    <mergeCell ref="O3814:P3814"/>
    <mergeCell ref="O3815:P3815"/>
    <mergeCell ref="O3816:P3816"/>
    <mergeCell ref="O3817:P3817"/>
    <mergeCell ref="O3818:P3818"/>
    <mergeCell ref="O3819:P3819"/>
    <mergeCell ref="O3820:P3820"/>
    <mergeCell ref="O3821:P3821"/>
    <mergeCell ref="O3822:P3822"/>
    <mergeCell ref="O3823:P3823"/>
    <mergeCell ref="O3824:P3824"/>
    <mergeCell ref="O3825:P3825"/>
    <mergeCell ref="O3826:P3826"/>
    <mergeCell ref="O3827:P3827"/>
    <mergeCell ref="O3828:P3828"/>
    <mergeCell ref="O3829:P3829"/>
    <mergeCell ref="O3830:P3830"/>
    <mergeCell ref="O3831:P3831"/>
    <mergeCell ref="O3832:P3832"/>
    <mergeCell ref="O3833:P3833"/>
    <mergeCell ref="O3834:P3834"/>
    <mergeCell ref="O3835:P3835"/>
    <mergeCell ref="O3836:P3836"/>
    <mergeCell ref="O3837:P3837"/>
    <mergeCell ref="O3838:P3838"/>
    <mergeCell ref="O3839:P3839"/>
    <mergeCell ref="O3840:P3840"/>
    <mergeCell ref="O3841:P3841"/>
    <mergeCell ref="O3842:P3842"/>
    <mergeCell ref="O3843:P3843"/>
    <mergeCell ref="O3778:P3778"/>
    <mergeCell ref="O3779:P3779"/>
    <mergeCell ref="O3780:P3780"/>
    <mergeCell ref="O3781:P3781"/>
    <mergeCell ref="O3782:P3782"/>
    <mergeCell ref="O3783:P3783"/>
    <mergeCell ref="O3784:P3784"/>
    <mergeCell ref="O3785:P3785"/>
    <mergeCell ref="O3786:P3786"/>
    <mergeCell ref="O3787:P3787"/>
    <mergeCell ref="O3788:P3788"/>
    <mergeCell ref="O3789:P3789"/>
    <mergeCell ref="O3790:P3790"/>
    <mergeCell ref="O3791:P3791"/>
    <mergeCell ref="O3792:P3792"/>
    <mergeCell ref="O3793:P3793"/>
    <mergeCell ref="O3794:P3794"/>
    <mergeCell ref="O3795:P3795"/>
    <mergeCell ref="O3796:P3796"/>
    <mergeCell ref="O3797:P3797"/>
    <mergeCell ref="O3798:P3798"/>
    <mergeCell ref="O3799:P3799"/>
    <mergeCell ref="O3800:P3800"/>
    <mergeCell ref="O3801:P3801"/>
    <mergeCell ref="O3802:P3802"/>
    <mergeCell ref="O3803:P3803"/>
    <mergeCell ref="O3804:P3804"/>
    <mergeCell ref="O3805:P3805"/>
    <mergeCell ref="O3806:P3806"/>
    <mergeCell ref="O3807:P3807"/>
    <mergeCell ref="O3808:P3808"/>
    <mergeCell ref="O3809:P3809"/>
    <mergeCell ref="O3810:P3810"/>
    <mergeCell ref="O3745:P3745"/>
    <mergeCell ref="O3746:P3746"/>
    <mergeCell ref="O3747:P3747"/>
    <mergeCell ref="O3748:P3748"/>
    <mergeCell ref="O3749:P3749"/>
    <mergeCell ref="O3750:P3750"/>
    <mergeCell ref="O3751:P3751"/>
    <mergeCell ref="O3752:P3752"/>
    <mergeCell ref="O3753:P3753"/>
    <mergeCell ref="O3754:P3754"/>
    <mergeCell ref="O3755:P3755"/>
    <mergeCell ref="O3756:P3756"/>
    <mergeCell ref="O3757:P3757"/>
    <mergeCell ref="O3758:P3758"/>
    <mergeCell ref="O3759:P3759"/>
    <mergeCell ref="O3760:P3760"/>
    <mergeCell ref="O3761:P3761"/>
    <mergeCell ref="O3762:P3762"/>
    <mergeCell ref="O3763:P3763"/>
    <mergeCell ref="O3764:P3764"/>
    <mergeCell ref="O3765:P3765"/>
    <mergeCell ref="O3766:P3766"/>
    <mergeCell ref="O3767:P3767"/>
    <mergeCell ref="O3768:P3768"/>
    <mergeCell ref="O3769:P3769"/>
    <mergeCell ref="O3770:P3770"/>
    <mergeCell ref="O3771:P3771"/>
    <mergeCell ref="O3772:P3772"/>
    <mergeCell ref="O3773:P3773"/>
    <mergeCell ref="O3774:P3774"/>
    <mergeCell ref="O3775:P3775"/>
    <mergeCell ref="O3776:P3776"/>
    <mergeCell ref="O3777:P3777"/>
    <mergeCell ref="O3712:P3712"/>
    <mergeCell ref="O3713:P3713"/>
    <mergeCell ref="O3714:P3714"/>
    <mergeCell ref="O3715:P3715"/>
    <mergeCell ref="O3716:P3716"/>
    <mergeCell ref="O3717:P3717"/>
    <mergeCell ref="O3718:P3718"/>
    <mergeCell ref="O3719:P3719"/>
    <mergeCell ref="O3720:P3720"/>
    <mergeCell ref="O3721:P3721"/>
    <mergeCell ref="O3722:P3722"/>
    <mergeCell ref="O3723:P3723"/>
    <mergeCell ref="O3724:P3724"/>
    <mergeCell ref="O3725:P3725"/>
    <mergeCell ref="O3726:P3726"/>
    <mergeCell ref="O3727:P3727"/>
    <mergeCell ref="O3728:P3728"/>
    <mergeCell ref="O3729:P3729"/>
    <mergeCell ref="O3730:P3730"/>
    <mergeCell ref="O3731:P3731"/>
    <mergeCell ref="O3732:P3732"/>
    <mergeCell ref="O3733:P3733"/>
    <mergeCell ref="O3734:P3734"/>
    <mergeCell ref="O3735:P3735"/>
    <mergeCell ref="O3736:P3736"/>
    <mergeCell ref="O3737:P3737"/>
    <mergeCell ref="O3738:P3738"/>
    <mergeCell ref="O3739:P3739"/>
    <mergeCell ref="O3740:P3740"/>
    <mergeCell ref="O3741:P3741"/>
    <mergeCell ref="O3742:P3742"/>
    <mergeCell ref="O3743:P3743"/>
    <mergeCell ref="O3744:P3744"/>
    <mergeCell ref="O3679:P3679"/>
    <mergeCell ref="O3680:P3680"/>
    <mergeCell ref="O3681:P3681"/>
    <mergeCell ref="O3682:P3682"/>
    <mergeCell ref="O3683:P3683"/>
    <mergeCell ref="O3684:P3684"/>
    <mergeCell ref="O3685:P3685"/>
    <mergeCell ref="O3686:P3686"/>
    <mergeCell ref="O3687:P3687"/>
    <mergeCell ref="O3688:P3688"/>
    <mergeCell ref="O3689:P3689"/>
    <mergeCell ref="O3690:P3690"/>
    <mergeCell ref="O3691:P3691"/>
    <mergeCell ref="O3692:P3692"/>
    <mergeCell ref="O3693:P3693"/>
    <mergeCell ref="O3694:P3694"/>
    <mergeCell ref="O3695:P3695"/>
    <mergeCell ref="O3696:P3696"/>
    <mergeCell ref="O3697:P3697"/>
    <mergeCell ref="O3698:P3698"/>
    <mergeCell ref="O3699:P3699"/>
    <mergeCell ref="O3700:P3700"/>
    <mergeCell ref="O3701:P3701"/>
    <mergeCell ref="O3702:P3702"/>
    <mergeCell ref="O3703:P3703"/>
    <mergeCell ref="O3704:P3704"/>
    <mergeCell ref="O3705:P3705"/>
    <mergeCell ref="O3706:P3706"/>
    <mergeCell ref="O3707:P3707"/>
    <mergeCell ref="O3708:P3708"/>
    <mergeCell ref="O3709:P3709"/>
    <mergeCell ref="O3710:P3710"/>
    <mergeCell ref="O3711:P3711"/>
    <mergeCell ref="O3646:P3646"/>
    <mergeCell ref="O3647:P3647"/>
    <mergeCell ref="O3648:P3648"/>
    <mergeCell ref="O3649:P3649"/>
    <mergeCell ref="O3650:P3650"/>
    <mergeCell ref="O3651:P3651"/>
    <mergeCell ref="O3652:P3652"/>
    <mergeCell ref="O3653:P3653"/>
    <mergeCell ref="O3654:P3654"/>
    <mergeCell ref="O3655:P3655"/>
    <mergeCell ref="O3656:P3656"/>
    <mergeCell ref="O3657:P3657"/>
    <mergeCell ref="O3658:P3658"/>
    <mergeCell ref="O3659:P3659"/>
    <mergeCell ref="O3660:P3660"/>
    <mergeCell ref="O3661:P3661"/>
    <mergeCell ref="O3662:P3662"/>
    <mergeCell ref="O3663:P3663"/>
    <mergeCell ref="O3664:P3664"/>
    <mergeCell ref="O3665:P3665"/>
    <mergeCell ref="O3666:P3666"/>
    <mergeCell ref="O3667:P3667"/>
    <mergeCell ref="O3668:P3668"/>
    <mergeCell ref="O3669:P3669"/>
    <mergeCell ref="O3670:P3670"/>
    <mergeCell ref="O3671:P3671"/>
    <mergeCell ref="O3672:P3672"/>
    <mergeCell ref="O3673:P3673"/>
    <mergeCell ref="O3674:P3674"/>
    <mergeCell ref="O3675:P3675"/>
    <mergeCell ref="O3676:P3676"/>
    <mergeCell ref="O3677:P3677"/>
    <mergeCell ref="O3678:P3678"/>
    <mergeCell ref="O3613:P3613"/>
    <mergeCell ref="O3614:P3614"/>
    <mergeCell ref="O3615:P3615"/>
    <mergeCell ref="O3616:P3616"/>
    <mergeCell ref="O3617:P3617"/>
    <mergeCell ref="O3618:P3618"/>
    <mergeCell ref="O3619:P3619"/>
    <mergeCell ref="O3620:P3620"/>
    <mergeCell ref="O3621:P3621"/>
    <mergeCell ref="O3622:P3622"/>
    <mergeCell ref="O3623:P3623"/>
    <mergeCell ref="O3624:P3624"/>
    <mergeCell ref="O3625:P3625"/>
    <mergeCell ref="O3626:P3626"/>
    <mergeCell ref="O3627:P3627"/>
    <mergeCell ref="O3628:P3628"/>
    <mergeCell ref="O3629:P3629"/>
    <mergeCell ref="O3630:P3630"/>
    <mergeCell ref="O3631:P3631"/>
    <mergeCell ref="O3632:P3632"/>
    <mergeCell ref="O3633:P3633"/>
    <mergeCell ref="O3634:P3634"/>
    <mergeCell ref="O3635:P3635"/>
    <mergeCell ref="O3636:P3636"/>
    <mergeCell ref="O3637:P3637"/>
    <mergeCell ref="O3638:P3638"/>
    <mergeCell ref="O3639:P3639"/>
    <mergeCell ref="O3640:P3640"/>
    <mergeCell ref="O3641:P3641"/>
    <mergeCell ref="O3642:P3642"/>
    <mergeCell ref="O3643:P3643"/>
    <mergeCell ref="O3644:P3644"/>
    <mergeCell ref="O3645:P3645"/>
    <mergeCell ref="O3580:P3580"/>
    <mergeCell ref="O3581:P3581"/>
    <mergeCell ref="O3582:P3582"/>
    <mergeCell ref="O3583:P3583"/>
    <mergeCell ref="O3584:P3584"/>
    <mergeCell ref="O3585:P3585"/>
    <mergeCell ref="O3586:P3586"/>
    <mergeCell ref="O3587:P3587"/>
    <mergeCell ref="O3588:P3588"/>
    <mergeCell ref="O3589:P3589"/>
    <mergeCell ref="O3590:P3590"/>
    <mergeCell ref="O3591:P3591"/>
    <mergeCell ref="O3592:P3592"/>
    <mergeCell ref="O3593:P3593"/>
    <mergeCell ref="O3594:P3594"/>
    <mergeCell ref="O3595:P3595"/>
    <mergeCell ref="O3596:P3596"/>
    <mergeCell ref="O3597:P3597"/>
    <mergeCell ref="O3598:P3598"/>
    <mergeCell ref="O3599:P3599"/>
    <mergeCell ref="O3600:P3600"/>
    <mergeCell ref="O3601:P3601"/>
    <mergeCell ref="O3602:P3602"/>
    <mergeCell ref="O3603:P3603"/>
    <mergeCell ref="O3604:P3604"/>
    <mergeCell ref="O3605:P3605"/>
    <mergeCell ref="O3606:P3606"/>
    <mergeCell ref="O3607:P3607"/>
    <mergeCell ref="O3608:P3608"/>
    <mergeCell ref="O3609:P3609"/>
    <mergeCell ref="O3610:P3610"/>
    <mergeCell ref="O3611:P3611"/>
    <mergeCell ref="O3612:P3612"/>
    <mergeCell ref="O3547:P3547"/>
    <mergeCell ref="O3548:P3548"/>
    <mergeCell ref="O3549:P3549"/>
    <mergeCell ref="O3550:P3550"/>
    <mergeCell ref="O3551:P3551"/>
    <mergeCell ref="O3552:P3552"/>
    <mergeCell ref="O3553:P3553"/>
    <mergeCell ref="O3554:P3554"/>
    <mergeCell ref="O3555:P3555"/>
    <mergeCell ref="O3556:P3556"/>
    <mergeCell ref="O3557:P3557"/>
    <mergeCell ref="O3558:P3558"/>
    <mergeCell ref="O3559:P3559"/>
    <mergeCell ref="O3560:P3560"/>
    <mergeCell ref="O3561:P3561"/>
    <mergeCell ref="O3562:P3562"/>
    <mergeCell ref="O3563:P3563"/>
    <mergeCell ref="O3564:P3564"/>
    <mergeCell ref="O3565:P3565"/>
    <mergeCell ref="O3566:P3566"/>
    <mergeCell ref="O3567:P3567"/>
    <mergeCell ref="O3568:P3568"/>
    <mergeCell ref="O3569:P3569"/>
    <mergeCell ref="O3570:P3570"/>
    <mergeCell ref="O3571:P3571"/>
    <mergeCell ref="O3572:P3572"/>
    <mergeCell ref="O3573:P3573"/>
    <mergeCell ref="O3574:P3574"/>
    <mergeCell ref="O3575:P3575"/>
    <mergeCell ref="O3576:P3576"/>
    <mergeCell ref="O3577:P3577"/>
    <mergeCell ref="O3578:P3578"/>
    <mergeCell ref="O3579:P3579"/>
    <mergeCell ref="O3514:P3514"/>
    <mergeCell ref="O3515:P3515"/>
    <mergeCell ref="O3516:P3516"/>
    <mergeCell ref="O3517:P3517"/>
    <mergeCell ref="O3518:P3518"/>
    <mergeCell ref="O3519:P3519"/>
    <mergeCell ref="O3520:P3520"/>
    <mergeCell ref="O3521:P3521"/>
    <mergeCell ref="O3522:P3522"/>
    <mergeCell ref="O3523:P3523"/>
    <mergeCell ref="O3524:P3524"/>
    <mergeCell ref="O3525:P3525"/>
    <mergeCell ref="O3526:P3526"/>
    <mergeCell ref="O3527:P3527"/>
    <mergeCell ref="O3528:P3528"/>
    <mergeCell ref="O3529:P3529"/>
    <mergeCell ref="O3530:P3530"/>
    <mergeCell ref="O3531:P3531"/>
    <mergeCell ref="O3532:P3532"/>
    <mergeCell ref="O3533:P3533"/>
    <mergeCell ref="O3534:P3534"/>
    <mergeCell ref="O3535:P3535"/>
    <mergeCell ref="O3536:P3536"/>
    <mergeCell ref="O3537:P3537"/>
    <mergeCell ref="O3538:P3538"/>
    <mergeCell ref="O3539:P3539"/>
    <mergeCell ref="O3540:P3540"/>
    <mergeCell ref="O3541:P3541"/>
    <mergeCell ref="O3542:P3542"/>
    <mergeCell ref="O3543:P3543"/>
    <mergeCell ref="O3544:P3544"/>
    <mergeCell ref="O3545:P3545"/>
    <mergeCell ref="O3546:P3546"/>
    <mergeCell ref="O3481:P3481"/>
    <mergeCell ref="O3482:P3482"/>
    <mergeCell ref="O3483:P3483"/>
    <mergeCell ref="O3484:P3484"/>
    <mergeCell ref="O3485:P3485"/>
    <mergeCell ref="O3486:P3486"/>
    <mergeCell ref="O3487:P3487"/>
    <mergeCell ref="O3488:P3488"/>
    <mergeCell ref="O3489:P3489"/>
    <mergeCell ref="O3490:P3490"/>
    <mergeCell ref="O3491:P3491"/>
    <mergeCell ref="O3492:P3492"/>
    <mergeCell ref="O3493:P3493"/>
    <mergeCell ref="O3494:P3494"/>
    <mergeCell ref="O3495:P3495"/>
    <mergeCell ref="O3496:P3496"/>
    <mergeCell ref="O3497:P3497"/>
    <mergeCell ref="O3498:P3498"/>
    <mergeCell ref="O3499:P3499"/>
    <mergeCell ref="O3500:P3500"/>
    <mergeCell ref="O3501:P3501"/>
    <mergeCell ref="O3502:P3502"/>
    <mergeCell ref="O3503:P3503"/>
    <mergeCell ref="O3504:P3504"/>
    <mergeCell ref="O3505:P3505"/>
    <mergeCell ref="O3506:P3506"/>
    <mergeCell ref="O3507:P3507"/>
    <mergeCell ref="O3508:P3508"/>
    <mergeCell ref="O3509:P3509"/>
    <mergeCell ref="O3510:P3510"/>
    <mergeCell ref="O3511:P3511"/>
    <mergeCell ref="O3512:P3512"/>
    <mergeCell ref="O3513:P3513"/>
    <mergeCell ref="O3448:P3448"/>
    <mergeCell ref="O3449:P3449"/>
    <mergeCell ref="O3450:P3450"/>
    <mergeCell ref="O3451:P3451"/>
    <mergeCell ref="O3452:P3452"/>
    <mergeCell ref="O3453:P3453"/>
    <mergeCell ref="O3454:P3454"/>
    <mergeCell ref="O3455:P3455"/>
    <mergeCell ref="O3456:P3456"/>
    <mergeCell ref="O3457:P3457"/>
    <mergeCell ref="O3458:P3458"/>
    <mergeCell ref="O3459:P3459"/>
    <mergeCell ref="O3460:P3460"/>
    <mergeCell ref="O3461:P3461"/>
    <mergeCell ref="O3462:P3462"/>
    <mergeCell ref="O3463:P3463"/>
    <mergeCell ref="O3464:P3464"/>
    <mergeCell ref="O3465:P3465"/>
    <mergeCell ref="O3466:P3466"/>
    <mergeCell ref="O3467:P3467"/>
    <mergeCell ref="O3468:P3468"/>
    <mergeCell ref="O3469:P3469"/>
    <mergeCell ref="O3470:P3470"/>
    <mergeCell ref="O3471:P3471"/>
    <mergeCell ref="O3472:P3472"/>
    <mergeCell ref="O3473:P3473"/>
    <mergeCell ref="O3474:P3474"/>
    <mergeCell ref="O3475:P3475"/>
    <mergeCell ref="O3476:P3476"/>
    <mergeCell ref="O3477:P3477"/>
    <mergeCell ref="O3478:P3478"/>
    <mergeCell ref="O3479:P3479"/>
    <mergeCell ref="O3480:P3480"/>
    <mergeCell ref="O3415:P3415"/>
    <mergeCell ref="O3416:P3416"/>
    <mergeCell ref="O3417:P3417"/>
    <mergeCell ref="O3418:P3418"/>
    <mergeCell ref="O3419:P3419"/>
    <mergeCell ref="O3420:P3420"/>
    <mergeCell ref="O3421:P3421"/>
    <mergeCell ref="O3422:P3422"/>
    <mergeCell ref="O3423:P3423"/>
    <mergeCell ref="O3424:P3424"/>
    <mergeCell ref="O3425:P3425"/>
    <mergeCell ref="O3426:P3426"/>
    <mergeCell ref="O3427:P3427"/>
    <mergeCell ref="O3428:P3428"/>
    <mergeCell ref="O3429:P3429"/>
    <mergeCell ref="O3430:P3430"/>
    <mergeCell ref="O3431:P3431"/>
    <mergeCell ref="O3432:P3432"/>
    <mergeCell ref="O3433:P3433"/>
    <mergeCell ref="O3434:P3434"/>
    <mergeCell ref="O3435:P3435"/>
    <mergeCell ref="O3436:P3436"/>
    <mergeCell ref="O3437:P3437"/>
    <mergeCell ref="O3438:P3438"/>
    <mergeCell ref="O3439:P3439"/>
    <mergeCell ref="O3440:P3440"/>
    <mergeCell ref="O3441:P3441"/>
    <mergeCell ref="O3442:P3442"/>
    <mergeCell ref="O3443:P3443"/>
    <mergeCell ref="O3444:P3444"/>
    <mergeCell ref="O3445:P3445"/>
    <mergeCell ref="O3446:P3446"/>
    <mergeCell ref="O3447:P3447"/>
    <mergeCell ref="O3382:P3382"/>
    <mergeCell ref="O3383:P3383"/>
    <mergeCell ref="O3384:P3384"/>
    <mergeCell ref="O3385:P3385"/>
    <mergeCell ref="O3386:P3386"/>
    <mergeCell ref="O3387:P3387"/>
    <mergeCell ref="O3388:P3388"/>
    <mergeCell ref="O3389:P3389"/>
    <mergeCell ref="O3390:P3390"/>
    <mergeCell ref="O3391:P3391"/>
    <mergeCell ref="O3392:P3392"/>
    <mergeCell ref="O3393:P3393"/>
    <mergeCell ref="O3394:P3394"/>
    <mergeCell ref="O3395:P3395"/>
    <mergeCell ref="O3396:P3396"/>
    <mergeCell ref="O3397:P3397"/>
    <mergeCell ref="O3398:P3398"/>
    <mergeCell ref="O3399:P3399"/>
    <mergeCell ref="O3400:P3400"/>
    <mergeCell ref="O3401:P3401"/>
    <mergeCell ref="O3402:P3402"/>
    <mergeCell ref="O3403:P3403"/>
    <mergeCell ref="O3404:P3404"/>
    <mergeCell ref="O3405:P3405"/>
    <mergeCell ref="O3406:P3406"/>
    <mergeCell ref="O3407:P3407"/>
    <mergeCell ref="O3408:P3408"/>
    <mergeCell ref="O3409:P3409"/>
    <mergeCell ref="O3410:P3410"/>
    <mergeCell ref="O3411:P3411"/>
    <mergeCell ref="O3412:P3412"/>
    <mergeCell ref="O3413:P3413"/>
    <mergeCell ref="O3414:P3414"/>
    <mergeCell ref="O3349:P3349"/>
    <mergeCell ref="O3350:P3350"/>
    <mergeCell ref="O3351:P3351"/>
    <mergeCell ref="O3352:P3352"/>
    <mergeCell ref="O3353:P3353"/>
    <mergeCell ref="O3354:P3354"/>
    <mergeCell ref="O3355:P3355"/>
    <mergeCell ref="O3356:P3356"/>
    <mergeCell ref="O3357:P3357"/>
    <mergeCell ref="O3358:P3358"/>
    <mergeCell ref="O3359:P3359"/>
    <mergeCell ref="O3360:P3360"/>
    <mergeCell ref="O3361:P3361"/>
    <mergeCell ref="O3362:P3362"/>
    <mergeCell ref="O3363:P3363"/>
    <mergeCell ref="O3364:P3364"/>
    <mergeCell ref="O3365:P3365"/>
    <mergeCell ref="O3366:P3366"/>
    <mergeCell ref="O3367:P3367"/>
    <mergeCell ref="O3368:P3368"/>
    <mergeCell ref="O3369:P3369"/>
    <mergeCell ref="O3370:P3370"/>
    <mergeCell ref="O3371:P3371"/>
    <mergeCell ref="O3372:P3372"/>
    <mergeCell ref="O3373:P3373"/>
    <mergeCell ref="O3374:P3374"/>
    <mergeCell ref="O3375:P3375"/>
    <mergeCell ref="O3376:P3376"/>
    <mergeCell ref="O3377:P3377"/>
    <mergeCell ref="O3378:P3378"/>
    <mergeCell ref="O3379:P3379"/>
    <mergeCell ref="O3380:P3380"/>
    <mergeCell ref="O3381:P3381"/>
    <mergeCell ref="O3316:P3316"/>
    <mergeCell ref="O3317:P3317"/>
    <mergeCell ref="O3318:P3318"/>
    <mergeCell ref="O3319:P3319"/>
    <mergeCell ref="O3320:P3320"/>
    <mergeCell ref="O3321:P3321"/>
    <mergeCell ref="O3322:P3322"/>
    <mergeCell ref="O3323:P3323"/>
    <mergeCell ref="O3324:P3324"/>
    <mergeCell ref="O3325:P3325"/>
    <mergeCell ref="O3326:P3326"/>
    <mergeCell ref="O3327:P3327"/>
    <mergeCell ref="O3328:P3328"/>
    <mergeCell ref="O3329:P3329"/>
    <mergeCell ref="O3330:P3330"/>
    <mergeCell ref="O3331:P3331"/>
    <mergeCell ref="O3332:P3332"/>
    <mergeCell ref="O3333:P3333"/>
    <mergeCell ref="O3334:P3334"/>
    <mergeCell ref="O3335:P3335"/>
    <mergeCell ref="O3336:P3336"/>
    <mergeCell ref="O3337:P3337"/>
    <mergeCell ref="O3338:P3338"/>
    <mergeCell ref="O3339:P3339"/>
    <mergeCell ref="O3340:P3340"/>
    <mergeCell ref="O3341:P3341"/>
    <mergeCell ref="O3342:P3342"/>
    <mergeCell ref="O3343:P3343"/>
    <mergeCell ref="O3344:P3344"/>
    <mergeCell ref="O3345:P3345"/>
    <mergeCell ref="O3346:P3346"/>
    <mergeCell ref="O3347:P3347"/>
    <mergeCell ref="O3348:P3348"/>
    <mergeCell ref="O3283:P3283"/>
    <mergeCell ref="O3284:P3284"/>
    <mergeCell ref="O3285:P3285"/>
    <mergeCell ref="O3286:P3286"/>
    <mergeCell ref="O3287:P3287"/>
    <mergeCell ref="O3288:P3288"/>
    <mergeCell ref="O3289:P3289"/>
    <mergeCell ref="O3290:P3290"/>
    <mergeCell ref="O3291:P3291"/>
    <mergeCell ref="O3292:P3292"/>
    <mergeCell ref="O3293:P3293"/>
    <mergeCell ref="O3294:P3294"/>
    <mergeCell ref="O3295:P3295"/>
    <mergeCell ref="O3296:P3296"/>
    <mergeCell ref="O3297:P3297"/>
    <mergeCell ref="O3298:P3298"/>
    <mergeCell ref="O3299:P3299"/>
    <mergeCell ref="O3300:P3300"/>
    <mergeCell ref="O3301:P3301"/>
    <mergeCell ref="O3302:P3302"/>
    <mergeCell ref="O3303:P3303"/>
    <mergeCell ref="O3304:P3304"/>
    <mergeCell ref="O3305:P3305"/>
    <mergeCell ref="O3306:P3306"/>
    <mergeCell ref="O3307:P3307"/>
    <mergeCell ref="O3308:P3308"/>
    <mergeCell ref="O3309:P3309"/>
    <mergeCell ref="O3310:P3310"/>
    <mergeCell ref="O3311:P3311"/>
    <mergeCell ref="O3312:P3312"/>
    <mergeCell ref="O3313:P3313"/>
    <mergeCell ref="O3314:P3314"/>
    <mergeCell ref="O3315:P3315"/>
    <mergeCell ref="O3250:P3250"/>
    <mergeCell ref="O3251:P3251"/>
    <mergeCell ref="O3252:P3252"/>
    <mergeCell ref="O3253:P3253"/>
    <mergeCell ref="O3254:P3254"/>
    <mergeCell ref="O3255:P3255"/>
    <mergeCell ref="O3256:P3256"/>
    <mergeCell ref="O3257:P3257"/>
    <mergeCell ref="O3258:P3258"/>
    <mergeCell ref="O3259:P3259"/>
    <mergeCell ref="O3260:P3260"/>
    <mergeCell ref="O3261:P3261"/>
    <mergeCell ref="O3262:P3262"/>
    <mergeCell ref="O3263:P3263"/>
    <mergeCell ref="O3264:P3264"/>
    <mergeCell ref="O3265:P3265"/>
    <mergeCell ref="O3266:P3266"/>
    <mergeCell ref="O3267:P3267"/>
    <mergeCell ref="O3268:P3268"/>
    <mergeCell ref="O3269:P3269"/>
    <mergeCell ref="O3270:P3270"/>
    <mergeCell ref="O3271:P3271"/>
    <mergeCell ref="O3272:P3272"/>
    <mergeCell ref="O3273:P3273"/>
    <mergeCell ref="O3274:P3274"/>
    <mergeCell ref="O3275:P3275"/>
    <mergeCell ref="O3276:P3276"/>
    <mergeCell ref="O3277:P3277"/>
    <mergeCell ref="O3278:P3278"/>
    <mergeCell ref="O3279:P3279"/>
    <mergeCell ref="O3280:P3280"/>
    <mergeCell ref="O3281:P3281"/>
    <mergeCell ref="O3282:P3282"/>
    <mergeCell ref="O3217:P3217"/>
    <mergeCell ref="O3218:P3218"/>
    <mergeCell ref="O3219:P3219"/>
    <mergeCell ref="O3220:P3220"/>
    <mergeCell ref="O3221:P3221"/>
    <mergeCell ref="O3222:P3222"/>
    <mergeCell ref="O3223:P3223"/>
    <mergeCell ref="O3224:P3224"/>
    <mergeCell ref="O3225:P3225"/>
    <mergeCell ref="O3226:P3226"/>
    <mergeCell ref="O3227:P3227"/>
    <mergeCell ref="O3228:P3228"/>
    <mergeCell ref="O3229:P3229"/>
    <mergeCell ref="O3230:P3230"/>
    <mergeCell ref="O3231:P3231"/>
    <mergeCell ref="O3232:P3232"/>
    <mergeCell ref="O3233:P3233"/>
    <mergeCell ref="O3234:P3234"/>
    <mergeCell ref="O3235:P3235"/>
    <mergeCell ref="O3236:P3236"/>
    <mergeCell ref="O3237:P3237"/>
    <mergeCell ref="O3238:P3238"/>
    <mergeCell ref="O3239:P3239"/>
    <mergeCell ref="O3240:P3240"/>
    <mergeCell ref="O3241:P3241"/>
    <mergeCell ref="O3242:P3242"/>
    <mergeCell ref="O3243:P3243"/>
    <mergeCell ref="O3244:P3244"/>
    <mergeCell ref="O3245:P3245"/>
    <mergeCell ref="O3246:P3246"/>
    <mergeCell ref="O3247:P3247"/>
    <mergeCell ref="O3248:P3248"/>
    <mergeCell ref="O3249:P3249"/>
    <mergeCell ref="O3184:P3184"/>
    <mergeCell ref="O3185:P3185"/>
    <mergeCell ref="O3186:P3186"/>
    <mergeCell ref="O3187:P3187"/>
    <mergeCell ref="O3188:P3188"/>
    <mergeCell ref="O3189:P3189"/>
    <mergeCell ref="O3190:P3190"/>
    <mergeCell ref="O3191:P3191"/>
    <mergeCell ref="O3192:P3192"/>
    <mergeCell ref="O3193:P3193"/>
    <mergeCell ref="O3194:P3194"/>
    <mergeCell ref="O3195:P3195"/>
    <mergeCell ref="O3196:P3196"/>
    <mergeCell ref="O3197:P3197"/>
    <mergeCell ref="O3198:P3198"/>
    <mergeCell ref="O3199:P3199"/>
    <mergeCell ref="O3200:P3200"/>
    <mergeCell ref="O3201:P3201"/>
    <mergeCell ref="O3202:P3202"/>
    <mergeCell ref="O3203:P3203"/>
    <mergeCell ref="O3204:P3204"/>
    <mergeCell ref="O3205:P3205"/>
    <mergeCell ref="O3206:P3206"/>
    <mergeCell ref="O3207:P3207"/>
    <mergeCell ref="O3208:P3208"/>
    <mergeCell ref="O3209:P3209"/>
    <mergeCell ref="O3210:P3210"/>
    <mergeCell ref="O3211:P3211"/>
    <mergeCell ref="O3212:P3212"/>
    <mergeCell ref="O3213:P3213"/>
    <mergeCell ref="O3214:P3214"/>
    <mergeCell ref="O3215:P3215"/>
    <mergeCell ref="O3216:P3216"/>
    <mergeCell ref="O3151:P3151"/>
    <mergeCell ref="O3152:P3152"/>
    <mergeCell ref="O3153:P3153"/>
    <mergeCell ref="O3154:P3154"/>
    <mergeCell ref="O3155:P3155"/>
    <mergeCell ref="O3156:P3156"/>
    <mergeCell ref="O3157:P3157"/>
    <mergeCell ref="O3158:P3158"/>
    <mergeCell ref="O3159:P3159"/>
    <mergeCell ref="O3160:P3160"/>
    <mergeCell ref="O3161:P3161"/>
    <mergeCell ref="O3162:P3162"/>
    <mergeCell ref="O3163:P3163"/>
    <mergeCell ref="O3164:P3164"/>
    <mergeCell ref="O3165:P3165"/>
    <mergeCell ref="O3166:P3166"/>
    <mergeCell ref="O3167:P3167"/>
    <mergeCell ref="O3168:P3168"/>
    <mergeCell ref="O3169:P3169"/>
    <mergeCell ref="O3170:P3170"/>
    <mergeCell ref="O3171:P3171"/>
    <mergeCell ref="O3172:P3172"/>
    <mergeCell ref="O3173:P3173"/>
    <mergeCell ref="O3174:P3174"/>
    <mergeCell ref="O3175:P3175"/>
    <mergeCell ref="O3176:P3176"/>
    <mergeCell ref="O3177:P3177"/>
    <mergeCell ref="O3178:P3178"/>
    <mergeCell ref="O3179:P3179"/>
    <mergeCell ref="O3180:P3180"/>
    <mergeCell ref="O3181:P3181"/>
    <mergeCell ref="O3182:P3182"/>
    <mergeCell ref="O3183:P3183"/>
    <mergeCell ref="O3118:P3118"/>
    <mergeCell ref="O3119:P3119"/>
    <mergeCell ref="O3120:P3120"/>
    <mergeCell ref="O3121:P3121"/>
    <mergeCell ref="O3122:P3122"/>
    <mergeCell ref="O3123:P3123"/>
    <mergeCell ref="O3124:P3124"/>
    <mergeCell ref="O3125:P3125"/>
    <mergeCell ref="O3126:P3126"/>
    <mergeCell ref="O3127:P3127"/>
    <mergeCell ref="O3128:P3128"/>
    <mergeCell ref="O3129:P3129"/>
    <mergeCell ref="O3130:P3130"/>
    <mergeCell ref="O3131:P3131"/>
    <mergeCell ref="O3132:P3132"/>
    <mergeCell ref="O3133:P3133"/>
    <mergeCell ref="O3134:P3134"/>
    <mergeCell ref="O3135:P3135"/>
    <mergeCell ref="O3136:P3136"/>
    <mergeCell ref="O3137:P3137"/>
    <mergeCell ref="O3138:P3138"/>
    <mergeCell ref="O3139:P3139"/>
    <mergeCell ref="O3140:P3140"/>
    <mergeCell ref="O3141:P3141"/>
    <mergeCell ref="O3142:P3142"/>
    <mergeCell ref="O3143:P3143"/>
    <mergeCell ref="O3144:P3144"/>
    <mergeCell ref="O3145:P3145"/>
    <mergeCell ref="O3146:P3146"/>
    <mergeCell ref="O3147:P3147"/>
    <mergeCell ref="O3148:P3148"/>
    <mergeCell ref="O3149:P3149"/>
    <mergeCell ref="O3150:P3150"/>
    <mergeCell ref="O3085:P3085"/>
    <mergeCell ref="O3086:P3086"/>
    <mergeCell ref="O3087:P3087"/>
    <mergeCell ref="O3088:P3088"/>
    <mergeCell ref="O3089:P3089"/>
    <mergeCell ref="O3090:P3090"/>
    <mergeCell ref="O3091:P3091"/>
    <mergeCell ref="O3092:P3092"/>
    <mergeCell ref="O3093:P3093"/>
    <mergeCell ref="O3094:P3094"/>
    <mergeCell ref="O3095:P3095"/>
    <mergeCell ref="O3096:P3096"/>
    <mergeCell ref="O3097:P3097"/>
    <mergeCell ref="O3098:P3098"/>
    <mergeCell ref="O3099:P3099"/>
    <mergeCell ref="O3100:P3100"/>
    <mergeCell ref="O3101:P3101"/>
    <mergeCell ref="O3102:P3102"/>
    <mergeCell ref="O3103:P3103"/>
    <mergeCell ref="O3104:P3104"/>
    <mergeCell ref="O3105:P3105"/>
    <mergeCell ref="O3106:P3106"/>
    <mergeCell ref="O3107:P3107"/>
    <mergeCell ref="O3108:P3108"/>
    <mergeCell ref="O3109:P3109"/>
    <mergeCell ref="O3110:P3110"/>
    <mergeCell ref="O3111:P3111"/>
    <mergeCell ref="O3112:P3112"/>
    <mergeCell ref="O3113:P3113"/>
    <mergeCell ref="O3114:P3114"/>
    <mergeCell ref="O3115:P3115"/>
    <mergeCell ref="O3116:P3116"/>
    <mergeCell ref="O3117:P3117"/>
    <mergeCell ref="O3052:P3052"/>
    <mergeCell ref="O3053:P3053"/>
    <mergeCell ref="O3054:P3054"/>
    <mergeCell ref="O3055:P3055"/>
    <mergeCell ref="O3056:P3056"/>
    <mergeCell ref="O3057:P3057"/>
    <mergeCell ref="O3058:P3058"/>
    <mergeCell ref="O3059:P3059"/>
    <mergeCell ref="O3060:P3060"/>
    <mergeCell ref="O3061:P3061"/>
    <mergeCell ref="O3062:P3062"/>
    <mergeCell ref="O3063:P3063"/>
    <mergeCell ref="O3064:P3064"/>
    <mergeCell ref="O3065:P3065"/>
    <mergeCell ref="O3066:P3066"/>
    <mergeCell ref="O3067:P3067"/>
    <mergeCell ref="O3068:P3068"/>
    <mergeCell ref="O3069:P3069"/>
    <mergeCell ref="O3070:P3070"/>
    <mergeCell ref="O3071:P3071"/>
    <mergeCell ref="O3072:P3072"/>
    <mergeCell ref="O3073:P3073"/>
    <mergeCell ref="O3074:P3074"/>
    <mergeCell ref="O3075:P3075"/>
    <mergeCell ref="O3076:P3076"/>
    <mergeCell ref="O3077:P3077"/>
    <mergeCell ref="O3078:P3078"/>
    <mergeCell ref="O3079:P3079"/>
    <mergeCell ref="O3080:P3080"/>
    <mergeCell ref="O3081:P3081"/>
    <mergeCell ref="O3082:P3082"/>
    <mergeCell ref="O3083:P3083"/>
    <mergeCell ref="O3084:P3084"/>
    <mergeCell ref="O3019:P3019"/>
    <mergeCell ref="O3020:P3020"/>
    <mergeCell ref="O3021:P3021"/>
    <mergeCell ref="O3022:P3022"/>
    <mergeCell ref="O3023:P3023"/>
    <mergeCell ref="O3024:P3024"/>
    <mergeCell ref="O3025:P3025"/>
    <mergeCell ref="O3026:P3026"/>
    <mergeCell ref="O3027:P3027"/>
    <mergeCell ref="O3028:P3028"/>
    <mergeCell ref="O3029:P3029"/>
    <mergeCell ref="O3030:P3030"/>
    <mergeCell ref="O3031:P3031"/>
    <mergeCell ref="O3032:P3032"/>
    <mergeCell ref="O3033:P3033"/>
    <mergeCell ref="O3034:P3034"/>
    <mergeCell ref="O3035:P3035"/>
    <mergeCell ref="O3036:P3036"/>
    <mergeCell ref="O3037:P3037"/>
    <mergeCell ref="O3038:P3038"/>
    <mergeCell ref="O3039:P3039"/>
    <mergeCell ref="O3040:P3040"/>
    <mergeCell ref="O3041:P3041"/>
    <mergeCell ref="O3042:P3042"/>
    <mergeCell ref="O3043:P3043"/>
    <mergeCell ref="O3044:P3044"/>
    <mergeCell ref="O3045:P3045"/>
    <mergeCell ref="O3046:P3046"/>
    <mergeCell ref="O3047:P3047"/>
    <mergeCell ref="O3048:P3048"/>
    <mergeCell ref="O3049:P3049"/>
    <mergeCell ref="O3050:P3050"/>
    <mergeCell ref="O3051:P3051"/>
    <mergeCell ref="O2986:P2986"/>
    <mergeCell ref="O2987:P2987"/>
    <mergeCell ref="O2988:P2988"/>
    <mergeCell ref="O2989:P2989"/>
    <mergeCell ref="O2990:P2990"/>
    <mergeCell ref="O2991:P2991"/>
    <mergeCell ref="O2992:P2992"/>
    <mergeCell ref="O2993:P2993"/>
    <mergeCell ref="O2994:P2994"/>
    <mergeCell ref="O2995:P2995"/>
    <mergeCell ref="O2996:P2996"/>
    <mergeCell ref="O2997:P2997"/>
    <mergeCell ref="O2998:P2998"/>
    <mergeCell ref="O2999:P2999"/>
    <mergeCell ref="O3000:P3000"/>
    <mergeCell ref="O3001:P3001"/>
    <mergeCell ref="O3002:P3002"/>
    <mergeCell ref="O3003:P3003"/>
    <mergeCell ref="O3004:P3004"/>
    <mergeCell ref="O3005:P3005"/>
    <mergeCell ref="O3006:P3006"/>
    <mergeCell ref="O3007:P3007"/>
    <mergeCell ref="O3008:P3008"/>
    <mergeCell ref="O3009:P3009"/>
    <mergeCell ref="O3010:P3010"/>
    <mergeCell ref="O3011:P3011"/>
    <mergeCell ref="O3012:P3012"/>
    <mergeCell ref="O3013:P3013"/>
    <mergeCell ref="O3014:P3014"/>
    <mergeCell ref="O3015:P3015"/>
    <mergeCell ref="O3016:P3016"/>
    <mergeCell ref="O3017:P3017"/>
    <mergeCell ref="O3018:P3018"/>
    <mergeCell ref="O2953:P2953"/>
    <mergeCell ref="O2954:P2954"/>
    <mergeCell ref="O2955:P2955"/>
    <mergeCell ref="O2956:P2956"/>
    <mergeCell ref="O2957:P2957"/>
    <mergeCell ref="O2958:P2958"/>
    <mergeCell ref="O2959:P2959"/>
    <mergeCell ref="O2960:P2960"/>
    <mergeCell ref="O2961:P2961"/>
    <mergeCell ref="O2962:P2962"/>
    <mergeCell ref="O2963:P2963"/>
    <mergeCell ref="O2964:P2964"/>
    <mergeCell ref="O2965:P2965"/>
    <mergeCell ref="O2966:P2966"/>
    <mergeCell ref="O2967:P2967"/>
    <mergeCell ref="O2968:P2968"/>
    <mergeCell ref="O2969:P2969"/>
    <mergeCell ref="O2970:P2970"/>
    <mergeCell ref="O2971:P2971"/>
    <mergeCell ref="O2972:P2972"/>
    <mergeCell ref="O2973:P2973"/>
    <mergeCell ref="O2974:P2974"/>
    <mergeCell ref="O2975:P2975"/>
    <mergeCell ref="O2976:P2976"/>
    <mergeCell ref="O2977:P2977"/>
    <mergeCell ref="O2978:P2978"/>
    <mergeCell ref="O2979:P2979"/>
    <mergeCell ref="O2980:P2980"/>
    <mergeCell ref="O2981:P2981"/>
    <mergeCell ref="O2982:P2982"/>
    <mergeCell ref="O2983:P2983"/>
    <mergeCell ref="O2984:P2984"/>
    <mergeCell ref="O2985:P2985"/>
    <mergeCell ref="O2920:P2920"/>
    <mergeCell ref="O2921:P2921"/>
    <mergeCell ref="O2922:P2922"/>
    <mergeCell ref="O2923:P2923"/>
    <mergeCell ref="O2924:P2924"/>
    <mergeCell ref="O2925:P2925"/>
    <mergeCell ref="O2926:P2926"/>
    <mergeCell ref="O2927:P2927"/>
    <mergeCell ref="O2928:P2928"/>
    <mergeCell ref="O2929:P2929"/>
    <mergeCell ref="O2930:P2930"/>
    <mergeCell ref="O2931:P2931"/>
    <mergeCell ref="O2932:P2932"/>
    <mergeCell ref="O2933:P2933"/>
    <mergeCell ref="O2934:P2934"/>
    <mergeCell ref="O2935:P2935"/>
    <mergeCell ref="O2936:P2936"/>
    <mergeCell ref="O2937:P2937"/>
    <mergeCell ref="O2938:P2938"/>
    <mergeCell ref="O2939:P2939"/>
    <mergeCell ref="O2940:P2940"/>
    <mergeCell ref="O2941:P2941"/>
    <mergeCell ref="O2942:P2942"/>
    <mergeCell ref="O2943:P2943"/>
    <mergeCell ref="O2944:P2944"/>
    <mergeCell ref="O2945:P2945"/>
    <mergeCell ref="O2946:P2946"/>
    <mergeCell ref="O2947:P2947"/>
    <mergeCell ref="O2948:P2948"/>
    <mergeCell ref="O2949:P2949"/>
    <mergeCell ref="O2950:P2950"/>
    <mergeCell ref="O2951:P2951"/>
    <mergeCell ref="O2952:P2952"/>
    <mergeCell ref="O2887:P2887"/>
    <mergeCell ref="O2888:P2888"/>
    <mergeCell ref="O2889:P2889"/>
    <mergeCell ref="O2890:P2890"/>
    <mergeCell ref="O2891:P2891"/>
    <mergeCell ref="O2892:P2892"/>
    <mergeCell ref="O2893:P2893"/>
    <mergeCell ref="O2894:P2894"/>
    <mergeCell ref="O2895:P2895"/>
    <mergeCell ref="O2896:P2896"/>
    <mergeCell ref="O2897:P2897"/>
    <mergeCell ref="O2898:P2898"/>
    <mergeCell ref="O2899:P2899"/>
    <mergeCell ref="O2900:P2900"/>
    <mergeCell ref="O2901:P2901"/>
    <mergeCell ref="O2902:P2902"/>
    <mergeCell ref="O2903:P2903"/>
    <mergeCell ref="O2904:P2904"/>
    <mergeCell ref="O2905:P2905"/>
    <mergeCell ref="O2906:P2906"/>
    <mergeCell ref="O2907:P2907"/>
    <mergeCell ref="O2908:P2908"/>
    <mergeCell ref="O2909:P2909"/>
    <mergeCell ref="O2910:P2910"/>
    <mergeCell ref="O2911:P2911"/>
    <mergeCell ref="O2912:P2912"/>
    <mergeCell ref="O2913:P2913"/>
    <mergeCell ref="O2914:P2914"/>
    <mergeCell ref="O2915:P2915"/>
    <mergeCell ref="O2916:P2916"/>
    <mergeCell ref="O2917:P2917"/>
    <mergeCell ref="O2918:P2918"/>
    <mergeCell ref="O2919:P2919"/>
    <mergeCell ref="O2854:P2854"/>
    <mergeCell ref="O2855:P2855"/>
    <mergeCell ref="O2856:P2856"/>
    <mergeCell ref="O2857:P2857"/>
    <mergeCell ref="O2858:P2858"/>
    <mergeCell ref="O2859:P2859"/>
    <mergeCell ref="O2860:P2860"/>
    <mergeCell ref="O2861:P2861"/>
    <mergeCell ref="O2862:P2862"/>
    <mergeCell ref="O2863:P2863"/>
    <mergeCell ref="O2864:P2864"/>
    <mergeCell ref="O2865:P2865"/>
    <mergeCell ref="O2866:P2866"/>
    <mergeCell ref="O2867:P2867"/>
    <mergeCell ref="O2868:P2868"/>
    <mergeCell ref="O2869:P2869"/>
    <mergeCell ref="O2870:P2870"/>
    <mergeCell ref="O2871:P2871"/>
    <mergeCell ref="O2872:P2872"/>
    <mergeCell ref="O2873:P2873"/>
    <mergeCell ref="O2874:P2874"/>
    <mergeCell ref="O2875:P2875"/>
    <mergeCell ref="O2876:P2876"/>
    <mergeCell ref="O2877:P2877"/>
    <mergeCell ref="O2878:P2878"/>
    <mergeCell ref="O2879:P2879"/>
    <mergeCell ref="O2880:P2880"/>
    <mergeCell ref="O2881:P2881"/>
    <mergeCell ref="O2882:P2882"/>
    <mergeCell ref="O2883:P2883"/>
    <mergeCell ref="O2884:P2884"/>
    <mergeCell ref="O2885:P2885"/>
    <mergeCell ref="O2886:P2886"/>
    <mergeCell ref="O420:P420"/>
    <mergeCell ref="O421:P421"/>
    <mergeCell ref="O422:P422"/>
    <mergeCell ref="O423:P423"/>
    <mergeCell ref="O424:P424"/>
    <mergeCell ref="O425:P425"/>
    <mergeCell ref="O426:P426"/>
    <mergeCell ref="O427:P427"/>
    <mergeCell ref="O428:P428"/>
    <mergeCell ref="O429:P429"/>
    <mergeCell ref="O430:P430"/>
    <mergeCell ref="O431:P431"/>
    <mergeCell ref="O432:P432"/>
    <mergeCell ref="O433:P433"/>
    <mergeCell ref="O434:P434"/>
    <mergeCell ref="O435:P435"/>
    <mergeCell ref="O436:P436"/>
    <mergeCell ref="O437:P437"/>
    <mergeCell ref="O438:P438"/>
    <mergeCell ref="O439:P439"/>
    <mergeCell ref="O440:P440"/>
    <mergeCell ref="O2842:P2842"/>
    <mergeCell ref="O2843:P2843"/>
    <mergeCell ref="O2844:P2844"/>
    <mergeCell ref="O2845:P2845"/>
    <mergeCell ref="O2846:P2846"/>
    <mergeCell ref="O2847:P2847"/>
    <mergeCell ref="O2848:P2848"/>
    <mergeCell ref="O2849:P2849"/>
    <mergeCell ref="O2850:P2850"/>
    <mergeCell ref="O2851:P2851"/>
    <mergeCell ref="O2852:P2852"/>
    <mergeCell ref="O2853:P2853"/>
    <mergeCell ref="O485:P485"/>
    <mergeCell ref="O486:P486"/>
    <mergeCell ref="O487:P487"/>
    <mergeCell ref="O488:P488"/>
    <mergeCell ref="O489:P489"/>
    <mergeCell ref="O490:P490"/>
    <mergeCell ref="O491:P491"/>
    <mergeCell ref="O492:P492"/>
    <mergeCell ref="O493:P493"/>
    <mergeCell ref="O494:P494"/>
    <mergeCell ref="O495:P495"/>
    <mergeCell ref="O496:P496"/>
    <mergeCell ref="O497:P497"/>
    <mergeCell ref="O498:P498"/>
    <mergeCell ref="O499:P499"/>
    <mergeCell ref="O500:P500"/>
    <mergeCell ref="O501:P501"/>
    <mergeCell ref="O502:P502"/>
    <mergeCell ref="O503:P503"/>
    <mergeCell ref="O504:P504"/>
    <mergeCell ref="O505:P505"/>
    <mergeCell ref="O506:P506"/>
    <mergeCell ref="O507:P507"/>
    <mergeCell ref="O508:P508"/>
    <mergeCell ref="O509:P509"/>
    <mergeCell ref="O510:P510"/>
    <mergeCell ref="O511:P511"/>
    <mergeCell ref="O512:P512"/>
    <mergeCell ref="O513:P513"/>
    <mergeCell ref="O514:P514"/>
    <mergeCell ref="O515:P515"/>
    <mergeCell ref="O387:P387"/>
    <mergeCell ref="O388:P388"/>
    <mergeCell ref="O389:P389"/>
    <mergeCell ref="O390:P390"/>
    <mergeCell ref="O391:P391"/>
    <mergeCell ref="O392:P392"/>
    <mergeCell ref="O393:P393"/>
    <mergeCell ref="O394:P394"/>
    <mergeCell ref="O395:P395"/>
    <mergeCell ref="O396:P396"/>
    <mergeCell ref="O397:P397"/>
    <mergeCell ref="O398:P398"/>
    <mergeCell ref="O399:P399"/>
    <mergeCell ref="O400:P400"/>
    <mergeCell ref="O401:P401"/>
    <mergeCell ref="O402:P402"/>
    <mergeCell ref="O403:P403"/>
    <mergeCell ref="O404:P404"/>
    <mergeCell ref="O405:P405"/>
    <mergeCell ref="O406:P406"/>
    <mergeCell ref="O407:P407"/>
    <mergeCell ref="O408:P408"/>
    <mergeCell ref="O409:P409"/>
    <mergeCell ref="O410:P410"/>
    <mergeCell ref="O411:P411"/>
    <mergeCell ref="O412:P412"/>
    <mergeCell ref="O413:P413"/>
    <mergeCell ref="O414:P414"/>
    <mergeCell ref="O415:P415"/>
    <mergeCell ref="O416:P416"/>
    <mergeCell ref="O417:P417"/>
    <mergeCell ref="O418:P418"/>
    <mergeCell ref="O419:P419"/>
    <mergeCell ref="O354:P354"/>
    <mergeCell ref="O355:P355"/>
    <mergeCell ref="O356:P356"/>
    <mergeCell ref="O357:P357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66:P366"/>
    <mergeCell ref="O367:P367"/>
    <mergeCell ref="O368:P368"/>
    <mergeCell ref="O369:P369"/>
    <mergeCell ref="O370:P370"/>
    <mergeCell ref="O371:P371"/>
    <mergeCell ref="O372:P372"/>
    <mergeCell ref="O373:P373"/>
    <mergeCell ref="O374:P374"/>
    <mergeCell ref="O375:P375"/>
    <mergeCell ref="O376:P376"/>
    <mergeCell ref="O377:P377"/>
    <mergeCell ref="O378:P378"/>
    <mergeCell ref="O379:P379"/>
    <mergeCell ref="O380:P380"/>
    <mergeCell ref="O381:P381"/>
    <mergeCell ref="O382:P382"/>
    <mergeCell ref="O383:P383"/>
    <mergeCell ref="O384:P384"/>
    <mergeCell ref="O385:P385"/>
    <mergeCell ref="O386:P386"/>
    <mergeCell ref="O321:P321"/>
    <mergeCell ref="O322:P322"/>
    <mergeCell ref="O323:P323"/>
    <mergeCell ref="O324:P324"/>
    <mergeCell ref="O325:P325"/>
    <mergeCell ref="O326:P326"/>
    <mergeCell ref="O327:P327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O350:P350"/>
    <mergeCell ref="O351:P351"/>
    <mergeCell ref="O352:P352"/>
    <mergeCell ref="O353:P353"/>
    <mergeCell ref="O288:P288"/>
    <mergeCell ref="O289:P289"/>
    <mergeCell ref="O290:P290"/>
    <mergeCell ref="O291:P291"/>
    <mergeCell ref="O292:P292"/>
    <mergeCell ref="O293:P293"/>
    <mergeCell ref="O294:P294"/>
    <mergeCell ref="O295:P295"/>
    <mergeCell ref="O296:P296"/>
    <mergeCell ref="O297:P297"/>
    <mergeCell ref="O298:P298"/>
    <mergeCell ref="O299:P299"/>
    <mergeCell ref="O300:P300"/>
    <mergeCell ref="O301:P301"/>
    <mergeCell ref="O302:P302"/>
    <mergeCell ref="O303:P303"/>
    <mergeCell ref="O304:P304"/>
    <mergeCell ref="O305:P305"/>
    <mergeCell ref="O306:P306"/>
    <mergeCell ref="O307:P307"/>
    <mergeCell ref="O308:P308"/>
    <mergeCell ref="O309:P309"/>
    <mergeCell ref="O310:P310"/>
    <mergeCell ref="O311:P311"/>
    <mergeCell ref="O312:P312"/>
    <mergeCell ref="O313:P313"/>
    <mergeCell ref="O314:P314"/>
    <mergeCell ref="O315:P315"/>
    <mergeCell ref="O316:P316"/>
    <mergeCell ref="O317:P317"/>
    <mergeCell ref="O318:P318"/>
    <mergeCell ref="O319:P319"/>
    <mergeCell ref="O320:P320"/>
    <mergeCell ref="O255:P255"/>
    <mergeCell ref="O256:P256"/>
    <mergeCell ref="O257:P257"/>
    <mergeCell ref="O258:P258"/>
    <mergeCell ref="O259:P259"/>
    <mergeCell ref="O260:P260"/>
    <mergeCell ref="O261:P261"/>
    <mergeCell ref="O262:P262"/>
    <mergeCell ref="O263:P263"/>
    <mergeCell ref="O264:P264"/>
    <mergeCell ref="O265:P265"/>
    <mergeCell ref="O266:P266"/>
    <mergeCell ref="O267:P267"/>
    <mergeCell ref="O268:P268"/>
    <mergeCell ref="O269:P269"/>
    <mergeCell ref="O270:P270"/>
    <mergeCell ref="O271:P271"/>
    <mergeCell ref="O272:P272"/>
    <mergeCell ref="O273:P273"/>
    <mergeCell ref="O274:P274"/>
    <mergeCell ref="O275:P275"/>
    <mergeCell ref="O276:P276"/>
    <mergeCell ref="O277:P277"/>
    <mergeCell ref="O278:P278"/>
    <mergeCell ref="O279:P279"/>
    <mergeCell ref="O280:P280"/>
    <mergeCell ref="O281:P281"/>
    <mergeCell ref="O282:P282"/>
    <mergeCell ref="O283:P283"/>
    <mergeCell ref="O284:P284"/>
    <mergeCell ref="O285:P285"/>
    <mergeCell ref="O286:P286"/>
    <mergeCell ref="O287:P287"/>
    <mergeCell ref="O222:P222"/>
    <mergeCell ref="O223:P223"/>
    <mergeCell ref="O224:P224"/>
    <mergeCell ref="O225:P225"/>
    <mergeCell ref="O226:P226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39:P239"/>
    <mergeCell ref="O240:P240"/>
    <mergeCell ref="O241:P241"/>
    <mergeCell ref="O242:P242"/>
    <mergeCell ref="O243:P243"/>
    <mergeCell ref="O244:P244"/>
    <mergeCell ref="O245:P245"/>
    <mergeCell ref="O246:P246"/>
    <mergeCell ref="O247:P247"/>
    <mergeCell ref="O248:P248"/>
    <mergeCell ref="O249:P249"/>
    <mergeCell ref="O250:P250"/>
    <mergeCell ref="O251:P251"/>
    <mergeCell ref="O252:P252"/>
    <mergeCell ref="O253:P253"/>
    <mergeCell ref="O254:P254"/>
    <mergeCell ref="O189:P189"/>
    <mergeCell ref="O190:P190"/>
    <mergeCell ref="O191:P191"/>
    <mergeCell ref="O192:P192"/>
    <mergeCell ref="O193:P193"/>
    <mergeCell ref="O194:P194"/>
    <mergeCell ref="O195:P195"/>
    <mergeCell ref="O196:P196"/>
    <mergeCell ref="O197:P197"/>
    <mergeCell ref="O198:P198"/>
    <mergeCell ref="O199:P199"/>
    <mergeCell ref="O200:P200"/>
    <mergeCell ref="O201:P201"/>
    <mergeCell ref="O202:P202"/>
    <mergeCell ref="O203:P203"/>
    <mergeCell ref="O204:P204"/>
    <mergeCell ref="O205:P205"/>
    <mergeCell ref="O206:P206"/>
    <mergeCell ref="O207:P207"/>
    <mergeCell ref="O208:P208"/>
    <mergeCell ref="O209:P209"/>
    <mergeCell ref="O210:P210"/>
    <mergeCell ref="O211:P211"/>
    <mergeCell ref="O212:P212"/>
    <mergeCell ref="O213:P213"/>
    <mergeCell ref="O214:P214"/>
    <mergeCell ref="O215:P215"/>
    <mergeCell ref="O216:P216"/>
    <mergeCell ref="O217:P217"/>
    <mergeCell ref="O218:P218"/>
    <mergeCell ref="O219:P219"/>
    <mergeCell ref="O220:P220"/>
    <mergeCell ref="O221:P221"/>
    <mergeCell ref="O156:P156"/>
    <mergeCell ref="O157:P157"/>
    <mergeCell ref="O158:P158"/>
    <mergeCell ref="O159:P159"/>
    <mergeCell ref="O160:P160"/>
    <mergeCell ref="O161:P161"/>
    <mergeCell ref="O162:P162"/>
    <mergeCell ref="O163:P163"/>
    <mergeCell ref="O164:P164"/>
    <mergeCell ref="O165:P165"/>
    <mergeCell ref="O166:P166"/>
    <mergeCell ref="O167:P167"/>
    <mergeCell ref="O168:P168"/>
    <mergeCell ref="O169:P169"/>
    <mergeCell ref="O170:P170"/>
    <mergeCell ref="O171:P171"/>
    <mergeCell ref="O172:P172"/>
    <mergeCell ref="O173:P173"/>
    <mergeCell ref="O174:P174"/>
    <mergeCell ref="O175:P175"/>
    <mergeCell ref="O176:P176"/>
    <mergeCell ref="O177:P177"/>
    <mergeCell ref="O178:P178"/>
    <mergeCell ref="O179:P179"/>
    <mergeCell ref="O180:P180"/>
    <mergeCell ref="O181:P181"/>
    <mergeCell ref="O182:P182"/>
    <mergeCell ref="O183:P183"/>
    <mergeCell ref="O184:P184"/>
    <mergeCell ref="O185:P185"/>
    <mergeCell ref="O186:P186"/>
    <mergeCell ref="O187:P187"/>
    <mergeCell ref="O188:P188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134:P134"/>
    <mergeCell ref="O135:P135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O144:P144"/>
    <mergeCell ref="O145:P145"/>
    <mergeCell ref="O146:P146"/>
    <mergeCell ref="O147:P147"/>
    <mergeCell ref="O148:P148"/>
    <mergeCell ref="O149:P149"/>
    <mergeCell ref="O150:P150"/>
    <mergeCell ref="O151:P151"/>
    <mergeCell ref="O152:P152"/>
    <mergeCell ref="O153:P153"/>
    <mergeCell ref="O154:P154"/>
    <mergeCell ref="O155:P155"/>
    <mergeCell ref="G182:H182"/>
    <mergeCell ref="G183:H183"/>
    <mergeCell ref="C180:D180"/>
    <mergeCell ref="C181:D181"/>
    <mergeCell ref="G181:H181"/>
    <mergeCell ref="K181:L181"/>
    <mergeCell ref="C182:D182"/>
    <mergeCell ref="K182:L182"/>
    <mergeCell ref="K183:L183"/>
    <mergeCell ref="G185:H185"/>
    <mergeCell ref="G186:H186"/>
    <mergeCell ref="C183:D183"/>
    <mergeCell ref="C184:D184"/>
    <mergeCell ref="G184:H184"/>
    <mergeCell ref="K184:L184"/>
    <mergeCell ref="C185:D185"/>
    <mergeCell ref="K185:L185"/>
    <mergeCell ref="K186:L186"/>
    <mergeCell ref="G188:H188"/>
    <mergeCell ref="G189:H189"/>
    <mergeCell ref="C186:D186"/>
    <mergeCell ref="C187:D187"/>
    <mergeCell ref="G187:H187"/>
    <mergeCell ref="K187:L187"/>
    <mergeCell ref="C188:D188"/>
    <mergeCell ref="K188:L188"/>
    <mergeCell ref="K189:L189"/>
    <mergeCell ref="G191:H191"/>
    <mergeCell ref="G192:H192"/>
    <mergeCell ref="C189:D189"/>
    <mergeCell ref="C190:D190"/>
    <mergeCell ref="G190:H190"/>
    <mergeCell ref="K190:L190"/>
    <mergeCell ref="C191:D191"/>
    <mergeCell ref="K191:L191"/>
    <mergeCell ref="K192:L192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G169:H169"/>
    <mergeCell ref="G170:H170"/>
    <mergeCell ref="G171:H171"/>
    <mergeCell ref="G164:H164"/>
    <mergeCell ref="G165:H165"/>
    <mergeCell ref="G166:H166"/>
    <mergeCell ref="G167:H167"/>
    <mergeCell ref="G168:H168"/>
    <mergeCell ref="K168:L168"/>
    <mergeCell ref="K169:L169"/>
    <mergeCell ref="G174:H174"/>
    <mergeCell ref="G175:H175"/>
    <mergeCell ref="K170:L170"/>
    <mergeCell ref="K171:L171"/>
    <mergeCell ref="G172:H172"/>
    <mergeCell ref="K172:L172"/>
    <mergeCell ref="G173:H173"/>
    <mergeCell ref="K173:L173"/>
    <mergeCell ref="K174:L174"/>
    <mergeCell ref="K175:L175"/>
    <mergeCell ref="G179:H179"/>
    <mergeCell ref="G180:H180"/>
    <mergeCell ref="C177:D177"/>
    <mergeCell ref="C178:D178"/>
    <mergeCell ref="G178:H178"/>
    <mergeCell ref="K178:L178"/>
    <mergeCell ref="C179:D179"/>
    <mergeCell ref="K179:L179"/>
    <mergeCell ref="K180:L180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  <mergeCell ref="O108:P108"/>
    <mergeCell ref="O109:P109"/>
    <mergeCell ref="O110:P110"/>
    <mergeCell ref="O111:P111"/>
    <mergeCell ref="O112:P112"/>
    <mergeCell ref="O113:P113"/>
    <mergeCell ref="O114:P114"/>
    <mergeCell ref="O115:P115"/>
    <mergeCell ref="O116:P116"/>
    <mergeCell ref="O117:P117"/>
    <mergeCell ref="O118:P118"/>
    <mergeCell ref="O119:P119"/>
    <mergeCell ref="O120:P120"/>
    <mergeCell ref="O121:P121"/>
    <mergeCell ref="O122:P122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G99:H99"/>
    <mergeCell ref="G100:H100"/>
    <mergeCell ref="G101:H101"/>
    <mergeCell ref="G95:H95"/>
    <mergeCell ref="G96:H96"/>
    <mergeCell ref="G97:H97"/>
    <mergeCell ref="K97:L97"/>
    <mergeCell ref="G98:H98"/>
    <mergeCell ref="K98:L98"/>
    <mergeCell ref="K99:L99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68:P68"/>
    <mergeCell ref="O69:P69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C2:Q2"/>
    <mergeCell ref="C3:Q3"/>
    <mergeCell ref="C4:D4"/>
    <mergeCell ref="G4:H4"/>
    <mergeCell ref="O4:P4"/>
    <mergeCell ref="G5:H5"/>
    <mergeCell ref="O5:P5"/>
    <mergeCell ref="G8:H8"/>
    <mergeCell ref="G9:H9"/>
    <mergeCell ref="K4:L4"/>
    <mergeCell ref="K5:L5"/>
    <mergeCell ref="K6:L6"/>
    <mergeCell ref="O6:P6"/>
    <mergeCell ref="K7:L7"/>
    <mergeCell ref="O7:P7"/>
    <mergeCell ref="O8:P8"/>
    <mergeCell ref="K8:L8"/>
    <mergeCell ref="K9:L9"/>
    <mergeCell ref="K10:L10"/>
    <mergeCell ref="K11:L11"/>
    <mergeCell ref="K12:L12"/>
    <mergeCell ref="K13:L13"/>
    <mergeCell ref="K14:L14"/>
    <mergeCell ref="O19:P19"/>
    <mergeCell ref="O20:P20"/>
    <mergeCell ref="K24:L24"/>
    <mergeCell ref="K25:L25"/>
    <mergeCell ref="K26:L26"/>
    <mergeCell ref="K27:L27"/>
    <mergeCell ref="K28:L28"/>
    <mergeCell ref="K29:L29"/>
    <mergeCell ref="K30:L30"/>
    <mergeCell ref="K37:L37"/>
    <mergeCell ref="O37:P37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G143:H143"/>
    <mergeCell ref="G144:H144"/>
    <mergeCell ref="K137:L137"/>
    <mergeCell ref="K138:L138"/>
    <mergeCell ref="K140:L140"/>
    <mergeCell ref="K141:L141"/>
    <mergeCell ref="K142:L142"/>
    <mergeCell ref="K143:L143"/>
    <mergeCell ref="K144:L144"/>
    <mergeCell ref="G152:H152"/>
    <mergeCell ref="G153:H153"/>
    <mergeCell ref="G145:H145"/>
    <mergeCell ref="G146:H146"/>
    <mergeCell ref="G147:H147"/>
    <mergeCell ref="G148:H148"/>
    <mergeCell ref="G149:H149"/>
    <mergeCell ref="G150:H150"/>
    <mergeCell ref="G151:H151"/>
    <mergeCell ref="C5:D5"/>
    <mergeCell ref="C6:D6"/>
    <mergeCell ref="G6:H6"/>
    <mergeCell ref="C7:D7"/>
    <mergeCell ref="G7:H7"/>
    <mergeCell ref="C8:D8"/>
    <mergeCell ref="C9:D9"/>
    <mergeCell ref="C10:D10"/>
    <mergeCell ref="G10:H10"/>
    <mergeCell ref="C11:D11"/>
    <mergeCell ref="G11:H11"/>
    <mergeCell ref="C12:D12"/>
    <mergeCell ref="G12:H12"/>
    <mergeCell ref="G13:H13"/>
    <mergeCell ref="O16:P16"/>
    <mergeCell ref="O17:P17"/>
    <mergeCell ref="O9:P9"/>
    <mergeCell ref="O10:P10"/>
    <mergeCell ref="O11:P11"/>
    <mergeCell ref="O12:P12"/>
    <mergeCell ref="O13:P13"/>
    <mergeCell ref="O14:P14"/>
    <mergeCell ref="O15:P15"/>
    <mergeCell ref="K15:L15"/>
    <mergeCell ref="K16:L16"/>
    <mergeCell ref="K17:L17"/>
    <mergeCell ref="K18:L18"/>
    <mergeCell ref="O18:P18"/>
    <mergeCell ref="K19:L19"/>
    <mergeCell ref="K20:L20"/>
    <mergeCell ref="K21:L21"/>
    <mergeCell ref="O21:P21"/>
    <mergeCell ref="K22:L22"/>
    <mergeCell ref="O22:P22"/>
    <mergeCell ref="K23:L23"/>
    <mergeCell ref="O23:P23"/>
    <mergeCell ref="O24:P24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K66:L66"/>
    <mergeCell ref="K67:L67"/>
    <mergeCell ref="G88:H88"/>
    <mergeCell ref="G89:H89"/>
    <mergeCell ref="G81:H81"/>
    <mergeCell ref="G82:H82"/>
    <mergeCell ref="G83:H83"/>
    <mergeCell ref="G84:H84"/>
    <mergeCell ref="G85:H85"/>
    <mergeCell ref="G86:H86"/>
    <mergeCell ref="G87:H87"/>
    <mergeCell ref="G56:H56"/>
    <mergeCell ref="G57:H57"/>
    <mergeCell ref="G58:H58"/>
    <mergeCell ref="K58:L58"/>
    <mergeCell ref="G59:H59"/>
    <mergeCell ref="K59:L59"/>
    <mergeCell ref="K60:L60"/>
    <mergeCell ref="K69:L69"/>
    <mergeCell ref="K70:L70"/>
    <mergeCell ref="G60:H60"/>
    <mergeCell ref="G61:H61"/>
    <mergeCell ref="G62:H62"/>
    <mergeCell ref="G68:H68"/>
    <mergeCell ref="K68:L68"/>
    <mergeCell ref="G69:H69"/>
    <mergeCell ref="G70:H70"/>
    <mergeCell ref="G71:H71"/>
    <mergeCell ref="K71:L71"/>
    <mergeCell ref="G72:H72"/>
    <mergeCell ref="K72:L72"/>
    <mergeCell ref="G73:H73"/>
    <mergeCell ref="K73:L73"/>
    <mergeCell ref="K74:L74"/>
    <mergeCell ref="G74:H74"/>
    <mergeCell ref="G75:H75"/>
    <mergeCell ref="G76:H76"/>
    <mergeCell ref="G77:H77"/>
    <mergeCell ref="G78:H78"/>
    <mergeCell ref="G79:H79"/>
    <mergeCell ref="G80:H80"/>
    <mergeCell ref="K82:L82"/>
    <mergeCell ref="K83:L83"/>
    <mergeCell ref="K84:L84"/>
    <mergeCell ref="K85:L85"/>
    <mergeCell ref="K86:L86"/>
    <mergeCell ref="K87:L87"/>
    <mergeCell ref="K88:L88"/>
    <mergeCell ref="K89:L89"/>
    <mergeCell ref="K75:L75"/>
    <mergeCell ref="K76:L76"/>
    <mergeCell ref="K77:L77"/>
    <mergeCell ref="K78:L78"/>
    <mergeCell ref="K79:L79"/>
    <mergeCell ref="K80:L80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O35:P35"/>
    <mergeCell ref="O36:P36"/>
    <mergeCell ref="K31:L31"/>
    <mergeCell ref="K32:L32"/>
    <mergeCell ref="K33:L33"/>
    <mergeCell ref="K34:L34"/>
    <mergeCell ref="O34:P34"/>
    <mergeCell ref="K35:L35"/>
    <mergeCell ref="K36:L36"/>
    <mergeCell ref="K38:L38"/>
    <mergeCell ref="O38:P38"/>
    <mergeCell ref="K39:L39"/>
    <mergeCell ref="O39:P39"/>
    <mergeCell ref="K40:L40"/>
    <mergeCell ref="O40:P40"/>
    <mergeCell ref="O41:P41"/>
    <mergeCell ref="K41:L41"/>
    <mergeCell ref="K42:L42"/>
    <mergeCell ref="K43:L43"/>
    <mergeCell ref="K44:L44"/>
    <mergeCell ref="K45:L45"/>
    <mergeCell ref="K46:L46"/>
    <mergeCell ref="K47:L47"/>
    <mergeCell ref="O42:P42"/>
    <mergeCell ref="O43:P43"/>
    <mergeCell ref="O44:P44"/>
    <mergeCell ref="O45:P45"/>
    <mergeCell ref="O46:P46"/>
    <mergeCell ref="O47:P47"/>
    <mergeCell ref="O48:P48"/>
    <mergeCell ref="K55:L55"/>
    <mergeCell ref="K56:L56"/>
    <mergeCell ref="K57:L57"/>
    <mergeCell ref="K48:L48"/>
    <mergeCell ref="K49:L49"/>
    <mergeCell ref="K50:L50"/>
    <mergeCell ref="K51:L51"/>
    <mergeCell ref="K52:L52"/>
    <mergeCell ref="K53:L53"/>
    <mergeCell ref="K54:L54"/>
    <mergeCell ref="G773:H773"/>
    <mergeCell ref="G774:H774"/>
    <mergeCell ref="C771:D771"/>
    <mergeCell ref="C772:D772"/>
    <mergeCell ref="G772:H772"/>
    <mergeCell ref="K772:L772"/>
    <mergeCell ref="C773:D773"/>
    <mergeCell ref="K773:L773"/>
    <mergeCell ref="K774:L774"/>
    <mergeCell ref="G776:H776"/>
    <mergeCell ref="G777:H777"/>
    <mergeCell ref="C774:D774"/>
    <mergeCell ref="C775:D775"/>
    <mergeCell ref="G775:H775"/>
    <mergeCell ref="K775:L775"/>
    <mergeCell ref="C776:D776"/>
    <mergeCell ref="K776:L776"/>
    <mergeCell ref="K777:L777"/>
    <mergeCell ref="G779:H779"/>
    <mergeCell ref="G780:H780"/>
    <mergeCell ref="C777:D777"/>
    <mergeCell ref="C778:D778"/>
    <mergeCell ref="G778:H778"/>
    <mergeCell ref="K778:L778"/>
    <mergeCell ref="C779:D779"/>
    <mergeCell ref="K779:L779"/>
    <mergeCell ref="K780:L780"/>
    <mergeCell ref="O56:P56"/>
    <mergeCell ref="O57:P57"/>
    <mergeCell ref="O49:P49"/>
    <mergeCell ref="O50:P50"/>
    <mergeCell ref="O51:P51"/>
    <mergeCell ref="O52:P52"/>
    <mergeCell ref="O53:P53"/>
    <mergeCell ref="O54:P54"/>
    <mergeCell ref="O55:P55"/>
    <mergeCell ref="G65:H65"/>
    <mergeCell ref="G66:H66"/>
    <mergeCell ref="G67:H67"/>
    <mergeCell ref="K61:L61"/>
    <mergeCell ref="K62:L62"/>
    <mergeCell ref="G63:H63"/>
    <mergeCell ref="K63:L63"/>
    <mergeCell ref="G64:H64"/>
    <mergeCell ref="K64:L64"/>
    <mergeCell ref="K65:L65"/>
    <mergeCell ref="K81:L81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39:D139"/>
    <mergeCell ref="C140:D140"/>
    <mergeCell ref="C141:D141"/>
    <mergeCell ref="C142:D142"/>
    <mergeCell ref="C143:D143"/>
    <mergeCell ref="C144:D144"/>
    <mergeCell ref="C145:D145"/>
    <mergeCell ref="G129:H129"/>
    <mergeCell ref="G130:H130"/>
    <mergeCell ref="G761:H761"/>
    <mergeCell ref="G762:H762"/>
    <mergeCell ref="C759:D759"/>
    <mergeCell ref="C760:D760"/>
    <mergeCell ref="G760:H760"/>
    <mergeCell ref="K760:L760"/>
    <mergeCell ref="C761:D761"/>
    <mergeCell ref="K761:L761"/>
    <mergeCell ref="K762:L762"/>
    <mergeCell ref="G764:H764"/>
    <mergeCell ref="G765:H765"/>
    <mergeCell ref="C762:D762"/>
    <mergeCell ref="C763:D763"/>
    <mergeCell ref="G763:H763"/>
    <mergeCell ref="K763:L763"/>
    <mergeCell ref="C764:D764"/>
    <mergeCell ref="K764:L764"/>
    <mergeCell ref="K765:L765"/>
    <mergeCell ref="G767:H767"/>
    <mergeCell ref="G768:H768"/>
    <mergeCell ref="C765:D765"/>
    <mergeCell ref="C766:D766"/>
    <mergeCell ref="G766:H766"/>
    <mergeCell ref="K766:L766"/>
    <mergeCell ref="C767:D767"/>
    <mergeCell ref="K767:L767"/>
    <mergeCell ref="K768:L768"/>
    <mergeCell ref="G770:H770"/>
    <mergeCell ref="G771:H771"/>
    <mergeCell ref="C768:D768"/>
    <mergeCell ref="C769:D769"/>
    <mergeCell ref="G769:H769"/>
    <mergeCell ref="K769:L769"/>
    <mergeCell ref="C770:D770"/>
    <mergeCell ref="K770:L770"/>
    <mergeCell ref="K771:L771"/>
    <mergeCell ref="G749:H749"/>
    <mergeCell ref="G750:H750"/>
    <mergeCell ref="C747:D747"/>
    <mergeCell ref="C748:D748"/>
    <mergeCell ref="G748:H748"/>
    <mergeCell ref="K748:L748"/>
    <mergeCell ref="C749:D749"/>
    <mergeCell ref="K749:L749"/>
    <mergeCell ref="K750:L750"/>
    <mergeCell ref="G752:H752"/>
    <mergeCell ref="G753:H753"/>
    <mergeCell ref="C750:D750"/>
    <mergeCell ref="C751:D751"/>
    <mergeCell ref="G751:H751"/>
    <mergeCell ref="K751:L751"/>
    <mergeCell ref="C752:D752"/>
    <mergeCell ref="K752:L752"/>
    <mergeCell ref="K753:L753"/>
    <mergeCell ref="G755:H755"/>
    <mergeCell ref="G756:H756"/>
    <mergeCell ref="C753:D753"/>
    <mergeCell ref="C754:D754"/>
    <mergeCell ref="G754:H754"/>
    <mergeCell ref="K754:L754"/>
    <mergeCell ref="C755:D755"/>
    <mergeCell ref="K755:L755"/>
    <mergeCell ref="K756:L756"/>
    <mergeCell ref="G758:H758"/>
    <mergeCell ref="G759:H759"/>
    <mergeCell ref="C756:D756"/>
    <mergeCell ref="C757:D757"/>
    <mergeCell ref="G757:H757"/>
    <mergeCell ref="K757:L757"/>
    <mergeCell ref="C758:D758"/>
    <mergeCell ref="K758:L758"/>
    <mergeCell ref="K759:L759"/>
    <mergeCell ref="G737:H737"/>
    <mergeCell ref="G738:H738"/>
    <mergeCell ref="C735:D735"/>
    <mergeCell ref="C736:D736"/>
    <mergeCell ref="G736:H736"/>
    <mergeCell ref="K736:L736"/>
    <mergeCell ref="C737:D737"/>
    <mergeCell ref="K737:L737"/>
    <mergeCell ref="K738:L738"/>
    <mergeCell ref="G740:H740"/>
    <mergeCell ref="G741:H741"/>
    <mergeCell ref="C738:D738"/>
    <mergeCell ref="C739:D739"/>
    <mergeCell ref="G739:H739"/>
    <mergeCell ref="K739:L739"/>
    <mergeCell ref="C740:D740"/>
    <mergeCell ref="K740:L740"/>
    <mergeCell ref="K741:L741"/>
    <mergeCell ref="G743:H743"/>
    <mergeCell ref="G744:H744"/>
    <mergeCell ref="C741:D741"/>
    <mergeCell ref="C742:D742"/>
    <mergeCell ref="G742:H742"/>
    <mergeCell ref="K742:L742"/>
    <mergeCell ref="C743:D743"/>
    <mergeCell ref="K743:L743"/>
    <mergeCell ref="K744:L744"/>
    <mergeCell ref="G746:H746"/>
    <mergeCell ref="G747:H747"/>
    <mergeCell ref="C744:D744"/>
    <mergeCell ref="C745:D745"/>
    <mergeCell ref="G745:H745"/>
    <mergeCell ref="K745:L745"/>
    <mergeCell ref="C746:D746"/>
    <mergeCell ref="K746:L746"/>
    <mergeCell ref="K747:L747"/>
    <mergeCell ref="G725:H725"/>
    <mergeCell ref="G726:H726"/>
    <mergeCell ref="C723:D723"/>
    <mergeCell ref="C724:D724"/>
    <mergeCell ref="G724:H724"/>
    <mergeCell ref="K724:L724"/>
    <mergeCell ref="C725:D725"/>
    <mergeCell ref="K725:L725"/>
    <mergeCell ref="K726:L726"/>
    <mergeCell ref="G728:H728"/>
    <mergeCell ref="G729:H729"/>
    <mergeCell ref="C726:D726"/>
    <mergeCell ref="C727:D727"/>
    <mergeCell ref="G727:H727"/>
    <mergeCell ref="K727:L727"/>
    <mergeCell ref="C728:D728"/>
    <mergeCell ref="K728:L728"/>
    <mergeCell ref="K729:L729"/>
    <mergeCell ref="G731:H731"/>
    <mergeCell ref="G732:H732"/>
    <mergeCell ref="C729:D729"/>
    <mergeCell ref="C730:D730"/>
    <mergeCell ref="G730:H730"/>
    <mergeCell ref="K730:L730"/>
    <mergeCell ref="C731:D731"/>
    <mergeCell ref="K731:L731"/>
    <mergeCell ref="K732:L732"/>
    <mergeCell ref="G734:H734"/>
    <mergeCell ref="G735:H735"/>
    <mergeCell ref="C732:D732"/>
    <mergeCell ref="C733:D733"/>
    <mergeCell ref="G733:H733"/>
    <mergeCell ref="K733:L733"/>
    <mergeCell ref="C734:D734"/>
    <mergeCell ref="K734:L734"/>
    <mergeCell ref="K735:L735"/>
    <mergeCell ref="G713:H713"/>
    <mergeCell ref="G714:H714"/>
    <mergeCell ref="C711:D711"/>
    <mergeCell ref="C712:D712"/>
    <mergeCell ref="G712:H712"/>
    <mergeCell ref="K712:L712"/>
    <mergeCell ref="C713:D713"/>
    <mergeCell ref="K713:L713"/>
    <mergeCell ref="K714:L714"/>
    <mergeCell ref="G716:H716"/>
    <mergeCell ref="G717:H717"/>
    <mergeCell ref="C714:D714"/>
    <mergeCell ref="C715:D715"/>
    <mergeCell ref="G715:H715"/>
    <mergeCell ref="K715:L715"/>
    <mergeCell ref="C716:D716"/>
    <mergeCell ref="K716:L716"/>
    <mergeCell ref="K717:L717"/>
    <mergeCell ref="G719:H719"/>
    <mergeCell ref="G720:H720"/>
    <mergeCell ref="C717:D717"/>
    <mergeCell ref="C718:D718"/>
    <mergeCell ref="G718:H718"/>
    <mergeCell ref="K718:L718"/>
    <mergeCell ref="C719:D719"/>
    <mergeCell ref="K719:L719"/>
    <mergeCell ref="K720:L720"/>
    <mergeCell ref="G722:H722"/>
    <mergeCell ref="G723:H723"/>
    <mergeCell ref="C720:D720"/>
    <mergeCell ref="C721:D721"/>
    <mergeCell ref="G721:H721"/>
    <mergeCell ref="K721:L721"/>
    <mergeCell ref="C722:D722"/>
    <mergeCell ref="K722:L722"/>
    <mergeCell ref="K723:L723"/>
    <mergeCell ref="G701:H701"/>
    <mergeCell ref="G702:H702"/>
    <mergeCell ref="C699:D699"/>
    <mergeCell ref="C700:D700"/>
    <mergeCell ref="G700:H700"/>
    <mergeCell ref="K700:L700"/>
    <mergeCell ref="C701:D701"/>
    <mergeCell ref="K701:L701"/>
    <mergeCell ref="K702:L702"/>
    <mergeCell ref="G704:H704"/>
    <mergeCell ref="G705:H705"/>
    <mergeCell ref="C702:D702"/>
    <mergeCell ref="C703:D703"/>
    <mergeCell ref="G703:H703"/>
    <mergeCell ref="K703:L703"/>
    <mergeCell ref="C704:D704"/>
    <mergeCell ref="K704:L704"/>
    <mergeCell ref="K705:L705"/>
    <mergeCell ref="G707:H707"/>
    <mergeCell ref="G708:H708"/>
    <mergeCell ref="C705:D705"/>
    <mergeCell ref="C706:D706"/>
    <mergeCell ref="G706:H706"/>
    <mergeCell ref="K706:L706"/>
    <mergeCell ref="C707:D707"/>
    <mergeCell ref="K707:L707"/>
    <mergeCell ref="K708:L708"/>
    <mergeCell ref="G710:H710"/>
    <mergeCell ref="G711:H711"/>
    <mergeCell ref="C708:D708"/>
    <mergeCell ref="C709:D709"/>
    <mergeCell ref="G709:H709"/>
    <mergeCell ref="K709:L709"/>
    <mergeCell ref="C710:D710"/>
    <mergeCell ref="K710:L710"/>
    <mergeCell ref="K711:L711"/>
    <mergeCell ref="G689:H689"/>
    <mergeCell ref="G690:H690"/>
    <mergeCell ref="C687:D687"/>
    <mergeCell ref="C688:D688"/>
    <mergeCell ref="G688:H688"/>
    <mergeCell ref="K688:L688"/>
    <mergeCell ref="C689:D689"/>
    <mergeCell ref="K689:L689"/>
    <mergeCell ref="K690:L690"/>
    <mergeCell ref="G692:H692"/>
    <mergeCell ref="G693:H693"/>
    <mergeCell ref="C690:D690"/>
    <mergeCell ref="C691:D691"/>
    <mergeCell ref="G691:H691"/>
    <mergeCell ref="K691:L691"/>
    <mergeCell ref="C692:D692"/>
    <mergeCell ref="K692:L692"/>
    <mergeCell ref="K693:L693"/>
    <mergeCell ref="G695:H695"/>
    <mergeCell ref="G696:H696"/>
    <mergeCell ref="C693:D693"/>
    <mergeCell ref="C694:D694"/>
    <mergeCell ref="G694:H694"/>
    <mergeCell ref="K694:L694"/>
    <mergeCell ref="C695:D695"/>
    <mergeCell ref="K695:L695"/>
    <mergeCell ref="K696:L696"/>
    <mergeCell ref="G698:H698"/>
    <mergeCell ref="G699:H699"/>
    <mergeCell ref="C696:D696"/>
    <mergeCell ref="C697:D697"/>
    <mergeCell ref="G697:H697"/>
    <mergeCell ref="K697:L697"/>
    <mergeCell ref="C698:D698"/>
    <mergeCell ref="K698:L698"/>
    <mergeCell ref="K699:L699"/>
    <mergeCell ref="G677:H677"/>
    <mergeCell ref="G678:H678"/>
    <mergeCell ref="C675:D675"/>
    <mergeCell ref="C676:D676"/>
    <mergeCell ref="G676:H676"/>
    <mergeCell ref="K676:L676"/>
    <mergeCell ref="C677:D677"/>
    <mergeCell ref="K677:L677"/>
    <mergeCell ref="K678:L678"/>
    <mergeCell ref="G680:H680"/>
    <mergeCell ref="G681:H681"/>
    <mergeCell ref="C678:D678"/>
    <mergeCell ref="C679:D679"/>
    <mergeCell ref="G679:H679"/>
    <mergeCell ref="K679:L679"/>
    <mergeCell ref="C680:D680"/>
    <mergeCell ref="K680:L680"/>
    <mergeCell ref="K681:L681"/>
    <mergeCell ref="G683:H683"/>
    <mergeCell ref="G684:H684"/>
    <mergeCell ref="C681:D681"/>
    <mergeCell ref="C682:D682"/>
    <mergeCell ref="G682:H682"/>
    <mergeCell ref="K682:L682"/>
    <mergeCell ref="C683:D683"/>
    <mergeCell ref="K683:L683"/>
    <mergeCell ref="K684:L684"/>
    <mergeCell ref="G686:H686"/>
    <mergeCell ref="G687:H687"/>
    <mergeCell ref="C684:D684"/>
    <mergeCell ref="C685:D685"/>
    <mergeCell ref="G685:H685"/>
    <mergeCell ref="K685:L685"/>
    <mergeCell ref="C686:D686"/>
    <mergeCell ref="K686:L686"/>
    <mergeCell ref="K687:L687"/>
    <mergeCell ref="G665:H665"/>
    <mergeCell ref="G666:H666"/>
    <mergeCell ref="C663:D663"/>
    <mergeCell ref="C664:D664"/>
    <mergeCell ref="G664:H664"/>
    <mergeCell ref="K664:L664"/>
    <mergeCell ref="C665:D665"/>
    <mergeCell ref="K665:L665"/>
    <mergeCell ref="K666:L666"/>
    <mergeCell ref="G668:H668"/>
    <mergeCell ref="G669:H669"/>
    <mergeCell ref="C666:D666"/>
    <mergeCell ref="C667:D667"/>
    <mergeCell ref="G667:H667"/>
    <mergeCell ref="K667:L667"/>
    <mergeCell ref="C668:D668"/>
    <mergeCell ref="K668:L668"/>
    <mergeCell ref="K669:L669"/>
    <mergeCell ref="G671:H671"/>
    <mergeCell ref="G672:H672"/>
    <mergeCell ref="C669:D669"/>
    <mergeCell ref="C670:D670"/>
    <mergeCell ref="G670:H670"/>
    <mergeCell ref="K670:L670"/>
    <mergeCell ref="C671:D671"/>
    <mergeCell ref="K671:L671"/>
    <mergeCell ref="K672:L672"/>
    <mergeCell ref="G674:H674"/>
    <mergeCell ref="G675:H675"/>
    <mergeCell ref="C672:D672"/>
    <mergeCell ref="C673:D673"/>
    <mergeCell ref="G673:H673"/>
    <mergeCell ref="K673:L673"/>
    <mergeCell ref="C674:D674"/>
    <mergeCell ref="K674:L674"/>
    <mergeCell ref="K675:L675"/>
    <mergeCell ref="G653:H653"/>
    <mergeCell ref="G654:H654"/>
    <mergeCell ref="C651:D651"/>
    <mergeCell ref="C652:D652"/>
    <mergeCell ref="G652:H652"/>
    <mergeCell ref="K652:L652"/>
    <mergeCell ref="C653:D653"/>
    <mergeCell ref="K653:L653"/>
    <mergeCell ref="K654:L654"/>
    <mergeCell ref="G656:H656"/>
    <mergeCell ref="G657:H657"/>
    <mergeCell ref="C654:D654"/>
    <mergeCell ref="C655:D655"/>
    <mergeCell ref="G655:H655"/>
    <mergeCell ref="K655:L655"/>
    <mergeCell ref="C656:D656"/>
    <mergeCell ref="K656:L656"/>
    <mergeCell ref="K657:L657"/>
    <mergeCell ref="G659:H659"/>
    <mergeCell ref="G660:H660"/>
    <mergeCell ref="C657:D657"/>
    <mergeCell ref="C658:D658"/>
    <mergeCell ref="G658:H658"/>
    <mergeCell ref="K658:L658"/>
    <mergeCell ref="C659:D659"/>
    <mergeCell ref="K659:L659"/>
    <mergeCell ref="K660:L660"/>
    <mergeCell ref="G662:H662"/>
    <mergeCell ref="G663:H663"/>
    <mergeCell ref="C660:D660"/>
    <mergeCell ref="C661:D661"/>
    <mergeCell ref="G661:H661"/>
    <mergeCell ref="K661:L661"/>
    <mergeCell ref="C662:D662"/>
    <mergeCell ref="K662:L662"/>
    <mergeCell ref="K663:L663"/>
    <mergeCell ref="G641:H641"/>
    <mergeCell ref="G642:H642"/>
    <mergeCell ref="C639:D639"/>
    <mergeCell ref="C640:D640"/>
    <mergeCell ref="G640:H640"/>
    <mergeCell ref="K640:L640"/>
    <mergeCell ref="C641:D641"/>
    <mergeCell ref="K641:L641"/>
    <mergeCell ref="K642:L642"/>
    <mergeCell ref="G644:H644"/>
    <mergeCell ref="G645:H645"/>
    <mergeCell ref="C642:D642"/>
    <mergeCell ref="C643:D643"/>
    <mergeCell ref="G643:H643"/>
    <mergeCell ref="K643:L643"/>
    <mergeCell ref="C644:D644"/>
    <mergeCell ref="K644:L644"/>
    <mergeCell ref="K645:L645"/>
    <mergeCell ref="G647:H647"/>
    <mergeCell ref="G648:H648"/>
    <mergeCell ref="C645:D645"/>
    <mergeCell ref="C646:D646"/>
    <mergeCell ref="G646:H646"/>
    <mergeCell ref="K646:L646"/>
    <mergeCell ref="C647:D647"/>
    <mergeCell ref="K647:L647"/>
    <mergeCell ref="K648:L648"/>
    <mergeCell ref="G650:H650"/>
    <mergeCell ref="G651:H651"/>
    <mergeCell ref="C648:D648"/>
    <mergeCell ref="C649:D649"/>
    <mergeCell ref="G649:H649"/>
    <mergeCell ref="K649:L649"/>
    <mergeCell ref="C650:D650"/>
    <mergeCell ref="K650:L650"/>
    <mergeCell ref="K651:L651"/>
    <mergeCell ref="G629:H629"/>
    <mergeCell ref="G630:H630"/>
    <mergeCell ref="C627:D627"/>
    <mergeCell ref="C628:D628"/>
    <mergeCell ref="G628:H628"/>
    <mergeCell ref="K628:L628"/>
    <mergeCell ref="C629:D629"/>
    <mergeCell ref="K629:L629"/>
    <mergeCell ref="K630:L630"/>
    <mergeCell ref="G632:H632"/>
    <mergeCell ref="G633:H633"/>
    <mergeCell ref="C630:D630"/>
    <mergeCell ref="C631:D631"/>
    <mergeCell ref="G631:H631"/>
    <mergeCell ref="K631:L631"/>
    <mergeCell ref="C632:D632"/>
    <mergeCell ref="K632:L632"/>
    <mergeCell ref="K633:L633"/>
    <mergeCell ref="G635:H635"/>
    <mergeCell ref="G636:H636"/>
    <mergeCell ref="C633:D633"/>
    <mergeCell ref="C634:D634"/>
    <mergeCell ref="G634:H634"/>
    <mergeCell ref="K634:L634"/>
    <mergeCell ref="C635:D635"/>
    <mergeCell ref="K635:L635"/>
    <mergeCell ref="K636:L636"/>
    <mergeCell ref="G638:H638"/>
    <mergeCell ref="G639:H639"/>
    <mergeCell ref="C636:D636"/>
    <mergeCell ref="C637:D637"/>
    <mergeCell ref="G637:H637"/>
    <mergeCell ref="K637:L637"/>
    <mergeCell ref="C638:D638"/>
    <mergeCell ref="K638:L638"/>
    <mergeCell ref="K639:L639"/>
    <mergeCell ref="G617:H617"/>
    <mergeCell ref="G618:H618"/>
    <mergeCell ref="C615:D615"/>
    <mergeCell ref="C616:D616"/>
    <mergeCell ref="G616:H616"/>
    <mergeCell ref="K616:L616"/>
    <mergeCell ref="C617:D617"/>
    <mergeCell ref="K617:L617"/>
    <mergeCell ref="K618:L618"/>
    <mergeCell ref="G620:H620"/>
    <mergeCell ref="G621:H621"/>
    <mergeCell ref="C618:D618"/>
    <mergeCell ref="C619:D619"/>
    <mergeCell ref="G619:H619"/>
    <mergeCell ref="K619:L619"/>
    <mergeCell ref="C620:D620"/>
    <mergeCell ref="K620:L620"/>
    <mergeCell ref="K621:L621"/>
    <mergeCell ref="G623:H623"/>
    <mergeCell ref="G624:H624"/>
    <mergeCell ref="C621:D621"/>
    <mergeCell ref="C622:D622"/>
    <mergeCell ref="G622:H622"/>
    <mergeCell ref="K622:L622"/>
    <mergeCell ref="C623:D623"/>
    <mergeCell ref="K623:L623"/>
    <mergeCell ref="K624:L624"/>
    <mergeCell ref="G626:H626"/>
    <mergeCell ref="G627:H627"/>
    <mergeCell ref="C624:D624"/>
    <mergeCell ref="C625:D625"/>
    <mergeCell ref="G625:H625"/>
    <mergeCell ref="K625:L625"/>
    <mergeCell ref="C626:D626"/>
    <mergeCell ref="K626:L626"/>
    <mergeCell ref="K627:L627"/>
    <mergeCell ref="G605:H605"/>
    <mergeCell ref="G606:H606"/>
    <mergeCell ref="C603:D603"/>
    <mergeCell ref="C604:D604"/>
    <mergeCell ref="G604:H604"/>
    <mergeCell ref="K604:L604"/>
    <mergeCell ref="C605:D605"/>
    <mergeCell ref="K605:L605"/>
    <mergeCell ref="K606:L606"/>
    <mergeCell ref="G608:H608"/>
    <mergeCell ref="G609:H609"/>
    <mergeCell ref="C606:D606"/>
    <mergeCell ref="C607:D607"/>
    <mergeCell ref="G607:H607"/>
    <mergeCell ref="K607:L607"/>
    <mergeCell ref="C608:D608"/>
    <mergeCell ref="K608:L608"/>
    <mergeCell ref="K609:L609"/>
    <mergeCell ref="G611:H611"/>
    <mergeCell ref="G612:H612"/>
    <mergeCell ref="C609:D609"/>
    <mergeCell ref="C610:D610"/>
    <mergeCell ref="G610:H610"/>
    <mergeCell ref="K610:L610"/>
    <mergeCell ref="C611:D611"/>
    <mergeCell ref="K611:L611"/>
    <mergeCell ref="K612:L612"/>
    <mergeCell ref="G614:H614"/>
    <mergeCell ref="G615:H615"/>
    <mergeCell ref="C612:D612"/>
    <mergeCell ref="C613:D613"/>
    <mergeCell ref="G613:H613"/>
    <mergeCell ref="K613:L613"/>
    <mergeCell ref="C614:D614"/>
    <mergeCell ref="K614:L614"/>
    <mergeCell ref="K615:L615"/>
    <mergeCell ref="G593:H593"/>
    <mergeCell ref="G594:H594"/>
    <mergeCell ref="C591:D591"/>
    <mergeCell ref="C592:D592"/>
    <mergeCell ref="G592:H592"/>
    <mergeCell ref="K592:L592"/>
    <mergeCell ref="C593:D593"/>
    <mergeCell ref="K593:L593"/>
    <mergeCell ref="K594:L594"/>
    <mergeCell ref="G596:H596"/>
    <mergeCell ref="G597:H597"/>
    <mergeCell ref="C594:D594"/>
    <mergeCell ref="C595:D595"/>
    <mergeCell ref="G595:H595"/>
    <mergeCell ref="K595:L595"/>
    <mergeCell ref="C596:D596"/>
    <mergeCell ref="K596:L596"/>
    <mergeCell ref="K597:L597"/>
    <mergeCell ref="G599:H599"/>
    <mergeCell ref="G600:H600"/>
    <mergeCell ref="C597:D597"/>
    <mergeCell ref="C598:D598"/>
    <mergeCell ref="G598:H598"/>
    <mergeCell ref="K598:L598"/>
    <mergeCell ref="C599:D599"/>
    <mergeCell ref="K599:L599"/>
    <mergeCell ref="K600:L600"/>
    <mergeCell ref="G602:H602"/>
    <mergeCell ref="G603:H603"/>
    <mergeCell ref="C600:D600"/>
    <mergeCell ref="C601:D601"/>
    <mergeCell ref="G601:H601"/>
    <mergeCell ref="K601:L601"/>
    <mergeCell ref="C602:D602"/>
    <mergeCell ref="K602:L602"/>
    <mergeCell ref="K603:L603"/>
    <mergeCell ref="G581:H581"/>
    <mergeCell ref="G582:H582"/>
    <mergeCell ref="C579:D579"/>
    <mergeCell ref="C580:D580"/>
    <mergeCell ref="G580:H580"/>
    <mergeCell ref="K580:L580"/>
    <mergeCell ref="C581:D581"/>
    <mergeCell ref="K581:L581"/>
    <mergeCell ref="K582:L582"/>
    <mergeCell ref="G584:H584"/>
    <mergeCell ref="G585:H585"/>
    <mergeCell ref="C582:D582"/>
    <mergeCell ref="C583:D583"/>
    <mergeCell ref="G583:H583"/>
    <mergeCell ref="K583:L583"/>
    <mergeCell ref="C584:D584"/>
    <mergeCell ref="K584:L584"/>
    <mergeCell ref="K585:L585"/>
    <mergeCell ref="G587:H587"/>
    <mergeCell ref="G588:H588"/>
    <mergeCell ref="C585:D585"/>
    <mergeCell ref="C586:D586"/>
    <mergeCell ref="G586:H586"/>
    <mergeCell ref="K586:L586"/>
    <mergeCell ref="C587:D587"/>
    <mergeCell ref="K587:L587"/>
    <mergeCell ref="K588:L588"/>
    <mergeCell ref="G590:H590"/>
    <mergeCell ref="G591:H591"/>
    <mergeCell ref="C588:D588"/>
    <mergeCell ref="C589:D589"/>
    <mergeCell ref="G589:H589"/>
    <mergeCell ref="K589:L589"/>
    <mergeCell ref="C590:D590"/>
    <mergeCell ref="K590:L590"/>
    <mergeCell ref="K591:L591"/>
    <mergeCell ref="G569:H569"/>
    <mergeCell ref="G570:H570"/>
    <mergeCell ref="C567:D567"/>
    <mergeCell ref="C568:D568"/>
    <mergeCell ref="G568:H568"/>
    <mergeCell ref="K568:L568"/>
    <mergeCell ref="C569:D569"/>
    <mergeCell ref="K569:L569"/>
    <mergeCell ref="K570:L570"/>
    <mergeCell ref="G572:H572"/>
    <mergeCell ref="G573:H573"/>
    <mergeCell ref="C570:D570"/>
    <mergeCell ref="C571:D571"/>
    <mergeCell ref="G571:H571"/>
    <mergeCell ref="K571:L571"/>
    <mergeCell ref="C572:D572"/>
    <mergeCell ref="K572:L572"/>
    <mergeCell ref="K573:L573"/>
    <mergeCell ref="G575:H575"/>
    <mergeCell ref="G576:H576"/>
    <mergeCell ref="C573:D573"/>
    <mergeCell ref="C574:D574"/>
    <mergeCell ref="G574:H574"/>
    <mergeCell ref="K574:L574"/>
    <mergeCell ref="C575:D575"/>
    <mergeCell ref="K575:L575"/>
    <mergeCell ref="K576:L576"/>
    <mergeCell ref="G578:H578"/>
    <mergeCell ref="G579:H579"/>
    <mergeCell ref="C576:D576"/>
    <mergeCell ref="C577:D577"/>
    <mergeCell ref="G577:H577"/>
    <mergeCell ref="K577:L577"/>
    <mergeCell ref="C578:D578"/>
    <mergeCell ref="K578:L578"/>
    <mergeCell ref="K579:L579"/>
    <mergeCell ref="G557:H557"/>
    <mergeCell ref="G558:H558"/>
    <mergeCell ref="C555:D555"/>
    <mergeCell ref="C556:D556"/>
    <mergeCell ref="G556:H556"/>
    <mergeCell ref="K556:L556"/>
    <mergeCell ref="C557:D557"/>
    <mergeCell ref="K557:L557"/>
    <mergeCell ref="K558:L558"/>
    <mergeCell ref="G560:H560"/>
    <mergeCell ref="G561:H561"/>
    <mergeCell ref="C558:D558"/>
    <mergeCell ref="C559:D559"/>
    <mergeCell ref="G559:H559"/>
    <mergeCell ref="K559:L559"/>
    <mergeCell ref="C560:D560"/>
    <mergeCell ref="K560:L560"/>
    <mergeCell ref="K561:L561"/>
    <mergeCell ref="G563:H563"/>
    <mergeCell ref="G564:H564"/>
    <mergeCell ref="C561:D561"/>
    <mergeCell ref="C562:D562"/>
    <mergeCell ref="G562:H562"/>
    <mergeCell ref="K562:L562"/>
    <mergeCell ref="C563:D563"/>
    <mergeCell ref="K563:L563"/>
    <mergeCell ref="K564:L564"/>
    <mergeCell ref="G566:H566"/>
    <mergeCell ref="G567:H567"/>
    <mergeCell ref="C564:D564"/>
    <mergeCell ref="C565:D565"/>
    <mergeCell ref="G565:H565"/>
    <mergeCell ref="K565:L565"/>
    <mergeCell ref="C566:D566"/>
    <mergeCell ref="K566:L566"/>
    <mergeCell ref="K567:L567"/>
    <mergeCell ref="G545:H545"/>
    <mergeCell ref="G546:H546"/>
    <mergeCell ref="C543:D543"/>
    <mergeCell ref="C544:D544"/>
    <mergeCell ref="G544:H544"/>
    <mergeCell ref="K544:L544"/>
    <mergeCell ref="C545:D545"/>
    <mergeCell ref="K545:L545"/>
    <mergeCell ref="K546:L546"/>
    <mergeCell ref="G548:H548"/>
    <mergeCell ref="G549:H549"/>
    <mergeCell ref="C546:D546"/>
    <mergeCell ref="C547:D547"/>
    <mergeCell ref="G547:H547"/>
    <mergeCell ref="K547:L547"/>
    <mergeCell ref="C548:D548"/>
    <mergeCell ref="K548:L548"/>
    <mergeCell ref="K549:L549"/>
    <mergeCell ref="G551:H551"/>
    <mergeCell ref="G552:H552"/>
    <mergeCell ref="C549:D549"/>
    <mergeCell ref="C550:D550"/>
    <mergeCell ref="G550:H550"/>
    <mergeCell ref="K550:L550"/>
    <mergeCell ref="C551:D551"/>
    <mergeCell ref="K551:L551"/>
    <mergeCell ref="K552:L552"/>
    <mergeCell ref="G554:H554"/>
    <mergeCell ref="G555:H555"/>
    <mergeCell ref="C552:D552"/>
    <mergeCell ref="C553:D553"/>
    <mergeCell ref="G553:H553"/>
    <mergeCell ref="K553:L553"/>
    <mergeCell ref="C554:D554"/>
    <mergeCell ref="K554:L554"/>
    <mergeCell ref="K555:L555"/>
    <mergeCell ref="G533:H533"/>
    <mergeCell ref="G534:H534"/>
    <mergeCell ref="C531:D531"/>
    <mergeCell ref="C532:D532"/>
    <mergeCell ref="G532:H532"/>
    <mergeCell ref="K532:L532"/>
    <mergeCell ref="C533:D533"/>
    <mergeCell ref="K533:L533"/>
    <mergeCell ref="K534:L534"/>
    <mergeCell ref="G536:H536"/>
    <mergeCell ref="G537:H537"/>
    <mergeCell ref="C534:D534"/>
    <mergeCell ref="C535:D535"/>
    <mergeCell ref="G535:H535"/>
    <mergeCell ref="K535:L535"/>
    <mergeCell ref="C536:D536"/>
    <mergeCell ref="K536:L536"/>
    <mergeCell ref="K537:L537"/>
    <mergeCell ref="G539:H539"/>
    <mergeCell ref="G540:H540"/>
    <mergeCell ref="C537:D537"/>
    <mergeCell ref="C538:D538"/>
    <mergeCell ref="G538:H538"/>
    <mergeCell ref="K538:L538"/>
    <mergeCell ref="C539:D539"/>
    <mergeCell ref="K539:L539"/>
    <mergeCell ref="K540:L540"/>
    <mergeCell ref="G542:H542"/>
    <mergeCell ref="G543:H543"/>
    <mergeCell ref="C540:D540"/>
    <mergeCell ref="C541:D541"/>
    <mergeCell ref="G541:H541"/>
    <mergeCell ref="K541:L541"/>
    <mergeCell ref="C542:D542"/>
    <mergeCell ref="K542:L542"/>
    <mergeCell ref="K543:L543"/>
    <mergeCell ref="G521:H521"/>
    <mergeCell ref="G522:H522"/>
    <mergeCell ref="C519:D519"/>
    <mergeCell ref="C520:D520"/>
    <mergeCell ref="G520:H520"/>
    <mergeCell ref="K520:L520"/>
    <mergeCell ref="C521:D521"/>
    <mergeCell ref="K521:L521"/>
    <mergeCell ref="K522:L522"/>
    <mergeCell ref="G524:H524"/>
    <mergeCell ref="G525:H525"/>
    <mergeCell ref="C522:D522"/>
    <mergeCell ref="C523:D523"/>
    <mergeCell ref="G523:H523"/>
    <mergeCell ref="K523:L523"/>
    <mergeCell ref="C524:D524"/>
    <mergeCell ref="K524:L524"/>
    <mergeCell ref="K525:L525"/>
    <mergeCell ref="G527:H527"/>
    <mergeCell ref="G528:H528"/>
    <mergeCell ref="C525:D525"/>
    <mergeCell ref="C526:D526"/>
    <mergeCell ref="G526:H526"/>
    <mergeCell ref="K526:L526"/>
    <mergeCell ref="C527:D527"/>
    <mergeCell ref="K527:L527"/>
    <mergeCell ref="K528:L528"/>
    <mergeCell ref="G530:H530"/>
    <mergeCell ref="G531:H531"/>
    <mergeCell ref="C528:D528"/>
    <mergeCell ref="C529:D529"/>
    <mergeCell ref="G529:H529"/>
    <mergeCell ref="K529:L529"/>
    <mergeCell ref="C530:D530"/>
    <mergeCell ref="K530:L530"/>
    <mergeCell ref="K531:L531"/>
    <mergeCell ref="G509:H509"/>
    <mergeCell ref="G510:H510"/>
    <mergeCell ref="C507:D507"/>
    <mergeCell ref="C508:D508"/>
    <mergeCell ref="G508:H508"/>
    <mergeCell ref="K508:L508"/>
    <mergeCell ref="C509:D509"/>
    <mergeCell ref="K509:L509"/>
    <mergeCell ref="K510:L510"/>
    <mergeCell ref="G512:H512"/>
    <mergeCell ref="G513:H513"/>
    <mergeCell ref="C510:D510"/>
    <mergeCell ref="C511:D511"/>
    <mergeCell ref="G511:H511"/>
    <mergeCell ref="K511:L511"/>
    <mergeCell ref="C512:D512"/>
    <mergeCell ref="K512:L512"/>
    <mergeCell ref="K513:L513"/>
    <mergeCell ref="G515:H515"/>
    <mergeCell ref="G516:H516"/>
    <mergeCell ref="C513:D513"/>
    <mergeCell ref="C514:D514"/>
    <mergeCell ref="G514:H514"/>
    <mergeCell ref="K514:L514"/>
    <mergeCell ref="C515:D515"/>
    <mergeCell ref="K515:L515"/>
    <mergeCell ref="K516:L516"/>
    <mergeCell ref="G518:H518"/>
    <mergeCell ref="G519:H519"/>
    <mergeCell ref="C516:D516"/>
    <mergeCell ref="C517:D517"/>
    <mergeCell ref="G517:H517"/>
    <mergeCell ref="K517:L517"/>
    <mergeCell ref="C518:D518"/>
    <mergeCell ref="K518:L518"/>
    <mergeCell ref="K519:L519"/>
    <mergeCell ref="G497:H497"/>
    <mergeCell ref="G498:H498"/>
    <mergeCell ref="C495:D495"/>
    <mergeCell ref="C496:D496"/>
    <mergeCell ref="G496:H496"/>
    <mergeCell ref="K496:L496"/>
    <mergeCell ref="C497:D497"/>
    <mergeCell ref="K497:L497"/>
    <mergeCell ref="K498:L498"/>
    <mergeCell ref="G500:H500"/>
    <mergeCell ref="G501:H501"/>
    <mergeCell ref="C498:D498"/>
    <mergeCell ref="C499:D499"/>
    <mergeCell ref="G499:H499"/>
    <mergeCell ref="K499:L499"/>
    <mergeCell ref="C500:D500"/>
    <mergeCell ref="K500:L500"/>
    <mergeCell ref="K501:L501"/>
    <mergeCell ref="G503:H503"/>
    <mergeCell ref="G504:H504"/>
    <mergeCell ref="C501:D501"/>
    <mergeCell ref="C502:D502"/>
    <mergeCell ref="G502:H502"/>
    <mergeCell ref="K502:L502"/>
    <mergeCell ref="C503:D503"/>
    <mergeCell ref="K503:L503"/>
    <mergeCell ref="K504:L504"/>
    <mergeCell ref="G506:H506"/>
    <mergeCell ref="G507:H507"/>
    <mergeCell ref="C504:D504"/>
    <mergeCell ref="C505:D505"/>
    <mergeCell ref="G505:H505"/>
    <mergeCell ref="K505:L505"/>
    <mergeCell ref="C506:D506"/>
    <mergeCell ref="K506:L506"/>
    <mergeCell ref="K507:L507"/>
    <mergeCell ref="G485:H485"/>
    <mergeCell ref="G486:H486"/>
    <mergeCell ref="C483:D483"/>
    <mergeCell ref="C484:D484"/>
    <mergeCell ref="G484:H484"/>
    <mergeCell ref="K484:L484"/>
    <mergeCell ref="C485:D485"/>
    <mergeCell ref="K485:L485"/>
    <mergeCell ref="K486:L486"/>
    <mergeCell ref="G488:H488"/>
    <mergeCell ref="G489:H489"/>
    <mergeCell ref="C486:D486"/>
    <mergeCell ref="C487:D487"/>
    <mergeCell ref="G487:H487"/>
    <mergeCell ref="K487:L487"/>
    <mergeCell ref="C488:D488"/>
    <mergeCell ref="K488:L488"/>
    <mergeCell ref="K489:L489"/>
    <mergeCell ref="G491:H491"/>
    <mergeCell ref="G492:H492"/>
    <mergeCell ref="C489:D489"/>
    <mergeCell ref="C490:D490"/>
    <mergeCell ref="G490:H490"/>
    <mergeCell ref="K490:L490"/>
    <mergeCell ref="C491:D491"/>
    <mergeCell ref="K491:L491"/>
    <mergeCell ref="K492:L492"/>
    <mergeCell ref="G494:H494"/>
    <mergeCell ref="G495:H495"/>
    <mergeCell ref="C492:D492"/>
    <mergeCell ref="C493:D493"/>
    <mergeCell ref="G493:H493"/>
    <mergeCell ref="K493:L493"/>
    <mergeCell ref="C494:D494"/>
    <mergeCell ref="K494:L494"/>
    <mergeCell ref="K495:L495"/>
    <mergeCell ref="G473:H473"/>
    <mergeCell ref="G474:H474"/>
    <mergeCell ref="C471:D471"/>
    <mergeCell ref="C472:D472"/>
    <mergeCell ref="G472:H472"/>
    <mergeCell ref="K472:L472"/>
    <mergeCell ref="C473:D473"/>
    <mergeCell ref="K473:L473"/>
    <mergeCell ref="K474:L474"/>
    <mergeCell ref="G476:H476"/>
    <mergeCell ref="G477:H477"/>
    <mergeCell ref="C474:D474"/>
    <mergeCell ref="C475:D475"/>
    <mergeCell ref="G475:H475"/>
    <mergeCell ref="K475:L475"/>
    <mergeCell ref="C476:D476"/>
    <mergeCell ref="K476:L476"/>
    <mergeCell ref="K477:L477"/>
    <mergeCell ref="G479:H479"/>
    <mergeCell ref="G480:H480"/>
    <mergeCell ref="C477:D477"/>
    <mergeCell ref="C478:D478"/>
    <mergeCell ref="G478:H478"/>
    <mergeCell ref="K478:L478"/>
    <mergeCell ref="C479:D479"/>
    <mergeCell ref="K479:L479"/>
    <mergeCell ref="K480:L480"/>
    <mergeCell ref="G482:H482"/>
    <mergeCell ref="G483:H483"/>
    <mergeCell ref="C480:D480"/>
    <mergeCell ref="C481:D481"/>
    <mergeCell ref="G481:H481"/>
    <mergeCell ref="K481:L481"/>
    <mergeCell ref="C482:D482"/>
    <mergeCell ref="K482:L482"/>
    <mergeCell ref="K483:L483"/>
    <mergeCell ref="G461:H461"/>
    <mergeCell ref="G462:H462"/>
    <mergeCell ref="C459:D459"/>
    <mergeCell ref="C460:D460"/>
    <mergeCell ref="G460:H460"/>
    <mergeCell ref="K460:L460"/>
    <mergeCell ref="C461:D461"/>
    <mergeCell ref="K461:L461"/>
    <mergeCell ref="K462:L462"/>
    <mergeCell ref="G464:H464"/>
    <mergeCell ref="G465:H465"/>
    <mergeCell ref="C462:D462"/>
    <mergeCell ref="C463:D463"/>
    <mergeCell ref="G463:H463"/>
    <mergeCell ref="K463:L463"/>
    <mergeCell ref="C464:D464"/>
    <mergeCell ref="K464:L464"/>
    <mergeCell ref="K465:L465"/>
    <mergeCell ref="G467:H467"/>
    <mergeCell ref="G468:H468"/>
    <mergeCell ref="C465:D465"/>
    <mergeCell ref="C466:D466"/>
    <mergeCell ref="G466:H466"/>
    <mergeCell ref="K466:L466"/>
    <mergeCell ref="C467:D467"/>
    <mergeCell ref="K467:L467"/>
    <mergeCell ref="K468:L468"/>
    <mergeCell ref="G470:H470"/>
    <mergeCell ref="G471:H471"/>
    <mergeCell ref="C468:D468"/>
    <mergeCell ref="C469:D469"/>
    <mergeCell ref="G469:H469"/>
    <mergeCell ref="K469:L469"/>
    <mergeCell ref="C470:D470"/>
    <mergeCell ref="K470:L470"/>
    <mergeCell ref="K471:L471"/>
    <mergeCell ref="G449:H449"/>
    <mergeCell ref="G450:H450"/>
    <mergeCell ref="C447:D447"/>
    <mergeCell ref="C448:D448"/>
    <mergeCell ref="G448:H448"/>
    <mergeCell ref="K448:L448"/>
    <mergeCell ref="C449:D449"/>
    <mergeCell ref="K449:L449"/>
    <mergeCell ref="K450:L450"/>
    <mergeCell ref="G452:H452"/>
    <mergeCell ref="G453:H453"/>
    <mergeCell ref="C450:D450"/>
    <mergeCell ref="C451:D451"/>
    <mergeCell ref="G451:H451"/>
    <mergeCell ref="K451:L451"/>
    <mergeCell ref="C452:D452"/>
    <mergeCell ref="K452:L452"/>
    <mergeCell ref="K453:L453"/>
    <mergeCell ref="G455:H455"/>
    <mergeCell ref="G456:H456"/>
    <mergeCell ref="C453:D453"/>
    <mergeCell ref="C454:D454"/>
    <mergeCell ref="G454:H454"/>
    <mergeCell ref="K454:L454"/>
    <mergeCell ref="C455:D455"/>
    <mergeCell ref="K455:L455"/>
    <mergeCell ref="K456:L456"/>
    <mergeCell ref="G458:H458"/>
    <mergeCell ref="G459:H459"/>
    <mergeCell ref="C456:D456"/>
    <mergeCell ref="C457:D457"/>
    <mergeCell ref="G457:H457"/>
    <mergeCell ref="K457:L457"/>
    <mergeCell ref="C458:D458"/>
    <mergeCell ref="K458:L458"/>
    <mergeCell ref="K459:L459"/>
    <mergeCell ref="G437:H437"/>
    <mergeCell ref="G438:H438"/>
    <mergeCell ref="C435:D435"/>
    <mergeCell ref="C436:D436"/>
    <mergeCell ref="G436:H436"/>
    <mergeCell ref="K436:L436"/>
    <mergeCell ref="C437:D437"/>
    <mergeCell ref="K437:L437"/>
    <mergeCell ref="K438:L438"/>
    <mergeCell ref="G440:H440"/>
    <mergeCell ref="G441:H441"/>
    <mergeCell ref="C438:D438"/>
    <mergeCell ref="C439:D439"/>
    <mergeCell ref="G439:H439"/>
    <mergeCell ref="K439:L439"/>
    <mergeCell ref="C440:D440"/>
    <mergeCell ref="K440:L440"/>
    <mergeCell ref="K441:L441"/>
    <mergeCell ref="G443:H443"/>
    <mergeCell ref="G444:H444"/>
    <mergeCell ref="C441:D441"/>
    <mergeCell ref="C442:D442"/>
    <mergeCell ref="G442:H442"/>
    <mergeCell ref="K442:L442"/>
    <mergeCell ref="C443:D443"/>
    <mergeCell ref="K443:L443"/>
    <mergeCell ref="K444:L444"/>
    <mergeCell ref="G446:H446"/>
    <mergeCell ref="G447:H447"/>
    <mergeCell ref="C444:D444"/>
    <mergeCell ref="C445:D445"/>
    <mergeCell ref="G445:H445"/>
    <mergeCell ref="K445:L445"/>
    <mergeCell ref="C446:D446"/>
    <mergeCell ref="K446:L446"/>
    <mergeCell ref="K447:L447"/>
    <mergeCell ref="G425:H425"/>
    <mergeCell ref="G426:H426"/>
    <mergeCell ref="C423:D423"/>
    <mergeCell ref="C424:D424"/>
    <mergeCell ref="G424:H424"/>
    <mergeCell ref="K424:L424"/>
    <mergeCell ref="C425:D425"/>
    <mergeCell ref="K425:L425"/>
    <mergeCell ref="K426:L426"/>
    <mergeCell ref="G428:H428"/>
    <mergeCell ref="G429:H429"/>
    <mergeCell ref="C426:D426"/>
    <mergeCell ref="C427:D427"/>
    <mergeCell ref="G427:H427"/>
    <mergeCell ref="K427:L427"/>
    <mergeCell ref="C428:D428"/>
    <mergeCell ref="K428:L428"/>
    <mergeCell ref="K429:L429"/>
    <mergeCell ref="G431:H431"/>
    <mergeCell ref="G432:H432"/>
    <mergeCell ref="C429:D429"/>
    <mergeCell ref="C430:D430"/>
    <mergeCell ref="G430:H430"/>
    <mergeCell ref="K430:L430"/>
    <mergeCell ref="C431:D431"/>
    <mergeCell ref="K431:L431"/>
    <mergeCell ref="K432:L432"/>
    <mergeCell ref="G434:H434"/>
    <mergeCell ref="G435:H435"/>
    <mergeCell ref="C432:D432"/>
    <mergeCell ref="C433:D433"/>
    <mergeCell ref="G433:H433"/>
    <mergeCell ref="K433:L433"/>
    <mergeCell ref="C434:D434"/>
    <mergeCell ref="K434:L434"/>
    <mergeCell ref="K435:L435"/>
    <mergeCell ref="G413:H413"/>
    <mergeCell ref="G414:H414"/>
    <mergeCell ref="C411:D411"/>
    <mergeCell ref="C412:D412"/>
    <mergeCell ref="G412:H412"/>
    <mergeCell ref="K412:L412"/>
    <mergeCell ref="C413:D413"/>
    <mergeCell ref="K413:L413"/>
    <mergeCell ref="K414:L414"/>
    <mergeCell ref="G416:H416"/>
    <mergeCell ref="G417:H417"/>
    <mergeCell ref="C414:D414"/>
    <mergeCell ref="C415:D415"/>
    <mergeCell ref="G415:H415"/>
    <mergeCell ref="K415:L415"/>
    <mergeCell ref="C416:D416"/>
    <mergeCell ref="K416:L416"/>
    <mergeCell ref="K417:L417"/>
    <mergeCell ref="G419:H419"/>
    <mergeCell ref="G420:H420"/>
    <mergeCell ref="C417:D417"/>
    <mergeCell ref="C418:D418"/>
    <mergeCell ref="G418:H418"/>
    <mergeCell ref="K418:L418"/>
    <mergeCell ref="C419:D419"/>
    <mergeCell ref="K419:L419"/>
    <mergeCell ref="K420:L420"/>
    <mergeCell ref="G422:H422"/>
    <mergeCell ref="G423:H423"/>
    <mergeCell ref="C420:D420"/>
    <mergeCell ref="C421:D421"/>
    <mergeCell ref="G421:H421"/>
    <mergeCell ref="K421:L421"/>
    <mergeCell ref="C422:D422"/>
    <mergeCell ref="K422:L422"/>
    <mergeCell ref="K423:L423"/>
    <mergeCell ref="G401:H401"/>
    <mergeCell ref="G402:H402"/>
    <mergeCell ref="C399:D399"/>
    <mergeCell ref="C400:D400"/>
    <mergeCell ref="G400:H400"/>
    <mergeCell ref="K400:L400"/>
    <mergeCell ref="C401:D401"/>
    <mergeCell ref="K401:L401"/>
    <mergeCell ref="K402:L402"/>
    <mergeCell ref="G404:H404"/>
    <mergeCell ref="G405:H405"/>
    <mergeCell ref="C402:D402"/>
    <mergeCell ref="C403:D403"/>
    <mergeCell ref="G403:H403"/>
    <mergeCell ref="K403:L403"/>
    <mergeCell ref="C404:D404"/>
    <mergeCell ref="K404:L404"/>
    <mergeCell ref="K405:L405"/>
    <mergeCell ref="G407:H407"/>
    <mergeCell ref="G408:H408"/>
    <mergeCell ref="C405:D405"/>
    <mergeCell ref="C406:D406"/>
    <mergeCell ref="G406:H406"/>
    <mergeCell ref="K406:L406"/>
    <mergeCell ref="C407:D407"/>
    <mergeCell ref="K407:L407"/>
    <mergeCell ref="K408:L408"/>
    <mergeCell ref="G410:H410"/>
    <mergeCell ref="G411:H411"/>
    <mergeCell ref="C408:D408"/>
    <mergeCell ref="C409:D409"/>
    <mergeCell ref="G409:H409"/>
    <mergeCell ref="K409:L409"/>
    <mergeCell ref="C410:D410"/>
    <mergeCell ref="K410:L410"/>
    <mergeCell ref="K411:L411"/>
    <mergeCell ref="G389:H389"/>
    <mergeCell ref="G390:H390"/>
    <mergeCell ref="C387:D387"/>
    <mergeCell ref="C388:D388"/>
    <mergeCell ref="G388:H388"/>
    <mergeCell ref="K388:L388"/>
    <mergeCell ref="C389:D389"/>
    <mergeCell ref="K389:L389"/>
    <mergeCell ref="K390:L390"/>
    <mergeCell ref="G392:H392"/>
    <mergeCell ref="G393:H393"/>
    <mergeCell ref="C390:D390"/>
    <mergeCell ref="C391:D391"/>
    <mergeCell ref="G391:H391"/>
    <mergeCell ref="K391:L391"/>
    <mergeCell ref="C392:D392"/>
    <mergeCell ref="K392:L392"/>
    <mergeCell ref="K393:L393"/>
    <mergeCell ref="G395:H395"/>
    <mergeCell ref="G396:H396"/>
    <mergeCell ref="C393:D393"/>
    <mergeCell ref="C394:D394"/>
    <mergeCell ref="G394:H394"/>
    <mergeCell ref="K394:L394"/>
    <mergeCell ref="C395:D395"/>
    <mergeCell ref="K395:L395"/>
    <mergeCell ref="K396:L396"/>
    <mergeCell ref="G398:H398"/>
    <mergeCell ref="G399:H399"/>
    <mergeCell ref="C396:D396"/>
    <mergeCell ref="C397:D397"/>
    <mergeCell ref="G397:H397"/>
    <mergeCell ref="K397:L397"/>
    <mergeCell ref="C398:D398"/>
    <mergeCell ref="K398:L398"/>
    <mergeCell ref="K399:L399"/>
    <mergeCell ref="G377:H377"/>
    <mergeCell ref="G378:H378"/>
    <mergeCell ref="C375:D375"/>
    <mergeCell ref="C376:D376"/>
    <mergeCell ref="G376:H376"/>
    <mergeCell ref="K376:L376"/>
    <mergeCell ref="C377:D377"/>
    <mergeCell ref="K377:L377"/>
    <mergeCell ref="K378:L378"/>
    <mergeCell ref="G380:H380"/>
    <mergeCell ref="G381:H381"/>
    <mergeCell ref="C378:D378"/>
    <mergeCell ref="C379:D379"/>
    <mergeCell ref="G379:H379"/>
    <mergeCell ref="K379:L379"/>
    <mergeCell ref="C380:D380"/>
    <mergeCell ref="K380:L380"/>
    <mergeCell ref="K381:L381"/>
    <mergeCell ref="G383:H383"/>
    <mergeCell ref="G384:H384"/>
    <mergeCell ref="C381:D381"/>
    <mergeCell ref="C382:D382"/>
    <mergeCell ref="G382:H382"/>
    <mergeCell ref="K382:L382"/>
    <mergeCell ref="C383:D383"/>
    <mergeCell ref="K383:L383"/>
    <mergeCell ref="K384:L384"/>
    <mergeCell ref="G386:H386"/>
    <mergeCell ref="G387:H387"/>
    <mergeCell ref="C384:D384"/>
    <mergeCell ref="C385:D385"/>
    <mergeCell ref="G385:H385"/>
    <mergeCell ref="K385:L385"/>
    <mergeCell ref="C386:D386"/>
    <mergeCell ref="K386:L386"/>
    <mergeCell ref="K387:L387"/>
    <mergeCell ref="G365:H365"/>
    <mergeCell ref="G366:H366"/>
    <mergeCell ref="C363:D363"/>
    <mergeCell ref="C364:D364"/>
    <mergeCell ref="G364:H364"/>
    <mergeCell ref="K364:L364"/>
    <mergeCell ref="C365:D365"/>
    <mergeCell ref="K365:L365"/>
    <mergeCell ref="K366:L366"/>
    <mergeCell ref="G368:H368"/>
    <mergeCell ref="G369:H369"/>
    <mergeCell ref="C366:D366"/>
    <mergeCell ref="C367:D367"/>
    <mergeCell ref="G367:H367"/>
    <mergeCell ref="K367:L367"/>
    <mergeCell ref="C368:D368"/>
    <mergeCell ref="K368:L368"/>
    <mergeCell ref="K369:L369"/>
    <mergeCell ref="G371:H371"/>
    <mergeCell ref="G372:H372"/>
    <mergeCell ref="C369:D369"/>
    <mergeCell ref="C370:D370"/>
    <mergeCell ref="G370:H370"/>
    <mergeCell ref="K370:L370"/>
    <mergeCell ref="C371:D371"/>
    <mergeCell ref="K371:L371"/>
    <mergeCell ref="K372:L372"/>
    <mergeCell ref="G374:H374"/>
    <mergeCell ref="G375:H375"/>
    <mergeCell ref="C372:D372"/>
    <mergeCell ref="C373:D373"/>
    <mergeCell ref="G373:H373"/>
    <mergeCell ref="K373:L373"/>
    <mergeCell ref="C374:D374"/>
    <mergeCell ref="K374:L374"/>
    <mergeCell ref="K375:L375"/>
    <mergeCell ref="G353:H353"/>
    <mergeCell ref="G354:H354"/>
    <mergeCell ref="C351:D351"/>
    <mergeCell ref="C352:D352"/>
    <mergeCell ref="G352:H352"/>
    <mergeCell ref="K352:L352"/>
    <mergeCell ref="C353:D353"/>
    <mergeCell ref="K353:L353"/>
    <mergeCell ref="K354:L354"/>
    <mergeCell ref="G356:H356"/>
    <mergeCell ref="G357:H357"/>
    <mergeCell ref="C354:D354"/>
    <mergeCell ref="C355:D355"/>
    <mergeCell ref="G355:H355"/>
    <mergeCell ref="K355:L355"/>
    <mergeCell ref="C356:D356"/>
    <mergeCell ref="K356:L356"/>
    <mergeCell ref="K357:L357"/>
    <mergeCell ref="G359:H359"/>
    <mergeCell ref="G360:H360"/>
    <mergeCell ref="C357:D357"/>
    <mergeCell ref="C358:D358"/>
    <mergeCell ref="G358:H358"/>
    <mergeCell ref="K358:L358"/>
    <mergeCell ref="C359:D359"/>
    <mergeCell ref="K359:L359"/>
    <mergeCell ref="K360:L360"/>
    <mergeCell ref="G362:H362"/>
    <mergeCell ref="G363:H363"/>
    <mergeCell ref="C360:D360"/>
    <mergeCell ref="C361:D361"/>
    <mergeCell ref="G361:H361"/>
    <mergeCell ref="K361:L361"/>
    <mergeCell ref="C362:D362"/>
    <mergeCell ref="K362:L362"/>
    <mergeCell ref="K363:L363"/>
    <mergeCell ref="G341:H341"/>
    <mergeCell ref="G342:H342"/>
    <mergeCell ref="C339:D339"/>
    <mergeCell ref="C340:D340"/>
    <mergeCell ref="G340:H340"/>
    <mergeCell ref="K340:L340"/>
    <mergeCell ref="C341:D341"/>
    <mergeCell ref="K341:L341"/>
    <mergeCell ref="K342:L342"/>
    <mergeCell ref="G344:H344"/>
    <mergeCell ref="G345:H345"/>
    <mergeCell ref="C342:D342"/>
    <mergeCell ref="C343:D343"/>
    <mergeCell ref="G343:H343"/>
    <mergeCell ref="K343:L343"/>
    <mergeCell ref="C344:D344"/>
    <mergeCell ref="K344:L344"/>
    <mergeCell ref="K345:L345"/>
    <mergeCell ref="G347:H347"/>
    <mergeCell ref="G348:H348"/>
    <mergeCell ref="C345:D345"/>
    <mergeCell ref="C346:D346"/>
    <mergeCell ref="G346:H346"/>
    <mergeCell ref="K346:L346"/>
    <mergeCell ref="C347:D347"/>
    <mergeCell ref="K347:L347"/>
    <mergeCell ref="K348:L348"/>
    <mergeCell ref="G350:H350"/>
    <mergeCell ref="G351:H351"/>
    <mergeCell ref="C348:D348"/>
    <mergeCell ref="C349:D349"/>
    <mergeCell ref="G349:H349"/>
    <mergeCell ref="K349:L349"/>
    <mergeCell ref="C350:D350"/>
    <mergeCell ref="K350:L350"/>
    <mergeCell ref="K351:L351"/>
    <mergeCell ref="G329:H329"/>
    <mergeCell ref="G330:H330"/>
    <mergeCell ref="C327:D327"/>
    <mergeCell ref="C328:D328"/>
    <mergeCell ref="G328:H328"/>
    <mergeCell ref="K328:L328"/>
    <mergeCell ref="C329:D329"/>
    <mergeCell ref="K329:L329"/>
    <mergeCell ref="K330:L330"/>
    <mergeCell ref="G332:H332"/>
    <mergeCell ref="G333:H333"/>
    <mergeCell ref="C330:D330"/>
    <mergeCell ref="C331:D331"/>
    <mergeCell ref="G331:H331"/>
    <mergeCell ref="K331:L331"/>
    <mergeCell ref="C332:D332"/>
    <mergeCell ref="K332:L332"/>
    <mergeCell ref="K333:L333"/>
    <mergeCell ref="G335:H335"/>
    <mergeCell ref="G336:H336"/>
    <mergeCell ref="C333:D333"/>
    <mergeCell ref="C334:D334"/>
    <mergeCell ref="G334:H334"/>
    <mergeCell ref="K334:L334"/>
    <mergeCell ref="C335:D335"/>
    <mergeCell ref="K335:L335"/>
    <mergeCell ref="K336:L336"/>
    <mergeCell ref="G338:H338"/>
    <mergeCell ref="G339:H339"/>
    <mergeCell ref="C336:D336"/>
    <mergeCell ref="C337:D337"/>
    <mergeCell ref="G337:H337"/>
    <mergeCell ref="K337:L337"/>
    <mergeCell ref="C338:D338"/>
    <mergeCell ref="K338:L338"/>
    <mergeCell ref="K339:L339"/>
    <mergeCell ref="G317:H317"/>
    <mergeCell ref="G318:H318"/>
    <mergeCell ref="C315:D315"/>
    <mergeCell ref="C316:D316"/>
    <mergeCell ref="G316:H316"/>
    <mergeCell ref="K316:L316"/>
    <mergeCell ref="C317:D317"/>
    <mergeCell ref="K317:L317"/>
    <mergeCell ref="K318:L318"/>
    <mergeCell ref="G320:H320"/>
    <mergeCell ref="G321:H321"/>
    <mergeCell ref="C318:D318"/>
    <mergeCell ref="C319:D319"/>
    <mergeCell ref="G319:H319"/>
    <mergeCell ref="K319:L319"/>
    <mergeCell ref="C320:D320"/>
    <mergeCell ref="K320:L320"/>
    <mergeCell ref="K321:L321"/>
    <mergeCell ref="G323:H323"/>
    <mergeCell ref="G324:H324"/>
    <mergeCell ref="C321:D321"/>
    <mergeCell ref="C322:D322"/>
    <mergeCell ref="G322:H322"/>
    <mergeCell ref="K322:L322"/>
    <mergeCell ref="C323:D323"/>
    <mergeCell ref="K323:L323"/>
    <mergeCell ref="K324:L324"/>
    <mergeCell ref="G326:H326"/>
    <mergeCell ref="G327:H327"/>
    <mergeCell ref="C324:D324"/>
    <mergeCell ref="C325:D325"/>
    <mergeCell ref="G325:H325"/>
    <mergeCell ref="K325:L325"/>
    <mergeCell ref="C326:D326"/>
    <mergeCell ref="K326:L326"/>
    <mergeCell ref="K327:L327"/>
    <mergeCell ref="G305:H305"/>
    <mergeCell ref="G306:H306"/>
    <mergeCell ref="C303:D303"/>
    <mergeCell ref="C304:D304"/>
    <mergeCell ref="G304:H304"/>
    <mergeCell ref="K304:L304"/>
    <mergeCell ref="C305:D305"/>
    <mergeCell ref="K305:L305"/>
    <mergeCell ref="K306:L306"/>
    <mergeCell ref="G308:H308"/>
    <mergeCell ref="G309:H309"/>
    <mergeCell ref="C306:D306"/>
    <mergeCell ref="C307:D307"/>
    <mergeCell ref="G307:H307"/>
    <mergeCell ref="K307:L307"/>
    <mergeCell ref="C308:D308"/>
    <mergeCell ref="K308:L308"/>
    <mergeCell ref="K309:L309"/>
    <mergeCell ref="G311:H311"/>
    <mergeCell ref="G312:H312"/>
    <mergeCell ref="C309:D309"/>
    <mergeCell ref="C310:D310"/>
    <mergeCell ref="G310:H310"/>
    <mergeCell ref="K310:L310"/>
    <mergeCell ref="C311:D311"/>
    <mergeCell ref="K311:L311"/>
    <mergeCell ref="K312:L312"/>
    <mergeCell ref="G314:H314"/>
    <mergeCell ref="G315:H315"/>
    <mergeCell ref="C312:D312"/>
    <mergeCell ref="C313:D313"/>
    <mergeCell ref="G313:H313"/>
    <mergeCell ref="K313:L313"/>
    <mergeCell ref="C314:D314"/>
    <mergeCell ref="K314:L314"/>
    <mergeCell ref="K315:L315"/>
    <mergeCell ref="G293:H293"/>
    <mergeCell ref="G294:H294"/>
    <mergeCell ref="C291:D291"/>
    <mergeCell ref="C292:D292"/>
    <mergeCell ref="G292:H292"/>
    <mergeCell ref="K292:L292"/>
    <mergeCell ref="C293:D293"/>
    <mergeCell ref="K293:L293"/>
    <mergeCell ref="K294:L294"/>
    <mergeCell ref="G296:H296"/>
    <mergeCell ref="G297:H297"/>
    <mergeCell ref="C294:D294"/>
    <mergeCell ref="C295:D295"/>
    <mergeCell ref="G295:H295"/>
    <mergeCell ref="K295:L295"/>
    <mergeCell ref="C296:D296"/>
    <mergeCell ref="K296:L296"/>
    <mergeCell ref="K297:L297"/>
    <mergeCell ref="G299:H299"/>
    <mergeCell ref="G300:H300"/>
    <mergeCell ref="C297:D297"/>
    <mergeCell ref="C298:D298"/>
    <mergeCell ref="G298:H298"/>
    <mergeCell ref="K298:L298"/>
    <mergeCell ref="C299:D299"/>
    <mergeCell ref="K299:L299"/>
    <mergeCell ref="K300:L300"/>
    <mergeCell ref="G302:H302"/>
    <mergeCell ref="G303:H303"/>
    <mergeCell ref="C300:D300"/>
    <mergeCell ref="C301:D301"/>
    <mergeCell ref="G301:H301"/>
    <mergeCell ref="K301:L301"/>
    <mergeCell ref="C302:D302"/>
    <mergeCell ref="K302:L302"/>
    <mergeCell ref="K303:L303"/>
    <mergeCell ref="G281:H281"/>
    <mergeCell ref="G282:H282"/>
    <mergeCell ref="C279:D279"/>
    <mergeCell ref="C280:D280"/>
    <mergeCell ref="G280:H280"/>
    <mergeCell ref="K280:L280"/>
    <mergeCell ref="C281:D281"/>
    <mergeCell ref="K281:L281"/>
    <mergeCell ref="K282:L282"/>
    <mergeCell ref="G284:H284"/>
    <mergeCell ref="G285:H285"/>
    <mergeCell ref="C282:D282"/>
    <mergeCell ref="C283:D283"/>
    <mergeCell ref="G283:H283"/>
    <mergeCell ref="K283:L283"/>
    <mergeCell ref="C284:D284"/>
    <mergeCell ref="K284:L284"/>
    <mergeCell ref="K285:L285"/>
    <mergeCell ref="G287:H287"/>
    <mergeCell ref="G288:H288"/>
    <mergeCell ref="C285:D285"/>
    <mergeCell ref="C286:D286"/>
    <mergeCell ref="G286:H286"/>
    <mergeCell ref="K286:L286"/>
    <mergeCell ref="C287:D287"/>
    <mergeCell ref="K287:L287"/>
    <mergeCell ref="K288:L288"/>
    <mergeCell ref="G290:H290"/>
    <mergeCell ref="G291:H291"/>
    <mergeCell ref="C288:D288"/>
    <mergeCell ref="C289:D289"/>
    <mergeCell ref="G289:H289"/>
    <mergeCell ref="K289:L289"/>
    <mergeCell ref="C290:D290"/>
    <mergeCell ref="K290:L290"/>
    <mergeCell ref="K291:L291"/>
    <mergeCell ref="G269:H269"/>
    <mergeCell ref="G270:H270"/>
    <mergeCell ref="C267:D267"/>
    <mergeCell ref="C268:D268"/>
    <mergeCell ref="G268:H268"/>
    <mergeCell ref="K268:L268"/>
    <mergeCell ref="C269:D269"/>
    <mergeCell ref="K269:L269"/>
    <mergeCell ref="K270:L270"/>
    <mergeCell ref="G272:H272"/>
    <mergeCell ref="G273:H273"/>
    <mergeCell ref="C270:D270"/>
    <mergeCell ref="C271:D271"/>
    <mergeCell ref="G271:H271"/>
    <mergeCell ref="K271:L271"/>
    <mergeCell ref="C272:D272"/>
    <mergeCell ref="K272:L272"/>
    <mergeCell ref="K273:L273"/>
    <mergeCell ref="G275:H275"/>
    <mergeCell ref="G276:H276"/>
    <mergeCell ref="C273:D273"/>
    <mergeCell ref="C274:D274"/>
    <mergeCell ref="G274:H274"/>
    <mergeCell ref="K274:L274"/>
    <mergeCell ref="C275:D275"/>
    <mergeCell ref="K275:L275"/>
    <mergeCell ref="K276:L276"/>
    <mergeCell ref="G278:H278"/>
    <mergeCell ref="G279:H279"/>
    <mergeCell ref="C276:D276"/>
    <mergeCell ref="C277:D277"/>
    <mergeCell ref="G277:H277"/>
    <mergeCell ref="K277:L277"/>
    <mergeCell ref="C278:D278"/>
    <mergeCell ref="K278:L278"/>
    <mergeCell ref="K279:L279"/>
    <mergeCell ref="G257:H257"/>
    <mergeCell ref="G258:H258"/>
    <mergeCell ref="C255:D255"/>
    <mergeCell ref="C256:D256"/>
    <mergeCell ref="G256:H256"/>
    <mergeCell ref="K256:L256"/>
    <mergeCell ref="C257:D257"/>
    <mergeCell ref="K257:L257"/>
    <mergeCell ref="K258:L258"/>
    <mergeCell ref="G260:H260"/>
    <mergeCell ref="G261:H261"/>
    <mergeCell ref="C258:D258"/>
    <mergeCell ref="C259:D259"/>
    <mergeCell ref="G259:H259"/>
    <mergeCell ref="K259:L259"/>
    <mergeCell ref="C260:D260"/>
    <mergeCell ref="K260:L260"/>
    <mergeCell ref="K261:L261"/>
    <mergeCell ref="G263:H263"/>
    <mergeCell ref="G264:H264"/>
    <mergeCell ref="C261:D261"/>
    <mergeCell ref="C262:D262"/>
    <mergeCell ref="G262:H262"/>
    <mergeCell ref="K262:L262"/>
    <mergeCell ref="C263:D263"/>
    <mergeCell ref="K263:L263"/>
    <mergeCell ref="K264:L264"/>
    <mergeCell ref="G266:H266"/>
    <mergeCell ref="G267:H267"/>
    <mergeCell ref="C264:D264"/>
    <mergeCell ref="C265:D265"/>
    <mergeCell ref="G265:H265"/>
    <mergeCell ref="K265:L265"/>
    <mergeCell ref="C266:D266"/>
    <mergeCell ref="K266:L266"/>
    <mergeCell ref="K267:L267"/>
    <mergeCell ref="G245:H245"/>
    <mergeCell ref="G246:H246"/>
    <mergeCell ref="C243:D243"/>
    <mergeCell ref="C244:D244"/>
    <mergeCell ref="G244:H244"/>
    <mergeCell ref="K244:L244"/>
    <mergeCell ref="C245:D245"/>
    <mergeCell ref="K245:L245"/>
    <mergeCell ref="K246:L246"/>
    <mergeCell ref="G248:H248"/>
    <mergeCell ref="G249:H249"/>
    <mergeCell ref="C246:D246"/>
    <mergeCell ref="C247:D247"/>
    <mergeCell ref="G247:H247"/>
    <mergeCell ref="K247:L247"/>
    <mergeCell ref="C248:D248"/>
    <mergeCell ref="K248:L248"/>
    <mergeCell ref="K249:L249"/>
    <mergeCell ref="G251:H251"/>
    <mergeCell ref="G252:H252"/>
    <mergeCell ref="C249:D249"/>
    <mergeCell ref="C250:D250"/>
    <mergeCell ref="G250:H250"/>
    <mergeCell ref="K250:L250"/>
    <mergeCell ref="C251:D251"/>
    <mergeCell ref="K251:L251"/>
    <mergeCell ref="K252:L252"/>
    <mergeCell ref="G254:H254"/>
    <mergeCell ref="G255:H255"/>
    <mergeCell ref="C252:D252"/>
    <mergeCell ref="C253:D253"/>
    <mergeCell ref="G253:H253"/>
    <mergeCell ref="K253:L253"/>
    <mergeCell ref="C254:D254"/>
    <mergeCell ref="K254:L254"/>
    <mergeCell ref="K255:L255"/>
    <mergeCell ref="G233:H233"/>
    <mergeCell ref="G234:H234"/>
    <mergeCell ref="C231:D231"/>
    <mergeCell ref="C232:D232"/>
    <mergeCell ref="G232:H232"/>
    <mergeCell ref="K232:L232"/>
    <mergeCell ref="C233:D233"/>
    <mergeCell ref="K233:L233"/>
    <mergeCell ref="K234:L234"/>
    <mergeCell ref="G236:H236"/>
    <mergeCell ref="G237:H237"/>
    <mergeCell ref="C234:D234"/>
    <mergeCell ref="C235:D235"/>
    <mergeCell ref="G235:H235"/>
    <mergeCell ref="K235:L235"/>
    <mergeCell ref="C236:D236"/>
    <mergeCell ref="K236:L236"/>
    <mergeCell ref="K237:L237"/>
    <mergeCell ref="G239:H239"/>
    <mergeCell ref="G240:H240"/>
    <mergeCell ref="C237:D237"/>
    <mergeCell ref="C238:D238"/>
    <mergeCell ref="G238:H238"/>
    <mergeCell ref="K238:L238"/>
    <mergeCell ref="C239:D239"/>
    <mergeCell ref="K239:L239"/>
    <mergeCell ref="K240:L240"/>
    <mergeCell ref="G242:H242"/>
    <mergeCell ref="G243:H243"/>
    <mergeCell ref="C240:D240"/>
    <mergeCell ref="C241:D241"/>
    <mergeCell ref="G241:H241"/>
    <mergeCell ref="K241:L241"/>
    <mergeCell ref="C242:D242"/>
    <mergeCell ref="K242:L242"/>
    <mergeCell ref="K243:L243"/>
    <mergeCell ref="G221:H221"/>
    <mergeCell ref="G222:H222"/>
    <mergeCell ref="C219:D219"/>
    <mergeCell ref="C220:D220"/>
    <mergeCell ref="G220:H220"/>
    <mergeCell ref="K220:L220"/>
    <mergeCell ref="C221:D221"/>
    <mergeCell ref="K221:L221"/>
    <mergeCell ref="K222:L222"/>
    <mergeCell ref="G224:H224"/>
    <mergeCell ref="G225:H225"/>
    <mergeCell ref="C222:D222"/>
    <mergeCell ref="C223:D223"/>
    <mergeCell ref="G223:H223"/>
    <mergeCell ref="K223:L223"/>
    <mergeCell ref="C224:D224"/>
    <mergeCell ref="K224:L224"/>
    <mergeCell ref="K225:L225"/>
    <mergeCell ref="G227:H227"/>
    <mergeCell ref="G228:H228"/>
    <mergeCell ref="C225:D225"/>
    <mergeCell ref="C226:D226"/>
    <mergeCell ref="G226:H226"/>
    <mergeCell ref="K226:L226"/>
    <mergeCell ref="C227:D227"/>
    <mergeCell ref="K227:L227"/>
    <mergeCell ref="K228:L228"/>
    <mergeCell ref="G230:H230"/>
    <mergeCell ref="G231:H231"/>
    <mergeCell ref="C228:D228"/>
    <mergeCell ref="C229:D229"/>
    <mergeCell ref="G229:H229"/>
    <mergeCell ref="K229:L229"/>
    <mergeCell ref="C230:D230"/>
    <mergeCell ref="K230:L230"/>
    <mergeCell ref="K231:L231"/>
    <mergeCell ref="G209:H209"/>
    <mergeCell ref="G210:H210"/>
    <mergeCell ref="C207:D207"/>
    <mergeCell ref="C208:D208"/>
    <mergeCell ref="G208:H208"/>
    <mergeCell ref="K208:L208"/>
    <mergeCell ref="C209:D209"/>
    <mergeCell ref="K209:L209"/>
    <mergeCell ref="K210:L210"/>
    <mergeCell ref="G212:H212"/>
    <mergeCell ref="G213:H213"/>
    <mergeCell ref="C210:D210"/>
    <mergeCell ref="C211:D211"/>
    <mergeCell ref="G211:H211"/>
    <mergeCell ref="K211:L211"/>
    <mergeCell ref="C212:D212"/>
    <mergeCell ref="K212:L212"/>
    <mergeCell ref="K213:L213"/>
    <mergeCell ref="G215:H215"/>
    <mergeCell ref="G216:H216"/>
    <mergeCell ref="C213:D213"/>
    <mergeCell ref="C214:D214"/>
    <mergeCell ref="G214:H214"/>
    <mergeCell ref="K214:L214"/>
    <mergeCell ref="C215:D215"/>
    <mergeCell ref="K215:L215"/>
    <mergeCell ref="K216:L216"/>
    <mergeCell ref="G218:H218"/>
    <mergeCell ref="G219:H219"/>
    <mergeCell ref="C216:D216"/>
    <mergeCell ref="C217:D217"/>
    <mergeCell ref="G217:H217"/>
    <mergeCell ref="K217:L217"/>
    <mergeCell ref="C218:D218"/>
    <mergeCell ref="K218:L218"/>
    <mergeCell ref="K219:L219"/>
    <mergeCell ref="G197:H197"/>
    <mergeCell ref="G198:H198"/>
    <mergeCell ref="C195:D195"/>
    <mergeCell ref="C196:D196"/>
    <mergeCell ref="G196:H196"/>
    <mergeCell ref="K196:L196"/>
    <mergeCell ref="C197:D197"/>
    <mergeCell ref="K197:L197"/>
    <mergeCell ref="K198:L198"/>
    <mergeCell ref="G200:H200"/>
    <mergeCell ref="G201:H201"/>
    <mergeCell ref="C198:D198"/>
    <mergeCell ref="C199:D199"/>
    <mergeCell ref="G199:H199"/>
    <mergeCell ref="K199:L199"/>
    <mergeCell ref="C200:D200"/>
    <mergeCell ref="K200:L200"/>
    <mergeCell ref="K201:L201"/>
    <mergeCell ref="G203:H203"/>
    <mergeCell ref="G204:H204"/>
    <mergeCell ref="C201:D201"/>
    <mergeCell ref="C202:D202"/>
    <mergeCell ref="G202:H202"/>
    <mergeCell ref="K202:L202"/>
    <mergeCell ref="C203:D203"/>
    <mergeCell ref="K203:L203"/>
    <mergeCell ref="K204:L204"/>
    <mergeCell ref="G206:H206"/>
    <mergeCell ref="G207:H207"/>
    <mergeCell ref="C204:D204"/>
    <mergeCell ref="C205:D205"/>
    <mergeCell ref="G205:H205"/>
    <mergeCell ref="K205:L205"/>
    <mergeCell ref="C206:D206"/>
    <mergeCell ref="K206:L206"/>
    <mergeCell ref="K207:L207"/>
    <mergeCell ref="C123:D123"/>
    <mergeCell ref="G123:H123"/>
    <mergeCell ref="K123:L123"/>
    <mergeCell ref="C124:D124"/>
    <mergeCell ref="K124:L124"/>
    <mergeCell ref="C125:D125"/>
    <mergeCell ref="K125:L125"/>
    <mergeCell ref="G124:H124"/>
    <mergeCell ref="G125:H125"/>
    <mergeCell ref="C126:D126"/>
    <mergeCell ref="G126:H126"/>
    <mergeCell ref="K126:L126"/>
    <mergeCell ref="G127:H127"/>
    <mergeCell ref="K127:L127"/>
    <mergeCell ref="C127:D127"/>
    <mergeCell ref="C128:D128"/>
    <mergeCell ref="G128:H128"/>
    <mergeCell ref="K128:L128"/>
    <mergeCell ref="C129:D129"/>
    <mergeCell ref="K129:L129"/>
    <mergeCell ref="C130:D130"/>
    <mergeCell ref="K130:L130"/>
    <mergeCell ref="K166:L166"/>
    <mergeCell ref="K167:L167"/>
    <mergeCell ref="K159:L159"/>
    <mergeCell ref="K160:L160"/>
    <mergeCell ref="K161:L161"/>
    <mergeCell ref="K162:L162"/>
    <mergeCell ref="K163:L163"/>
    <mergeCell ref="K164:L164"/>
    <mergeCell ref="K165:L165"/>
    <mergeCell ref="G194:H194"/>
    <mergeCell ref="G195:H195"/>
    <mergeCell ref="C192:D192"/>
    <mergeCell ref="C193:D193"/>
    <mergeCell ref="G193:H193"/>
    <mergeCell ref="K193:L193"/>
    <mergeCell ref="C194:D194"/>
    <mergeCell ref="K194:L194"/>
    <mergeCell ref="K195:L195"/>
    <mergeCell ref="C131:D131"/>
    <mergeCell ref="G131:H131"/>
    <mergeCell ref="K131:L131"/>
    <mergeCell ref="G132:H132"/>
    <mergeCell ref="K132:L132"/>
    <mergeCell ref="C132:D132"/>
    <mergeCell ref="C133:D133"/>
    <mergeCell ref="G133:H133"/>
    <mergeCell ref="K133:L133"/>
    <mergeCell ref="C134:D134"/>
    <mergeCell ref="K134:L134"/>
    <mergeCell ref="C135:D135"/>
    <mergeCell ref="C136:D136"/>
    <mergeCell ref="G136:H136"/>
    <mergeCell ref="K136:L136"/>
    <mergeCell ref="C137:D137"/>
    <mergeCell ref="G137:H137"/>
    <mergeCell ref="C138:D138"/>
    <mergeCell ref="K139:L139"/>
    <mergeCell ref="G138:H138"/>
    <mergeCell ref="G139:H139"/>
    <mergeCell ref="G140:H140"/>
    <mergeCell ref="G141:H141"/>
    <mergeCell ref="G142:H142"/>
    <mergeCell ref="G134:H134"/>
    <mergeCell ref="G135:H135"/>
    <mergeCell ref="K135:L135"/>
    <mergeCell ref="C91:D91"/>
    <mergeCell ref="C92:D92"/>
    <mergeCell ref="G92:H92"/>
    <mergeCell ref="K92:L92"/>
    <mergeCell ref="G93:H93"/>
    <mergeCell ref="K93:L93"/>
    <mergeCell ref="C93:D93"/>
    <mergeCell ref="C94:D94"/>
    <mergeCell ref="G94:H94"/>
    <mergeCell ref="K94:L94"/>
    <mergeCell ref="C95:D95"/>
    <mergeCell ref="K95:L95"/>
    <mergeCell ref="K96:L96"/>
    <mergeCell ref="G104:H104"/>
    <mergeCell ref="G105:H105"/>
    <mergeCell ref="K100:L100"/>
    <mergeCell ref="K101:L101"/>
    <mergeCell ref="G102:H102"/>
    <mergeCell ref="K102:L102"/>
    <mergeCell ref="G103:H103"/>
    <mergeCell ref="K103:L103"/>
    <mergeCell ref="K104:L104"/>
    <mergeCell ref="K105:L105"/>
    <mergeCell ref="G109:H109"/>
    <mergeCell ref="G110:H110"/>
    <mergeCell ref="C111:D111"/>
    <mergeCell ref="G111:H111"/>
    <mergeCell ref="K111:L111"/>
    <mergeCell ref="G112:H112"/>
    <mergeCell ref="K112:L112"/>
    <mergeCell ref="C112:D112"/>
    <mergeCell ref="C113:D113"/>
    <mergeCell ref="G113:H113"/>
    <mergeCell ref="K113:L113"/>
    <mergeCell ref="C114:D114"/>
    <mergeCell ref="K114:L114"/>
    <mergeCell ref="C115:D115"/>
    <mergeCell ref="K115:L115"/>
    <mergeCell ref="G114:H114"/>
    <mergeCell ref="G115:H115"/>
    <mergeCell ref="C116:D116"/>
    <mergeCell ref="G116:H116"/>
    <mergeCell ref="K116:L116"/>
    <mergeCell ref="G117:H117"/>
    <mergeCell ref="K117:L117"/>
    <mergeCell ref="C117:D117"/>
    <mergeCell ref="C118:D118"/>
    <mergeCell ref="G118:H118"/>
    <mergeCell ref="K118:L118"/>
    <mergeCell ref="C119:D119"/>
    <mergeCell ref="K119:L119"/>
    <mergeCell ref="C120:D120"/>
    <mergeCell ref="K120:L120"/>
    <mergeCell ref="G119:H119"/>
    <mergeCell ref="G120:H120"/>
    <mergeCell ref="C121:D121"/>
    <mergeCell ref="G121:H121"/>
    <mergeCell ref="K121:L121"/>
    <mergeCell ref="G122:H122"/>
    <mergeCell ref="K122:L122"/>
    <mergeCell ref="C122:D122"/>
    <mergeCell ref="C103:D103"/>
    <mergeCell ref="C104:D104"/>
    <mergeCell ref="C105:D105"/>
    <mergeCell ref="C106:D106"/>
    <mergeCell ref="G106:H106"/>
    <mergeCell ref="K106:L106"/>
    <mergeCell ref="G107:H107"/>
    <mergeCell ref="K107:L107"/>
    <mergeCell ref="C107:D107"/>
    <mergeCell ref="C108:D108"/>
    <mergeCell ref="G108:H108"/>
    <mergeCell ref="K108:L108"/>
    <mergeCell ref="C109:D109"/>
    <mergeCell ref="K109:L109"/>
    <mergeCell ref="C110:D110"/>
    <mergeCell ref="K110:L110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90:D90"/>
    <mergeCell ref="G90:H90"/>
    <mergeCell ref="K90:L90"/>
    <mergeCell ref="G91:H91"/>
    <mergeCell ref="K91:L91"/>
    <mergeCell ref="C83:D83"/>
    <mergeCell ref="C84:D84"/>
    <mergeCell ref="C85:D85"/>
    <mergeCell ref="C86:D86"/>
    <mergeCell ref="C87:D87"/>
    <mergeCell ref="C88:D88"/>
    <mergeCell ref="C89:D89"/>
    <mergeCell ref="C96:D96"/>
    <mergeCell ref="C97:D97"/>
    <mergeCell ref="C98:D98"/>
    <mergeCell ref="C99:D99"/>
    <mergeCell ref="C100:D100"/>
    <mergeCell ref="C101:D101"/>
    <mergeCell ref="C102:D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BF3-F286-41C5-A23D-B2720629BB8C}">
  <sheetPr>
    <outlinePr summaryBelow="0" summaryRight="0"/>
  </sheetPr>
  <dimension ref="A1:AA978"/>
  <sheetViews>
    <sheetView workbookViewId="0">
      <pane ySplit="1" topLeftCell="A2" activePane="bottomLeft" state="frozen"/>
      <selection pane="bottomLeft"/>
    </sheetView>
  </sheetViews>
  <sheetFormatPr defaultColWidth="12.6640625" defaultRowHeight="15.75" customHeight="1"/>
  <cols>
    <col min="1" max="1" width="7.44140625" customWidth="1"/>
    <col min="2" max="2" width="24.88671875" customWidth="1"/>
    <col min="3" max="3" width="19.6640625" customWidth="1"/>
    <col min="7" max="7" width="17.77734375" customWidth="1"/>
    <col min="9" max="9" width="26.88671875" customWidth="1"/>
  </cols>
  <sheetData>
    <row r="1" spans="1:27" ht="15.75" customHeight="1">
      <c r="A1" s="91" t="s">
        <v>0</v>
      </c>
      <c r="B1" s="91" t="s">
        <v>1</v>
      </c>
      <c r="C1" s="92" t="s">
        <v>3</v>
      </c>
      <c r="D1" s="91" t="s">
        <v>843</v>
      </c>
      <c r="E1" s="91" t="s">
        <v>842</v>
      </c>
      <c r="F1" s="91" t="s">
        <v>841</v>
      </c>
      <c r="G1" s="91" t="s">
        <v>840</v>
      </c>
      <c r="H1" s="91" t="s">
        <v>839</v>
      </c>
      <c r="I1" s="90" t="s">
        <v>838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84">
        <v>1</v>
      </c>
      <c r="B2" s="87" t="s">
        <v>837</v>
      </c>
      <c r="C2" s="86">
        <v>2</v>
      </c>
      <c r="D2" s="85" t="s">
        <v>719</v>
      </c>
      <c r="E2" s="85" t="s">
        <v>735</v>
      </c>
      <c r="F2" s="85" t="s">
        <v>718</v>
      </c>
      <c r="G2" s="85" t="s">
        <v>721</v>
      </c>
      <c r="H2" s="85" t="s">
        <v>727</v>
      </c>
      <c r="I2" s="85" t="s">
        <v>737</v>
      </c>
    </row>
    <row r="3" spans="1:27" ht="15.75" customHeight="1">
      <c r="A3" s="84">
        <f>A2+1</f>
        <v>2</v>
      </c>
      <c r="B3" s="87" t="s">
        <v>836</v>
      </c>
      <c r="C3" s="86">
        <v>1E-3</v>
      </c>
      <c r="D3" s="88" t="s">
        <v>758</v>
      </c>
      <c r="E3" s="88" t="s">
        <v>739</v>
      </c>
      <c r="F3" s="85" t="s">
        <v>718</v>
      </c>
      <c r="G3" s="85" t="s">
        <v>721</v>
      </c>
      <c r="H3" s="85" t="s">
        <v>721</v>
      </c>
      <c r="I3" s="85" t="s">
        <v>737</v>
      </c>
    </row>
    <row r="4" spans="1:27" ht="15.75" customHeight="1">
      <c r="A4" s="84">
        <f>A3+1</f>
        <v>3</v>
      </c>
      <c r="B4" s="87" t="s">
        <v>835</v>
      </c>
      <c r="C4" s="86">
        <v>2</v>
      </c>
      <c r="D4" s="85" t="s">
        <v>735</v>
      </c>
      <c r="E4" s="85" t="s">
        <v>27</v>
      </c>
      <c r="F4" s="85" t="s">
        <v>725</v>
      </c>
      <c r="G4" s="85" t="s">
        <v>717</v>
      </c>
      <c r="H4" s="85" t="s">
        <v>727</v>
      </c>
      <c r="I4" s="85" t="s">
        <v>777</v>
      </c>
    </row>
    <row r="5" spans="1:27" ht="15.75" customHeight="1">
      <c r="A5" s="84">
        <f>A4+1</f>
        <v>4</v>
      </c>
      <c r="B5" s="87" t="s">
        <v>834</v>
      </c>
      <c r="C5" s="86">
        <v>2</v>
      </c>
      <c r="D5" s="85" t="s">
        <v>735</v>
      </c>
      <c r="E5" s="85" t="s">
        <v>27</v>
      </c>
      <c r="F5" s="85" t="s">
        <v>742</v>
      </c>
      <c r="G5" s="85" t="s">
        <v>721</v>
      </c>
      <c r="H5" s="85" t="s">
        <v>727</v>
      </c>
      <c r="I5" s="85" t="s">
        <v>715</v>
      </c>
    </row>
    <row r="6" spans="1:27" ht="15.75" customHeight="1">
      <c r="A6" s="84">
        <f>A5+1</f>
        <v>5</v>
      </c>
      <c r="B6" s="87" t="s">
        <v>710</v>
      </c>
      <c r="C6" s="86">
        <v>5</v>
      </c>
      <c r="D6" s="85" t="s">
        <v>735</v>
      </c>
      <c r="E6" s="85" t="s">
        <v>27</v>
      </c>
      <c r="F6" s="85" t="s">
        <v>718</v>
      </c>
      <c r="G6" s="85" t="s">
        <v>721</v>
      </c>
      <c r="H6" s="85" t="s">
        <v>727</v>
      </c>
      <c r="I6" s="85" t="s">
        <v>715</v>
      </c>
    </row>
    <row r="7" spans="1:27" ht="15.75" customHeight="1">
      <c r="A7" s="84">
        <f>A6+1</f>
        <v>6</v>
      </c>
      <c r="B7" s="87" t="s">
        <v>833</v>
      </c>
      <c r="C7" s="86">
        <v>5</v>
      </c>
      <c r="D7" s="85" t="s">
        <v>27</v>
      </c>
      <c r="E7" s="85" t="s">
        <v>82</v>
      </c>
      <c r="F7" s="85" t="s">
        <v>718</v>
      </c>
      <c r="G7" s="85" t="s">
        <v>721</v>
      </c>
      <c r="H7" s="85" t="s">
        <v>793</v>
      </c>
      <c r="I7" s="85" t="s">
        <v>737</v>
      </c>
    </row>
    <row r="8" spans="1:27" ht="15.75" customHeight="1">
      <c r="A8" s="84">
        <f>A7+1</f>
        <v>7</v>
      </c>
      <c r="B8" s="87" t="s">
        <v>832</v>
      </c>
      <c r="C8" s="86">
        <v>6</v>
      </c>
      <c r="D8" s="85" t="s">
        <v>27</v>
      </c>
      <c r="E8" s="85" t="s">
        <v>82</v>
      </c>
      <c r="F8" s="85" t="s">
        <v>718</v>
      </c>
      <c r="G8" s="85" t="s">
        <v>721</v>
      </c>
      <c r="H8" s="85" t="s">
        <v>733</v>
      </c>
      <c r="I8" s="85" t="s">
        <v>746</v>
      </c>
    </row>
    <row r="9" spans="1:27" ht="15.75" customHeight="1">
      <c r="A9" s="84">
        <f>A8+1</f>
        <v>8</v>
      </c>
      <c r="B9" s="87" t="s">
        <v>831</v>
      </c>
      <c r="C9" s="86">
        <v>1E-3</v>
      </c>
      <c r="D9" s="85" t="s">
        <v>27</v>
      </c>
      <c r="E9" s="85" t="s">
        <v>82</v>
      </c>
      <c r="F9" s="85" t="s">
        <v>718</v>
      </c>
      <c r="G9" s="85" t="s">
        <v>717</v>
      </c>
      <c r="H9" s="85" t="s">
        <v>767</v>
      </c>
      <c r="I9" s="85" t="s">
        <v>737</v>
      </c>
    </row>
    <row r="10" spans="1:27" ht="15.75" customHeight="1">
      <c r="A10" s="84">
        <f>A9+1</f>
        <v>9</v>
      </c>
      <c r="B10" s="87" t="s">
        <v>830</v>
      </c>
      <c r="C10" s="86">
        <v>12</v>
      </c>
      <c r="D10" s="85" t="s">
        <v>82</v>
      </c>
      <c r="E10" s="85" t="s">
        <v>51</v>
      </c>
      <c r="F10" s="85" t="s">
        <v>718</v>
      </c>
      <c r="G10" s="85" t="s">
        <v>721</v>
      </c>
      <c r="H10" s="85" t="s">
        <v>760</v>
      </c>
      <c r="I10" s="85" t="s">
        <v>737</v>
      </c>
    </row>
    <row r="11" spans="1:27" ht="15.75" customHeight="1">
      <c r="A11" s="84">
        <f>A10+1</f>
        <v>10</v>
      </c>
      <c r="B11" s="87" t="s">
        <v>829</v>
      </c>
      <c r="C11" s="86">
        <v>8</v>
      </c>
      <c r="D11" s="85" t="s">
        <v>82</v>
      </c>
      <c r="E11" s="85" t="s">
        <v>51</v>
      </c>
      <c r="F11" s="85" t="s">
        <v>718</v>
      </c>
      <c r="G11" s="85" t="s">
        <v>721</v>
      </c>
      <c r="H11" s="85" t="s">
        <v>722</v>
      </c>
      <c r="I11" s="85" t="s">
        <v>828</v>
      </c>
    </row>
    <row r="12" spans="1:27" ht="15.75" customHeight="1">
      <c r="A12" s="84">
        <f>A11+1</f>
        <v>11</v>
      </c>
      <c r="B12" s="87" t="s">
        <v>827</v>
      </c>
      <c r="C12" s="86">
        <v>1</v>
      </c>
      <c r="D12" s="85" t="s">
        <v>27</v>
      </c>
      <c r="E12" s="85" t="s">
        <v>82</v>
      </c>
      <c r="F12" s="85" t="s">
        <v>718</v>
      </c>
      <c r="G12" s="85" t="s">
        <v>812</v>
      </c>
      <c r="H12" s="85" t="s">
        <v>767</v>
      </c>
      <c r="I12" s="85" t="s">
        <v>715</v>
      </c>
    </row>
    <row r="13" spans="1:27" ht="15.75" customHeight="1">
      <c r="A13" s="84">
        <f>A12+1</f>
        <v>12</v>
      </c>
      <c r="B13" s="89" t="s">
        <v>826</v>
      </c>
      <c r="C13" s="86">
        <v>5</v>
      </c>
      <c r="D13" s="85" t="s">
        <v>82</v>
      </c>
      <c r="E13" s="85" t="s">
        <v>51</v>
      </c>
      <c r="F13" s="85" t="s">
        <v>742</v>
      </c>
      <c r="G13" s="85" t="s">
        <v>721</v>
      </c>
      <c r="H13" s="85" t="s">
        <v>825</v>
      </c>
      <c r="I13" s="85" t="s">
        <v>715</v>
      </c>
    </row>
    <row r="14" spans="1:27" ht="15.75" customHeight="1">
      <c r="A14" s="84">
        <f>A13+1</f>
        <v>13</v>
      </c>
      <c r="B14" s="89" t="s">
        <v>824</v>
      </c>
      <c r="C14" s="86">
        <v>0.1</v>
      </c>
      <c r="D14" s="85" t="s">
        <v>823</v>
      </c>
      <c r="E14" s="85" t="s">
        <v>749</v>
      </c>
      <c r="F14" s="85" t="s">
        <v>718</v>
      </c>
      <c r="G14" s="85" t="s">
        <v>721</v>
      </c>
      <c r="H14" s="85" t="s">
        <v>793</v>
      </c>
      <c r="I14" s="85" t="s">
        <v>737</v>
      </c>
    </row>
    <row r="15" spans="1:27" ht="15.75" customHeight="1">
      <c r="A15" s="84">
        <f>A14+1</f>
        <v>14</v>
      </c>
      <c r="B15" s="87" t="s">
        <v>822</v>
      </c>
      <c r="C15" s="86">
        <v>2</v>
      </c>
      <c r="D15" s="85" t="s">
        <v>82</v>
      </c>
      <c r="E15" s="85" t="s">
        <v>51</v>
      </c>
      <c r="F15" s="85" t="s">
        <v>742</v>
      </c>
      <c r="G15" s="85" t="s">
        <v>812</v>
      </c>
      <c r="H15" s="85" t="s">
        <v>722</v>
      </c>
      <c r="I15" s="85" t="s">
        <v>715</v>
      </c>
    </row>
    <row r="16" spans="1:27" ht="15.75" customHeight="1">
      <c r="A16" s="84">
        <f>A15+1</f>
        <v>15</v>
      </c>
      <c r="B16" s="87" t="s">
        <v>821</v>
      </c>
      <c r="C16" s="86">
        <v>50</v>
      </c>
      <c r="D16" s="85" t="s">
        <v>51</v>
      </c>
      <c r="E16" s="85" t="s">
        <v>168</v>
      </c>
      <c r="F16" s="85" t="s">
        <v>725</v>
      </c>
      <c r="G16" s="85" t="s">
        <v>730</v>
      </c>
      <c r="H16" s="85" t="s">
        <v>760</v>
      </c>
      <c r="I16" s="85" t="s">
        <v>715</v>
      </c>
    </row>
    <row r="17" spans="1:9" ht="15.75" customHeight="1">
      <c r="A17" s="84">
        <f>A16+1</f>
        <v>16</v>
      </c>
      <c r="B17" s="87" t="s">
        <v>820</v>
      </c>
      <c r="C17" s="86">
        <v>1</v>
      </c>
      <c r="D17" s="85" t="s">
        <v>721</v>
      </c>
      <c r="E17" s="85" t="s">
        <v>721</v>
      </c>
      <c r="F17" s="85" t="s">
        <v>721</v>
      </c>
      <c r="G17" s="85" t="s">
        <v>721</v>
      </c>
      <c r="H17" s="85" t="s">
        <v>727</v>
      </c>
      <c r="I17" s="85" t="s">
        <v>721</v>
      </c>
    </row>
    <row r="18" spans="1:9" ht="15.75" customHeight="1">
      <c r="A18" s="84">
        <f>A17+1</f>
        <v>17</v>
      </c>
      <c r="B18" s="87" t="s">
        <v>819</v>
      </c>
      <c r="C18" s="86">
        <v>35</v>
      </c>
      <c r="D18" s="85" t="s">
        <v>82</v>
      </c>
      <c r="E18" s="85" t="s">
        <v>51</v>
      </c>
      <c r="F18" s="85" t="s">
        <v>725</v>
      </c>
      <c r="G18" s="85" t="s">
        <v>724</v>
      </c>
      <c r="H18" s="85" t="s">
        <v>793</v>
      </c>
      <c r="I18" s="85" t="s">
        <v>715</v>
      </c>
    </row>
    <row r="19" spans="1:9" ht="15.75" customHeight="1">
      <c r="A19" s="84">
        <f>A18+1</f>
        <v>18</v>
      </c>
      <c r="B19" s="87" t="s">
        <v>704</v>
      </c>
      <c r="C19" s="86">
        <v>0.05</v>
      </c>
      <c r="D19" s="85" t="s">
        <v>735</v>
      </c>
      <c r="E19" s="85" t="s">
        <v>27</v>
      </c>
      <c r="F19" s="85" t="s">
        <v>718</v>
      </c>
      <c r="G19" s="85" t="s">
        <v>812</v>
      </c>
      <c r="H19" s="85" t="s">
        <v>716</v>
      </c>
      <c r="I19" s="85" t="s">
        <v>715</v>
      </c>
    </row>
    <row r="20" spans="1:9" ht="15.75" customHeight="1">
      <c r="A20" s="84">
        <f>A19+1</f>
        <v>19</v>
      </c>
      <c r="B20" s="87" t="s">
        <v>818</v>
      </c>
      <c r="C20" s="86">
        <v>1</v>
      </c>
      <c r="D20" s="85" t="s">
        <v>27</v>
      </c>
      <c r="E20" s="85" t="s">
        <v>82</v>
      </c>
      <c r="F20" s="85" t="s">
        <v>718</v>
      </c>
      <c r="G20" s="85" t="s">
        <v>734</v>
      </c>
      <c r="H20" s="85" t="s">
        <v>733</v>
      </c>
      <c r="I20" s="85" t="s">
        <v>715</v>
      </c>
    </row>
    <row r="21" spans="1:9" ht="15.75" customHeight="1">
      <c r="A21" s="84">
        <f>A20+1</f>
        <v>20</v>
      </c>
      <c r="B21" s="87" t="s">
        <v>709</v>
      </c>
      <c r="C21" s="86">
        <v>0.01</v>
      </c>
      <c r="D21" s="85" t="s">
        <v>735</v>
      </c>
      <c r="E21" s="85" t="s">
        <v>27</v>
      </c>
      <c r="F21" s="85" t="s">
        <v>718</v>
      </c>
      <c r="G21" s="85" t="s">
        <v>817</v>
      </c>
      <c r="H21" s="85" t="s">
        <v>816</v>
      </c>
      <c r="I21" s="85" t="s">
        <v>737</v>
      </c>
    </row>
    <row r="22" spans="1:9" ht="15.75" customHeight="1">
      <c r="A22" s="84">
        <f>A21+1</f>
        <v>21</v>
      </c>
      <c r="B22" s="87" t="s">
        <v>815</v>
      </c>
      <c r="C22" s="86">
        <v>0.01</v>
      </c>
      <c r="D22" s="85" t="s">
        <v>721</v>
      </c>
      <c r="E22" s="85" t="s">
        <v>721</v>
      </c>
      <c r="F22" s="85" t="s">
        <v>721</v>
      </c>
      <c r="G22" s="85" t="s">
        <v>721</v>
      </c>
      <c r="H22" s="85" t="s">
        <v>791</v>
      </c>
      <c r="I22" s="85" t="s">
        <v>721</v>
      </c>
    </row>
    <row r="23" spans="1:9" ht="15.75" customHeight="1">
      <c r="A23" s="84">
        <f>A22+1</f>
        <v>22</v>
      </c>
      <c r="B23" s="87" t="s">
        <v>814</v>
      </c>
      <c r="C23" s="86">
        <v>8</v>
      </c>
      <c r="D23" s="85" t="s">
        <v>27</v>
      </c>
      <c r="E23" s="85" t="s">
        <v>82</v>
      </c>
      <c r="F23" s="85" t="s">
        <v>718</v>
      </c>
      <c r="G23" s="85" t="s">
        <v>717</v>
      </c>
      <c r="H23" s="85" t="s">
        <v>733</v>
      </c>
      <c r="I23" s="85" t="s">
        <v>746</v>
      </c>
    </row>
    <row r="24" spans="1:9" ht="15.75" customHeight="1">
      <c r="A24" s="84">
        <f>A23+1</f>
        <v>23</v>
      </c>
      <c r="B24" s="87" t="s">
        <v>813</v>
      </c>
      <c r="C24" s="86">
        <v>1</v>
      </c>
      <c r="D24" s="85" t="s">
        <v>735</v>
      </c>
      <c r="E24" s="85" t="s">
        <v>27</v>
      </c>
      <c r="F24" s="85" t="s">
        <v>718</v>
      </c>
      <c r="G24" s="85" t="s">
        <v>812</v>
      </c>
      <c r="H24" s="85" t="s">
        <v>733</v>
      </c>
      <c r="I24" s="85" t="s">
        <v>737</v>
      </c>
    </row>
    <row r="25" spans="1:9" ht="15.75" customHeight="1">
      <c r="A25" s="84">
        <f>A24+1</f>
        <v>24</v>
      </c>
      <c r="B25" s="87" t="s">
        <v>811</v>
      </c>
      <c r="C25" s="86">
        <v>6</v>
      </c>
      <c r="D25" s="85" t="s">
        <v>27</v>
      </c>
      <c r="E25" s="85" t="s">
        <v>82</v>
      </c>
      <c r="F25" s="85" t="s">
        <v>742</v>
      </c>
      <c r="G25" s="85" t="s">
        <v>721</v>
      </c>
      <c r="H25" s="85" t="s">
        <v>767</v>
      </c>
      <c r="I25" s="85" t="s">
        <v>746</v>
      </c>
    </row>
    <row r="26" spans="1:9" ht="15.75" customHeight="1">
      <c r="A26" s="84">
        <f>A25+1</f>
        <v>25</v>
      </c>
      <c r="B26" s="87" t="s">
        <v>810</v>
      </c>
      <c r="C26" s="86">
        <v>8</v>
      </c>
      <c r="D26" s="85" t="s">
        <v>735</v>
      </c>
      <c r="E26" s="85" t="s">
        <v>27</v>
      </c>
      <c r="F26" s="85" t="s">
        <v>789</v>
      </c>
      <c r="G26" s="85" t="s">
        <v>721</v>
      </c>
      <c r="H26" s="85" t="s">
        <v>733</v>
      </c>
      <c r="I26" s="85" t="s">
        <v>746</v>
      </c>
    </row>
    <row r="27" spans="1:9" ht="15.75" customHeight="1">
      <c r="A27" s="84">
        <f>A26+1</f>
        <v>26</v>
      </c>
      <c r="B27" s="87" t="s">
        <v>705</v>
      </c>
      <c r="C27" s="86">
        <v>4</v>
      </c>
      <c r="D27" s="85" t="s">
        <v>735</v>
      </c>
      <c r="E27" s="85" t="s">
        <v>27</v>
      </c>
      <c r="F27" s="85" t="s">
        <v>778</v>
      </c>
      <c r="G27" s="85" t="s">
        <v>721</v>
      </c>
      <c r="H27" s="85" t="s">
        <v>767</v>
      </c>
      <c r="I27" s="85" t="s">
        <v>715</v>
      </c>
    </row>
    <row r="28" spans="1:9" ht="15.75" customHeight="1">
      <c r="A28" s="84">
        <f>A27+1</f>
        <v>27</v>
      </c>
      <c r="B28" s="87" t="s">
        <v>809</v>
      </c>
      <c r="C28" s="86">
        <v>1</v>
      </c>
      <c r="D28" s="88" t="s">
        <v>738</v>
      </c>
      <c r="E28" s="88" t="s">
        <v>808</v>
      </c>
      <c r="F28" s="85" t="s">
        <v>718</v>
      </c>
      <c r="G28" s="85" t="s">
        <v>721</v>
      </c>
      <c r="H28" s="85" t="s">
        <v>733</v>
      </c>
      <c r="I28" s="85" t="s">
        <v>737</v>
      </c>
    </row>
    <row r="29" spans="1:9" ht="13.2">
      <c r="A29" s="84">
        <f>A28+1</f>
        <v>28</v>
      </c>
      <c r="B29" s="87" t="s">
        <v>807</v>
      </c>
      <c r="C29" s="86">
        <v>10</v>
      </c>
      <c r="D29" s="85" t="s">
        <v>719</v>
      </c>
      <c r="E29" s="85" t="s">
        <v>735</v>
      </c>
      <c r="F29" s="85" t="s">
        <v>718</v>
      </c>
      <c r="G29" s="85" t="s">
        <v>721</v>
      </c>
      <c r="H29" s="85" t="s">
        <v>795</v>
      </c>
      <c r="I29" s="85" t="s">
        <v>737</v>
      </c>
    </row>
    <row r="30" spans="1:9" ht="13.2">
      <c r="A30" s="84">
        <f>A29+1</f>
        <v>29</v>
      </c>
      <c r="B30" s="87" t="s">
        <v>806</v>
      </c>
      <c r="C30" s="86">
        <v>20</v>
      </c>
      <c r="D30" s="85" t="s">
        <v>27</v>
      </c>
      <c r="E30" s="85" t="s">
        <v>82</v>
      </c>
      <c r="F30" s="85" t="s">
        <v>718</v>
      </c>
      <c r="G30" s="85" t="s">
        <v>721</v>
      </c>
      <c r="H30" s="85" t="s">
        <v>795</v>
      </c>
      <c r="I30" s="85" t="s">
        <v>715</v>
      </c>
    </row>
    <row r="31" spans="1:9" ht="13.2">
      <c r="A31" s="84">
        <f>A30+1</f>
        <v>30</v>
      </c>
      <c r="B31" s="87" t="s">
        <v>805</v>
      </c>
      <c r="C31" s="86">
        <v>30</v>
      </c>
      <c r="D31" s="85" t="s">
        <v>735</v>
      </c>
      <c r="E31" s="85" t="s">
        <v>27</v>
      </c>
      <c r="F31" s="85" t="s">
        <v>718</v>
      </c>
      <c r="G31" s="85" t="s">
        <v>721</v>
      </c>
      <c r="H31" s="85" t="s">
        <v>795</v>
      </c>
      <c r="I31" s="85" t="s">
        <v>715</v>
      </c>
    </row>
    <row r="32" spans="1:9" ht="13.2">
      <c r="A32" s="84">
        <f>A31+1</f>
        <v>31</v>
      </c>
      <c r="B32" s="87" t="s">
        <v>804</v>
      </c>
      <c r="C32" s="86">
        <v>10</v>
      </c>
      <c r="D32" s="85" t="s">
        <v>27</v>
      </c>
      <c r="E32" s="85" t="s">
        <v>82</v>
      </c>
      <c r="F32" s="85" t="s">
        <v>725</v>
      </c>
      <c r="G32" s="85" t="s">
        <v>721</v>
      </c>
      <c r="H32" s="85" t="s">
        <v>733</v>
      </c>
      <c r="I32" s="85" t="s">
        <v>715</v>
      </c>
    </row>
    <row r="33" spans="1:9" ht="13.2">
      <c r="A33" s="84">
        <f>A32+1</f>
        <v>32</v>
      </c>
      <c r="B33" s="87" t="s">
        <v>803</v>
      </c>
      <c r="C33" s="86">
        <v>10</v>
      </c>
      <c r="D33" s="85" t="s">
        <v>82</v>
      </c>
      <c r="E33" s="85" t="s">
        <v>51</v>
      </c>
      <c r="F33" s="85" t="s">
        <v>742</v>
      </c>
      <c r="G33" s="85" t="s">
        <v>721</v>
      </c>
      <c r="H33" s="85" t="s">
        <v>722</v>
      </c>
      <c r="I33" s="85" t="s">
        <v>746</v>
      </c>
    </row>
    <row r="34" spans="1:9" ht="13.2">
      <c r="A34" s="84">
        <f>A33+1</f>
        <v>33</v>
      </c>
      <c r="B34" s="87" t="s">
        <v>802</v>
      </c>
      <c r="C34" s="86">
        <v>8</v>
      </c>
      <c r="D34" s="85" t="s">
        <v>82</v>
      </c>
      <c r="E34" s="85" t="s">
        <v>51</v>
      </c>
      <c r="F34" s="85" t="s">
        <v>718</v>
      </c>
      <c r="G34" s="85" t="s">
        <v>721</v>
      </c>
      <c r="H34" s="85" t="s">
        <v>791</v>
      </c>
      <c r="I34" s="85" t="s">
        <v>737</v>
      </c>
    </row>
    <row r="35" spans="1:9" ht="13.2">
      <c r="A35" s="84">
        <f>A34+1</f>
        <v>34</v>
      </c>
      <c r="B35" s="87" t="s">
        <v>801</v>
      </c>
      <c r="C35" s="86">
        <v>15</v>
      </c>
      <c r="D35" s="85" t="s">
        <v>82</v>
      </c>
      <c r="E35" s="85" t="s">
        <v>51</v>
      </c>
      <c r="F35" s="85" t="s">
        <v>725</v>
      </c>
      <c r="G35" s="85" t="s">
        <v>721</v>
      </c>
      <c r="H35" s="85" t="s">
        <v>793</v>
      </c>
      <c r="I35" s="85" t="s">
        <v>746</v>
      </c>
    </row>
    <row r="36" spans="1:9" ht="13.2">
      <c r="A36" s="84">
        <f>A35+1</f>
        <v>35</v>
      </c>
      <c r="B36" s="87" t="s">
        <v>800</v>
      </c>
      <c r="C36" s="86">
        <v>8</v>
      </c>
      <c r="D36" s="85" t="s">
        <v>27</v>
      </c>
      <c r="E36" s="85" t="s">
        <v>82</v>
      </c>
      <c r="F36" s="85" t="s">
        <v>778</v>
      </c>
      <c r="G36" s="85" t="s">
        <v>721</v>
      </c>
      <c r="H36" s="85" t="s">
        <v>722</v>
      </c>
      <c r="I36" s="85" t="s">
        <v>715</v>
      </c>
    </row>
    <row r="37" spans="1:9" ht="13.2">
      <c r="A37" s="84">
        <f>A36+1</f>
        <v>36</v>
      </c>
      <c r="B37" s="87" t="s">
        <v>799</v>
      </c>
      <c r="C37" s="86">
        <v>20</v>
      </c>
      <c r="D37" s="85" t="s">
        <v>27</v>
      </c>
      <c r="E37" s="85" t="s">
        <v>82</v>
      </c>
      <c r="F37" s="85" t="s">
        <v>789</v>
      </c>
      <c r="G37" s="85" t="s">
        <v>721</v>
      </c>
      <c r="H37" s="85" t="s">
        <v>733</v>
      </c>
      <c r="I37" s="85" t="s">
        <v>715</v>
      </c>
    </row>
    <row r="38" spans="1:9" ht="13.2">
      <c r="A38" s="84">
        <f>A37+1</f>
        <v>37</v>
      </c>
      <c r="B38" s="87" t="s">
        <v>798</v>
      </c>
      <c r="C38" s="86">
        <v>15</v>
      </c>
      <c r="D38" s="85" t="s">
        <v>27</v>
      </c>
      <c r="E38" s="85" t="s">
        <v>82</v>
      </c>
      <c r="F38" s="85" t="s">
        <v>789</v>
      </c>
      <c r="G38" s="85" t="s">
        <v>721</v>
      </c>
      <c r="H38" s="85" t="s">
        <v>793</v>
      </c>
      <c r="I38" s="85" t="s">
        <v>746</v>
      </c>
    </row>
    <row r="39" spans="1:9" ht="13.2">
      <c r="A39" s="84">
        <f>A38+1</f>
        <v>38</v>
      </c>
      <c r="B39" s="87" t="s">
        <v>797</v>
      </c>
      <c r="C39" s="86">
        <v>50</v>
      </c>
      <c r="D39" s="85" t="s">
        <v>735</v>
      </c>
      <c r="E39" s="85" t="s">
        <v>27</v>
      </c>
      <c r="F39" s="85" t="s">
        <v>718</v>
      </c>
      <c r="G39" s="85" t="s">
        <v>721</v>
      </c>
      <c r="H39" s="85" t="s">
        <v>795</v>
      </c>
      <c r="I39" s="85" t="s">
        <v>737</v>
      </c>
    </row>
    <row r="40" spans="1:9" ht="13.2">
      <c r="A40" s="84">
        <f>A39+1</f>
        <v>39</v>
      </c>
      <c r="B40" s="87" t="s">
        <v>796</v>
      </c>
      <c r="C40" s="86">
        <v>60</v>
      </c>
      <c r="D40" s="85" t="s">
        <v>27</v>
      </c>
      <c r="E40" s="85" t="s">
        <v>82</v>
      </c>
      <c r="F40" s="85" t="s">
        <v>718</v>
      </c>
      <c r="G40" s="85" t="s">
        <v>721</v>
      </c>
      <c r="H40" s="85" t="s">
        <v>795</v>
      </c>
      <c r="I40" s="85" t="s">
        <v>715</v>
      </c>
    </row>
    <row r="41" spans="1:9" ht="13.2">
      <c r="A41" s="84">
        <f>A40+1</f>
        <v>40</v>
      </c>
      <c r="B41" s="87" t="s">
        <v>794</v>
      </c>
      <c r="C41" s="86">
        <v>15</v>
      </c>
      <c r="D41" s="85" t="s">
        <v>82</v>
      </c>
      <c r="E41" s="85" t="s">
        <v>51</v>
      </c>
      <c r="F41" s="85" t="s">
        <v>718</v>
      </c>
      <c r="G41" s="85" t="s">
        <v>717</v>
      </c>
      <c r="H41" s="85" t="s">
        <v>793</v>
      </c>
      <c r="I41" s="85" t="s">
        <v>715</v>
      </c>
    </row>
    <row r="42" spans="1:9" ht="13.2">
      <c r="A42" s="84">
        <f>A41+1</f>
        <v>41</v>
      </c>
      <c r="B42" s="87" t="s">
        <v>792</v>
      </c>
      <c r="C42" s="86">
        <v>12</v>
      </c>
      <c r="D42" s="85" t="s">
        <v>82</v>
      </c>
      <c r="E42" s="85" t="s">
        <v>51</v>
      </c>
      <c r="F42" s="85" t="s">
        <v>742</v>
      </c>
      <c r="G42" s="85" t="s">
        <v>721</v>
      </c>
      <c r="H42" s="85" t="s">
        <v>791</v>
      </c>
      <c r="I42" s="85" t="s">
        <v>737</v>
      </c>
    </row>
    <row r="43" spans="1:9" ht="13.2">
      <c r="A43" s="84">
        <f>A42+1</f>
        <v>42</v>
      </c>
      <c r="B43" s="87" t="s">
        <v>790</v>
      </c>
      <c r="C43" s="86">
        <v>75</v>
      </c>
      <c r="D43" s="85" t="s">
        <v>82</v>
      </c>
      <c r="E43" s="85" t="s">
        <v>47</v>
      </c>
      <c r="F43" s="85" t="s">
        <v>789</v>
      </c>
      <c r="G43" s="85" t="s">
        <v>721</v>
      </c>
      <c r="H43" s="85" t="s">
        <v>760</v>
      </c>
      <c r="I43" s="85" t="s">
        <v>746</v>
      </c>
    </row>
    <row r="44" spans="1:9" ht="13.2">
      <c r="A44" s="84">
        <f>A43+1</f>
        <v>43</v>
      </c>
      <c r="B44" s="89" t="s">
        <v>788</v>
      </c>
      <c r="C44" s="86">
        <v>8</v>
      </c>
      <c r="D44" s="85" t="s">
        <v>51</v>
      </c>
      <c r="E44" s="85" t="s">
        <v>168</v>
      </c>
      <c r="F44" s="85" t="s">
        <v>742</v>
      </c>
      <c r="G44" s="85" t="s">
        <v>721</v>
      </c>
      <c r="H44" s="85" t="s">
        <v>747</v>
      </c>
      <c r="I44" s="85" t="s">
        <v>746</v>
      </c>
    </row>
    <row r="45" spans="1:9" ht="13.2">
      <c r="A45" s="84">
        <f>A44+1</f>
        <v>44</v>
      </c>
      <c r="B45" s="87" t="s">
        <v>787</v>
      </c>
      <c r="C45" s="86">
        <v>20</v>
      </c>
      <c r="D45" s="85" t="s">
        <v>168</v>
      </c>
      <c r="E45" s="85" t="s">
        <v>786</v>
      </c>
      <c r="F45" s="85" t="s">
        <v>742</v>
      </c>
      <c r="G45" s="85" t="s">
        <v>721</v>
      </c>
      <c r="H45" s="85" t="s">
        <v>729</v>
      </c>
      <c r="I45" s="85" t="s">
        <v>746</v>
      </c>
    </row>
    <row r="46" spans="1:9" ht="13.2">
      <c r="A46" s="84">
        <f>A45+1</f>
        <v>45</v>
      </c>
      <c r="B46" s="87" t="s">
        <v>706</v>
      </c>
      <c r="C46" s="86">
        <v>5</v>
      </c>
      <c r="D46" s="85" t="s">
        <v>51</v>
      </c>
      <c r="E46" s="85" t="s">
        <v>168</v>
      </c>
      <c r="F46" s="85" t="s">
        <v>718</v>
      </c>
      <c r="G46" s="85" t="s">
        <v>721</v>
      </c>
      <c r="H46" s="85" t="s">
        <v>760</v>
      </c>
      <c r="I46" s="85" t="s">
        <v>737</v>
      </c>
    </row>
    <row r="47" spans="1:9" ht="13.2">
      <c r="A47" s="84">
        <f>A46+1</f>
        <v>46</v>
      </c>
      <c r="B47" s="87" t="s">
        <v>785</v>
      </c>
      <c r="C47" s="86">
        <v>15</v>
      </c>
      <c r="D47" s="85" t="s">
        <v>51</v>
      </c>
      <c r="E47" s="85" t="s">
        <v>168</v>
      </c>
      <c r="F47" s="85" t="s">
        <v>725</v>
      </c>
      <c r="G47" s="85" t="s">
        <v>721</v>
      </c>
      <c r="H47" s="85" t="s">
        <v>747</v>
      </c>
      <c r="I47" s="85" t="s">
        <v>737</v>
      </c>
    </row>
    <row r="48" spans="1:9" ht="13.2">
      <c r="A48" s="84">
        <f>A47+1</f>
        <v>47</v>
      </c>
      <c r="B48" s="87" t="s">
        <v>784</v>
      </c>
      <c r="C48" s="86">
        <v>50</v>
      </c>
      <c r="D48" s="85" t="s">
        <v>168</v>
      </c>
      <c r="E48" s="85" t="s">
        <v>153</v>
      </c>
      <c r="F48" s="85" t="s">
        <v>725</v>
      </c>
      <c r="G48" s="85" t="s">
        <v>721</v>
      </c>
      <c r="H48" s="85" t="s">
        <v>760</v>
      </c>
      <c r="I48" s="85" t="s">
        <v>746</v>
      </c>
    </row>
    <row r="49" spans="1:9" ht="13.2">
      <c r="A49" s="84">
        <f>A48+1</f>
        <v>48</v>
      </c>
      <c r="B49" s="89" t="s">
        <v>783</v>
      </c>
      <c r="C49" s="86">
        <v>9</v>
      </c>
      <c r="D49" s="85" t="s">
        <v>82</v>
      </c>
      <c r="E49" s="85" t="s">
        <v>47</v>
      </c>
      <c r="F49" s="85" t="s">
        <v>742</v>
      </c>
      <c r="G49" s="85" t="s">
        <v>721</v>
      </c>
      <c r="H49" s="85" t="s">
        <v>729</v>
      </c>
      <c r="I49" s="85" t="s">
        <v>746</v>
      </c>
    </row>
    <row r="50" spans="1:9" ht="13.2">
      <c r="A50" s="84">
        <f>A49+1</f>
        <v>49</v>
      </c>
      <c r="B50" s="87" t="s">
        <v>782</v>
      </c>
      <c r="C50" s="86">
        <v>10</v>
      </c>
      <c r="D50" s="85" t="s">
        <v>51</v>
      </c>
      <c r="E50" s="85" t="s">
        <v>168</v>
      </c>
      <c r="F50" s="85" t="s">
        <v>742</v>
      </c>
      <c r="G50" s="85" t="s">
        <v>721</v>
      </c>
      <c r="H50" s="85" t="s">
        <v>729</v>
      </c>
      <c r="I50" s="85" t="s">
        <v>777</v>
      </c>
    </row>
    <row r="51" spans="1:9" ht="13.2">
      <c r="A51" s="84">
        <f>A50+1</f>
        <v>50</v>
      </c>
      <c r="B51" s="89" t="s">
        <v>781</v>
      </c>
      <c r="C51" s="86">
        <v>10</v>
      </c>
      <c r="D51" s="85" t="s">
        <v>82</v>
      </c>
      <c r="E51" s="85" t="s">
        <v>51</v>
      </c>
      <c r="F51" s="85" t="s">
        <v>742</v>
      </c>
      <c r="G51" s="85" t="s">
        <v>721</v>
      </c>
      <c r="H51" s="85" t="s">
        <v>747</v>
      </c>
      <c r="I51" s="85" t="s">
        <v>715</v>
      </c>
    </row>
    <row r="52" spans="1:9" ht="13.2">
      <c r="A52" s="84">
        <f>A51+1</f>
        <v>51</v>
      </c>
      <c r="B52" s="89" t="s">
        <v>780</v>
      </c>
      <c r="C52" s="86">
        <v>10</v>
      </c>
      <c r="D52" s="85" t="s">
        <v>82</v>
      </c>
      <c r="E52" s="85" t="s">
        <v>47</v>
      </c>
      <c r="F52" s="85" t="s">
        <v>742</v>
      </c>
      <c r="G52" s="85" t="s">
        <v>721</v>
      </c>
      <c r="H52" s="85" t="s">
        <v>729</v>
      </c>
      <c r="I52" s="85" t="s">
        <v>715</v>
      </c>
    </row>
    <row r="53" spans="1:9" ht="13.2">
      <c r="A53" s="84">
        <f>A52+1</f>
        <v>52</v>
      </c>
      <c r="B53" s="87" t="s">
        <v>779</v>
      </c>
      <c r="C53" s="86">
        <v>18</v>
      </c>
      <c r="D53" s="85" t="s">
        <v>82</v>
      </c>
      <c r="E53" s="85" t="s">
        <v>47</v>
      </c>
      <c r="F53" s="85" t="s">
        <v>778</v>
      </c>
      <c r="G53" s="85" t="s">
        <v>721</v>
      </c>
      <c r="H53" s="85" t="s">
        <v>747</v>
      </c>
      <c r="I53" s="85" t="s">
        <v>777</v>
      </c>
    </row>
    <row r="54" spans="1:9" ht="13.2">
      <c r="A54" s="84">
        <f>A53+1</f>
        <v>53</v>
      </c>
      <c r="B54" s="87" t="s">
        <v>776</v>
      </c>
      <c r="C54" s="86">
        <v>75</v>
      </c>
      <c r="D54" s="85" t="s">
        <v>82</v>
      </c>
      <c r="E54" s="85" t="s">
        <v>51</v>
      </c>
      <c r="F54" s="85" t="s">
        <v>742</v>
      </c>
      <c r="G54" s="85" t="s">
        <v>775</v>
      </c>
      <c r="H54" s="85" t="s">
        <v>767</v>
      </c>
      <c r="I54" s="85" t="s">
        <v>715</v>
      </c>
    </row>
    <row r="55" spans="1:9" ht="13.2">
      <c r="A55" s="84">
        <f>A54+1</f>
        <v>54</v>
      </c>
      <c r="B55" s="87" t="s">
        <v>774</v>
      </c>
      <c r="C55" s="86">
        <v>100</v>
      </c>
      <c r="D55" s="85" t="s">
        <v>82</v>
      </c>
      <c r="E55" s="85" t="s">
        <v>51</v>
      </c>
      <c r="F55" s="85" t="s">
        <v>742</v>
      </c>
      <c r="G55" s="85" t="s">
        <v>773</v>
      </c>
      <c r="H55" s="85" t="s">
        <v>767</v>
      </c>
      <c r="I55" s="85" t="s">
        <v>715</v>
      </c>
    </row>
    <row r="56" spans="1:9" ht="13.2">
      <c r="A56" s="84">
        <f>A55+1</f>
        <v>55</v>
      </c>
      <c r="B56" s="87" t="s">
        <v>772</v>
      </c>
      <c r="C56" s="86">
        <v>30</v>
      </c>
      <c r="D56" s="85" t="s">
        <v>27</v>
      </c>
      <c r="E56" s="85" t="s">
        <v>82</v>
      </c>
      <c r="F56" s="85" t="s">
        <v>742</v>
      </c>
      <c r="G56" s="85" t="s">
        <v>771</v>
      </c>
      <c r="H56" s="85" t="s">
        <v>733</v>
      </c>
      <c r="I56" s="85" t="s">
        <v>715</v>
      </c>
    </row>
    <row r="57" spans="1:9" ht="13.2">
      <c r="A57" s="84">
        <f>A56+1</f>
        <v>56</v>
      </c>
      <c r="B57" s="87" t="s">
        <v>770</v>
      </c>
      <c r="C57" s="86">
        <v>75</v>
      </c>
      <c r="D57" s="85" t="s">
        <v>27</v>
      </c>
      <c r="E57" s="85" t="s">
        <v>82</v>
      </c>
      <c r="F57" s="85" t="s">
        <v>742</v>
      </c>
      <c r="G57" s="85" t="s">
        <v>769</v>
      </c>
      <c r="H57" s="85" t="s">
        <v>733</v>
      </c>
      <c r="I57" s="85" t="s">
        <v>715</v>
      </c>
    </row>
    <row r="58" spans="1:9" ht="13.2">
      <c r="A58" s="84">
        <f>A57+1</f>
        <v>57</v>
      </c>
      <c r="B58" s="87" t="s">
        <v>768</v>
      </c>
      <c r="C58" s="86">
        <v>1</v>
      </c>
      <c r="D58" s="85" t="s">
        <v>721</v>
      </c>
      <c r="E58" s="85" t="s">
        <v>721</v>
      </c>
      <c r="F58" s="85" t="s">
        <v>721</v>
      </c>
      <c r="G58" s="85" t="s">
        <v>721</v>
      </c>
      <c r="H58" s="85" t="s">
        <v>767</v>
      </c>
      <c r="I58" s="85" t="s">
        <v>721</v>
      </c>
    </row>
    <row r="59" spans="1:9" ht="13.2">
      <c r="A59" s="84">
        <f>A58+1</f>
        <v>58</v>
      </c>
      <c r="B59" s="87" t="s">
        <v>766</v>
      </c>
      <c r="C59" s="86">
        <v>2</v>
      </c>
      <c r="D59" s="85" t="s">
        <v>27</v>
      </c>
      <c r="E59" s="85" t="s">
        <v>82</v>
      </c>
      <c r="F59" s="85" t="s">
        <v>718</v>
      </c>
      <c r="G59" s="85" t="s">
        <v>721</v>
      </c>
      <c r="H59" s="85" t="s">
        <v>733</v>
      </c>
      <c r="I59" s="85" t="s">
        <v>746</v>
      </c>
    </row>
    <row r="60" spans="1:9" ht="13.2">
      <c r="A60" s="84">
        <f>A59+1</f>
        <v>59</v>
      </c>
      <c r="B60" s="87" t="s">
        <v>765</v>
      </c>
      <c r="C60" s="86">
        <v>2</v>
      </c>
      <c r="D60" s="85" t="s">
        <v>27</v>
      </c>
      <c r="E60" s="85" t="s">
        <v>82</v>
      </c>
      <c r="F60" s="85" t="s">
        <v>718</v>
      </c>
      <c r="G60" s="85" t="s">
        <v>721</v>
      </c>
      <c r="H60" s="85" t="s">
        <v>733</v>
      </c>
      <c r="I60" s="85" t="s">
        <v>737</v>
      </c>
    </row>
    <row r="61" spans="1:9" ht="13.2">
      <c r="A61" s="84">
        <f>A60+1</f>
        <v>60</v>
      </c>
      <c r="B61" s="87" t="s">
        <v>764</v>
      </c>
      <c r="C61" s="86">
        <v>1</v>
      </c>
      <c r="D61" s="85" t="s">
        <v>735</v>
      </c>
      <c r="E61" s="85" t="s">
        <v>27</v>
      </c>
      <c r="F61" s="85" t="s">
        <v>718</v>
      </c>
      <c r="G61" s="85" t="s">
        <v>717</v>
      </c>
      <c r="H61" s="85" t="s">
        <v>727</v>
      </c>
      <c r="I61" s="85" t="s">
        <v>737</v>
      </c>
    </row>
    <row r="62" spans="1:9" ht="13.2">
      <c r="A62" s="84">
        <f>A61+1</f>
        <v>61</v>
      </c>
      <c r="B62" s="87" t="s">
        <v>763</v>
      </c>
      <c r="C62" s="86">
        <v>3</v>
      </c>
      <c r="D62" s="85" t="s">
        <v>27</v>
      </c>
      <c r="E62" s="85" t="s">
        <v>82</v>
      </c>
      <c r="F62" s="85" t="s">
        <v>718</v>
      </c>
      <c r="G62" s="85" t="s">
        <v>721</v>
      </c>
      <c r="H62" s="85" t="s">
        <v>727</v>
      </c>
      <c r="I62" s="85" t="s">
        <v>715</v>
      </c>
    </row>
    <row r="63" spans="1:9" ht="13.2">
      <c r="A63" s="84">
        <f>A62+1</f>
        <v>62</v>
      </c>
      <c r="B63" s="87" t="s">
        <v>762</v>
      </c>
      <c r="C63" s="86">
        <v>35</v>
      </c>
      <c r="D63" s="85" t="s">
        <v>51</v>
      </c>
      <c r="E63" s="85" t="s">
        <v>168</v>
      </c>
      <c r="F63" s="85" t="s">
        <v>725</v>
      </c>
      <c r="G63" s="85" t="s">
        <v>721</v>
      </c>
      <c r="H63" s="85" t="s">
        <v>722</v>
      </c>
      <c r="I63" s="85" t="s">
        <v>746</v>
      </c>
    </row>
    <row r="64" spans="1:9" ht="13.2">
      <c r="A64" s="84">
        <f>A63+1</f>
        <v>63</v>
      </c>
      <c r="B64" s="87" t="s">
        <v>761</v>
      </c>
      <c r="C64" s="86">
        <v>30</v>
      </c>
      <c r="D64" s="85" t="s">
        <v>51</v>
      </c>
      <c r="E64" s="85" t="s">
        <v>168</v>
      </c>
      <c r="F64" s="85" t="s">
        <v>742</v>
      </c>
      <c r="G64" s="85" t="s">
        <v>721</v>
      </c>
      <c r="H64" s="85" t="s">
        <v>760</v>
      </c>
      <c r="I64" s="85" t="s">
        <v>746</v>
      </c>
    </row>
    <row r="65" spans="1:9" ht="13.2">
      <c r="A65" s="84">
        <f>A64+1</f>
        <v>64</v>
      </c>
      <c r="B65" s="89" t="s">
        <v>759</v>
      </c>
      <c r="C65" s="86">
        <v>1</v>
      </c>
      <c r="D65" s="88" t="s">
        <v>758</v>
      </c>
      <c r="E65" s="88" t="s">
        <v>739</v>
      </c>
      <c r="F65" s="85" t="s">
        <v>718</v>
      </c>
      <c r="G65" s="85" t="s">
        <v>721</v>
      </c>
      <c r="H65" s="85" t="s">
        <v>733</v>
      </c>
      <c r="I65" s="85" t="s">
        <v>746</v>
      </c>
    </row>
    <row r="66" spans="1:9" ht="13.2">
      <c r="A66" s="84">
        <f>A65+1</f>
        <v>65</v>
      </c>
      <c r="B66" s="89" t="s">
        <v>757</v>
      </c>
      <c r="C66" s="86">
        <v>60</v>
      </c>
      <c r="D66" s="85" t="s">
        <v>749</v>
      </c>
      <c r="E66" s="85" t="s">
        <v>748</v>
      </c>
      <c r="F66" s="85" t="s">
        <v>742</v>
      </c>
      <c r="G66" s="85" t="s">
        <v>721</v>
      </c>
      <c r="H66" s="85" t="s">
        <v>756</v>
      </c>
      <c r="I66" s="85" t="s">
        <v>746</v>
      </c>
    </row>
    <row r="67" spans="1:9" ht="13.2">
      <c r="A67" s="84">
        <f>A66+1</f>
        <v>66</v>
      </c>
      <c r="B67" s="89" t="s">
        <v>755</v>
      </c>
      <c r="C67" s="86">
        <v>25</v>
      </c>
      <c r="D67" s="85" t="s">
        <v>82</v>
      </c>
      <c r="E67" s="85" t="s">
        <v>47</v>
      </c>
      <c r="F67" s="85" t="s">
        <v>718</v>
      </c>
      <c r="G67" s="85" t="s">
        <v>721</v>
      </c>
      <c r="H67" s="85" t="s">
        <v>747</v>
      </c>
      <c r="I67" s="85" t="s">
        <v>715</v>
      </c>
    </row>
    <row r="68" spans="1:9" ht="13.2">
      <c r="A68" s="84">
        <f>A67+1</f>
        <v>67</v>
      </c>
      <c r="B68" s="89" t="s">
        <v>754</v>
      </c>
      <c r="C68" s="86">
        <v>90</v>
      </c>
      <c r="D68" s="85" t="s">
        <v>749</v>
      </c>
      <c r="E68" s="85" t="s">
        <v>748</v>
      </c>
      <c r="F68" s="85" t="s">
        <v>718</v>
      </c>
      <c r="G68" s="85" t="s">
        <v>721</v>
      </c>
      <c r="H68" s="85" t="s">
        <v>747</v>
      </c>
      <c r="I68" s="85" t="s">
        <v>737</v>
      </c>
    </row>
    <row r="69" spans="1:9" ht="13.2">
      <c r="A69" s="84">
        <f>A68+1</f>
        <v>68</v>
      </c>
      <c r="B69" s="89" t="s">
        <v>753</v>
      </c>
      <c r="C69" s="86">
        <v>20</v>
      </c>
      <c r="D69" s="85" t="s">
        <v>744</v>
      </c>
      <c r="E69" s="85" t="s">
        <v>743</v>
      </c>
      <c r="F69" s="85" t="s">
        <v>752</v>
      </c>
      <c r="G69" s="85" t="s">
        <v>721</v>
      </c>
      <c r="H69" s="85" t="s">
        <v>722</v>
      </c>
      <c r="I69" s="85" t="s">
        <v>751</v>
      </c>
    </row>
    <row r="70" spans="1:9" ht="13.2">
      <c r="A70" s="84">
        <f>A69+1</f>
        <v>69</v>
      </c>
      <c r="B70" s="89" t="s">
        <v>750</v>
      </c>
      <c r="C70" s="86">
        <v>100</v>
      </c>
      <c r="D70" s="85" t="s">
        <v>749</v>
      </c>
      <c r="E70" s="85" t="s">
        <v>748</v>
      </c>
      <c r="F70" s="85" t="s">
        <v>725</v>
      </c>
      <c r="G70" s="85" t="s">
        <v>721</v>
      </c>
      <c r="H70" s="85" t="s">
        <v>747</v>
      </c>
      <c r="I70" s="85" t="s">
        <v>746</v>
      </c>
    </row>
    <row r="71" spans="1:9" ht="13.2">
      <c r="A71" s="84">
        <f>A70+1</f>
        <v>70</v>
      </c>
      <c r="B71" s="89" t="s">
        <v>745</v>
      </c>
      <c r="C71" s="86">
        <v>50</v>
      </c>
      <c r="D71" s="85" t="s">
        <v>744</v>
      </c>
      <c r="E71" s="85" t="s">
        <v>743</v>
      </c>
      <c r="F71" s="85" t="s">
        <v>742</v>
      </c>
      <c r="G71" s="85" t="s">
        <v>721</v>
      </c>
      <c r="H71" s="85" t="s">
        <v>729</v>
      </c>
      <c r="I71" s="85" t="s">
        <v>741</v>
      </c>
    </row>
    <row r="72" spans="1:9" ht="13.2">
      <c r="A72" s="84">
        <f>A71+1</f>
        <v>71</v>
      </c>
      <c r="B72" s="87" t="s">
        <v>740</v>
      </c>
      <c r="C72" s="86">
        <v>5</v>
      </c>
      <c r="D72" s="88" t="s">
        <v>739</v>
      </c>
      <c r="E72" s="88" t="s">
        <v>738</v>
      </c>
      <c r="F72" s="85" t="s">
        <v>718</v>
      </c>
      <c r="G72" s="85" t="s">
        <v>717</v>
      </c>
      <c r="H72" s="85" t="s">
        <v>733</v>
      </c>
      <c r="I72" s="85" t="s">
        <v>737</v>
      </c>
    </row>
    <row r="73" spans="1:9" ht="13.2">
      <c r="A73" s="84">
        <f>A72+1</f>
        <v>72</v>
      </c>
      <c r="B73" s="87" t="s">
        <v>736</v>
      </c>
      <c r="C73" s="86">
        <v>100</v>
      </c>
      <c r="D73" s="85" t="s">
        <v>735</v>
      </c>
      <c r="E73" s="85" t="s">
        <v>27</v>
      </c>
      <c r="F73" s="85" t="s">
        <v>725</v>
      </c>
      <c r="G73" s="85" t="s">
        <v>734</v>
      </c>
      <c r="H73" s="85" t="s">
        <v>733</v>
      </c>
      <c r="I73" s="85" t="s">
        <v>715</v>
      </c>
    </row>
    <row r="74" spans="1:9" ht="13.2">
      <c r="A74" s="84">
        <f>A73+1</f>
        <v>73</v>
      </c>
      <c r="B74" s="87" t="s">
        <v>732</v>
      </c>
      <c r="C74" s="86">
        <v>2</v>
      </c>
      <c r="D74" s="85" t="s">
        <v>721</v>
      </c>
      <c r="E74" s="85" t="s">
        <v>721</v>
      </c>
      <c r="F74" s="85" t="s">
        <v>721</v>
      </c>
      <c r="G74" s="85" t="s">
        <v>721</v>
      </c>
      <c r="H74" s="85" t="s">
        <v>727</v>
      </c>
      <c r="I74" s="85" t="s">
        <v>721</v>
      </c>
    </row>
    <row r="75" spans="1:9" ht="13.2">
      <c r="A75" s="84">
        <f>A74+1</f>
        <v>74</v>
      </c>
      <c r="B75" s="87" t="s">
        <v>731</v>
      </c>
      <c r="C75" s="86">
        <v>400</v>
      </c>
      <c r="D75" s="85" t="s">
        <v>51</v>
      </c>
      <c r="E75" s="85" t="s">
        <v>168</v>
      </c>
      <c r="F75" s="85" t="s">
        <v>725</v>
      </c>
      <c r="G75" s="85" t="s">
        <v>730</v>
      </c>
      <c r="H75" s="85" t="s">
        <v>729</v>
      </c>
      <c r="I75" s="85" t="s">
        <v>715</v>
      </c>
    </row>
    <row r="76" spans="1:9" ht="13.2">
      <c r="A76" s="84">
        <f>A75+1</f>
        <v>75</v>
      </c>
      <c r="B76" s="87" t="s">
        <v>728</v>
      </c>
      <c r="C76" s="86">
        <v>1</v>
      </c>
      <c r="D76" s="85" t="s">
        <v>721</v>
      </c>
      <c r="E76" s="85" t="s">
        <v>721</v>
      </c>
      <c r="F76" s="85" t="s">
        <v>721</v>
      </c>
      <c r="G76" s="85" t="s">
        <v>721</v>
      </c>
      <c r="H76" s="85" t="s">
        <v>727</v>
      </c>
      <c r="I76" s="85" t="s">
        <v>721</v>
      </c>
    </row>
    <row r="77" spans="1:9" ht="13.2">
      <c r="A77" s="84">
        <f>A76+1</f>
        <v>76</v>
      </c>
      <c r="B77" s="87" t="s">
        <v>726</v>
      </c>
      <c r="C77" s="86">
        <v>250</v>
      </c>
      <c r="D77" s="85" t="s">
        <v>82</v>
      </c>
      <c r="E77" s="85" t="s">
        <v>51</v>
      </c>
      <c r="F77" s="85" t="s">
        <v>725</v>
      </c>
      <c r="G77" s="85" t="s">
        <v>724</v>
      </c>
      <c r="H77" s="85" t="s">
        <v>722</v>
      </c>
      <c r="I77" s="85" t="s">
        <v>715</v>
      </c>
    </row>
    <row r="78" spans="1:9" ht="13.2">
      <c r="A78" s="84">
        <f>A77+1</f>
        <v>77</v>
      </c>
      <c r="B78" s="87" t="s">
        <v>723</v>
      </c>
      <c r="C78" s="86">
        <v>20</v>
      </c>
      <c r="D78" s="85" t="s">
        <v>721</v>
      </c>
      <c r="E78" s="85" t="s">
        <v>721</v>
      </c>
      <c r="F78" s="85" t="s">
        <v>721</v>
      </c>
      <c r="G78" s="85" t="s">
        <v>717</v>
      </c>
      <c r="H78" s="85" t="s">
        <v>722</v>
      </c>
      <c r="I78" s="85" t="s">
        <v>721</v>
      </c>
    </row>
    <row r="79" spans="1:9" ht="13.2">
      <c r="A79" s="84">
        <f>A78+1</f>
        <v>78</v>
      </c>
      <c r="B79" s="87" t="s">
        <v>720</v>
      </c>
      <c r="C79" s="86">
        <v>1</v>
      </c>
      <c r="D79" s="85">
        <v>1</v>
      </c>
      <c r="E79" s="85" t="s">
        <v>719</v>
      </c>
      <c r="F79" s="85" t="s">
        <v>718</v>
      </c>
      <c r="G79" s="85" t="s">
        <v>717</v>
      </c>
      <c r="H79" s="85" t="s">
        <v>716</v>
      </c>
      <c r="I79" s="85" t="s">
        <v>715</v>
      </c>
    </row>
    <row r="80" spans="1:9" ht="13.2">
      <c r="A80" s="84">
        <f>A79+1</f>
        <v>79</v>
      </c>
      <c r="B80" s="5" t="s">
        <v>714</v>
      </c>
      <c r="C80" s="83">
        <v>1E-3</v>
      </c>
    </row>
    <row r="81" spans="1:3" ht="13.2">
      <c r="A81" s="3"/>
      <c r="B81" s="5"/>
      <c r="C81" s="63"/>
    </row>
    <row r="82" spans="1:3" ht="13.2">
      <c r="A82" s="3"/>
      <c r="B82" s="5"/>
      <c r="C82" s="63"/>
    </row>
    <row r="83" spans="1:3" ht="13.2">
      <c r="A83" s="3"/>
      <c r="B83" s="5"/>
      <c r="C83" s="63"/>
    </row>
    <row r="84" spans="1:3" ht="13.2">
      <c r="A84" s="3"/>
      <c r="B84" s="5"/>
      <c r="C84" s="63"/>
    </row>
    <row r="85" spans="1:3" ht="13.2">
      <c r="A85" s="3"/>
      <c r="B85" s="5"/>
      <c r="C85" s="63"/>
    </row>
    <row r="86" spans="1:3" ht="13.2">
      <c r="A86" s="3"/>
      <c r="B86" s="5"/>
      <c r="C86" s="63"/>
    </row>
    <row r="87" spans="1:3" ht="13.2">
      <c r="A87" s="3"/>
      <c r="B87" s="5"/>
      <c r="C87" s="63"/>
    </row>
    <row r="88" spans="1:3" ht="13.2">
      <c r="A88" s="3"/>
      <c r="B88" s="5"/>
      <c r="C88" s="63"/>
    </row>
    <row r="89" spans="1:3" ht="13.2">
      <c r="A89" s="3"/>
      <c r="B89" s="5"/>
      <c r="C89" s="63"/>
    </row>
    <row r="90" spans="1:3" ht="13.2">
      <c r="A90" s="3"/>
      <c r="B90" s="5"/>
      <c r="C90" s="63"/>
    </row>
    <row r="91" spans="1:3" ht="13.2">
      <c r="A91" s="3"/>
      <c r="B91" s="5"/>
      <c r="C91" s="63"/>
    </row>
    <row r="92" spans="1:3" ht="13.2">
      <c r="A92" s="3"/>
      <c r="B92" s="5"/>
      <c r="C92" s="63"/>
    </row>
    <row r="93" spans="1:3" ht="13.2">
      <c r="A93" s="3"/>
      <c r="B93" s="5"/>
      <c r="C93" s="63"/>
    </row>
    <row r="94" spans="1:3" ht="13.2">
      <c r="A94" s="3"/>
      <c r="B94" s="5"/>
      <c r="C94" s="63"/>
    </row>
    <row r="95" spans="1:3" ht="13.2">
      <c r="A95" s="3"/>
      <c r="B95" s="5"/>
      <c r="C95" s="63"/>
    </row>
    <row r="96" spans="1:3" ht="13.2">
      <c r="A96" s="3"/>
      <c r="B96" s="5"/>
      <c r="C96" s="63"/>
    </row>
    <row r="97" spans="1:3" ht="13.2">
      <c r="A97" s="3"/>
      <c r="B97" s="5"/>
      <c r="C97" s="63"/>
    </row>
    <row r="98" spans="1:3" ht="13.2">
      <c r="A98" s="3"/>
      <c r="B98" s="5"/>
      <c r="C98" s="63"/>
    </row>
    <row r="99" spans="1:3" ht="13.2">
      <c r="A99" s="3"/>
      <c r="B99" s="5"/>
      <c r="C99" s="63"/>
    </row>
    <row r="100" spans="1:3" ht="13.2">
      <c r="A100" s="3"/>
      <c r="B100" s="5"/>
      <c r="C100" s="63"/>
    </row>
    <row r="101" spans="1:3" ht="13.2">
      <c r="A101" s="3"/>
      <c r="B101" s="5"/>
      <c r="C101" s="63"/>
    </row>
    <row r="102" spans="1:3" ht="13.2">
      <c r="A102" s="3"/>
      <c r="B102" s="5"/>
      <c r="C102" s="63"/>
    </row>
    <row r="103" spans="1:3" ht="13.2">
      <c r="A103" s="3"/>
      <c r="B103" s="5"/>
      <c r="C103" s="63"/>
    </row>
    <row r="104" spans="1:3" ht="13.2">
      <c r="A104" s="3"/>
      <c r="B104" s="5"/>
      <c r="C104" s="63"/>
    </row>
    <row r="105" spans="1:3" ht="13.2">
      <c r="A105" s="3"/>
      <c r="B105" s="5"/>
      <c r="C105" s="63"/>
    </row>
    <row r="106" spans="1:3" ht="13.2">
      <c r="A106" s="3"/>
      <c r="B106" s="5"/>
      <c r="C106" s="63"/>
    </row>
    <row r="107" spans="1:3" ht="13.2">
      <c r="A107" s="3"/>
      <c r="B107" s="5"/>
      <c r="C107" s="63"/>
    </row>
    <row r="108" spans="1:3" ht="13.2">
      <c r="A108" s="3"/>
      <c r="B108" s="5"/>
      <c r="C108" s="63"/>
    </row>
    <row r="109" spans="1:3" ht="13.2">
      <c r="A109" s="3"/>
      <c r="B109" s="5"/>
      <c r="C109" s="63"/>
    </row>
    <row r="110" spans="1:3" ht="13.2">
      <c r="A110" s="3"/>
      <c r="B110" s="5"/>
      <c r="C110" s="63"/>
    </row>
    <row r="111" spans="1:3" ht="13.2">
      <c r="A111" s="3"/>
      <c r="B111" s="5"/>
      <c r="C111" s="63"/>
    </row>
    <row r="112" spans="1:3" ht="13.2">
      <c r="A112" s="3"/>
      <c r="B112" s="5"/>
      <c r="C112" s="63"/>
    </row>
    <row r="113" spans="1:3" ht="13.2">
      <c r="A113" s="3"/>
      <c r="B113" s="5"/>
      <c r="C113" s="63"/>
    </row>
    <row r="114" spans="1:3" ht="13.2">
      <c r="A114" s="3"/>
      <c r="B114" s="5"/>
      <c r="C114" s="63"/>
    </row>
    <row r="115" spans="1:3" ht="13.2">
      <c r="A115" s="3"/>
      <c r="B115" s="5"/>
      <c r="C115" s="63"/>
    </row>
    <row r="116" spans="1:3" ht="13.2">
      <c r="A116" s="3"/>
      <c r="B116" s="5"/>
      <c r="C116" s="63"/>
    </row>
    <row r="117" spans="1:3" ht="13.2">
      <c r="A117" s="3"/>
      <c r="B117" s="5"/>
      <c r="C117" s="63"/>
    </row>
    <row r="118" spans="1:3" ht="13.2">
      <c r="A118" s="3"/>
      <c r="B118" s="5"/>
      <c r="C118" s="63"/>
    </row>
    <row r="119" spans="1:3" ht="13.2">
      <c r="A119" s="3"/>
      <c r="B119" s="5"/>
      <c r="C119" s="63"/>
    </row>
    <row r="120" spans="1:3" ht="13.2">
      <c r="A120" s="3"/>
      <c r="B120" s="5"/>
      <c r="C120" s="63"/>
    </row>
    <row r="121" spans="1:3" ht="13.2">
      <c r="A121" s="3"/>
      <c r="B121" s="5"/>
      <c r="C121" s="63"/>
    </row>
    <row r="122" spans="1:3" ht="13.2">
      <c r="A122" s="3"/>
      <c r="B122" s="5"/>
      <c r="C122" s="63"/>
    </row>
    <row r="123" spans="1:3" ht="13.2">
      <c r="A123" s="3"/>
      <c r="B123" s="5"/>
      <c r="C123" s="63"/>
    </row>
    <row r="124" spans="1:3" ht="13.2">
      <c r="A124" s="3"/>
      <c r="B124" s="5"/>
      <c r="C124" s="63"/>
    </row>
    <row r="125" spans="1:3" ht="13.2">
      <c r="A125" s="3"/>
      <c r="B125" s="5"/>
      <c r="C125" s="63"/>
    </row>
    <row r="126" spans="1:3" ht="13.2">
      <c r="A126" s="3"/>
      <c r="B126" s="5"/>
      <c r="C126" s="63"/>
    </row>
    <row r="127" spans="1:3" ht="13.2">
      <c r="A127" s="3"/>
      <c r="B127" s="5"/>
      <c r="C127" s="63"/>
    </row>
    <row r="128" spans="1:3" ht="13.2">
      <c r="A128" s="3"/>
      <c r="B128" s="5"/>
      <c r="C128" s="63"/>
    </row>
    <row r="129" spans="1:3" ht="13.2">
      <c r="A129" s="3"/>
      <c r="B129" s="5"/>
      <c r="C129" s="63"/>
    </row>
    <row r="130" spans="1:3" ht="13.2">
      <c r="A130" s="3"/>
      <c r="B130" s="5"/>
      <c r="C130" s="63"/>
    </row>
    <row r="131" spans="1:3" ht="13.2">
      <c r="A131" s="3"/>
      <c r="B131" s="5"/>
      <c r="C131" s="63"/>
    </row>
    <row r="132" spans="1:3" ht="13.2">
      <c r="A132" s="3"/>
      <c r="B132" s="5"/>
      <c r="C132" s="63"/>
    </row>
    <row r="133" spans="1:3" ht="13.2">
      <c r="A133" s="3"/>
      <c r="B133" s="5"/>
      <c r="C133" s="63"/>
    </row>
    <row r="134" spans="1:3" ht="13.2">
      <c r="A134" s="3"/>
      <c r="B134" s="5"/>
      <c r="C134" s="63"/>
    </row>
    <row r="135" spans="1:3" ht="13.2">
      <c r="A135" s="3"/>
      <c r="B135" s="5"/>
      <c r="C135" s="63"/>
    </row>
    <row r="136" spans="1:3" ht="13.2">
      <c r="A136" s="3"/>
      <c r="B136" s="5"/>
      <c r="C136" s="63"/>
    </row>
    <row r="137" spans="1:3" ht="13.2">
      <c r="A137" s="3"/>
      <c r="B137" s="5"/>
      <c r="C137" s="63"/>
    </row>
    <row r="138" spans="1:3" ht="13.2">
      <c r="A138" s="3"/>
      <c r="B138" s="5"/>
      <c r="C138" s="63"/>
    </row>
    <row r="139" spans="1:3" ht="13.2">
      <c r="A139" s="3"/>
      <c r="B139" s="5"/>
      <c r="C139" s="63"/>
    </row>
    <row r="140" spans="1:3" ht="13.2">
      <c r="A140" s="3"/>
      <c r="B140" s="5"/>
      <c r="C140" s="63"/>
    </row>
    <row r="141" spans="1:3" ht="13.2">
      <c r="A141" s="3"/>
      <c r="B141" s="5"/>
      <c r="C141" s="63"/>
    </row>
    <row r="142" spans="1:3" ht="13.2">
      <c r="A142" s="3"/>
      <c r="B142" s="5"/>
      <c r="C142" s="63"/>
    </row>
    <row r="143" spans="1:3" ht="13.2">
      <c r="A143" s="3"/>
      <c r="B143" s="5"/>
      <c r="C143" s="63"/>
    </row>
    <row r="144" spans="1:3" ht="13.2">
      <c r="A144" s="3"/>
      <c r="B144" s="5"/>
      <c r="C144" s="63"/>
    </row>
    <row r="145" spans="1:3" ht="13.2">
      <c r="A145" s="3"/>
      <c r="B145" s="5"/>
      <c r="C145" s="63"/>
    </row>
    <row r="146" spans="1:3" ht="13.2">
      <c r="A146" s="3"/>
      <c r="B146" s="5"/>
      <c r="C146" s="63"/>
    </row>
    <row r="147" spans="1:3" ht="13.2">
      <c r="A147" s="3"/>
      <c r="B147" s="5"/>
      <c r="C147" s="63"/>
    </row>
    <row r="148" spans="1:3" ht="13.2">
      <c r="A148" s="3"/>
      <c r="B148" s="5"/>
      <c r="C148" s="63"/>
    </row>
    <row r="149" spans="1:3" ht="13.2">
      <c r="A149" s="3"/>
      <c r="B149" s="5"/>
      <c r="C149" s="63"/>
    </row>
    <row r="150" spans="1:3" ht="13.2">
      <c r="A150" s="3"/>
      <c r="B150" s="5"/>
      <c r="C150" s="63"/>
    </row>
    <row r="151" spans="1:3" ht="13.2">
      <c r="A151" s="3"/>
      <c r="B151" s="5"/>
      <c r="C151" s="63"/>
    </row>
    <row r="152" spans="1:3" ht="13.2">
      <c r="A152" s="3"/>
      <c r="B152" s="5"/>
      <c r="C152" s="63"/>
    </row>
    <row r="153" spans="1:3" ht="13.2">
      <c r="A153" s="3"/>
      <c r="B153" s="5"/>
      <c r="C153" s="63"/>
    </row>
    <row r="154" spans="1:3" ht="13.2">
      <c r="A154" s="3"/>
      <c r="B154" s="5"/>
      <c r="C154" s="63"/>
    </row>
    <row r="155" spans="1:3" ht="13.2">
      <c r="A155" s="3"/>
      <c r="B155" s="5"/>
      <c r="C155" s="63"/>
    </row>
    <row r="156" spans="1:3" ht="13.2">
      <c r="A156" s="3"/>
      <c r="B156" s="5"/>
      <c r="C156" s="63"/>
    </row>
    <row r="157" spans="1:3" ht="13.2">
      <c r="A157" s="3"/>
      <c r="B157" s="5"/>
      <c r="C157" s="63"/>
    </row>
    <row r="158" spans="1:3" ht="13.2">
      <c r="A158" s="3"/>
      <c r="B158" s="5"/>
      <c r="C158" s="63"/>
    </row>
    <row r="159" spans="1:3" ht="13.2">
      <c r="A159" s="3"/>
      <c r="B159" s="5"/>
      <c r="C159" s="63"/>
    </row>
    <row r="160" spans="1:3" ht="13.2">
      <c r="A160" s="3"/>
      <c r="B160" s="5"/>
      <c r="C160" s="63"/>
    </row>
    <row r="161" spans="1:3" ht="13.2">
      <c r="A161" s="3"/>
      <c r="B161" s="5"/>
      <c r="C161" s="63"/>
    </row>
    <row r="162" spans="1:3" ht="13.2">
      <c r="A162" s="3"/>
      <c r="B162" s="5"/>
      <c r="C162" s="63"/>
    </row>
    <row r="163" spans="1:3" ht="13.2">
      <c r="A163" s="3"/>
      <c r="B163" s="5"/>
      <c r="C163" s="63"/>
    </row>
    <row r="164" spans="1:3" ht="13.2">
      <c r="A164" s="3"/>
      <c r="B164" s="5"/>
      <c r="C164" s="63"/>
    </row>
    <row r="165" spans="1:3" ht="13.2">
      <c r="A165" s="3"/>
      <c r="B165" s="5"/>
      <c r="C165" s="63"/>
    </row>
    <row r="166" spans="1:3" ht="13.2">
      <c r="A166" s="3"/>
      <c r="B166" s="5"/>
      <c r="C166" s="63"/>
    </row>
    <row r="167" spans="1:3" ht="13.2">
      <c r="A167" s="3"/>
      <c r="B167" s="5"/>
      <c r="C167" s="63"/>
    </row>
    <row r="168" spans="1:3" ht="13.2">
      <c r="A168" s="3"/>
      <c r="B168" s="5"/>
      <c r="C168" s="63"/>
    </row>
    <row r="169" spans="1:3" ht="13.2">
      <c r="A169" s="3"/>
      <c r="B169" s="5"/>
      <c r="C169" s="63"/>
    </row>
    <row r="170" spans="1:3" ht="13.2">
      <c r="A170" s="3"/>
      <c r="B170" s="5"/>
      <c r="C170" s="63"/>
    </row>
    <row r="171" spans="1:3" ht="13.2">
      <c r="A171" s="3"/>
      <c r="B171" s="5"/>
      <c r="C171" s="63"/>
    </row>
    <row r="172" spans="1:3" ht="13.2">
      <c r="A172" s="3"/>
      <c r="B172" s="5"/>
      <c r="C172" s="63"/>
    </row>
    <row r="173" spans="1:3" ht="13.2">
      <c r="A173" s="3"/>
      <c r="B173" s="5"/>
      <c r="C173" s="63"/>
    </row>
    <row r="174" spans="1:3" ht="13.2">
      <c r="A174" s="3"/>
      <c r="B174" s="5"/>
      <c r="C174" s="63"/>
    </row>
    <row r="175" spans="1:3" ht="13.2">
      <c r="A175" s="3"/>
      <c r="B175" s="5"/>
      <c r="C175" s="63"/>
    </row>
    <row r="176" spans="1:3" ht="13.2">
      <c r="A176" s="3"/>
      <c r="B176" s="5"/>
      <c r="C176" s="63"/>
    </row>
    <row r="177" spans="1:3" ht="13.2">
      <c r="A177" s="3"/>
      <c r="B177" s="5"/>
      <c r="C177" s="63"/>
    </row>
    <row r="178" spans="1:3" ht="13.2">
      <c r="A178" s="3"/>
      <c r="B178" s="5"/>
      <c r="C178" s="63"/>
    </row>
    <row r="179" spans="1:3" ht="13.2">
      <c r="A179" s="3"/>
      <c r="B179" s="5"/>
      <c r="C179" s="63"/>
    </row>
    <row r="180" spans="1:3" ht="13.2">
      <c r="A180" s="3"/>
      <c r="B180" s="5"/>
      <c r="C180" s="63"/>
    </row>
    <row r="181" spans="1:3" ht="13.2">
      <c r="A181" s="3"/>
      <c r="B181" s="5"/>
      <c r="C181" s="63"/>
    </row>
    <row r="182" spans="1:3" ht="13.2">
      <c r="A182" s="3"/>
      <c r="B182" s="5"/>
      <c r="C182" s="63"/>
    </row>
    <row r="183" spans="1:3" ht="13.2">
      <c r="A183" s="3"/>
      <c r="B183" s="5"/>
      <c r="C183" s="63"/>
    </row>
    <row r="184" spans="1:3" ht="13.2">
      <c r="A184" s="3"/>
      <c r="B184" s="5"/>
      <c r="C184" s="63"/>
    </row>
    <row r="185" spans="1:3" ht="13.2">
      <c r="A185" s="3"/>
      <c r="B185" s="5"/>
      <c r="C185" s="63"/>
    </row>
    <row r="186" spans="1:3" ht="13.2">
      <c r="A186" s="3"/>
      <c r="B186" s="5"/>
      <c r="C186" s="63"/>
    </row>
    <row r="187" spans="1:3" ht="13.2">
      <c r="A187" s="3"/>
      <c r="B187" s="5"/>
      <c r="C187" s="63"/>
    </row>
    <row r="188" spans="1:3" ht="13.2">
      <c r="A188" s="3"/>
      <c r="B188" s="5"/>
      <c r="C188" s="63"/>
    </row>
    <row r="189" spans="1:3" ht="13.2">
      <c r="A189" s="3"/>
      <c r="B189" s="5"/>
      <c r="C189" s="63"/>
    </row>
    <row r="190" spans="1:3" ht="13.2">
      <c r="A190" s="3"/>
      <c r="B190" s="5"/>
      <c r="C190" s="63"/>
    </row>
    <row r="191" spans="1:3" ht="13.2">
      <c r="A191" s="3"/>
      <c r="B191" s="5"/>
      <c r="C191" s="63"/>
    </row>
    <row r="192" spans="1:3" ht="13.2">
      <c r="A192" s="3"/>
      <c r="B192" s="5"/>
      <c r="C192" s="63"/>
    </row>
    <row r="193" spans="1:3" ht="13.2">
      <c r="A193" s="3"/>
      <c r="B193" s="5"/>
      <c r="C193" s="63"/>
    </row>
    <row r="194" spans="1:3" ht="13.2">
      <c r="A194" s="3"/>
      <c r="B194" s="5"/>
      <c r="C194" s="63"/>
    </row>
    <row r="195" spans="1:3" ht="13.2">
      <c r="A195" s="3"/>
      <c r="B195" s="5"/>
      <c r="C195" s="63"/>
    </row>
    <row r="196" spans="1:3" ht="13.2">
      <c r="A196" s="3"/>
      <c r="B196" s="5"/>
      <c r="C196" s="63"/>
    </row>
    <row r="197" spans="1:3" ht="13.2">
      <c r="A197" s="3"/>
      <c r="B197" s="5"/>
      <c r="C197" s="63"/>
    </row>
    <row r="198" spans="1:3" ht="13.2">
      <c r="A198" s="3"/>
      <c r="B198" s="5"/>
      <c r="C198" s="63"/>
    </row>
    <row r="199" spans="1:3" ht="13.2">
      <c r="A199" s="3"/>
      <c r="B199" s="5"/>
      <c r="C199" s="63"/>
    </row>
    <row r="200" spans="1:3" ht="13.2">
      <c r="A200" s="3"/>
      <c r="B200" s="5"/>
      <c r="C200" s="63"/>
    </row>
    <row r="201" spans="1:3" ht="13.2">
      <c r="A201" s="3"/>
      <c r="B201" s="5"/>
      <c r="C201" s="63"/>
    </row>
    <row r="202" spans="1:3" ht="13.2">
      <c r="A202" s="3"/>
      <c r="B202" s="5"/>
      <c r="C202" s="63"/>
    </row>
    <row r="203" spans="1:3" ht="13.2">
      <c r="A203" s="3"/>
      <c r="B203" s="5"/>
      <c r="C203" s="63"/>
    </row>
    <row r="204" spans="1:3" ht="13.2">
      <c r="A204" s="3"/>
      <c r="B204" s="5"/>
      <c r="C204" s="63"/>
    </row>
    <row r="205" spans="1:3" ht="13.2">
      <c r="A205" s="3"/>
      <c r="B205" s="5"/>
      <c r="C205" s="63"/>
    </row>
    <row r="206" spans="1:3" ht="13.2">
      <c r="A206" s="3"/>
      <c r="B206" s="5"/>
      <c r="C206" s="63"/>
    </row>
    <row r="207" spans="1:3" ht="13.2">
      <c r="A207" s="3"/>
      <c r="B207" s="5"/>
      <c r="C207" s="63"/>
    </row>
    <row r="208" spans="1:3" ht="13.2">
      <c r="A208" s="3"/>
      <c r="B208" s="5"/>
      <c r="C208" s="63"/>
    </row>
    <row r="209" spans="1:3" ht="13.2">
      <c r="A209" s="3"/>
      <c r="B209" s="5"/>
      <c r="C209" s="63"/>
    </row>
    <row r="210" spans="1:3" ht="13.2">
      <c r="A210" s="3"/>
      <c r="B210" s="5"/>
      <c r="C210" s="63"/>
    </row>
    <row r="211" spans="1:3" ht="13.2">
      <c r="A211" s="3"/>
      <c r="B211" s="5"/>
      <c r="C211" s="63"/>
    </row>
    <row r="212" spans="1:3" ht="13.2">
      <c r="A212" s="3"/>
      <c r="B212" s="5"/>
      <c r="C212" s="63"/>
    </row>
    <row r="213" spans="1:3" ht="13.2">
      <c r="A213" s="3"/>
      <c r="B213" s="5"/>
      <c r="C213" s="63"/>
    </row>
    <row r="214" spans="1:3" ht="13.2">
      <c r="A214" s="3"/>
      <c r="B214" s="5"/>
      <c r="C214" s="63"/>
    </row>
    <row r="215" spans="1:3" ht="13.2">
      <c r="A215" s="3"/>
      <c r="B215" s="5"/>
      <c r="C215" s="63"/>
    </row>
    <row r="216" spans="1:3" ht="13.2">
      <c r="A216" s="3"/>
      <c r="B216" s="5"/>
      <c r="C216" s="63"/>
    </row>
    <row r="217" spans="1:3" ht="13.2">
      <c r="A217" s="3"/>
      <c r="B217" s="5"/>
      <c r="C217" s="63"/>
    </row>
    <row r="218" spans="1:3" ht="13.2">
      <c r="A218" s="3"/>
      <c r="B218" s="5"/>
      <c r="C218" s="63"/>
    </row>
    <row r="219" spans="1:3" ht="13.2">
      <c r="A219" s="3"/>
      <c r="B219" s="5"/>
      <c r="C219" s="63"/>
    </row>
    <row r="220" spans="1:3" ht="13.2">
      <c r="A220" s="3"/>
      <c r="B220" s="5"/>
      <c r="C220" s="63"/>
    </row>
    <row r="221" spans="1:3" ht="13.2">
      <c r="A221" s="3"/>
      <c r="B221" s="5"/>
      <c r="C221" s="63"/>
    </row>
    <row r="222" spans="1:3" ht="13.2">
      <c r="A222" s="3"/>
      <c r="B222" s="5"/>
      <c r="C222" s="63"/>
    </row>
    <row r="223" spans="1:3" ht="13.2">
      <c r="A223" s="3"/>
      <c r="B223" s="5"/>
      <c r="C223" s="63"/>
    </row>
    <row r="224" spans="1:3" ht="13.2">
      <c r="A224" s="3"/>
      <c r="B224" s="5"/>
      <c r="C224" s="63"/>
    </row>
    <row r="225" spans="1:3" ht="13.2">
      <c r="A225" s="3"/>
      <c r="B225" s="5"/>
      <c r="C225" s="63"/>
    </row>
    <row r="226" spans="1:3" ht="13.2">
      <c r="A226" s="3"/>
      <c r="B226" s="5"/>
      <c r="C226" s="63"/>
    </row>
    <row r="227" spans="1:3" ht="13.2">
      <c r="A227" s="3"/>
      <c r="B227" s="5"/>
      <c r="C227" s="63"/>
    </row>
    <row r="228" spans="1:3" ht="13.2">
      <c r="A228" s="3"/>
      <c r="B228" s="5"/>
      <c r="C228" s="63"/>
    </row>
    <row r="229" spans="1:3" ht="13.2">
      <c r="A229" s="3"/>
      <c r="B229" s="5"/>
      <c r="C229" s="63"/>
    </row>
    <row r="230" spans="1:3" ht="13.2">
      <c r="A230" s="3"/>
      <c r="B230" s="5"/>
      <c r="C230" s="63"/>
    </row>
    <row r="231" spans="1:3" ht="13.2">
      <c r="A231" s="3"/>
      <c r="B231" s="5"/>
      <c r="C231" s="63"/>
    </row>
    <row r="232" spans="1:3" ht="13.2">
      <c r="A232" s="3"/>
      <c r="B232" s="5"/>
      <c r="C232" s="63"/>
    </row>
    <row r="233" spans="1:3" ht="13.2">
      <c r="A233" s="3"/>
      <c r="B233" s="5"/>
      <c r="C233" s="63"/>
    </row>
    <row r="234" spans="1:3" ht="13.2">
      <c r="A234" s="3"/>
      <c r="B234" s="5"/>
      <c r="C234" s="63"/>
    </row>
    <row r="235" spans="1:3" ht="13.2">
      <c r="A235" s="3"/>
      <c r="B235" s="5"/>
      <c r="C235" s="63"/>
    </row>
    <row r="236" spans="1:3" ht="13.2">
      <c r="A236" s="3"/>
      <c r="B236" s="5"/>
      <c r="C236" s="63"/>
    </row>
    <row r="237" spans="1:3" ht="13.2">
      <c r="A237" s="3"/>
      <c r="B237" s="5"/>
      <c r="C237" s="63"/>
    </row>
    <row r="238" spans="1:3" ht="13.2">
      <c r="A238" s="3"/>
      <c r="B238" s="5"/>
      <c r="C238" s="63"/>
    </row>
    <row r="239" spans="1:3" ht="13.2">
      <c r="A239" s="3"/>
      <c r="B239" s="5"/>
      <c r="C239" s="63"/>
    </row>
    <row r="240" spans="1:3" ht="13.2">
      <c r="A240" s="3"/>
      <c r="B240" s="5"/>
      <c r="C240" s="63"/>
    </row>
    <row r="241" spans="1:3" ht="13.2">
      <c r="A241" s="3"/>
      <c r="B241" s="5"/>
      <c r="C241" s="63"/>
    </row>
    <row r="242" spans="1:3" ht="13.2">
      <c r="A242" s="3"/>
      <c r="B242" s="5"/>
      <c r="C242" s="63"/>
    </row>
    <row r="243" spans="1:3" ht="13.2">
      <c r="A243" s="3"/>
      <c r="B243" s="5"/>
      <c r="C243" s="63"/>
    </row>
    <row r="244" spans="1:3" ht="13.2">
      <c r="A244" s="3"/>
      <c r="B244" s="5"/>
      <c r="C244" s="63"/>
    </row>
    <row r="245" spans="1:3" ht="13.2">
      <c r="A245" s="3"/>
      <c r="B245" s="5"/>
      <c r="C245" s="63"/>
    </row>
    <row r="246" spans="1:3" ht="13.2">
      <c r="A246" s="3"/>
      <c r="B246" s="5"/>
      <c r="C246" s="63"/>
    </row>
    <row r="247" spans="1:3" ht="13.2">
      <c r="A247" s="3"/>
      <c r="B247" s="5"/>
      <c r="C247" s="63"/>
    </row>
    <row r="248" spans="1:3" ht="13.2">
      <c r="A248" s="3"/>
      <c r="B248" s="5"/>
      <c r="C248" s="63"/>
    </row>
    <row r="249" spans="1:3" ht="13.2">
      <c r="A249" s="3"/>
      <c r="B249" s="5"/>
      <c r="C249" s="63"/>
    </row>
    <row r="250" spans="1:3" ht="13.2">
      <c r="A250" s="3"/>
      <c r="B250" s="5"/>
      <c r="C250" s="63"/>
    </row>
    <row r="251" spans="1:3" ht="13.2">
      <c r="A251" s="3"/>
      <c r="B251" s="5"/>
      <c r="C251" s="63"/>
    </row>
    <row r="252" spans="1:3" ht="13.2">
      <c r="A252" s="3"/>
      <c r="B252" s="5"/>
      <c r="C252" s="63"/>
    </row>
    <row r="253" spans="1:3" ht="13.2">
      <c r="A253" s="3"/>
      <c r="B253" s="5"/>
      <c r="C253" s="63"/>
    </row>
    <row r="254" spans="1:3" ht="13.2">
      <c r="A254" s="3"/>
      <c r="B254" s="5"/>
      <c r="C254" s="63"/>
    </row>
    <row r="255" spans="1:3" ht="13.2">
      <c r="A255" s="3"/>
      <c r="B255" s="5"/>
      <c r="C255" s="63"/>
    </row>
    <row r="256" spans="1:3" ht="13.2">
      <c r="A256" s="3"/>
      <c r="B256" s="5"/>
      <c r="C256" s="63"/>
    </row>
    <row r="257" spans="1:3" ht="13.2">
      <c r="A257" s="3"/>
      <c r="B257" s="5"/>
      <c r="C257" s="63"/>
    </row>
    <row r="258" spans="1:3" ht="13.2">
      <c r="A258" s="3"/>
      <c r="B258" s="5"/>
      <c r="C258" s="63"/>
    </row>
    <row r="259" spans="1:3" ht="13.2">
      <c r="A259" s="3"/>
      <c r="B259" s="5"/>
      <c r="C259" s="63"/>
    </row>
    <row r="260" spans="1:3" ht="13.2">
      <c r="A260" s="3"/>
      <c r="B260" s="5"/>
      <c r="C260" s="63"/>
    </row>
    <row r="261" spans="1:3" ht="13.2">
      <c r="A261" s="3"/>
      <c r="B261" s="5"/>
      <c r="C261" s="63"/>
    </row>
    <row r="262" spans="1:3" ht="13.2">
      <c r="A262" s="3"/>
      <c r="B262" s="5"/>
      <c r="C262" s="63"/>
    </row>
    <row r="263" spans="1:3" ht="13.2">
      <c r="A263" s="3"/>
      <c r="B263" s="5"/>
      <c r="C263" s="63"/>
    </row>
    <row r="264" spans="1:3" ht="13.2">
      <c r="A264" s="3"/>
      <c r="B264" s="5"/>
      <c r="C264" s="63"/>
    </row>
    <row r="265" spans="1:3" ht="13.2">
      <c r="A265" s="3"/>
      <c r="B265" s="5"/>
      <c r="C265" s="63"/>
    </row>
    <row r="266" spans="1:3" ht="13.2">
      <c r="A266" s="3"/>
      <c r="B266" s="5"/>
      <c r="C266" s="63"/>
    </row>
    <row r="267" spans="1:3" ht="13.2">
      <c r="A267" s="3"/>
      <c r="B267" s="5"/>
      <c r="C267" s="63"/>
    </row>
    <row r="268" spans="1:3" ht="13.2">
      <c r="A268" s="3"/>
      <c r="B268" s="5"/>
      <c r="C268" s="63"/>
    </row>
    <row r="269" spans="1:3" ht="13.2">
      <c r="A269" s="3"/>
      <c r="B269" s="5"/>
      <c r="C269" s="63"/>
    </row>
    <row r="270" spans="1:3" ht="13.2">
      <c r="A270" s="3"/>
      <c r="B270" s="5"/>
      <c r="C270" s="63"/>
    </row>
    <row r="271" spans="1:3" ht="13.2">
      <c r="A271" s="3"/>
      <c r="B271" s="5"/>
      <c r="C271" s="63"/>
    </row>
    <row r="272" spans="1:3" ht="13.2">
      <c r="A272" s="3"/>
      <c r="B272" s="5"/>
      <c r="C272" s="63"/>
    </row>
    <row r="273" spans="1:3" ht="13.2">
      <c r="A273" s="3"/>
      <c r="B273" s="5"/>
      <c r="C273" s="63"/>
    </row>
    <row r="274" spans="1:3" ht="13.2">
      <c r="A274" s="3"/>
      <c r="B274" s="5"/>
      <c r="C274" s="63"/>
    </row>
    <row r="275" spans="1:3" ht="13.2">
      <c r="A275" s="3"/>
      <c r="B275" s="5"/>
      <c r="C275" s="63"/>
    </row>
    <row r="276" spans="1:3" ht="13.2">
      <c r="A276" s="3"/>
      <c r="B276" s="5"/>
      <c r="C276" s="63"/>
    </row>
    <row r="277" spans="1:3" ht="13.2">
      <c r="A277" s="3"/>
      <c r="B277" s="5"/>
      <c r="C277" s="63"/>
    </row>
    <row r="278" spans="1:3" ht="13.2">
      <c r="A278" s="3"/>
      <c r="B278" s="5"/>
      <c r="C278" s="63"/>
    </row>
    <row r="279" spans="1:3" ht="13.2">
      <c r="A279" s="3"/>
      <c r="B279" s="5"/>
      <c r="C279" s="63"/>
    </row>
    <row r="280" spans="1:3" ht="13.2">
      <c r="A280" s="3"/>
      <c r="B280" s="5"/>
      <c r="C280" s="63"/>
    </row>
    <row r="281" spans="1:3" ht="13.2">
      <c r="A281" s="3"/>
      <c r="B281" s="5"/>
      <c r="C281" s="63"/>
    </row>
    <row r="282" spans="1:3" ht="13.2">
      <c r="A282" s="3"/>
      <c r="B282" s="5"/>
      <c r="C282" s="63"/>
    </row>
    <row r="283" spans="1:3" ht="13.2">
      <c r="A283" s="3"/>
      <c r="B283" s="5"/>
      <c r="C283" s="63"/>
    </row>
    <row r="284" spans="1:3" ht="13.2">
      <c r="A284" s="3"/>
      <c r="B284" s="5"/>
      <c r="C284" s="63"/>
    </row>
    <row r="285" spans="1:3" ht="13.2">
      <c r="A285" s="3"/>
      <c r="B285" s="5"/>
      <c r="C285" s="63"/>
    </row>
    <row r="286" spans="1:3" ht="13.2">
      <c r="A286" s="3"/>
      <c r="B286" s="5"/>
      <c r="C286" s="63"/>
    </row>
    <row r="287" spans="1:3" ht="13.2">
      <c r="A287" s="3"/>
      <c r="B287" s="5"/>
      <c r="C287" s="63"/>
    </row>
    <row r="288" spans="1:3" ht="13.2">
      <c r="A288" s="3"/>
      <c r="B288" s="5"/>
      <c r="C288" s="63"/>
    </row>
    <row r="289" spans="1:3" ht="13.2">
      <c r="A289" s="3"/>
      <c r="B289" s="5"/>
      <c r="C289" s="63"/>
    </row>
    <row r="290" spans="1:3" ht="13.2">
      <c r="A290" s="3"/>
      <c r="B290" s="5"/>
      <c r="C290" s="63"/>
    </row>
    <row r="291" spans="1:3" ht="13.2">
      <c r="A291" s="3"/>
      <c r="B291" s="5"/>
      <c r="C291" s="63"/>
    </row>
    <row r="292" spans="1:3" ht="13.2">
      <c r="A292" s="3"/>
      <c r="B292" s="5"/>
      <c r="C292" s="63"/>
    </row>
    <row r="293" spans="1:3" ht="13.2">
      <c r="A293" s="3"/>
      <c r="B293" s="5"/>
      <c r="C293" s="63"/>
    </row>
    <row r="294" spans="1:3" ht="13.2">
      <c r="A294" s="3"/>
      <c r="B294" s="5"/>
      <c r="C294" s="63"/>
    </row>
    <row r="295" spans="1:3" ht="13.2">
      <c r="A295" s="3"/>
      <c r="B295" s="5"/>
      <c r="C295" s="63"/>
    </row>
    <row r="296" spans="1:3" ht="13.2">
      <c r="A296" s="3"/>
      <c r="B296" s="5"/>
      <c r="C296" s="63"/>
    </row>
    <row r="297" spans="1:3" ht="13.2">
      <c r="A297" s="3"/>
      <c r="B297" s="5"/>
      <c r="C297" s="63"/>
    </row>
    <row r="298" spans="1:3" ht="13.2">
      <c r="A298" s="3"/>
      <c r="B298" s="5"/>
      <c r="C298" s="63"/>
    </row>
    <row r="299" spans="1:3" ht="13.2">
      <c r="A299" s="3"/>
      <c r="B299" s="5"/>
      <c r="C299" s="63"/>
    </row>
    <row r="300" spans="1:3" ht="13.2">
      <c r="A300" s="3"/>
      <c r="B300" s="5"/>
      <c r="C300" s="63"/>
    </row>
    <row r="301" spans="1:3" ht="13.2">
      <c r="A301" s="3"/>
      <c r="B301" s="5"/>
      <c r="C301" s="63"/>
    </row>
    <row r="302" spans="1:3" ht="13.2">
      <c r="A302" s="3"/>
      <c r="B302" s="5"/>
      <c r="C302" s="63"/>
    </row>
    <row r="303" spans="1:3" ht="13.2">
      <c r="A303" s="3"/>
      <c r="B303" s="5"/>
      <c r="C303" s="63"/>
    </row>
    <row r="304" spans="1:3" ht="13.2">
      <c r="A304" s="3"/>
      <c r="B304" s="5"/>
      <c r="C304" s="63"/>
    </row>
    <row r="305" spans="1:3" ht="13.2">
      <c r="A305" s="3"/>
      <c r="B305" s="5"/>
      <c r="C305" s="63"/>
    </row>
    <row r="306" spans="1:3" ht="13.2">
      <c r="A306" s="3"/>
      <c r="B306" s="5"/>
      <c r="C306" s="63"/>
    </row>
    <row r="307" spans="1:3" ht="13.2">
      <c r="A307" s="3"/>
      <c r="B307" s="5"/>
      <c r="C307" s="63"/>
    </row>
    <row r="308" spans="1:3" ht="13.2">
      <c r="A308" s="3"/>
      <c r="B308" s="5"/>
      <c r="C308" s="63"/>
    </row>
    <row r="309" spans="1:3" ht="13.2">
      <c r="A309" s="3"/>
      <c r="B309" s="5"/>
      <c r="C309" s="63"/>
    </row>
    <row r="310" spans="1:3" ht="13.2">
      <c r="A310" s="3"/>
      <c r="B310" s="5"/>
      <c r="C310" s="63"/>
    </row>
    <row r="311" spans="1:3" ht="13.2">
      <c r="A311" s="3"/>
      <c r="B311" s="5"/>
      <c r="C311" s="63"/>
    </row>
    <row r="312" spans="1:3" ht="13.2">
      <c r="A312" s="3"/>
      <c r="B312" s="5"/>
      <c r="C312" s="63"/>
    </row>
    <row r="313" spans="1:3" ht="13.2">
      <c r="A313" s="3"/>
      <c r="B313" s="5"/>
      <c r="C313" s="63"/>
    </row>
    <row r="314" spans="1:3" ht="13.2">
      <c r="A314" s="3"/>
      <c r="B314" s="5"/>
      <c r="C314" s="63"/>
    </row>
    <row r="315" spans="1:3" ht="13.2">
      <c r="A315" s="3"/>
      <c r="B315" s="5"/>
      <c r="C315" s="63"/>
    </row>
    <row r="316" spans="1:3" ht="13.2">
      <c r="A316" s="3"/>
      <c r="B316" s="5"/>
      <c r="C316" s="63"/>
    </row>
    <row r="317" spans="1:3" ht="13.2">
      <c r="A317" s="3"/>
      <c r="B317" s="5"/>
      <c r="C317" s="63"/>
    </row>
    <row r="318" spans="1:3" ht="13.2">
      <c r="A318" s="3"/>
      <c r="B318" s="5"/>
      <c r="C318" s="63"/>
    </row>
    <row r="319" spans="1:3" ht="13.2">
      <c r="A319" s="3"/>
      <c r="B319" s="5"/>
      <c r="C319" s="63"/>
    </row>
    <row r="320" spans="1:3" ht="13.2">
      <c r="A320" s="3"/>
      <c r="B320" s="5"/>
      <c r="C320" s="63"/>
    </row>
    <row r="321" spans="1:3" ht="13.2">
      <c r="A321" s="3"/>
      <c r="B321" s="5"/>
      <c r="C321" s="63"/>
    </row>
    <row r="322" spans="1:3" ht="13.2">
      <c r="A322" s="3"/>
      <c r="B322" s="5"/>
      <c r="C322" s="63"/>
    </row>
    <row r="323" spans="1:3" ht="13.2">
      <c r="A323" s="3"/>
      <c r="B323" s="5"/>
      <c r="C323" s="63"/>
    </row>
    <row r="324" spans="1:3" ht="13.2">
      <c r="A324" s="3"/>
      <c r="B324" s="5"/>
      <c r="C324" s="63"/>
    </row>
    <row r="325" spans="1:3" ht="13.2">
      <c r="A325" s="3"/>
      <c r="B325" s="5"/>
      <c r="C325" s="63"/>
    </row>
    <row r="326" spans="1:3" ht="13.2">
      <c r="A326" s="3"/>
      <c r="B326" s="5"/>
      <c r="C326" s="63"/>
    </row>
    <row r="327" spans="1:3" ht="13.2">
      <c r="A327" s="3"/>
      <c r="B327" s="5"/>
      <c r="C327" s="63"/>
    </row>
    <row r="328" spans="1:3" ht="13.2">
      <c r="A328" s="3"/>
      <c r="B328" s="5"/>
      <c r="C328" s="63"/>
    </row>
    <row r="329" spans="1:3" ht="13.2">
      <c r="A329" s="3"/>
      <c r="B329" s="5"/>
      <c r="C329" s="63"/>
    </row>
    <row r="330" spans="1:3" ht="13.2">
      <c r="A330" s="3"/>
      <c r="B330" s="5"/>
      <c r="C330" s="63"/>
    </row>
    <row r="331" spans="1:3" ht="13.2">
      <c r="A331" s="3"/>
      <c r="B331" s="5"/>
      <c r="C331" s="63"/>
    </row>
    <row r="332" spans="1:3" ht="13.2">
      <c r="A332" s="3"/>
      <c r="B332" s="5"/>
      <c r="C332" s="63"/>
    </row>
    <row r="333" spans="1:3" ht="13.2">
      <c r="A333" s="3"/>
      <c r="B333" s="5"/>
      <c r="C333" s="63"/>
    </row>
    <row r="334" spans="1:3" ht="13.2">
      <c r="A334" s="3"/>
      <c r="B334" s="5"/>
      <c r="C334" s="63"/>
    </row>
    <row r="335" spans="1:3" ht="13.2">
      <c r="A335" s="3"/>
      <c r="B335" s="5"/>
      <c r="C335" s="63"/>
    </row>
    <row r="336" spans="1:3" ht="13.2">
      <c r="A336" s="3"/>
      <c r="B336" s="5"/>
      <c r="C336" s="63"/>
    </row>
    <row r="337" spans="1:3" ht="13.2">
      <c r="A337" s="3"/>
      <c r="B337" s="5"/>
      <c r="C337" s="63"/>
    </row>
    <row r="338" spans="1:3" ht="13.2">
      <c r="A338" s="3"/>
      <c r="B338" s="5"/>
      <c r="C338" s="63"/>
    </row>
    <row r="339" spans="1:3" ht="13.2">
      <c r="A339" s="3"/>
      <c r="B339" s="5"/>
      <c r="C339" s="63"/>
    </row>
    <row r="340" spans="1:3" ht="13.2">
      <c r="A340" s="3"/>
      <c r="B340" s="5"/>
      <c r="C340" s="63"/>
    </row>
    <row r="341" spans="1:3" ht="13.2">
      <c r="A341" s="3"/>
      <c r="B341" s="5"/>
      <c r="C341" s="63"/>
    </row>
    <row r="342" spans="1:3" ht="13.2">
      <c r="A342" s="3"/>
      <c r="B342" s="5"/>
      <c r="C342" s="63"/>
    </row>
    <row r="343" spans="1:3" ht="13.2">
      <c r="A343" s="3"/>
      <c r="B343" s="5"/>
      <c r="C343" s="63"/>
    </row>
    <row r="344" spans="1:3" ht="13.2">
      <c r="A344" s="3"/>
      <c r="B344" s="5"/>
      <c r="C344" s="63"/>
    </row>
    <row r="345" spans="1:3" ht="13.2">
      <c r="A345" s="3"/>
      <c r="B345" s="5"/>
      <c r="C345" s="63"/>
    </row>
    <row r="346" spans="1:3" ht="13.2">
      <c r="A346" s="3"/>
      <c r="B346" s="5"/>
      <c r="C346" s="63"/>
    </row>
    <row r="347" spans="1:3" ht="13.2">
      <c r="A347" s="3"/>
      <c r="B347" s="5"/>
      <c r="C347" s="63"/>
    </row>
    <row r="348" spans="1:3" ht="13.2">
      <c r="A348" s="3"/>
      <c r="B348" s="5"/>
      <c r="C348" s="63"/>
    </row>
    <row r="349" spans="1:3" ht="13.2">
      <c r="A349" s="3"/>
      <c r="B349" s="5"/>
      <c r="C349" s="63"/>
    </row>
    <row r="350" spans="1:3" ht="13.2">
      <c r="A350" s="3"/>
      <c r="B350" s="5"/>
      <c r="C350" s="63"/>
    </row>
    <row r="351" spans="1:3" ht="13.2">
      <c r="A351" s="3"/>
      <c r="B351" s="5"/>
      <c r="C351" s="63"/>
    </row>
    <row r="352" spans="1:3" ht="13.2">
      <c r="A352" s="3"/>
      <c r="B352" s="5"/>
      <c r="C352" s="63"/>
    </row>
    <row r="353" spans="1:3" ht="13.2">
      <c r="A353" s="3"/>
      <c r="B353" s="5"/>
      <c r="C353" s="63"/>
    </row>
    <row r="354" spans="1:3" ht="13.2">
      <c r="A354" s="3"/>
      <c r="B354" s="5"/>
      <c r="C354" s="63"/>
    </row>
    <row r="355" spans="1:3" ht="13.2">
      <c r="A355" s="3"/>
      <c r="B355" s="5"/>
      <c r="C355" s="63"/>
    </row>
    <row r="356" spans="1:3" ht="13.2">
      <c r="A356" s="3"/>
      <c r="B356" s="5"/>
      <c r="C356" s="63"/>
    </row>
    <row r="357" spans="1:3" ht="13.2">
      <c r="A357" s="3"/>
      <c r="B357" s="5"/>
      <c r="C357" s="63"/>
    </row>
    <row r="358" spans="1:3" ht="13.2">
      <c r="A358" s="3"/>
      <c r="B358" s="5"/>
      <c r="C358" s="63"/>
    </row>
    <row r="359" spans="1:3" ht="13.2">
      <c r="A359" s="3"/>
      <c r="B359" s="5"/>
      <c r="C359" s="63"/>
    </row>
    <row r="360" spans="1:3" ht="13.2">
      <c r="A360" s="3"/>
      <c r="B360" s="5"/>
      <c r="C360" s="63"/>
    </row>
    <row r="361" spans="1:3" ht="13.2">
      <c r="A361" s="3"/>
      <c r="B361" s="5"/>
      <c r="C361" s="63"/>
    </row>
    <row r="362" spans="1:3" ht="13.2">
      <c r="A362" s="3"/>
      <c r="B362" s="5"/>
      <c r="C362" s="63"/>
    </row>
    <row r="363" spans="1:3" ht="13.2">
      <c r="A363" s="3"/>
      <c r="B363" s="5"/>
      <c r="C363" s="63"/>
    </row>
    <row r="364" spans="1:3" ht="13.2">
      <c r="A364" s="3"/>
      <c r="B364" s="5"/>
      <c r="C364" s="63"/>
    </row>
    <row r="365" spans="1:3" ht="13.2">
      <c r="A365" s="3"/>
      <c r="B365" s="5"/>
      <c r="C365" s="63"/>
    </row>
    <row r="366" spans="1:3" ht="13.2">
      <c r="A366" s="3"/>
      <c r="B366" s="5"/>
      <c r="C366" s="63"/>
    </row>
    <row r="367" spans="1:3" ht="13.2">
      <c r="A367" s="3"/>
      <c r="B367" s="5"/>
      <c r="C367" s="63"/>
    </row>
    <row r="368" spans="1:3" ht="13.2">
      <c r="A368" s="3"/>
      <c r="B368" s="5"/>
      <c r="C368" s="63"/>
    </row>
    <row r="369" spans="1:3" ht="13.2">
      <c r="A369" s="3"/>
      <c r="B369" s="5"/>
      <c r="C369" s="63"/>
    </row>
    <row r="370" spans="1:3" ht="13.2">
      <c r="A370" s="3"/>
      <c r="B370" s="5"/>
      <c r="C370" s="63"/>
    </row>
    <row r="371" spans="1:3" ht="13.2">
      <c r="A371" s="3"/>
      <c r="B371" s="5"/>
      <c r="C371" s="63"/>
    </row>
    <row r="372" spans="1:3" ht="13.2">
      <c r="A372" s="3"/>
      <c r="B372" s="5"/>
      <c r="C372" s="63"/>
    </row>
    <row r="373" spans="1:3" ht="13.2">
      <c r="A373" s="3"/>
      <c r="B373" s="5"/>
      <c r="C373" s="63"/>
    </row>
    <row r="374" spans="1:3" ht="13.2">
      <c r="A374" s="3"/>
      <c r="B374" s="5"/>
      <c r="C374" s="63"/>
    </row>
    <row r="375" spans="1:3" ht="13.2">
      <c r="A375" s="3"/>
      <c r="B375" s="5"/>
      <c r="C375" s="63"/>
    </row>
    <row r="376" spans="1:3" ht="13.2">
      <c r="A376" s="3"/>
      <c r="B376" s="5"/>
      <c r="C376" s="63"/>
    </row>
    <row r="377" spans="1:3" ht="13.2">
      <c r="A377" s="3"/>
      <c r="B377" s="5"/>
      <c r="C377" s="63"/>
    </row>
    <row r="378" spans="1:3" ht="13.2">
      <c r="A378" s="3"/>
      <c r="B378" s="5"/>
      <c r="C378" s="63"/>
    </row>
    <row r="379" spans="1:3" ht="13.2">
      <c r="A379" s="3"/>
      <c r="B379" s="5"/>
      <c r="C379" s="63"/>
    </row>
    <row r="380" spans="1:3" ht="13.2">
      <c r="A380" s="3"/>
      <c r="B380" s="5"/>
      <c r="C380" s="63"/>
    </row>
    <row r="381" spans="1:3" ht="13.2">
      <c r="A381" s="3"/>
      <c r="B381" s="5"/>
      <c r="C381" s="63"/>
    </row>
    <row r="382" spans="1:3" ht="13.2">
      <c r="A382" s="3"/>
      <c r="B382" s="5"/>
      <c r="C382" s="63"/>
    </row>
    <row r="383" spans="1:3" ht="13.2">
      <c r="A383" s="3"/>
      <c r="B383" s="5"/>
      <c r="C383" s="63"/>
    </row>
    <row r="384" spans="1:3" ht="13.2">
      <c r="A384" s="3"/>
      <c r="B384" s="5"/>
      <c r="C384" s="63"/>
    </row>
    <row r="385" spans="1:3" ht="13.2">
      <c r="A385" s="3"/>
      <c r="B385" s="5"/>
      <c r="C385" s="63"/>
    </row>
    <row r="386" spans="1:3" ht="13.2">
      <c r="A386" s="3"/>
      <c r="B386" s="5"/>
      <c r="C386" s="63"/>
    </row>
    <row r="387" spans="1:3" ht="13.2">
      <c r="A387" s="3"/>
      <c r="B387" s="5"/>
      <c r="C387" s="63"/>
    </row>
    <row r="388" spans="1:3" ht="13.2">
      <c r="A388" s="3"/>
      <c r="B388" s="5"/>
      <c r="C388" s="63"/>
    </row>
    <row r="389" spans="1:3" ht="13.2">
      <c r="A389" s="3"/>
      <c r="B389" s="5"/>
      <c r="C389" s="63"/>
    </row>
    <row r="390" spans="1:3" ht="13.2">
      <c r="A390" s="3"/>
      <c r="B390" s="5"/>
      <c r="C390" s="63"/>
    </row>
    <row r="391" spans="1:3" ht="13.2">
      <c r="A391" s="3"/>
      <c r="B391" s="5"/>
      <c r="C391" s="63"/>
    </row>
    <row r="392" spans="1:3" ht="13.2">
      <c r="A392" s="3"/>
      <c r="B392" s="5"/>
      <c r="C392" s="63"/>
    </row>
    <row r="393" spans="1:3" ht="13.2">
      <c r="A393" s="3"/>
      <c r="B393" s="5"/>
      <c r="C393" s="63"/>
    </row>
    <row r="394" spans="1:3" ht="13.2">
      <c r="A394" s="3"/>
      <c r="B394" s="5"/>
      <c r="C394" s="63"/>
    </row>
    <row r="395" spans="1:3" ht="13.2">
      <c r="A395" s="3"/>
      <c r="B395" s="5"/>
      <c r="C395" s="63"/>
    </row>
    <row r="396" spans="1:3" ht="13.2">
      <c r="A396" s="3"/>
      <c r="B396" s="5"/>
      <c r="C396" s="63"/>
    </row>
    <row r="397" spans="1:3" ht="13.2">
      <c r="A397" s="3"/>
      <c r="B397" s="5"/>
      <c r="C397" s="63"/>
    </row>
    <row r="398" spans="1:3" ht="13.2">
      <c r="A398" s="3"/>
      <c r="B398" s="5"/>
      <c r="C398" s="63"/>
    </row>
    <row r="399" spans="1:3" ht="13.2">
      <c r="A399" s="3"/>
      <c r="B399" s="5"/>
      <c r="C399" s="63"/>
    </row>
    <row r="400" spans="1:3" ht="13.2">
      <c r="A400" s="3"/>
      <c r="B400" s="5"/>
      <c r="C400" s="63"/>
    </row>
    <row r="401" spans="1:3" ht="13.2">
      <c r="A401" s="3"/>
      <c r="B401" s="5"/>
      <c r="C401" s="63"/>
    </row>
    <row r="402" spans="1:3" ht="13.2">
      <c r="A402" s="3"/>
      <c r="B402" s="5"/>
      <c r="C402" s="63"/>
    </row>
    <row r="403" spans="1:3" ht="13.2">
      <c r="A403" s="3"/>
      <c r="B403" s="5"/>
      <c r="C403" s="63"/>
    </row>
    <row r="404" spans="1:3" ht="13.2">
      <c r="A404" s="3"/>
      <c r="B404" s="5"/>
      <c r="C404" s="63"/>
    </row>
    <row r="405" spans="1:3" ht="13.2">
      <c r="A405" s="3"/>
      <c r="B405" s="5"/>
      <c r="C405" s="63"/>
    </row>
    <row r="406" spans="1:3" ht="13.2">
      <c r="A406" s="3"/>
      <c r="B406" s="5"/>
      <c r="C406" s="63"/>
    </row>
    <row r="407" spans="1:3" ht="13.2">
      <c r="A407" s="3"/>
      <c r="B407" s="5"/>
      <c r="C407" s="63"/>
    </row>
    <row r="408" spans="1:3" ht="13.2">
      <c r="A408" s="3"/>
      <c r="B408" s="5"/>
      <c r="C408" s="63"/>
    </row>
    <row r="409" spans="1:3" ht="13.2">
      <c r="A409" s="3"/>
      <c r="B409" s="5"/>
      <c r="C409" s="63"/>
    </row>
    <row r="410" spans="1:3" ht="13.2">
      <c r="A410" s="3"/>
      <c r="B410" s="5"/>
      <c r="C410" s="63"/>
    </row>
    <row r="411" spans="1:3" ht="13.2">
      <c r="A411" s="3"/>
      <c r="B411" s="5"/>
      <c r="C411" s="63"/>
    </row>
    <row r="412" spans="1:3" ht="13.2">
      <c r="A412" s="3"/>
      <c r="B412" s="5"/>
      <c r="C412" s="63"/>
    </row>
    <row r="413" spans="1:3" ht="13.2">
      <c r="A413" s="3"/>
      <c r="B413" s="5"/>
      <c r="C413" s="63"/>
    </row>
    <row r="414" spans="1:3" ht="13.2">
      <c r="A414" s="3"/>
      <c r="B414" s="5"/>
      <c r="C414" s="63"/>
    </row>
    <row r="415" spans="1:3" ht="13.2">
      <c r="A415" s="3"/>
      <c r="B415" s="5"/>
      <c r="C415" s="63"/>
    </row>
    <row r="416" spans="1:3" ht="13.2">
      <c r="A416" s="3"/>
      <c r="B416" s="5"/>
      <c r="C416" s="63"/>
    </row>
    <row r="417" spans="1:3" ht="13.2">
      <c r="A417" s="3"/>
      <c r="B417" s="5"/>
      <c r="C417" s="63"/>
    </row>
    <row r="418" spans="1:3" ht="13.2">
      <c r="A418" s="3"/>
      <c r="B418" s="5"/>
      <c r="C418" s="63"/>
    </row>
    <row r="419" spans="1:3" ht="13.2">
      <c r="A419" s="3"/>
      <c r="B419" s="5"/>
      <c r="C419" s="63"/>
    </row>
    <row r="420" spans="1:3" ht="13.2">
      <c r="A420" s="3"/>
      <c r="B420" s="5"/>
      <c r="C420" s="63"/>
    </row>
    <row r="421" spans="1:3" ht="13.2">
      <c r="A421" s="3"/>
      <c r="B421" s="5"/>
      <c r="C421" s="63"/>
    </row>
    <row r="422" spans="1:3" ht="13.2">
      <c r="A422" s="3"/>
      <c r="B422" s="5"/>
      <c r="C422" s="63"/>
    </row>
    <row r="423" spans="1:3" ht="13.2">
      <c r="A423" s="3"/>
      <c r="B423" s="5"/>
      <c r="C423" s="63"/>
    </row>
    <row r="424" spans="1:3" ht="13.2">
      <c r="A424" s="3"/>
      <c r="B424" s="5"/>
      <c r="C424" s="63"/>
    </row>
    <row r="425" spans="1:3" ht="13.2">
      <c r="A425" s="3"/>
      <c r="B425" s="5"/>
      <c r="C425" s="63"/>
    </row>
    <row r="426" spans="1:3" ht="13.2">
      <c r="A426" s="3"/>
      <c r="B426" s="5"/>
      <c r="C426" s="63"/>
    </row>
    <row r="427" spans="1:3" ht="13.2">
      <c r="A427" s="3"/>
      <c r="B427" s="5"/>
      <c r="C427" s="63"/>
    </row>
    <row r="428" spans="1:3" ht="13.2">
      <c r="A428" s="3"/>
      <c r="B428" s="5"/>
      <c r="C428" s="63"/>
    </row>
    <row r="429" spans="1:3" ht="13.2">
      <c r="A429" s="3"/>
      <c r="B429" s="5"/>
      <c r="C429" s="63"/>
    </row>
    <row r="430" spans="1:3" ht="13.2">
      <c r="A430" s="3"/>
      <c r="B430" s="5"/>
      <c r="C430" s="63"/>
    </row>
    <row r="431" spans="1:3" ht="13.2">
      <c r="A431" s="3"/>
      <c r="B431" s="5"/>
      <c r="C431" s="63"/>
    </row>
    <row r="432" spans="1:3" ht="13.2">
      <c r="A432" s="3"/>
      <c r="B432" s="5"/>
      <c r="C432" s="63"/>
    </row>
    <row r="433" spans="1:3" ht="13.2">
      <c r="A433" s="3"/>
      <c r="B433" s="5"/>
      <c r="C433" s="63"/>
    </row>
    <row r="434" spans="1:3" ht="13.2">
      <c r="A434" s="3"/>
      <c r="B434" s="5"/>
      <c r="C434" s="63"/>
    </row>
    <row r="435" spans="1:3" ht="13.2">
      <c r="A435" s="3"/>
      <c r="B435" s="5"/>
      <c r="C435" s="63"/>
    </row>
    <row r="436" spans="1:3" ht="13.2">
      <c r="A436" s="3"/>
      <c r="B436" s="5"/>
      <c r="C436" s="63"/>
    </row>
    <row r="437" spans="1:3" ht="13.2">
      <c r="A437" s="3"/>
      <c r="B437" s="5"/>
      <c r="C437" s="63"/>
    </row>
    <row r="438" spans="1:3" ht="13.2">
      <c r="A438" s="3"/>
      <c r="B438" s="5"/>
      <c r="C438" s="63"/>
    </row>
    <row r="439" spans="1:3" ht="13.2">
      <c r="A439" s="3"/>
      <c r="B439" s="5"/>
      <c r="C439" s="63"/>
    </row>
    <row r="440" spans="1:3" ht="13.2">
      <c r="A440" s="3"/>
      <c r="B440" s="5"/>
      <c r="C440" s="63"/>
    </row>
    <row r="441" spans="1:3" ht="13.2">
      <c r="A441" s="3"/>
      <c r="B441" s="5"/>
      <c r="C441" s="63"/>
    </row>
    <row r="442" spans="1:3" ht="13.2">
      <c r="A442" s="3"/>
      <c r="B442" s="5"/>
      <c r="C442" s="63"/>
    </row>
    <row r="443" spans="1:3" ht="13.2">
      <c r="A443" s="3"/>
      <c r="B443" s="5"/>
      <c r="C443" s="63"/>
    </row>
    <row r="444" spans="1:3" ht="13.2">
      <c r="A444" s="3"/>
      <c r="B444" s="5"/>
      <c r="C444" s="63"/>
    </row>
    <row r="445" spans="1:3" ht="13.2">
      <c r="A445" s="3"/>
      <c r="B445" s="5"/>
      <c r="C445" s="63"/>
    </row>
    <row r="446" spans="1:3" ht="13.2">
      <c r="A446" s="3"/>
      <c r="B446" s="5"/>
      <c r="C446" s="63"/>
    </row>
    <row r="447" spans="1:3" ht="13.2">
      <c r="A447" s="3"/>
      <c r="B447" s="5"/>
      <c r="C447" s="63"/>
    </row>
    <row r="448" spans="1:3" ht="13.2">
      <c r="A448" s="3"/>
      <c r="B448" s="5"/>
      <c r="C448" s="63"/>
    </row>
    <row r="449" spans="1:3" ht="13.2">
      <c r="A449" s="3"/>
      <c r="B449" s="5"/>
      <c r="C449" s="63"/>
    </row>
    <row r="450" spans="1:3" ht="13.2">
      <c r="A450" s="3"/>
      <c r="B450" s="5"/>
      <c r="C450" s="63"/>
    </row>
    <row r="451" spans="1:3" ht="13.2">
      <c r="A451" s="3"/>
      <c r="B451" s="5"/>
      <c r="C451" s="63"/>
    </row>
    <row r="452" spans="1:3" ht="13.2">
      <c r="A452" s="3"/>
      <c r="B452" s="5"/>
      <c r="C452" s="63"/>
    </row>
    <row r="453" spans="1:3" ht="13.2">
      <c r="A453" s="3"/>
      <c r="B453" s="5"/>
      <c r="C453" s="63"/>
    </row>
    <row r="454" spans="1:3" ht="13.2">
      <c r="A454" s="3"/>
      <c r="B454" s="5"/>
      <c r="C454" s="63"/>
    </row>
    <row r="455" spans="1:3" ht="13.2">
      <c r="A455" s="3"/>
      <c r="B455" s="5"/>
      <c r="C455" s="63"/>
    </row>
    <row r="456" spans="1:3" ht="13.2">
      <c r="A456" s="3"/>
      <c r="B456" s="5"/>
      <c r="C456" s="63"/>
    </row>
    <row r="457" spans="1:3" ht="13.2">
      <c r="A457" s="3"/>
      <c r="B457" s="5"/>
      <c r="C457" s="63"/>
    </row>
    <row r="458" spans="1:3" ht="13.2">
      <c r="A458" s="3"/>
      <c r="B458" s="5"/>
      <c r="C458" s="63"/>
    </row>
    <row r="459" spans="1:3" ht="13.2">
      <c r="A459" s="3"/>
      <c r="B459" s="5"/>
      <c r="C459" s="63"/>
    </row>
    <row r="460" spans="1:3" ht="13.2">
      <c r="A460" s="3"/>
      <c r="B460" s="5"/>
      <c r="C460" s="63"/>
    </row>
    <row r="461" spans="1:3" ht="13.2">
      <c r="A461" s="3"/>
      <c r="B461" s="5"/>
      <c r="C461" s="63"/>
    </row>
    <row r="462" spans="1:3" ht="13.2">
      <c r="A462" s="3"/>
      <c r="B462" s="5"/>
      <c r="C462" s="63"/>
    </row>
    <row r="463" spans="1:3" ht="13.2">
      <c r="A463" s="3"/>
      <c r="B463" s="5"/>
      <c r="C463" s="63"/>
    </row>
    <row r="464" spans="1:3" ht="13.2">
      <c r="A464" s="3"/>
      <c r="B464" s="5"/>
      <c r="C464" s="63"/>
    </row>
    <row r="465" spans="1:3" ht="13.2">
      <c r="A465" s="3"/>
      <c r="B465" s="5"/>
      <c r="C465" s="63"/>
    </row>
    <row r="466" spans="1:3" ht="13.2">
      <c r="A466" s="3"/>
      <c r="B466" s="5"/>
      <c r="C466" s="63"/>
    </row>
    <row r="467" spans="1:3" ht="13.2">
      <c r="A467" s="3"/>
      <c r="B467" s="5"/>
      <c r="C467" s="63"/>
    </row>
    <row r="468" spans="1:3" ht="13.2">
      <c r="A468" s="3"/>
      <c r="B468" s="5"/>
      <c r="C468" s="63"/>
    </row>
    <row r="469" spans="1:3" ht="13.2">
      <c r="A469" s="3"/>
      <c r="B469" s="5"/>
      <c r="C469" s="63"/>
    </row>
    <row r="470" spans="1:3" ht="13.2">
      <c r="A470" s="3"/>
      <c r="B470" s="5"/>
      <c r="C470" s="63"/>
    </row>
    <row r="471" spans="1:3" ht="13.2">
      <c r="A471" s="3"/>
      <c r="B471" s="5"/>
      <c r="C471" s="63"/>
    </row>
    <row r="472" spans="1:3" ht="13.2">
      <c r="A472" s="3"/>
      <c r="B472" s="5"/>
      <c r="C472" s="63"/>
    </row>
    <row r="473" spans="1:3" ht="13.2">
      <c r="A473" s="3"/>
      <c r="B473" s="5"/>
      <c r="C473" s="63"/>
    </row>
    <row r="474" spans="1:3" ht="13.2">
      <c r="A474" s="3"/>
      <c r="B474" s="5"/>
      <c r="C474" s="63"/>
    </row>
    <row r="475" spans="1:3" ht="13.2">
      <c r="A475" s="3"/>
      <c r="B475" s="5"/>
      <c r="C475" s="63"/>
    </row>
    <row r="476" spans="1:3" ht="13.2">
      <c r="A476" s="3"/>
      <c r="B476" s="5"/>
      <c r="C476" s="63"/>
    </row>
    <row r="477" spans="1:3" ht="13.2">
      <c r="A477" s="3"/>
      <c r="B477" s="5"/>
      <c r="C477" s="63"/>
    </row>
    <row r="478" spans="1:3" ht="13.2">
      <c r="A478" s="3"/>
      <c r="B478" s="5"/>
      <c r="C478" s="63"/>
    </row>
    <row r="479" spans="1:3" ht="13.2">
      <c r="A479" s="3"/>
      <c r="B479" s="5"/>
      <c r="C479" s="63"/>
    </row>
    <row r="480" spans="1:3" ht="13.2">
      <c r="A480" s="3"/>
      <c r="B480" s="5"/>
      <c r="C480" s="63"/>
    </row>
    <row r="481" spans="1:3" ht="13.2">
      <c r="A481" s="3"/>
      <c r="B481" s="5"/>
      <c r="C481" s="63"/>
    </row>
    <row r="482" spans="1:3" ht="13.2">
      <c r="A482" s="3"/>
      <c r="B482" s="5"/>
      <c r="C482" s="63"/>
    </row>
    <row r="483" spans="1:3" ht="13.2">
      <c r="A483" s="3"/>
      <c r="B483" s="5"/>
      <c r="C483" s="63"/>
    </row>
    <row r="484" spans="1:3" ht="13.2">
      <c r="A484" s="3"/>
      <c r="B484" s="5"/>
      <c r="C484" s="63"/>
    </row>
    <row r="485" spans="1:3" ht="13.2">
      <c r="A485" s="3"/>
      <c r="B485" s="5"/>
      <c r="C485" s="63"/>
    </row>
    <row r="486" spans="1:3" ht="13.2">
      <c r="A486" s="3"/>
      <c r="B486" s="5"/>
      <c r="C486" s="63"/>
    </row>
    <row r="487" spans="1:3" ht="13.2">
      <c r="A487" s="3"/>
      <c r="B487" s="5"/>
      <c r="C487" s="63"/>
    </row>
    <row r="488" spans="1:3" ht="13.2">
      <c r="A488" s="3"/>
      <c r="B488" s="5"/>
      <c r="C488" s="63"/>
    </row>
    <row r="489" spans="1:3" ht="13.2">
      <c r="A489" s="3"/>
      <c r="B489" s="5"/>
      <c r="C489" s="63"/>
    </row>
    <row r="490" spans="1:3" ht="13.2">
      <c r="A490" s="3"/>
      <c r="B490" s="5"/>
      <c r="C490" s="63"/>
    </row>
    <row r="491" spans="1:3" ht="13.2">
      <c r="A491" s="3"/>
      <c r="B491" s="5"/>
      <c r="C491" s="63"/>
    </row>
    <row r="492" spans="1:3" ht="13.2">
      <c r="A492" s="3"/>
      <c r="B492" s="5"/>
      <c r="C492" s="63"/>
    </row>
    <row r="493" spans="1:3" ht="13.2">
      <c r="A493" s="3"/>
      <c r="B493" s="5"/>
      <c r="C493" s="63"/>
    </row>
    <row r="494" spans="1:3" ht="13.2">
      <c r="A494" s="3"/>
      <c r="B494" s="5"/>
      <c r="C494" s="63"/>
    </row>
    <row r="495" spans="1:3" ht="13.2">
      <c r="A495" s="3"/>
      <c r="B495" s="5"/>
      <c r="C495" s="63"/>
    </row>
    <row r="496" spans="1:3" ht="13.2">
      <c r="A496" s="3"/>
      <c r="B496" s="5"/>
      <c r="C496" s="63"/>
    </row>
    <row r="497" spans="1:3" ht="13.2">
      <c r="A497" s="3"/>
      <c r="B497" s="5"/>
      <c r="C497" s="63"/>
    </row>
    <row r="498" spans="1:3" ht="13.2">
      <c r="A498" s="3"/>
      <c r="B498" s="5"/>
      <c r="C498" s="63"/>
    </row>
    <row r="499" spans="1:3" ht="13.2">
      <c r="A499" s="3"/>
      <c r="B499" s="5"/>
      <c r="C499" s="63"/>
    </row>
    <row r="500" spans="1:3" ht="13.2">
      <c r="A500" s="3"/>
      <c r="B500" s="5"/>
      <c r="C500" s="63"/>
    </row>
    <row r="501" spans="1:3" ht="13.2">
      <c r="A501" s="3"/>
      <c r="B501" s="5"/>
      <c r="C501" s="63"/>
    </row>
    <row r="502" spans="1:3" ht="13.2">
      <c r="A502" s="3"/>
      <c r="B502" s="5"/>
      <c r="C502" s="63"/>
    </row>
    <row r="503" spans="1:3" ht="13.2">
      <c r="A503" s="3"/>
      <c r="B503" s="5"/>
      <c r="C503" s="63"/>
    </row>
    <row r="504" spans="1:3" ht="13.2">
      <c r="A504" s="3"/>
      <c r="B504" s="5"/>
      <c r="C504" s="63"/>
    </row>
    <row r="505" spans="1:3" ht="13.2">
      <c r="A505" s="3"/>
      <c r="B505" s="5"/>
      <c r="C505" s="63"/>
    </row>
    <row r="506" spans="1:3" ht="13.2">
      <c r="A506" s="3"/>
      <c r="B506" s="5"/>
      <c r="C506" s="63"/>
    </row>
    <row r="507" spans="1:3" ht="13.2">
      <c r="A507" s="3"/>
      <c r="B507" s="5"/>
      <c r="C507" s="63"/>
    </row>
    <row r="508" spans="1:3" ht="13.2">
      <c r="A508" s="3"/>
      <c r="B508" s="5"/>
      <c r="C508" s="63"/>
    </row>
    <row r="509" spans="1:3" ht="13.2">
      <c r="A509" s="3"/>
      <c r="B509" s="5"/>
      <c r="C509" s="63"/>
    </row>
    <row r="510" spans="1:3" ht="13.2">
      <c r="A510" s="3"/>
      <c r="B510" s="5"/>
      <c r="C510" s="63"/>
    </row>
    <row r="511" spans="1:3" ht="13.2">
      <c r="A511" s="3"/>
      <c r="B511" s="5"/>
      <c r="C511" s="63"/>
    </row>
    <row r="512" spans="1:3" ht="13.2">
      <c r="A512" s="3"/>
      <c r="B512" s="5"/>
      <c r="C512" s="63"/>
    </row>
    <row r="513" spans="1:3" ht="13.2">
      <c r="A513" s="3"/>
      <c r="B513" s="5"/>
      <c r="C513" s="63"/>
    </row>
    <row r="514" spans="1:3" ht="13.2">
      <c r="A514" s="3"/>
      <c r="B514" s="5"/>
      <c r="C514" s="63"/>
    </row>
    <row r="515" spans="1:3" ht="13.2">
      <c r="A515" s="3"/>
      <c r="B515" s="5"/>
      <c r="C515" s="63"/>
    </row>
    <row r="516" spans="1:3" ht="13.2">
      <c r="A516" s="3"/>
      <c r="B516" s="5"/>
      <c r="C516" s="63"/>
    </row>
    <row r="517" spans="1:3" ht="13.2">
      <c r="A517" s="3"/>
      <c r="B517" s="5"/>
      <c r="C517" s="63"/>
    </row>
    <row r="518" spans="1:3" ht="13.2">
      <c r="A518" s="3"/>
      <c r="B518" s="5"/>
      <c r="C518" s="63"/>
    </row>
    <row r="519" spans="1:3" ht="13.2">
      <c r="A519" s="3"/>
      <c r="B519" s="5"/>
      <c r="C519" s="63"/>
    </row>
    <row r="520" spans="1:3" ht="13.2">
      <c r="A520" s="3"/>
      <c r="B520" s="5"/>
      <c r="C520" s="63"/>
    </row>
    <row r="521" spans="1:3" ht="13.2">
      <c r="A521" s="3"/>
      <c r="B521" s="5"/>
      <c r="C521" s="63"/>
    </row>
    <row r="522" spans="1:3" ht="13.2">
      <c r="A522" s="3"/>
      <c r="B522" s="5"/>
      <c r="C522" s="63"/>
    </row>
    <row r="523" spans="1:3" ht="13.2">
      <c r="A523" s="3"/>
      <c r="B523" s="5"/>
      <c r="C523" s="63"/>
    </row>
    <row r="524" spans="1:3" ht="13.2">
      <c r="A524" s="3"/>
      <c r="B524" s="5"/>
      <c r="C524" s="63"/>
    </row>
    <row r="525" spans="1:3" ht="13.2">
      <c r="A525" s="3"/>
      <c r="B525" s="5"/>
      <c r="C525" s="63"/>
    </row>
    <row r="526" spans="1:3" ht="13.2">
      <c r="A526" s="3"/>
      <c r="B526" s="5"/>
      <c r="C526" s="63"/>
    </row>
    <row r="527" spans="1:3" ht="13.2">
      <c r="A527" s="3"/>
      <c r="B527" s="5"/>
      <c r="C527" s="63"/>
    </row>
    <row r="528" spans="1:3" ht="13.2">
      <c r="A528" s="3"/>
      <c r="B528" s="5"/>
      <c r="C528" s="63"/>
    </row>
    <row r="529" spans="1:3" ht="13.2">
      <c r="A529" s="3"/>
      <c r="B529" s="5"/>
      <c r="C529" s="63"/>
    </row>
    <row r="530" spans="1:3" ht="13.2">
      <c r="A530" s="3"/>
      <c r="B530" s="5"/>
      <c r="C530" s="63"/>
    </row>
    <row r="531" spans="1:3" ht="13.2">
      <c r="A531" s="3"/>
      <c r="B531" s="5"/>
      <c r="C531" s="63"/>
    </row>
    <row r="532" spans="1:3" ht="13.2">
      <c r="A532" s="3"/>
      <c r="B532" s="5"/>
      <c r="C532" s="63"/>
    </row>
    <row r="533" spans="1:3" ht="13.2">
      <c r="A533" s="3"/>
      <c r="B533" s="5"/>
      <c r="C533" s="63"/>
    </row>
    <row r="534" spans="1:3" ht="13.2">
      <c r="A534" s="3"/>
      <c r="B534" s="5"/>
      <c r="C534" s="63"/>
    </row>
    <row r="535" spans="1:3" ht="13.2">
      <c r="A535" s="3"/>
      <c r="B535" s="5"/>
      <c r="C535" s="63"/>
    </row>
    <row r="536" spans="1:3" ht="13.2">
      <c r="A536" s="3"/>
      <c r="B536" s="5"/>
      <c r="C536" s="63"/>
    </row>
    <row r="537" spans="1:3" ht="13.2">
      <c r="A537" s="3"/>
      <c r="B537" s="5"/>
      <c r="C537" s="63"/>
    </row>
    <row r="538" spans="1:3" ht="13.2">
      <c r="A538" s="3"/>
      <c r="B538" s="5"/>
      <c r="C538" s="63"/>
    </row>
    <row r="539" spans="1:3" ht="13.2">
      <c r="A539" s="3"/>
      <c r="B539" s="5"/>
      <c r="C539" s="63"/>
    </row>
    <row r="540" spans="1:3" ht="13.2">
      <c r="A540" s="3"/>
      <c r="B540" s="5"/>
      <c r="C540" s="63"/>
    </row>
    <row r="541" spans="1:3" ht="13.2">
      <c r="A541" s="3"/>
      <c r="B541" s="5"/>
      <c r="C541" s="63"/>
    </row>
    <row r="542" spans="1:3" ht="13.2">
      <c r="A542" s="3"/>
      <c r="B542" s="5"/>
      <c r="C542" s="63"/>
    </row>
    <row r="543" spans="1:3" ht="13.2">
      <c r="A543" s="3"/>
      <c r="B543" s="5"/>
      <c r="C543" s="63"/>
    </row>
    <row r="544" spans="1:3" ht="13.2">
      <c r="A544" s="3"/>
      <c r="B544" s="5"/>
      <c r="C544" s="63"/>
    </row>
    <row r="545" spans="1:3" ht="13.2">
      <c r="A545" s="3"/>
      <c r="B545" s="5"/>
      <c r="C545" s="63"/>
    </row>
    <row r="546" spans="1:3" ht="13.2">
      <c r="A546" s="3"/>
      <c r="B546" s="5"/>
      <c r="C546" s="63"/>
    </row>
    <row r="547" spans="1:3" ht="13.2">
      <c r="A547" s="3"/>
      <c r="B547" s="5"/>
      <c r="C547" s="63"/>
    </row>
    <row r="548" spans="1:3" ht="13.2">
      <c r="A548" s="3"/>
      <c r="B548" s="5"/>
      <c r="C548" s="63"/>
    </row>
    <row r="549" spans="1:3" ht="13.2">
      <c r="A549" s="3"/>
      <c r="B549" s="5"/>
      <c r="C549" s="63"/>
    </row>
    <row r="550" spans="1:3" ht="13.2">
      <c r="A550" s="3"/>
      <c r="B550" s="5"/>
      <c r="C550" s="63"/>
    </row>
    <row r="551" spans="1:3" ht="13.2">
      <c r="A551" s="3"/>
      <c r="B551" s="5"/>
      <c r="C551" s="63"/>
    </row>
    <row r="552" spans="1:3" ht="13.2">
      <c r="A552" s="3"/>
      <c r="B552" s="5"/>
      <c r="C552" s="63"/>
    </row>
    <row r="553" spans="1:3" ht="13.2">
      <c r="A553" s="3"/>
      <c r="B553" s="5"/>
      <c r="C553" s="63"/>
    </row>
    <row r="554" spans="1:3" ht="13.2">
      <c r="A554" s="3"/>
      <c r="B554" s="5"/>
      <c r="C554" s="63"/>
    </row>
    <row r="555" spans="1:3" ht="13.2">
      <c r="A555" s="3"/>
      <c r="B555" s="5"/>
      <c r="C555" s="63"/>
    </row>
    <row r="556" spans="1:3" ht="13.2">
      <c r="A556" s="3"/>
      <c r="B556" s="5"/>
      <c r="C556" s="63"/>
    </row>
    <row r="557" spans="1:3" ht="13.2">
      <c r="A557" s="3"/>
      <c r="B557" s="5"/>
      <c r="C557" s="63"/>
    </row>
    <row r="558" spans="1:3" ht="13.2">
      <c r="A558" s="3"/>
      <c r="B558" s="5"/>
      <c r="C558" s="63"/>
    </row>
    <row r="559" spans="1:3" ht="13.2">
      <c r="A559" s="3"/>
      <c r="B559" s="5"/>
      <c r="C559" s="63"/>
    </row>
    <row r="560" spans="1:3" ht="13.2">
      <c r="A560" s="3"/>
      <c r="B560" s="5"/>
      <c r="C560" s="63"/>
    </row>
    <row r="561" spans="1:3" ht="13.2">
      <c r="A561" s="3"/>
      <c r="B561" s="5"/>
      <c r="C561" s="63"/>
    </row>
    <row r="562" spans="1:3" ht="13.2">
      <c r="A562" s="3"/>
      <c r="B562" s="5"/>
      <c r="C562" s="63"/>
    </row>
    <row r="563" spans="1:3" ht="13.2">
      <c r="A563" s="3"/>
      <c r="B563" s="5"/>
      <c r="C563" s="63"/>
    </row>
    <row r="564" spans="1:3" ht="13.2">
      <c r="A564" s="3"/>
      <c r="B564" s="5"/>
      <c r="C564" s="63"/>
    </row>
    <row r="565" spans="1:3" ht="13.2">
      <c r="A565" s="3"/>
      <c r="B565" s="5"/>
      <c r="C565" s="63"/>
    </row>
    <row r="566" spans="1:3" ht="13.2">
      <c r="A566" s="3"/>
      <c r="B566" s="5"/>
      <c r="C566" s="63"/>
    </row>
    <row r="567" spans="1:3" ht="13.2">
      <c r="A567" s="3"/>
      <c r="B567" s="5"/>
      <c r="C567" s="63"/>
    </row>
    <row r="568" spans="1:3" ht="13.2">
      <c r="A568" s="3"/>
      <c r="B568" s="5"/>
      <c r="C568" s="63"/>
    </row>
    <row r="569" spans="1:3" ht="13.2">
      <c r="A569" s="3"/>
      <c r="B569" s="5"/>
      <c r="C569" s="63"/>
    </row>
    <row r="570" spans="1:3" ht="13.2">
      <c r="A570" s="3"/>
      <c r="B570" s="5"/>
      <c r="C570" s="63"/>
    </row>
    <row r="571" spans="1:3" ht="13.2">
      <c r="A571" s="3"/>
      <c r="B571" s="5"/>
      <c r="C571" s="63"/>
    </row>
    <row r="572" spans="1:3" ht="13.2">
      <c r="A572" s="3"/>
      <c r="B572" s="5"/>
      <c r="C572" s="63"/>
    </row>
    <row r="573" spans="1:3" ht="13.2">
      <c r="A573" s="3"/>
      <c r="B573" s="5"/>
      <c r="C573" s="63"/>
    </row>
    <row r="574" spans="1:3" ht="13.2">
      <c r="A574" s="3"/>
      <c r="B574" s="5"/>
      <c r="C574" s="63"/>
    </row>
    <row r="575" spans="1:3" ht="13.2">
      <c r="A575" s="3"/>
      <c r="B575" s="5"/>
      <c r="C575" s="63"/>
    </row>
    <row r="576" spans="1:3" ht="13.2">
      <c r="A576" s="3"/>
      <c r="B576" s="5"/>
      <c r="C576" s="63"/>
    </row>
    <row r="577" spans="1:3" ht="13.2">
      <c r="A577" s="3"/>
      <c r="B577" s="5"/>
      <c r="C577" s="63"/>
    </row>
    <row r="578" spans="1:3" ht="13.2">
      <c r="A578" s="3"/>
      <c r="B578" s="5"/>
      <c r="C578" s="63"/>
    </row>
    <row r="579" spans="1:3" ht="13.2">
      <c r="A579" s="3"/>
      <c r="B579" s="5"/>
      <c r="C579" s="63"/>
    </row>
    <row r="580" spans="1:3" ht="13.2">
      <c r="A580" s="3"/>
      <c r="B580" s="5"/>
      <c r="C580" s="63"/>
    </row>
    <row r="581" spans="1:3" ht="13.2">
      <c r="A581" s="3"/>
      <c r="B581" s="5"/>
      <c r="C581" s="63"/>
    </row>
    <row r="582" spans="1:3" ht="13.2">
      <c r="A582" s="3"/>
      <c r="B582" s="5"/>
      <c r="C582" s="63"/>
    </row>
    <row r="583" spans="1:3" ht="13.2">
      <c r="A583" s="3"/>
      <c r="B583" s="5"/>
      <c r="C583" s="63"/>
    </row>
    <row r="584" spans="1:3" ht="13.2">
      <c r="A584" s="3"/>
      <c r="B584" s="5"/>
      <c r="C584" s="63"/>
    </row>
    <row r="585" spans="1:3" ht="13.2">
      <c r="A585" s="3"/>
      <c r="B585" s="5"/>
      <c r="C585" s="63"/>
    </row>
    <row r="586" spans="1:3" ht="13.2">
      <c r="A586" s="3"/>
      <c r="B586" s="5"/>
      <c r="C586" s="63"/>
    </row>
    <row r="587" spans="1:3" ht="13.2">
      <c r="A587" s="3"/>
      <c r="B587" s="5"/>
      <c r="C587" s="63"/>
    </row>
    <row r="588" spans="1:3" ht="13.2">
      <c r="A588" s="3"/>
      <c r="B588" s="5"/>
      <c r="C588" s="63"/>
    </row>
    <row r="589" spans="1:3" ht="13.2">
      <c r="A589" s="3"/>
      <c r="B589" s="5"/>
      <c r="C589" s="63"/>
    </row>
    <row r="590" spans="1:3" ht="13.2">
      <c r="A590" s="3"/>
      <c r="B590" s="5"/>
      <c r="C590" s="63"/>
    </row>
    <row r="591" spans="1:3" ht="13.2">
      <c r="A591" s="3"/>
      <c r="B591" s="5"/>
      <c r="C591" s="63"/>
    </row>
    <row r="592" spans="1:3" ht="13.2">
      <c r="A592" s="3"/>
      <c r="B592" s="5"/>
      <c r="C592" s="63"/>
    </row>
    <row r="593" spans="1:3" ht="13.2">
      <c r="A593" s="3"/>
      <c r="B593" s="5"/>
      <c r="C593" s="63"/>
    </row>
    <row r="594" spans="1:3" ht="13.2">
      <c r="A594" s="3"/>
      <c r="B594" s="5"/>
      <c r="C594" s="63"/>
    </row>
    <row r="595" spans="1:3" ht="13.2">
      <c r="A595" s="3"/>
      <c r="B595" s="5"/>
      <c r="C595" s="63"/>
    </row>
    <row r="596" spans="1:3" ht="13.2">
      <c r="A596" s="3"/>
      <c r="B596" s="5"/>
      <c r="C596" s="63"/>
    </row>
    <row r="597" spans="1:3" ht="13.2">
      <c r="A597" s="3"/>
      <c r="B597" s="5"/>
      <c r="C597" s="63"/>
    </row>
    <row r="598" spans="1:3" ht="13.2">
      <c r="A598" s="3"/>
      <c r="B598" s="5"/>
      <c r="C598" s="63"/>
    </row>
    <row r="599" spans="1:3" ht="13.2">
      <c r="A599" s="3"/>
      <c r="B599" s="5"/>
      <c r="C599" s="63"/>
    </row>
    <row r="600" spans="1:3" ht="13.2">
      <c r="A600" s="3"/>
      <c r="B600" s="5"/>
      <c r="C600" s="63"/>
    </row>
    <row r="601" spans="1:3" ht="13.2">
      <c r="A601" s="3"/>
      <c r="B601" s="5"/>
      <c r="C601" s="63"/>
    </row>
    <row r="602" spans="1:3" ht="13.2">
      <c r="A602" s="3"/>
      <c r="B602" s="5"/>
      <c r="C602" s="63"/>
    </row>
    <row r="603" spans="1:3" ht="13.2">
      <c r="A603" s="3"/>
      <c r="B603" s="5"/>
      <c r="C603" s="63"/>
    </row>
    <row r="604" spans="1:3" ht="13.2">
      <c r="A604" s="3"/>
      <c r="B604" s="5"/>
      <c r="C604" s="63"/>
    </row>
    <row r="605" spans="1:3" ht="13.2">
      <c r="A605" s="3"/>
      <c r="B605" s="5"/>
      <c r="C605" s="63"/>
    </row>
    <row r="606" spans="1:3" ht="13.2">
      <c r="A606" s="3"/>
      <c r="B606" s="5"/>
      <c r="C606" s="63"/>
    </row>
    <row r="607" spans="1:3" ht="13.2">
      <c r="A607" s="3"/>
      <c r="B607" s="5"/>
      <c r="C607" s="63"/>
    </row>
    <row r="608" spans="1:3" ht="13.2">
      <c r="A608" s="3"/>
      <c r="B608" s="5"/>
      <c r="C608" s="63"/>
    </row>
    <row r="609" spans="1:3" ht="13.2">
      <c r="A609" s="3"/>
      <c r="B609" s="5"/>
      <c r="C609" s="63"/>
    </row>
    <row r="610" spans="1:3" ht="13.2">
      <c r="A610" s="3"/>
      <c r="B610" s="5"/>
      <c r="C610" s="63"/>
    </row>
    <row r="611" spans="1:3" ht="13.2">
      <c r="A611" s="3"/>
      <c r="B611" s="5"/>
      <c r="C611" s="63"/>
    </row>
    <row r="612" spans="1:3" ht="13.2">
      <c r="A612" s="3"/>
      <c r="B612" s="5"/>
      <c r="C612" s="63"/>
    </row>
    <row r="613" spans="1:3" ht="13.2">
      <c r="A613" s="3"/>
      <c r="B613" s="5"/>
      <c r="C613" s="63"/>
    </row>
    <row r="614" spans="1:3" ht="13.2">
      <c r="A614" s="3"/>
      <c r="B614" s="5"/>
      <c r="C614" s="63"/>
    </row>
    <row r="615" spans="1:3" ht="13.2">
      <c r="A615" s="3"/>
      <c r="B615" s="5"/>
      <c r="C615" s="63"/>
    </row>
    <row r="616" spans="1:3" ht="13.2">
      <c r="A616" s="3"/>
      <c r="B616" s="5"/>
      <c r="C616" s="63"/>
    </row>
    <row r="617" spans="1:3" ht="13.2">
      <c r="A617" s="3"/>
      <c r="B617" s="5"/>
      <c r="C617" s="63"/>
    </row>
    <row r="618" spans="1:3" ht="13.2">
      <c r="A618" s="3"/>
      <c r="B618" s="5"/>
      <c r="C618" s="63"/>
    </row>
    <row r="619" spans="1:3" ht="13.2">
      <c r="A619" s="3"/>
      <c r="B619" s="5"/>
      <c r="C619" s="63"/>
    </row>
    <row r="620" spans="1:3" ht="13.2">
      <c r="A620" s="3"/>
      <c r="B620" s="5"/>
      <c r="C620" s="63"/>
    </row>
    <row r="621" spans="1:3" ht="13.2">
      <c r="A621" s="3"/>
      <c r="B621" s="5"/>
      <c r="C621" s="63"/>
    </row>
    <row r="622" spans="1:3" ht="13.2">
      <c r="A622" s="3"/>
      <c r="B622" s="5"/>
      <c r="C622" s="63"/>
    </row>
    <row r="623" spans="1:3" ht="13.2">
      <c r="A623" s="3"/>
      <c r="B623" s="5"/>
      <c r="C623" s="63"/>
    </row>
    <row r="624" spans="1:3" ht="13.2">
      <c r="A624" s="3"/>
      <c r="B624" s="5"/>
      <c r="C624" s="63"/>
    </row>
    <row r="625" spans="1:3" ht="13.2">
      <c r="A625" s="3"/>
      <c r="B625" s="5"/>
      <c r="C625" s="63"/>
    </row>
    <row r="626" spans="1:3" ht="13.2">
      <c r="A626" s="3"/>
      <c r="B626" s="5"/>
      <c r="C626" s="63"/>
    </row>
    <row r="627" spans="1:3" ht="13.2">
      <c r="A627" s="3"/>
      <c r="B627" s="5"/>
      <c r="C627" s="63"/>
    </row>
    <row r="628" spans="1:3" ht="13.2">
      <c r="A628" s="3"/>
      <c r="B628" s="5"/>
      <c r="C628" s="63"/>
    </row>
    <row r="629" spans="1:3" ht="13.2">
      <c r="A629" s="3"/>
      <c r="B629" s="5"/>
      <c r="C629" s="63"/>
    </row>
    <row r="630" spans="1:3" ht="13.2">
      <c r="A630" s="3"/>
      <c r="B630" s="5"/>
      <c r="C630" s="63"/>
    </row>
    <row r="631" spans="1:3" ht="13.2">
      <c r="A631" s="3"/>
      <c r="B631" s="5"/>
      <c r="C631" s="63"/>
    </row>
    <row r="632" spans="1:3" ht="13.2">
      <c r="A632" s="3"/>
      <c r="B632" s="5"/>
      <c r="C632" s="63"/>
    </row>
    <row r="633" spans="1:3" ht="13.2">
      <c r="A633" s="3"/>
      <c r="B633" s="5"/>
      <c r="C633" s="63"/>
    </row>
    <row r="634" spans="1:3" ht="13.2">
      <c r="A634" s="3"/>
      <c r="B634" s="5"/>
      <c r="C634" s="63"/>
    </row>
    <row r="635" spans="1:3" ht="13.2">
      <c r="A635" s="3"/>
      <c r="B635" s="5"/>
      <c r="C635" s="63"/>
    </row>
    <row r="636" spans="1:3" ht="13.2">
      <c r="A636" s="3"/>
      <c r="B636" s="5"/>
      <c r="C636" s="63"/>
    </row>
    <row r="637" spans="1:3" ht="13.2">
      <c r="A637" s="3"/>
      <c r="B637" s="5"/>
      <c r="C637" s="63"/>
    </row>
    <row r="638" spans="1:3" ht="13.2">
      <c r="A638" s="3"/>
      <c r="B638" s="5"/>
      <c r="C638" s="63"/>
    </row>
    <row r="639" spans="1:3" ht="13.2">
      <c r="A639" s="3"/>
      <c r="B639" s="5"/>
      <c r="C639" s="63"/>
    </row>
    <row r="640" spans="1:3" ht="13.2">
      <c r="A640" s="3"/>
      <c r="B640" s="5"/>
      <c r="C640" s="63"/>
    </row>
    <row r="641" spans="1:3" ht="13.2">
      <c r="A641" s="3"/>
      <c r="B641" s="5"/>
      <c r="C641" s="63"/>
    </row>
    <row r="642" spans="1:3" ht="13.2">
      <c r="A642" s="3"/>
      <c r="B642" s="5"/>
      <c r="C642" s="63"/>
    </row>
    <row r="643" spans="1:3" ht="13.2">
      <c r="A643" s="3"/>
      <c r="B643" s="5"/>
      <c r="C643" s="63"/>
    </row>
    <row r="644" spans="1:3" ht="13.2">
      <c r="A644" s="3"/>
      <c r="B644" s="5"/>
      <c r="C644" s="63"/>
    </row>
    <row r="645" spans="1:3" ht="13.2">
      <c r="A645" s="3"/>
      <c r="B645" s="5"/>
      <c r="C645" s="63"/>
    </row>
    <row r="646" spans="1:3" ht="13.2">
      <c r="A646" s="3"/>
      <c r="B646" s="5"/>
      <c r="C646" s="63"/>
    </row>
    <row r="647" spans="1:3" ht="13.2">
      <c r="A647" s="3"/>
      <c r="B647" s="5"/>
      <c r="C647" s="63"/>
    </row>
    <row r="648" spans="1:3" ht="13.2">
      <c r="A648" s="3"/>
      <c r="B648" s="5"/>
      <c r="C648" s="63"/>
    </row>
    <row r="649" spans="1:3" ht="13.2">
      <c r="A649" s="3"/>
      <c r="B649" s="5"/>
      <c r="C649" s="63"/>
    </row>
    <row r="650" spans="1:3" ht="13.2">
      <c r="A650" s="3"/>
      <c r="B650" s="5"/>
      <c r="C650" s="63"/>
    </row>
    <row r="651" spans="1:3" ht="13.2">
      <c r="A651" s="3"/>
      <c r="B651" s="5"/>
      <c r="C651" s="63"/>
    </row>
    <row r="652" spans="1:3" ht="13.2">
      <c r="A652" s="3"/>
      <c r="B652" s="5"/>
      <c r="C652" s="63"/>
    </row>
    <row r="653" spans="1:3" ht="13.2">
      <c r="A653" s="3"/>
      <c r="B653" s="5"/>
      <c r="C653" s="63"/>
    </row>
    <row r="654" spans="1:3" ht="13.2">
      <c r="A654" s="3"/>
      <c r="B654" s="5"/>
      <c r="C654" s="63"/>
    </row>
    <row r="655" spans="1:3" ht="13.2">
      <c r="A655" s="3"/>
      <c r="B655" s="5"/>
      <c r="C655" s="63"/>
    </row>
    <row r="656" spans="1:3" ht="13.2">
      <c r="A656" s="3"/>
      <c r="B656" s="5"/>
      <c r="C656" s="63"/>
    </row>
    <row r="657" spans="1:3" ht="13.2">
      <c r="A657" s="3"/>
      <c r="B657" s="5"/>
      <c r="C657" s="63"/>
    </row>
    <row r="658" spans="1:3" ht="13.2">
      <c r="A658" s="3"/>
      <c r="B658" s="5"/>
      <c r="C658" s="63"/>
    </row>
    <row r="659" spans="1:3" ht="13.2">
      <c r="A659" s="3"/>
      <c r="B659" s="5"/>
      <c r="C659" s="63"/>
    </row>
    <row r="660" spans="1:3" ht="13.2">
      <c r="A660" s="3"/>
      <c r="B660" s="5"/>
      <c r="C660" s="63"/>
    </row>
    <row r="661" spans="1:3" ht="13.2">
      <c r="A661" s="3"/>
      <c r="B661" s="5"/>
      <c r="C661" s="63"/>
    </row>
    <row r="662" spans="1:3" ht="13.2">
      <c r="A662" s="3"/>
      <c r="B662" s="5"/>
      <c r="C662" s="63"/>
    </row>
    <row r="663" spans="1:3" ht="13.2">
      <c r="A663" s="3"/>
      <c r="B663" s="5"/>
      <c r="C663" s="63"/>
    </row>
    <row r="664" spans="1:3" ht="13.2">
      <c r="A664" s="3"/>
      <c r="B664" s="5"/>
      <c r="C664" s="63"/>
    </row>
    <row r="665" spans="1:3" ht="13.2">
      <c r="A665" s="3"/>
      <c r="B665" s="5"/>
      <c r="C665" s="63"/>
    </row>
    <row r="666" spans="1:3" ht="13.2">
      <c r="A666" s="3"/>
      <c r="B666" s="5"/>
      <c r="C666" s="63"/>
    </row>
    <row r="667" spans="1:3" ht="13.2">
      <c r="A667" s="3"/>
      <c r="B667" s="5"/>
      <c r="C667" s="63"/>
    </row>
    <row r="668" spans="1:3" ht="13.2">
      <c r="A668" s="3"/>
      <c r="B668" s="5"/>
      <c r="C668" s="63"/>
    </row>
    <row r="669" spans="1:3" ht="13.2">
      <c r="A669" s="3"/>
      <c r="B669" s="5"/>
      <c r="C669" s="63"/>
    </row>
    <row r="670" spans="1:3" ht="13.2">
      <c r="A670" s="3"/>
      <c r="B670" s="5"/>
      <c r="C670" s="63"/>
    </row>
    <row r="671" spans="1:3" ht="13.2">
      <c r="A671" s="3"/>
      <c r="B671" s="5"/>
      <c r="C671" s="63"/>
    </row>
    <row r="672" spans="1:3" ht="13.2">
      <c r="A672" s="3"/>
      <c r="B672" s="5"/>
      <c r="C672" s="63"/>
    </row>
    <row r="673" spans="1:3" ht="13.2">
      <c r="A673" s="3"/>
      <c r="B673" s="5"/>
      <c r="C673" s="63"/>
    </row>
    <row r="674" spans="1:3" ht="13.2">
      <c r="A674" s="3"/>
      <c r="B674" s="5"/>
      <c r="C674" s="63"/>
    </row>
    <row r="675" spans="1:3" ht="13.2">
      <c r="A675" s="3"/>
      <c r="B675" s="5"/>
      <c r="C675" s="63"/>
    </row>
    <row r="676" spans="1:3" ht="13.2">
      <c r="A676" s="3"/>
      <c r="B676" s="5"/>
      <c r="C676" s="63"/>
    </row>
    <row r="677" spans="1:3" ht="13.2">
      <c r="A677" s="3"/>
      <c r="B677" s="5"/>
      <c r="C677" s="63"/>
    </row>
    <row r="678" spans="1:3" ht="13.2">
      <c r="A678" s="3"/>
      <c r="B678" s="5"/>
      <c r="C678" s="63"/>
    </row>
    <row r="679" spans="1:3" ht="13.2">
      <c r="A679" s="3"/>
      <c r="B679" s="5"/>
      <c r="C679" s="63"/>
    </row>
    <row r="680" spans="1:3" ht="13.2">
      <c r="A680" s="3"/>
      <c r="B680" s="5"/>
      <c r="C680" s="63"/>
    </row>
    <row r="681" spans="1:3" ht="13.2">
      <c r="A681" s="3"/>
      <c r="B681" s="5"/>
      <c r="C681" s="63"/>
    </row>
    <row r="682" spans="1:3" ht="13.2">
      <c r="A682" s="3"/>
      <c r="B682" s="5"/>
      <c r="C682" s="63"/>
    </row>
    <row r="683" spans="1:3" ht="13.2">
      <c r="A683" s="3"/>
      <c r="B683" s="5"/>
      <c r="C683" s="63"/>
    </row>
    <row r="684" spans="1:3" ht="13.2">
      <c r="A684" s="3"/>
      <c r="B684" s="5"/>
      <c r="C684" s="63"/>
    </row>
    <row r="685" spans="1:3" ht="13.2">
      <c r="A685" s="3"/>
      <c r="B685" s="5"/>
      <c r="C685" s="63"/>
    </row>
    <row r="686" spans="1:3" ht="13.2">
      <c r="A686" s="3"/>
      <c r="B686" s="5"/>
      <c r="C686" s="63"/>
    </row>
    <row r="687" spans="1:3" ht="13.2">
      <c r="A687" s="3"/>
      <c r="B687" s="5"/>
      <c r="C687" s="63"/>
    </row>
    <row r="688" spans="1:3" ht="13.2">
      <c r="A688" s="3"/>
      <c r="B688" s="5"/>
      <c r="C688" s="63"/>
    </row>
    <row r="689" spans="1:3" ht="13.2">
      <c r="A689" s="3"/>
      <c r="B689" s="5"/>
      <c r="C689" s="63"/>
    </row>
    <row r="690" spans="1:3" ht="13.2">
      <c r="A690" s="3"/>
      <c r="B690" s="5"/>
      <c r="C690" s="63"/>
    </row>
    <row r="691" spans="1:3" ht="13.2">
      <c r="A691" s="3"/>
      <c r="B691" s="5"/>
      <c r="C691" s="63"/>
    </row>
    <row r="692" spans="1:3" ht="13.2">
      <c r="A692" s="3"/>
      <c r="B692" s="5"/>
      <c r="C692" s="63"/>
    </row>
    <row r="693" spans="1:3" ht="13.2">
      <c r="A693" s="3"/>
      <c r="B693" s="5"/>
      <c r="C693" s="63"/>
    </row>
    <row r="694" spans="1:3" ht="13.2">
      <c r="A694" s="3"/>
      <c r="B694" s="5"/>
      <c r="C694" s="63"/>
    </row>
    <row r="695" spans="1:3" ht="13.2">
      <c r="A695" s="3"/>
      <c r="B695" s="5"/>
      <c r="C695" s="63"/>
    </row>
    <row r="696" spans="1:3" ht="13.2">
      <c r="A696" s="3"/>
      <c r="B696" s="5"/>
      <c r="C696" s="63"/>
    </row>
    <row r="697" spans="1:3" ht="13.2">
      <c r="A697" s="3"/>
      <c r="B697" s="5"/>
      <c r="C697" s="63"/>
    </row>
    <row r="698" spans="1:3" ht="13.2">
      <c r="A698" s="3"/>
      <c r="B698" s="5"/>
      <c r="C698" s="63"/>
    </row>
    <row r="699" spans="1:3" ht="13.2">
      <c r="A699" s="3"/>
      <c r="B699" s="5"/>
      <c r="C699" s="63"/>
    </row>
    <row r="700" spans="1:3" ht="13.2">
      <c r="A700" s="3"/>
      <c r="B700" s="5"/>
      <c r="C700" s="63"/>
    </row>
    <row r="701" spans="1:3" ht="13.2">
      <c r="A701" s="3"/>
      <c r="B701" s="5"/>
      <c r="C701" s="63"/>
    </row>
    <row r="702" spans="1:3" ht="13.2">
      <c r="A702" s="3"/>
      <c r="B702" s="5"/>
      <c r="C702" s="63"/>
    </row>
    <row r="703" spans="1:3" ht="13.2">
      <c r="A703" s="3"/>
      <c r="B703" s="5"/>
      <c r="C703" s="63"/>
    </row>
    <row r="704" spans="1:3" ht="13.2">
      <c r="A704" s="3"/>
      <c r="B704" s="5"/>
      <c r="C704" s="63"/>
    </row>
    <row r="705" spans="1:3" ht="13.2">
      <c r="A705" s="3"/>
      <c r="B705" s="5"/>
      <c r="C705" s="63"/>
    </row>
    <row r="706" spans="1:3" ht="13.2">
      <c r="A706" s="3"/>
      <c r="B706" s="5"/>
      <c r="C706" s="63"/>
    </row>
    <row r="707" spans="1:3" ht="13.2">
      <c r="A707" s="3"/>
      <c r="B707" s="5"/>
      <c r="C707" s="63"/>
    </row>
    <row r="708" spans="1:3" ht="13.2">
      <c r="A708" s="3"/>
      <c r="B708" s="5"/>
      <c r="C708" s="63"/>
    </row>
    <row r="709" spans="1:3" ht="13.2">
      <c r="A709" s="3"/>
      <c r="B709" s="5"/>
      <c r="C709" s="63"/>
    </row>
    <row r="710" spans="1:3" ht="13.2">
      <c r="A710" s="3"/>
      <c r="B710" s="5"/>
      <c r="C710" s="63"/>
    </row>
    <row r="711" spans="1:3" ht="13.2">
      <c r="A711" s="3"/>
      <c r="B711" s="5"/>
      <c r="C711" s="63"/>
    </row>
    <row r="712" spans="1:3" ht="13.2">
      <c r="A712" s="3"/>
      <c r="B712" s="5"/>
      <c r="C712" s="63"/>
    </row>
    <row r="713" spans="1:3" ht="13.2">
      <c r="A713" s="3"/>
      <c r="B713" s="5"/>
      <c r="C713" s="63"/>
    </row>
    <row r="714" spans="1:3" ht="13.2">
      <c r="A714" s="3"/>
      <c r="B714" s="5"/>
      <c r="C714" s="63"/>
    </row>
    <row r="715" spans="1:3" ht="13.2">
      <c r="A715" s="3"/>
      <c r="B715" s="5"/>
      <c r="C715" s="63"/>
    </row>
    <row r="716" spans="1:3" ht="13.2">
      <c r="A716" s="3"/>
      <c r="B716" s="5"/>
      <c r="C716" s="63"/>
    </row>
    <row r="717" spans="1:3" ht="13.2">
      <c r="A717" s="3"/>
      <c r="B717" s="5"/>
      <c r="C717" s="63"/>
    </row>
    <row r="718" spans="1:3" ht="13.2">
      <c r="A718" s="3"/>
      <c r="B718" s="5"/>
      <c r="C718" s="63"/>
    </row>
    <row r="719" spans="1:3" ht="13.2">
      <c r="A719" s="3"/>
      <c r="B719" s="5"/>
      <c r="C719" s="63"/>
    </row>
    <row r="720" spans="1:3" ht="13.2">
      <c r="A720" s="3"/>
      <c r="B720" s="5"/>
      <c r="C720" s="63"/>
    </row>
    <row r="721" spans="1:3" ht="13.2">
      <c r="A721" s="3"/>
      <c r="B721" s="5"/>
      <c r="C721" s="63"/>
    </row>
    <row r="722" spans="1:3" ht="13.2">
      <c r="A722" s="3"/>
      <c r="B722" s="5"/>
      <c r="C722" s="63"/>
    </row>
    <row r="723" spans="1:3" ht="13.2">
      <c r="A723" s="3"/>
      <c r="B723" s="5"/>
      <c r="C723" s="63"/>
    </row>
    <row r="724" spans="1:3" ht="13.2">
      <c r="A724" s="3"/>
      <c r="B724" s="5"/>
      <c r="C724" s="63"/>
    </row>
    <row r="725" spans="1:3" ht="13.2">
      <c r="A725" s="3"/>
      <c r="B725" s="5"/>
      <c r="C725" s="63"/>
    </row>
    <row r="726" spans="1:3" ht="13.2">
      <c r="A726" s="3"/>
      <c r="B726" s="5"/>
      <c r="C726" s="63"/>
    </row>
    <row r="727" spans="1:3" ht="13.2">
      <c r="A727" s="3"/>
      <c r="B727" s="5"/>
      <c r="C727" s="63"/>
    </row>
    <row r="728" spans="1:3" ht="13.2">
      <c r="A728" s="3"/>
      <c r="B728" s="5"/>
      <c r="C728" s="63"/>
    </row>
    <row r="729" spans="1:3" ht="13.2">
      <c r="A729" s="3"/>
      <c r="B729" s="5"/>
      <c r="C729" s="63"/>
    </row>
    <row r="730" spans="1:3" ht="13.2">
      <c r="A730" s="3"/>
      <c r="B730" s="5"/>
      <c r="C730" s="63"/>
    </row>
    <row r="731" spans="1:3" ht="13.2">
      <c r="A731" s="3"/>
      <c r="B731" s="5"/>
      <c r="C731" s="63"/>
    </row>
    <row r="732" spans="1:3" ht="13.2">
      <c r="A732" s="3"/>
      <c r="B732" s="5"/>
      <c r="C732" s="63"/>
    </row>
    <row r="733" spans="1:3" ht="13.2">
      <c r="A733" s="3"/>
      <c r="B733" s="5"/>
      <c r="C733" s="63"/>
    </row>
    <row r="734" spans="1:3" ht="13.2">
      <c r="A734" s="3"/>
      <c r="B734" s="5"/>
      <c r="C734" s="63"/>
    </row>
    <row r="735" spans="1:3" ht="13.2">
      <c r="A735" s="3"/>
      <c r="B735" s="5"/>
      <c r="C735" s="63"/>
    </row>
    <row r="736" spans="1:3" ht="13.2">
      <c r="A736" s="3"/>
      <c r="B736" s="5"/>
      <c r="C736" s="63"/>
    </row>
    <row r="737" spans="1:3" ht="13.2">
      <c r="A737" s="3"/>
      <c r="B737" s="5"/>
      <c r="C737" s="63"/>
    </row>
    <row r="738" spans="1:3" ht="13.2">
      <c r="A738" s="3"/>
      <c r="B738" s="5"/>
      <c r="C738" s="63"/>
    </row>
    <row r="739" spans="1:3" ht="13.2">
      <c r="A739" s="3"/>
      <c r="B739" s="5"/>
      <c r="C739" s="63"/>
    </row>
    <row r="740" spans="1:3" ht="13.2">
      <c r="A740" s="3"/>
      <c r="B740" s="5"/>
      <c r="C740" s="63"/>
    </row>
    <row r="741" spans="1:3" ht="13.2">
      <c r="A741" s="3"/>
      <c r="B741" s="5"/>
      <c r="C741" s="63"/>
    </row>
    <row r="742" spans="1:3" ht="13.2">
      <c r="A742" s="3"/>
      <c r="B742" s="5"/>
      <c r="C742" s="63"/>
    </row>
    <row r="743" spans="1:3" ht="13.2">
      <c r="A743" s="3"/>
      <c r="B743" s="5"/>
      <c r="C743" s="63"/>
    </row>
    <row r="744" spans="1:3" ht="13.2">
      <c r="A744" s="3"/>
      <c r="B744" s="5"/>
      <c r="C744" s="63"/>
    </row>
    <row r="745" spans="1:3" ht="13.2">
      <c r="A745" s="3"/>
      <c r="B745" s="5"/>
      <c r="C745" s="63"/>
    </row>
    <row r="746" spans="1:3" ht="13.2">
      <c r="A746" s="3"/>
      <c r="B746" s="5"/>
      <c r="C746" s="63"/>
    </row>
    <row r="747" spans="1:3" ht="13.2">
      <c r="A747" s="3"/>
      <c r="B747" s="5"/>
      <c r="C747" s="63"/>
    </row>
    <row r="748" spans="1:3" ht="13.2">
      <c r="A748" s="3"/>
      <c r="B748" s="5"/>
      <c r="C748" s="63"/>
    </row>
    <row r="749" spans="1:3" ht="13.2">
      <c r="A749" s="3"/>
      <c r="B749" s="5"/>
      <c r="C749" s="63"/>
    </row>
    <row r="750" spans="1:3" ht="13.2">
      <c r="A750" s="3"/>
      <c r="B750" s="5"/>
      <c r="C750" s="63"/>
    </row>
    <row r="751" spans="1:3" ht="13.2">
      <c r="A751" s="3"/>
      <c r="B751" s="5"/>
      <c r="C751" s="63"/>
    </row>
    <row r="752" spans="1:3" ht="13.2">
      <c r="A752" s="3"/>
      <c r="B752" s="5"/>
      <c r="C752" s="63"/>
    </row>
    <row r="753" spans="1:3" ht="13.2">
      <c r="A753" s="3"/>
      <c r="B753" s="5"/>
      <c r="C753" s="63"/>
    </row>
    <row r="754" spans="1:3" ht="13.2">
      <c r="A754" s="3"/>
      <c r="B754" s="5"/>
      <c r="C754" s="63"/>
    </row>
    <row r="755" spans="1:3" ht="13.2">
      <c r="A755" s="3"/>
      <c r="B755" s="5"/>
      <c r="C755" s="63"/>
    </row>
    <row r="756" spans="1:3" ht="13.2">
      <c r="A756" s="3"/>
      <c r="B756" s="5"/>
      <c r="C756" s="63"/>
    </row>
    <row r="757" spans="1:3" ht="13.2">
      <c r="A757" s="3"/>
      <c r="B757" s="5"/>
      <c r="C757" s="63"/>
    </row>
    <row r="758" spans="1:3" ht="13.2">
      <c r="A758" s="3"/>
      <c r="B758" s="5"/>
      <c r="C758" s="63"/>
    </row>
    <row r="759" spans="1:3" ht="13.2">
      <c r="A759" s="3"/>
      <c r="B759" s="5"/>
      <c r="C759" s="63"/>
    </row>
    <row r="760" spans="1:3" ht="13.2">
      <c r="A760" s="3"/>
      <c r="B760" s="5"/>
      <c r="C760" s="63"/>
    </row>
    <row r="761" spans="1:3" ht="13.2">
      <c r="A761" s="3"/>
      <c r="B761" s="5"/>
      <c r="C761" s="63"/>
    </row>
    <row r="762" spans="1:3" ht="13.2">
      <c r="A762" s="3"/>
      <c r="B762" s="5"/>
      <c r="C762" s="63"/>
    </row>
    <row r="763" spans="1:3" ht="13.2">
      <c r="A763" s="3"/>
      <c r="B763" s="5"/>
      <c r="C763" s="63"/>
    </row>
    <row r="764" spans="1:3" ht="13.2">
      <c r="A764" s="3"/>
      <c r="B764" s="5"/>
      <c r="C764" s="63"/>
    </row>
    <row r="765" spans="1:3" ht="13.2">
      <c r="A765" s="3"/>
      <c r="B765" s="5"/>
      <c r="C765" s="63"/>
    </row>
    <row r="766" spans="1:3" ht="13.2">
      <c r="A766" s="3"/>
      <c r="B766" s="5"/>
      <c r="C766" s="63"/>
    </row>
    <row r="767" spans="1:3" ht="13.2">
      <c r="A767" s="3"/>
      <c r="B767" s="5"/>
      <c r="C767" s="63"/>
    </row>
    <row r="768" spans="1:3" ht="13.2">
      <c r="A768" s="3"/>
      <c r="B768" s="5"/>
      <c r="C768" s="63"/>
    </row>
    <row r="769" spans="1:3" ht="13.2">
      <c r="A769" s="3"/>
      <c r="B769" s="5"/>
      <c r="C769" s="63"/>
    </row>
    <row r="770" spans="1:3" ht="13.2">
      <c r="A770" s="3"/>
      <c r="B770" s="5"/>
      <c r="C770" s="63"/>
    </row>
    <row r="771" spans="1:3" ht="13.2">
      <c r="A771" s="3"/>
      <c r="B771" s="5"/>
      <c r="C771" s="63"/>
    </row>
    <row r="772" spans="1:3" ht="13.2">
      <c r="A772" s="3"/>
      <c r="B772" s="5"/>
      <c r="C772" s="63"/>
    </row>
    <row r="773" spans="1:3" ht="13.2">
      <c r="A773" s="3"/>
      <c r="B773" s="5"/>
      <c r="C773" s="63"/>
    </row>
    <row r="774" spans="1:3" ht="13.2">
      <c r="A774" s="3"/>
      <c r="B774" s="5"/>
      <c r="C774" s="63"/>
    </row>
    <row r="775" spans="1:3" ht="13.2">
      <c r="A775" s="3"/>
      <c r="B775" s="5"/>
      <c r="C775" s="63"/>
    </row>
    <row r="776" spans="1:3" ht="13.2">
      <c r="A776" s="3"/>
      <c r="B776" s="5"/>
      <c r="C776" s="63"/>
    </row>
    <row r="777" spans="1:3" ht="13.2">
      <c r="A777" s="3"/>
      <c r="B777" s="5"/>
      <c r="C777" s="63"/>
    </row>
    <row r="778" spans="1:3" ht="13.2">
      <c r="A778" s="3"/>
      <c r="B778" s="5"/>
      <c r="C778" s="63"/>
    </row>
    <row r="779" spans="1:3" ht="13.2">
      <c r="A779" s="3"/>
      <c r="B779" s="5"/>
      <c r="C779" s="63"/>
    </row>
    <row r="780" spans="1:3" ht="13.2">
      <c r="A780" s="3"/>
      <c r="B780" s="5"/>
      <c r="C780" s="63"/>
    </row>
    <row r="781" spans="1:3" ht="13.2">
      <c r="A781" s="3"/>
      <c r="B781" s="5"/>
      <c r="C781" s="63"/>
    </row>
    <row r="782" spans="1:3" ht="13.2">
      <c r="A782" s="3"/>
      <c r="B782" s="5"/>
      <c r="C782" s="63"/>
    </row>
    <row r="783" spans="1:3" ht="13.2">
      <c r="A783" s="3"/>
      <c r="B783" s="5"/>
      <c r="C783" s="63"/>
    </row>
    <row r="784" spans="1:3" ht="13.2">
      <c r="A784" s="3"/>
      <c r="B784" s="5"/>
      <c r="C784" s="63"/>
    </row>
    <row r="785" spans="1:3" ht="13.2">
      <c r="A785" s="3"/>
      <c r="B785" s="5"/>
      <c r="C785" s="63"/>
    </row>
    <row r="786" spans="1:3" ht="13.2">
      <c r="A786" s="3"/>
      <c r="B786" s="5"/>
      <c r="C786" s="63"/>
    </row>
    <row r="787" spans="1:3" ht="13.2">
      <c r="A787" s="3"/>
      <c r="B787" s="5"/>
      <c r="C787" s="63"/>
    </row>
    <row r="788" spans="1:3" ht="13.2">
      <c r="A788" s="3"/>
      <c r="B788" s="5"/>
      <c r="C788" s="63"/>
    </row>
    <row r="789" spans="1:3" ht="13.2">
      <c r="A789" s="3"/>
      <c r="B789" s="5"/>
      <c r="C789" s="63"/>
    </row>
    <row r="790" spans="1:3" ht="13.2">
      <c r="A790" s="3"/>
      <c r="B790" s="5"/>
      <c r="C790" s="63"/>
    </row>
    <row r="791" spans="1:3" ht="13.2">
      <c r="A791" s="3"/>
      <c r="B791" s="5"/>
      <c r="C791" s="63"/>
    </row>
    <row r="792" spans="1:3" ht="13.2">
      <c r="A792" s="3"/>
      <c r="B792" s="5"/>
      <c r="C792" s="63"/>
    </row>
    <row r="793" spans="1:3" ht="13.2">
      <c r="A793" s="3"/>
      <c r="B793" s="5"/>
      <c r="C793" s="63"/>
    </row>
    <row r="794" spans="1:3" ht="13.2">
      <c r="A794" s="3"/>
      <c r="B794" s="5"/>
      <c r="C794" s="63"/>
    </row>
    <row r="795" spans="1:3" ht="13.2">
      <c r="A795" s="3"/>
      <c r="B795" s="5"/>
      <c r="C795" s="63"/>
    </row>
    <row r="796" spans="1:3" ht="13.2">
      <c r="A796" s="3"/>
      <c r="B796" s="5"/>
      <c r="C796" s="63"/>
    </row>
    <row r="797" spans="1:3" ht="13.2">
      <c r="A797" s="3"/>
      <c r="B797" s="5"/>
      <c r="C797" s="63"/>
    </row>
    <row r="798" spans="1:3" ht="13.2">
      <c r="A798" s="3"/>
      <c r="B798" s="5"/>
      <c r="C798" s="63"/>
    </row>
    <row r="799" spans="1:3" ht="13.2">
      <c r="A799" s="3"/>
      <c r="B799" s="5"/>
      <c r="C799" s="63"/>
    </row>
    <row r="800" spans="1:3" ht="13.2">
      <c r="A800" s="3"/>
      <c r="B800" s="5"/>
      <c r="C800" s="63"/>
    </row>
    <row r="801" spans="1:3" ht="13.2">
      <c r="A801" s="3"/>
      <c r="B801" s="5"/>
      <c r="C801" s="63"/>
    </row>
    <row r="802" spans="1:3" ht="13.2">
      <c r="A802" s="3"/>
      <c r="B802" s="5"/>
      <c r="C802" s="63"/>
    </row>
    <row r="803" spans="1:3" ht="13.2">
      <c r="A803" s="3"/>
      <c r="B803" s="5"/>
      <c r="C803" s="63"/>
    </row>
    <row r="804" spans="1:3" ht="13.2">
      <c r="A804" s="3"/>
      <c r="B804" s="5"/>
      <c r="C804" s="63"/>
    </row>
    <row r="805" spans="1:3" ht="13.2">
      <c r="A805" s="3"/>
      <c r="B805" s="5"/>
      <c r="C805" s="63"/>
    </row>
    <row r="806" spans="1:3" ht="13.2">
      <c r="A806" s="3"/>
      <c r="B806" s="5"/>
      <c r="C806" s="63"/>
    </row>
    <row r="807" spans="1:3" ht="13.2">
      <c r="A807" s="3"/>
      <c r="B807" s="5"/>
      <c r="C807" s="63"/>
    </row>
    <row r="808" spans="1:3" ht="13.2">
      <c r="A808" s="3"/>
      <c r="B808" s="5"/>
      <c r="C808" s="63"/>
    </row>
    <row r="809" spans="1:3" ht="13.2">
      <c r="A809" s="3"/>
      <c r="B809" s="5"/>
      <c r="C809" s="63"/>
    </row>
    <row r="810" spans="1:3" ht="13.2">
      <c r="A810" s="3"/>
      <c r="B810" s="5"/>
      <c r="C810" s="63"/>
    </row>
    <row r="811" spans="1:3" ht="13.2">
      <c r="A811" s="3"/>
      <c r="B811" s="5"/>
      <c r="C811" s="63"/>
    </row>
    <row r="812" spans="1:3" ht="13.2">
      <c r="A812" s="3"/>
      <c r="B812" s="5"/>
      <c r="C812" s="63"/>
    </row>
    <row r="813" spans="1:3" ht="13.2">
      <c r="A813" s="3"/>
      <c r="B813" s="5"/>
      <c r="C813" s="63"/>
    </row>
    <row r="814" spans="1:3" ht="13.2">
      <c r="A814" s="3"/>
      <c r="B814" s="5"/>
      <c r="C814" s="63"/>
    </row>
    <row r="815" spans="1:3" ht="13.2">
      <c r="A815" s="3"/>
      <c r="B815" s="5"/>
      <c r="C815" s="63"/>
    </row>
    <row r="816" spans="1:3" ht="13.2">
      <c r="A816" s="3"/>
      <c r="B816" s="5"/>
      <c r="C816" s="63"/>
    </row>
    <row r="817" spans="1:3" ht="13.2">
      <c r="A817" s="3"/>
      <c r="B817" s="5"/>
      <c r="C817" s="63"/>
    </row>
    <row r="818" spans="1:3" ht="13.2">
      <c r="A818" s="3"/>
      <c r="B818" s="5"/>
      <c r="C818" s="63"/>
    </row>
    <row r="819" spans="1:3" ht="13.2">
      <c r="A819" s="3"/>
      <c r="B819" s="5"/>
      <c r="C819" s="63"/>
    </row>
    <row r="820" spans="1:3" ht="13.2">
      <c r="A820" s="3"/>
      <c r="B820" s="5"/>
      <c r="C820" s="63"/>
    </row>
    <row r="821" spans="1:3" ht="13.2">
      <c r="A821" s="3"/>
      <c r="B821" s="5"/>
      <c r="C821" s="63"/>
    </row>
    <row r="822" spans="1:3" ht="13.2">
      <c r="A822" s="3"/>
      <c r="B822" s="5"/>
      <c r="C822" s="63"/>
    </row>
    <row r="823" spans="1:3" ht="13.2">
      <c r="A823" s="3"/>
      <c r="B823" s="5"/>
      <c r="C823" s="63"/>
    </row>
    <row r="824" spans="1:3" ht="13.2">
      <c r="A824" s="3"/>
      <c r="B824" s="5"/>
      <c r="C824" s="63"/>
    </row>
    <row r="825" spans="1:3" ht="13.2">
      <c r="A825" s="3"/>
      <c r="B825" s="5"/>
      <c r="C825" s="63"/>
    </row>
    <row r="826" spans="1:3" ht="13.2">
      <c r="A826" s="3"/>
      <c r="B826" s="5"/>
      <c r="C826" s="63"/>
    </row>
    <row r="827" spans="1:3" ht="13.2">
      <c r="A827" s="3"/>
      <c r="B827" s="5"/>
      <c r="C827" s="63"/>
    </row>
    <row r="828" spans="1:3" ht="13.2">
      <c r="A828" s="3"/>
      <c r="B828" s="5"/>
      <c r="C828" s="63"/>
    </row>
    <row r="829" spans="1:3" ht="13.2">
      <c r="A829" s="3"/>
      <c r="B829" s="5"/>
      <c r="C829" s="63"/>
    </row>
    <row r="830" spans="1:3" ht="13.2">
      <c r="A830" s="3"/>
      <c r="B830" s="5"/>
      <c r="C830" s="63"/>
    </row>
    <row r="831" spans="1:3" ht="13.2">
      <c r="A831" s="3"/>
      <c r="B831" s="5"/>
      <c r="C831" s="63"/>
    </row>
    <row r="832" spans="1:3" ht="13.2">
      <c r="A832" s="3"/>
      <c r="B832" s="5"/>
      <c r="C832" s="63"/>
    </row>
    <row r="833" spans="1:3" ht="13.2">
      <c r="A833" s="3"/>
      <c r="B833" s="5"/>
      <c r="C833" s="63"/>
    </row>
    <row r="834" spans="1:3" ht="13.2">
      <c r="A834" s="3"/>
      <c r="B834" s="5"/>
      <c r="C834" s="63"/>
    </row>
    <row r="835" spans="1:3" ht="13.2">
      <c r="A835" s="3"/>
      <c r="B835" s="5"/>
      <c r="C835" s="63"/>
    </row>
    <row r="836" spans="1:3" ht="13.2">
      <c r="A836" s="3"/>
      <c r="B836" s="5"/>
      <c r="C836" s="63"/>
    </row>
    <row r="837" spans="1:3" ht="13.2">
      <c r="A837" s="3"/>
      <c r="B837" s="5"/>
      <c r="C837" s="63"/>
    </row>
    <row r="838" spans="1:3" ht="13.2">
      <c r="A838" s="3"/>
      <c r="B838" s="5"/>
      <c r="C838" s="63"/>
    </row>
    <row r="839" spans="1:3" ht="13.2">
      <c r="A839" s="3"/>
      <c r="B839" s="5"/>
      <c r="C839" s="63"/>
    </row>
    <row r="840" spans="1:3" ht="13.2">
      <c r="A840" s="3"/>
      <c r="B840" s="5"/>
      <c r="C840" s="63"/>
    </row>
    <row r="841" spans="1:3" ht="13.2">
      <c r="A841" s="3"/>
      <c r="B841" s="5"/>
      <c r="C841" s="63"/>
    </row>
    <row r="842" spans="1:3" ht="13.2">
      <c r="A842" s="3"/>
      <c r="B842" s="5"/>
      <c r="C842" s="63"/>
    </row>
    <row r="843" spans="1:3" ht="13.2">
      <c r="A843" s="3"/>
      <c r="B843" s="5"/>
      <c r="C843" s="63"/>
    </row>
    <row r="844" spans="1:3" ht="13.2">
      <c r="A844" s="3"/>
      <c r="B844" s="5"/>
      <c r="C844" s="63"/>
    </row>
    <row r="845" spans="1:3" ht="13.2">
      <c r="A845" s="3"/>
      <c r="B845" s="5"/>
      <c r="C845" s="63"/>
    </row>
    <row r="846" spans="1:3" ht="13.2">
      <c r="A846" s="3"/>
      <c r="B846" s="5"/>
      <c r="C846" s="63"/>
    </row>
    <row r="847" spans="1:3" ht="13.2">
      <c r="A847" s="3"/>
      <c r="B847" s="5"/>
      <c r="C847" s="63"/>
    </row>
    <row r="848" spans="1:3" ht="13.2">
      <c r="A848" s="3"/>
      <c r="B848" s="5"/>
      <c r="C848" s="63"/>
    </row>
    <row r="849" spans="1:3" ht="13.2">
      <c r="A849" s="3"/>
      <c r="B849" s="5"/>
      <c r="C849" s="63"/>
    </row>
    <row r="850" spans="1:3" ht="13.2">
      <c r="A850" s="3"/>
      <c r="B850" s="5"/>
      <c r="C850" s="63"/>
    </row>
    <row r="851" spans="1:3" ht="13.2">
      <c r="A851" s="3"/>
      <c r="B851" s="5"/>
      <c r="C851" s="63"/>
    </row>
    <row r="852" spans="1:3" ht="13.2">
      <c r="A852" s="3"/>
      <c r="B852" s="5"/>
      <c r="C852" s="63"/>
    </row>
    <row r="853" spans="1:3" ht="13.2">
      <c r="A853" s="3"/>
      <c r="B853" s="5"/>
      <c r="C853" s="63"/>
    </row>
    <row r="854" spans="1:3" ht="13.2">
      <c r="A854" s="3"/>
      <c r="B854" s="5"/>
      <c r="C854" s="63"/>
    </row>
    <row r="855" spans="1:3" ht="13.2">
      <c r="A855" s="3"/>
      <c r="B855" s="5"/>
      <c r="C855" s="63"/>
    </row>
    <row r="856" spans="1:3" ht="13.2">
      <c r="A856" s="3"/>
      <c r="B856" s="5"/>
      <c r="C856" s="63"/>
    </row>
    <row r="857" spans="1:3" ht="13.2">
      <c r="A857" s="3"/>
      <c r="B857" s="5"/>
      <c r="C857" s="63"/>
    </row>
    <row r="858" spans="1:3" ht="13.2">
      <c r="A858" s="3"/>
      <c r="B858" s="5"/>
      <c r="C858" s="63"/>
    </row>
    <row r="859" spans="1:3" ht="13.2">
      <c r="A859" s="3"/>
      <c r="B859" s="5"/>
      <c r="C859" s="63"/>
    </row>
    <row r="860" spans="1:3" ht="13.2">
      <c r="A860" s="3"/>
      <c r="B860" s="5"/>
      <c r="C860" s="63"/>
    </row>
    <row r="861" spans="1:3" ht="13.2">
      <c r="A861" s="3"/>
      <c r="B861" s="5"/>
      <c r="C861" s="63"/>
    </row>
    <row r="862" spans="1:3" ht="13.2">
      <c r="A862" s="3"/>
      <c r="B862" s="5"/>
      <c r="C862" s="63"/>
    </row>
    <row r="863" spans="1:3" ht="13.2">
      <c r="A863" s="3"/>
      <c r="B863" s="5"/>
      <c r="C863" s="63"/>
    </row>
    <row r="864" spans="1:3" ht="13.2">
      <c r="A864" s="3"/>
      <c r="B864" s="5"/>
      <c r="C864" s="63"/>
    </row>
    <row r="865" spans="1:3" ht="13.2">
      <c r="A865" s="3"/>
      <c r="B865" s="5"/>
      <c r="C865" s="63"/>
    </row>
    <row r="866" spans="1:3" ht="13.2">
      <c r="A866" s="3"/>
      <c r="B866" s="5"/>
      <c r="C866" s="63"/>
    </row>
    <row r="867" spans="1:3" ht="13.2">
      <c r="A867" s="3"/>
      <c r="B867" s="5"/>
      <c r="C867" s="63"/>
    </row>
    <row r="868" spans="1:3" ht="13.2">
      <c r="A868" s="3"/>
      <c r="B868" s="5"/>
      <c r="C868" s="63"/>
    </row>
    <row r="869" spans="1:3" ht="13.2">
      <c r="A869" s="3"/>
      <c r="B869" s="5"/>
      <c r="C869" s="63"/>
    </row>
    <row r="870" spans="1:3" ht="13.2">
      <c r="A870" s="3"/>
      <c r="B870" s="5"/>
      <c r="C870" s="63"/>
    </row>
    <row r="871" spans="1:3" ht="13.2">
      <c r="A871" s="3"/>
      <c r="B871" s="5"/>
      <c r="C871" s="63"/>
    </row>
    <row r="872" spans="1:3" ht="13.2">
      <c r="A872" s="3"/>
      <c r="B872" s="5"/>
      <c r="C872" s="63"/>
    </row>
    <row r="873" spans="1:3" ht="13.2">
      <c r="A873" s="3"/>
      <c r="B873" s="5"/>
      <c r="C873" s="63"/>
    </row>
    <row r="874" spans="1:3" ht="13.2">
      <c r="A874" s="3"/>
      <c r="B874" s="5"/>
      <c r="C874" s="63"/>
    </row>
    <row r="875" spans="1:3" ht="13.2">
      <c r="A875" s="3"/>
      <c r="B875" s="5"/>
      <c r="C875" s="63"/>
    </row>
    <row r="876" spans="1:3" ht="13.2">
      <c r="A876" s="3"/>
      <c r="B876" s="5"/>
      <c r="C876" s="63"/>
    </row>
    <row r="877" spans="1:3" ht="13.2">
      <c r="A877" s="3"/>
      <c r="B877" s="5"/>
      <c r="C877" s="63"/>
    </row>
    <row r="878" spans="1:3" ht="13.2">
      <c r="A878" s="3"/>
      <c r="B878" s="5"/>
      <c r="C878" s="63"/>
    </row>
    <row r="879" spans="1:3" ht="13.2">
      <c r="A879" s="3"/>
      <c r="B879" s="5"/>
      <c r="C879" s="63"/>
    </row>
    <row r="880" spans="1:3" ht="13.2">
      <c r="A880" s="3"/>
      <c r="B880" s="5"/>
      <c r="C880" s="63"/>
    </row>
    <row r="881" spans="1:3" ht="13.2">
      <c r="A881" s="3"/>
      <c r="B881" s="5"/>
      <c r="C881" s="63"/>
    </row>
    <row r="882" spans="1:3" ht="13.2">
      <c r="A882" s="3"/>
      <c r="B882" s="5"/>
      <c r="C882" s="63"/>
    </row>
    <row r="883" spans="1:3" ht="13.2">
      <c r="A883" s="3"/>
      <c r="B883" s="5"/>
      <c r="C883" s="63"/>
    </row>
    <row r="884" spans="1:3" ht="13.2">
      <c r="A884" s="3"/>
      <c r="B884" s="5"/>
      <c r="C884" s="63"/>
    </row>
    <row r="885" spans="1:3" ht="13.2">
      <c r="A885" s="3"/>
      <c r="B885" s="5"/>
      <c r="C885" s="63"/>
    </row>
    <row r="886" spans="1:3" ht="13.2">
      <c r="A886" s="3"/>
      <c r="B886" s="5"/>
      <c r="C886" s="63"/>
    </row>
    <row r="887" spans="1:3" ht="13.2">
      <c r="A887" s="3"/>
      <c r="B887" s="5"/>
      <c r="C887" s="63"/>
    </row>
    <row r="888" spans="1:3" ht="13.2">
      <c r="A888" s="3"/>
      <c r="B888" s="5"/>
      <c r="C888" s="63"/>
    </row>
    <row r="889" spans="1:3" ht="13.2">
      <c r="A889" s="3"/>
      <c r="B889" s="5"/>
      <c r="C889" s="63"/>
    </row>
    <row r="890" spans="1:3" ht="13.2">
      <c r="A890" s="3"/>
      <c r="B890" s="5"/>
      <c r="C890" s="63"/>
    </row>
    <row r="891" spans="1:3" ht="13.2">
      <c r="A891" s="3"/>
      <c r="B891" s="5"/>
      <c r="C891" s="63"/>
    </row>
    <row r="892" spans="1:3" ht="13.2">
      <c r="A892" s="3"/>
      <c r="B892" s="5"/>
      <c r="C892" s="63"/>
    </row>
    <row r="893" spans="1:3" ht="13.2">
      <c r="A893" s="3"/>
      <c r="B893" s="5"/>
      <c r="C893" s="63"/>
    </row>
    <row r="894" spans="1:3" ht="13.2">
      <c r="A894" s="3"/>
      <c r="B894" s="5"/>
      <c r="C894" s="63"/>
    </row>
    <row r="895" spans="1:3" ht="13.2">
      <c r="A895" s="3"/>
      <c r="B895" s="5"/>
      <c r="C895" s="63"/>
    </row>
    <row r="896" spans="1:3" ht="13.2">
      <c r="A896" s="3"/>
      <c r="B896" s="5"/>
      <c r="C896" s="63"/>
    </row>
    <row r="897" spans="1:3" ht="13.2">
      <c r="A897" s="3"/>
      <c r="B897" s="5"/>
      <c r="C897" s="63"/>
    </row>
    <row r="898" spans="1:3" ht="13.2">
      <c r="A898" s="3"/>
      <c r="B898" s="5"/>
      <c r="C898" s="63"/>
    </row>
    <row r="899" spans="1:3" ht="13.2">
      <c r="A899" s="3"/>
      <c r="B899" s="5"/>
      <c r="C899" s="63"/>
    </row>
    <row r="900" spans="1:3" ht="13.2">
      <c r="A900" s="3"/>
      <c r="B900" s="5"/>
      <c r="C900" s="63"/>
    </row>
    <row r="901" spans="1:3" ht="13.2">
      <c r="A901" s="3"/>
      <c r="B901" s="5"/>
      <c r="C901" s="63"/>
    </row>
    <row r="902" spans="1:3" ht="13.2">
      <c r="A902" s="3"/>
      <c r="B902" s="5"/>
      <c r="C902" s="63"/>
    </row>
    <row r="903" spans="1:3" ht="13.2">
      <c r="A903" s="3"/>
      <c r="B903" s="5"/>
      <c r="C903" s="63"/>
    </row>
    <row r="904" spans="1:3" ht="13.2">
      <c r="A904" s="3"/>
      <c r="B904" s="5"/>
      <c r="C904" s="63"/>
    </row>
    <row r="905" spans="1:3" ht="13.2">
      <c r="A905" s="3"/>
      <c r="B905" s="5"/>
      <c r="C905" s="63"/>
    </row>
    <row r="906" spans="1:3" ht="13.2">
      <c r="A906" s="3"/>
      <c r="B906" s="5"/>
      <c r="C906" s="63"/>
    </row>
    <row r="907" spans="1:3" ht="13.2">
      <c r="A907" s="3"/>
      <c r="B907" s="5"/>
      <c r="C907" s="63"/>
    </row>
    <row r="908" spans="1:3" ht="13.2">
      <c r="A908" s="3"/>
      <c r="B908" s="5"/>
      <c r="C908" s="63"/>
    </row>
    <row r="909" spans="1:3" ht="13.2">
      <c r="A909" s="3"/>
      <c r="B909" s="5"/>
      <c r="C909" s="63"/>
    </row>
    <row r="910" spans="1:3" ht="13.2">
      <c r="A910" s="3"/>
      <c r="B910" s="5"/>
      <c r="C910" s="63"/>
    </row>
    <row r="911" spans="1:3" ht="13.2">
      <c r="A911" s="3"/>
      <c r="B911" s="5"/>
      <c r="C911" s="63"/>
    </row>
    <row r="912" spans="1:3" ht="13.2">
      <c r="A912" s="3"/>
      <c r="B912" s="5"/>
      <c r="C912" s="63"/>
    </row>
    <row r="913" spans="1:3" ht="13.2">
      <c r="A913" s="3"/>
      <c r="B913" s="5"/>
      <c r="C913" s="63"/>
    </row>
    <row r="914" spans="1:3" ht="13.2">
      <c r="A914" s="3"/>
      <c r="B914" s="5"/>
      <c r="C914" s="63"/>
    </row>
    <row r="915" spans="1:3" ht="13.2">
      <c r="A915" s="3"/>
      <c r="B915" s="5"/>
      <c r="C915" s="63"/>
    </row>
    <row r="916" spans="1:3" ht="13.2">
      <c r="A916" s="3"/>
      <c r="B916" s="5"/>
      <c r="C916" s="63"/>
    </row>
    <row r="917" spans="1:3" ht="13.2">
      <c r="A917" s="3"/>
      <c r="B917" s="5"/>
      <c r="C917" s="63"/>
    </row>
    <row r="918" spans="1:3" ht="13.2">
      <c r="A918" s="3"/>
      <c r="B918" s="5"/>
      <c r="C918" s="63"/>
    </row>
    <row r="919" spans="1:3" ht="13.2">
      <c r="A919" s="3"/>
      <c r="B919" s="5"/>
      <c r="C919" s="63"/>
    </row>
    <row r="920" spans="1:3" ht="13.2">
      <c r="A920" s="3"/>
      <c r="B920" s="5"/>
      <c r="C920" s="63"/>
    </row>
    <row r="921" spans="1:3" ht="13.2">
      <c r="A921" s="3"/>
      <c r="B921" s="5"/>
      <c r="C921" s="63"/>
    </row>
    <row r="922" spans="1:3" ht="13.2">
      <c r="A922" s="3"/>
      <c r="B922" s="5"/>
      <c r="C922" s="63"/>
    </row>
    <row r="923" spans="1:3" ht="13.2">
      <c r="A923" s="3"/>
      <c r="B923" s="5"/>
      <c r="C923" s="63"/>
    </row>
    <row r="924" spans="1:3" ht="13.2">
      <c r="A924" s="3"/>
      <c r="B924" s="5"/>
      <c r="C924" s="63"/>
    </row>
    <row r="925" spans="1:3" ht="13.2">
      <c r="A925" s="3"/>
      <c r="B925" s="5"/>
      <c r="C925" s="63"/>
    </row>
    <row r="926" spans="1:3" ht="13.2">
      <c r="A926" s="3"/>
      <c r="B926" s="5"/>
      <c r="C926" s="63"/>
    </row>
    <row r="927" spans="1:3" ht="13.2">
      <c r="A927" s="3"/>
      <c r="B927" s="5"/>
      <c r="C927" s="63"/>
    </row>
    <row r="928" spans="1:3" ht="13.2">
      <c r="A928" s="3"/>
      <c r="B928" s="5"/>
      <c r="C928" s="63"/>
    </row>
    <row r="929" spans="1:3" ht="13.2">
      <c r="A929" s="3"/>
      <c r="B929" s="5"/>
      <c r="C929" s="63"/>
    </row>
    <row r="930" spans="1:3" ht="13.2">
      <c r="A930" s="3"/>
      <c r="B930" s="5"/>
      <c r="C930" s="63"/>
    </row>
    <row r="931" spans="1:3" ht="13.2">
      <c r="A931" s="3"/>
      <c r="B931" s="5"/>
      <c r="C931" s="63"/>
    </row>
    <row r="932" spans="1:3" ht="13.2">
      <c r="A932" s="3"/>
      <c r="B932" s="5"/>
      <c r="C932" s="63"/>
    </row>
    <row r="933" spans="1:3" ht="13.2">
      <c r="A933" s="3"/>
      <c r="B933" s="5"/>
      <c r="C933" s="63"/>
    </row>
    <row r="934" spans="1:3" ht="13.2">
      <c r="A934" s="3"/>
      <c r="B934" s="5"/>
      <c r="C934" s="63"/>
    </row>
    <row r="935" spans="1:3" ht="13.2">
      <c r="A935" s="3"/>
      <c r="B935" s="5"/>
      <c r="C935" s="63"/>
    </row>
    <row r="936" spans="1:3" ht="13.2">
      <c r="A936" s="3"/>
      <c r="B936" s="5"/>
      <c r="C936" s="63"/>
    </row>
    <row r="937" spans="1:3" ht="13.2">
      <c r="A937" s="3"/>
      <c r="B937" s="5"/>
      <c r="C937" s="63"/>
    </row>
    <row r="938" spans="1:3" ht="13.2">
      <c r="A938" s="3"/>
      <c r="B938" s="5"/>
      <c r="C938" s="63"/>
    </row>
    <row r="939" spans="1:3" ht="13.2">
      <c r="A939" s="3"/>
      <c r="B939" s="5"/>
      <c r="C939" s="63"/>
    </row>
    <row r="940" spans="1:3" ht="13.2">
      <c r="A940" s="3"/>
      <c r="B940" s="5"/>
      <c r="C940" s="63"/>
    </row>
    <row r="941" spans="1:3" ht="13.2">
      <c r="A941" s="3"/>
      <c r="B941" s="5"/>
      <c r="C941" s="63"/>
    </row>
    <row r="942" spans="1:3" ht="13.2">
      <c r="A942" s="3"/>
      <c r="B942" s="5"/>
      <c r="C942" s="63"/>
    </row>
    <row r="943" spans="1:3" ht="13.2">
      <c r="A943" s="3"/>
      <c r="B943" s="5"/>
      <c r="C943" s="63"/>
    </row>
    <row r="944" spans="1:3" ht="13.2">
      <c r="A944" s="3"/>
      <c r="B944" s="5"/>
      <c r="C944" s="63"/>
    </row>
    <row r="945" spans="1:3" ht="13.2">
      <c r="A945" s="3"/>
      <c r="B945" s="5"/>
      <c r="C945" s="63"/>
    </row>
    <row r="946" spans="1:3" ht="13.2">
      <c r="A946" s="3"/>
      <c r="B946" s="5"/>
      <c r="C946" s="63"/>
    </row>
    <row r="947" spans="1:3" ht="13.2">
      <c r="A947" s="3"/>
      <c r="B947" s="5"/>
      <c r="C947" s="63"/>
    </row>
    <row r="948" spans="1:3" ht="13.2">
      <c r="A948" s="3"/>
      <c r="B948" s="5"/>
      <c r="C948" s="63"/>
    </row>
    <row r="949" spans="1:3" ht="13.2">
      <c r="A949" s="3"/>
      <c r="B949" s="5"/>
      <c r="C949" s="63"/>
    </row>
    <row r="950" spans="1:3" ht="13.2">
      <c r="A950" s="3"/>
      <c r="B950" s="5"/>
      <c r="C950" s="63"/>
    </row>
    <row r="951" spans="1:3" ht="13.2">
      <c r="A951" s="3"/>
      <c r="B951" s="5"/>
      <c r="C951" s="63"/>
    </row>
    <row r="952" spans="1:3" ht="13.2">
      <c r="A952" s="3"/>
      <c r="B952" s="5"/>
      <c r="C952" s="63"/>
    </row>
    <row r="953" spans="1:3" ht="13.2">
      <c r="A953" s="3"/>
      <c r="B953" s="5"/>
      <c r="C953" s="63"/>
    </row>
    <row r="954" spans="1:3" ht="13.2">
      <c r="A954" s="3"/>
      <c r="B954" s="5"/>
      <c r="C954" s="63"/>
    </row>
    <row r="955" spans="1:3" ht="13.2">
      <c r="A955" s="3"/>
      <c r="B955" s="5"/>
      <c r="C955" s="63"/>
    </row>
    <row r="956" spans="1:3" ht="13.2">
      <c r="A956" s="3"/>
      <c r="B956" s="5"/>
      <c r="C956" s="63"/>
    </row>
    <row r="957" spans="1:3" ht="13.2">
      <c r="A957" s="3"/>
      <c r="B957" s="5"/>
      <c r="C957" s="63"/>
    </row>
    <row r="958" spans="1:3" ht="13.2">
      <c r="A958" s="3"/>
      <c r="B958" s="5"/>
      <c r="C958" s="63"/>
    </row>
    <row r="959" spans="1:3" ht="13.2">
      <c r="A959" s="3"/>
      <c r="B959" s="5"/>
      <c r="C959" s="63"/>
    </row>
    <row r="960" spans="1:3" ht="13.2">
      <c r="A960" s="3"/>
      <c r="B960" s="5"/>
      <c r="C960" s="63"/>
    </row>
    <row r="961" spans="1:3" ht="13.2">
      <c r="A961" s="3"/>
      <c r="B961" s="5"/>
      <c r="C961" s="63"/>
    </row>
    <row r="962" spans="1:3" ht="13.2">
      <c r="A962" s="3"/>
      <c r="B962" s="5"/>
      <c r="C962" s="63"/>
    </row>
    <row r="963" spans="1:3" ht="13.2">
      <c r="A963" s="3"/>
      <c r="B963" s="5"/>
      <c r="C963" s="63"/>
    </row>
    <row r="964" spans="1:3" ht="13.2">
      <c r="A964" s="3"/>
      <c r="B964" s="5"/>
      <c r="C964" s="63"/>
    </row>
    <row r="965" spans="1:3" ht="13.2">
      <c r="A965" s="3"/>
      <c r="B965" s="5"/>
      <c r="C965" s="63"/>
    </row>
    <row r="966" spans="1:3" ht="13.2">
      <c r="A966" s="3"/>
      <c r="B966" s="5"/>
      <c r="C966" s="63"/>
    </row>
    <row r="967" spans="1:3" ht="13.2">
      <c r="A967" s="3"/>
      <c r="B967" s="5"/>
      <c r="C967" s="63"/>
    </row>
    <row r="968" spans="1:3" ht="13.2">
      <c r="A968" s="3"/>
      <c r="B968" s="5"/>
      <c r="C968" s="63"/>
    </row>
    <row r="969" spans="1:3" ht="13.2">
      <c r="A969" s="3"/>
      <c r="B969" s="5"/>
      <c r="C969" s="63"/>
    </row>
    <row r="970" spans="1:3" ht="13.2">
      <c r="A970" s="3"/>
      <c r="B970" s="5"/>
      <c r="C970" s="63"/>
    </row>
    <row r="971" spans="1:3" ht="13.2">
      <c r="A971" s="3"/>
      <c r="B971" s="5"/>
      <c r="C971" s="63"/>
    </row>
    <row r="972" spans="1:3" ht="13.2">
      <c r="A972" s="3"/>
      <c r="B972" s="5"/>
      <c r="C972" s="63"/>
    </row>
    <row r="973" spans="1:3" ht="13.2">
      <c r="A973" s="3"/>
      <c r="B973" s="5"/>
      <c r="C973" s="63"/>
    </row>
    <row r="974" spans="1:3" ht="13.2">
      <c r="A974" s="3"/>
      <c r="B974" s="5"/>
      <c r="C974" s="63"/>
    </row>
    <row r="975" spans="1:3" ht="13.2">
      <c r="A975" s="3"/>
      <c r="B975" s="5"/>
      <c r="C975" s="63"/>
    </row>
    <row r="976" spans="1:3" ht="13.2">
      <c r="A976" s="3"/>
      <c r="B976" s="5"/>
      <c r="C976" s="63"/>
    </row>
    <row r="977" spans="1:3" ht="13.2">
      <c r="A977" s="3"/>
      <c r="B977" s="5"/>
      <c r="C977" s="63"/>
    </row>
    <row r="978" spans="1:3" ht="13.2">
      <c r="A978" s="3"/>
      <c r="B978" s="5"/>
      <c r="C978" s="63"/>
    </row>
  </sheetData>
  <hyperlinks>
    <hyperlink ref="H1" r:id="rId1" location="1" xr:uid="{5F33A7A4-D23C-4A66-B002-3AD0C0526337}"/>
    <hyperlink ref="I1" r:id="rId2" location="2" xr:uid="{54894446-3B43-4964-8DE2-7A47D1CF8CC0}"/>
    <hyperlink ref="B2" r:id="rId3" xr:uid="{75719E06-17AC-4D6A-8107-57C914D44C00}"/>
    <hyperlink ref="B3" r:id="rId4" xr:uid="{43ECDFB1-BA1E-437D-A542-26BD39EDEAAD}"/>
    <hyperlink ref="D3" r:id="rId5" location="3" xr:uid="{1F24EECF-31F1-4636-993C-D0CD8FE0222A}"/>
    <hyperlink ref="E3" r:id="rId6" location="3" xr:uid="{6E8CF90A-B099-4B3A-A6C1-34DEBB5FA7BE}"/>
    <hyperlink ref="B4" r:id="rId7" xr:uid="{1BD0D0D9-B347-4674-B5A6-5067594CB123}"/>
    <hyperlink ref="B5" r:id="rId8" xr:uid="{0F5AFC04-19CD-49BC-9D44-CA8F9944DFE7}"/>
    <hyperlink ref="B6" r:id="rId9" xr:uid="{A137221B-094C-4CEF-BDA4-6A67D763B1B5}"/>
    <hyperlink ref="B7" r:id="rId10" xr:uid="{068F44E5-464B-4F2B-A77C-EDC6C3B48FBE}"/>
    <hyperlink ref="B8" r:id="rId11" xr:uid="{37F2009C-A494-46BD-9AC2-39BA437EA42D}"/>
    <hyperlink ref="B9" r:id="rId12" xr:uid="{1297F22E-50DB-43A6-8AA3-2472406DDBBF}"/>
    <hyperlink ref="B10" r:id="rId13" xr:uid="{34E1D4D1-E8F8-40CA-8E20-B37FBD953D92}"/>
    <hyperlink ref="B11" r:id="rId14" xr:uid="{BA71B228-0A99-4D4E-A704-F95F4E06C34C}"/>
    <hyperlink ref="B12" r:id="rId15" xr:uid="{6D69687B-93E8-42A9-B9F2-C1A4F5C60E08}"/>
    <hyperlink ref="B15" r:id="rId16" xr:uid="{3E8A486E-518E-4B9F-8D81-58D5EC0F0F86}"/>
    <hyperlink ref="B16" r:id="rId17" xr:uid="{6872965E-1FAD-497B-9CD4-9F93B62EADCA}"/>
    <hyperlink ref="B17" r:id="rId18" xr:uid="{BE40A95E-3DDB-4902-BFA3-E72CB360E00E}"/>
    <hyperlink ref="B18" r:id="rId19" xr:uid="{DA8900BF-92C9-40E3-84C8-DFC0F6F7F9DF}"/>
    <hyperlink ref="B19" r:id="rId20" xr:uid="{14377165-DDC4-4B06-9F87-B138A2F7CBAB}"/>
    <hyperlink ref="B20" r:id="rId21" xr:uid="{FB44E65E-BEC9-4380-B54E-2405DB19539A}"/>
    <hyperlink ref="B21" r:id="rId22" xr:uid="{0BB69E54-1557-4178-ACF7-1FD44452A05E}"/>
    <hyperlink ref="B22" r:id="rId23" xr:uid="{580868B8-CD12-481C-B410-3659176F72FB}"/>
    <hyperlink ref="B23" r:id="rId24" xr:uid="{667191BA-AA77-466F-BD85-F33DFB087C11}"/>
    <hyperlink ref="B24" r:id="rId25" xr:uid="{9C88031F-20A1-41B1-AD89-87E4E8C00E26}"/>
    <hyperlink ref="B25" r:id="rId26" xr:uid="{5E449C48-4420-43E0-BFDA-3D908F4E8705}"/>
    <hyperlink ref="B26" r:id="rId27" xr:uid="{6A71FC98-B057-4ACE-B917-F4A786A3AF2F}"/>
    <hyperlink ref="B27" r:id="rId28" xr:uid="{8AE9AFD5-C406-4B50-8CAB-F40A8BBB6ABC}"/>
    <hyperlink ref="B28" r:id="rId29" xr:uid="{7F39CBF2-1C29-4BE6-83A4-0C7B65F18BA6}"/>
    <hyperlink ref="D28" r:id="rId30" location="3" xr:uid="{5678DFB1-83B8-42FA-A710-7C3CED3AAAD1}"/>
    <hyperlink ref="E28" r:id="rId31" location="3" xr:uid="{DC6077CB-BC75-4D7C-9F08-EFDD97D185DF}"/>
    <hyperlink ref="B29" r:id="rId32" xr:uid="{C0D5BDE9-5A68-47E5-BD9E-E3D54F894B41}"/>
    <hyperlink ref="B30" r:id="rId33" xr:uid="{2DC95E00-C025-4815-AC9A-A7841F2E0BB1}"/>
    <hyperlink ref="B31" r:id="rId34" location="Enhancements" xr:uid="{0B9603D1-CCC1-4AB5-AFC2-5F76A4FA8D76}"/>
    <hyperlink ref="B32" r:id="rId35" xr:uid="{D466D41A-FB8E-4DCC-8CC5-CCDE08962A03}"/>
    <hyperlink ref="B33" r:id="rId36" xr:uid="{176BA539-DCB7-4BAD-84F2-3920B18C54C4}"/>
    <hyperlink ref="B34" r:id="rId37" xr:uid="{BD202AE3-D490-4502-B63A-ED9D2D4B5B43}"/>
    <hyperlink ref="B35" r:id="rId38" xr:uid="{0B2B2C96-944C-403D-8D42-110422E50E6B}"/>
    <hyperlink ref="B36" r:id="rId39" xr:uid="{58AEC64C-4DF3-4FD0-B09F-6986754F3567}"/>
    <hyperlink ref="B37" r:id="rId40" xr:uid="{1B93FEA0-0504-4615-8F7D-B7216DDB41E5}"/>
    <hyperlink ref="B38" r:id="rId41" xr:uid="{E24B8AFE-EE76-464C-A522-A68D98A6E9CF}"/>
    <hyperlink ref="B39" r:id="rId42" xr:uid="{99AE5DA1-60B3-461F-92DC-3805FC5970BE}"/>
    <hyperlink ref="B40" r:id="rId43" location="Enhancements" xr:uid="{4BFDF824-4E38-45C4-A5D8-CA2CF7DCB11F}"/>
    <hyperlink ref="B41" r:id="rId44" xr:uid="{A20BFFF0-2CCF-4ADE-8193-41AFE1B5BEF8}"/>
    <hyperlink ref="B42" r:id="rId45" xr:uid="{261E059A-1785-464C-B44E-3159C4597452}"/>
    <hyperlink ref="B43" r:id="rId46" xr:uid="{DC116B16-53BA-4AD1-A413-D41711C28E53}"/>
    <hyperlink ref="B45" r:id="rId47" xr:uid="{33473184-FB5B-4B27-9AA9-9DA7D8C62EC2}"/>
    <hyperlink ref="B46" r:id="rId48" xr:uid="{DC22546F-05D6-4567-A04D-5B1DC74978E8}"/>
    <hyperlink ref="B47" r:id="rId49" xr:uid="{5C92F064-D87B-4FF3-B156-353FFDCF5210}"/>
    <hyperlink ref="B48" r:id="rId50" xr:uid="{758013CA-C504-49DE-BB39-526FB39D20EE}"/>
    <hyperlink ref="B50" r:id="rId51" xr:uid="{B55E05C8-8704-4C2B-8CFD-583C2251245B}"/>
    <hyperlink ref="B53" r:id="rId52" xr:uid="{ABDD493C-DFC8-4632-9F9C-4F21F7CC3223}"/>
    <hyperlink ref="B54" r:id="rId53" xr:uid="{9DD35B6F-7B6A-47C0-8F98-E94EB70AC065}"/>
    <hyperlink ref="B55" r:id="rId54" xr:uid="{4269E052-AF5F-4A7C-A182-9984B4FEAE3F}"/>
    <hyperlink ref="B56" r:id="rId55" xr:uid="{7CF55472-EAC0-42FA-A3AD-E26C10F31309}"/>
    <hyperlink ref="B57" r:id="rId56" xr:uid="{CB22228A-D43B-49A0-93B3-C8267910AB18}"/>
    <hyperlink ref="B58" r:id="rId57" xr:uid="{B0F7BEB5-FEC8-4F32-914C-4E91CD5BBE74}"/>
    <hyperlink ref="B59" r:id="rId58" xr:uid="{5872EC05-D77C-4306-872D-38B6F64D7CF2}"/>
    <hyperlink ref="B60" r:id="rId59" xr:uid="{315A638F-B250-41D3-B7EA-257202AABB27}"/>
    <hyperlink ref="B61" r:id="rId60" xr:uid="{DBD62F42-92D7-4094-9132-7A754DD80E8E}"/>
    <hyperlink ref="B62" r:id="rId61" xr:uid="{05212377-2715-42EF-BB87-BA1F6AD83549}"/>
    <hyperlink ref="B63" r:id="rId62" xr:uid="{0AB26F68-8FE0-42CD-B762-7C5D7593F617}"/>
    <hyperlink ref="B64" r:id="rId63" xr:uid="{E90C8711-6A53-4E00-B17F-1E75F53DC87A}"/>
    <hyperlink ref="D65" r:id="rId64" location="3" xr:uid="{C499F9DF-FEA7-4F76-B4C7-6F79FFFE0DB3}"/>
    <hyperlink ref="E65" r:id="rId65" location="3" xr:uid="{6F00FEDE-EF68-40B1-B822-16230D95EE3B}"/>
    <hyperlink ref="B72" r:id="rId66" xr:uid="{712246B3-890B-4876-8DEB-4EDEC52A3C4E}"/>
    <hyperlink ref="D72" r:id="rId67" location="3" xr:uid="{303FDB12-6101-4A3E-86BE-7CF9CD564325}"/>
    <hyperlink ref="E72" r:id="rId68" location="3" xr:uid="{78292351-B067-43DA-B9B5-EF87B4FEAB69}"/>
    <hyperlink ref="B73" r:id="rId69" xr:uid="{09D19DDE-C601-4078-BB2B-1F417FC3D352}"/>
    <hyperlink ref="B74" r:id="rId70" xr:uid="{B33B8A94-C262-47A4-8A3A-8DDC60C70F87}"/>
    <hyperlink ref="B75" r:id="rId71" xr:uid="{F0EAFD78-9B8B-467D-B88A-0B5CD65EE089}"/>
    <hyperlink ref="B76" r:id="rId72" xr:uid="{06109DEE-629F-46B2-AFE9-A2E624F184DD}"/>
    <hyperlink ref="B77" r:id="rId73" xr:uid="{06A42AD9-BAE3-4D13-9AE5-4424D02F4BDE}"/>
    <hyperlink ref="B78" r:id="rId74" xr:uid="{22CBD25D-1A19-4F5F-8A3D-2682F71614EA}"/>
    <hyperlink ref="B79" r:id="rId75" xr:uid="{49FE63E3-256A-4074-80E1-D1372DD5ED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3794-2C35-4A9B-BB4D-20D64B9ACD68}">
  <sheetPr>
    <outlinePr summaryBelow="0" summaryRight="0"/>
  </sheetPr>
  <dimension ref="A1:AA995"/>
  <sheetViews>
    <sheetView workbookViewId="0"/>
  </sheetViews>
  <sheetFormatPr defaultColWidth="12.6640625" defaultRowHeight="15.75" customHeight="1"/>
  <cols>
    <col min="1" max="1" width="6.109375" customWidth="1"/>
    <col min="2" max="2" width="27.109375" customWidth="1"/>
    <col min="3" max="3" width="16.44140625" customWidth="1"/>
  </cols>
  <sheetData>
    <row r="1" spans="1:27" ht="15.75" customHeight="1">
      <c r="A1" s="98" t="s">
        <v>0</v>
      </c>
      <c r="B1" s="96" t="s">
        <v>683</v>
      </c>
      <c r="C1" s="97" t="s">
        <v>3</v>
      </c>
      <c r="D1" s="96" t="s">
        <v>888</v>
      </c>
      <c r="E1" s="96" t="s">
        <v>887</v>
      </c>
      <c r="F1" s="96" t="s">
        <v>886</v>
      </c>
      <c r="G1" s="96" t="s">
        <v>885</v>
      </c>
      <c r="H1" s="96" t="s">
        <v>884</v>
      </c>
      <c r="I1" s="74"/>
      <c r="J1" s="96" t="s">
        <v>839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customHeight="1">
      <c r="A2" s="74"/>
      <c r="B2" s="74"/>
      <c r="C2" s="74"/>
      <c r="D2" s="74"/>
      <c r="E2" s="74"/>
      <c r="F2" s="74"/>
      <c r="G2" s="74"/>
      <c r="H2" s="91" t="s">
        <v>883</v>
      </c>
      <c r="I2" s="91" t="s">
        <v>882</v>
      </c>
      <c r="J2" s="7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>
      <c r="A3" s="84">
        <v>1</v>
      </c>
      <c r="B3" s="94" t="s">
        <v>881</v>
      </c>
      <c r="C3" s="86">
        <v>5</v>
      </c>
      <c r="D3" s="85">
        <f>1</f>
        <v>1</v>
      </c>
      <c r="E3" s="85">
        <f>8</f>
        <v>8</v>
      </c>
      <c r="F3" s="85">
        <v>0</v>
      </c>
      <c r="G3" s="95">
        <v>0.05</v>
      </c>
      <c r="H3" s="85" t="s">
        <v>734</v>
      </c>
      <c r="I3" s="85" t="s">
        <v>812</v>
      </c>
      <c r="J3" s="85" t="s">
        <v>747</v>
      </c>
    </row>
    <row r="4" spans="1:27" ht="15.75" customHeight="1">
      <c r="A4" s="84">
        <v>2</v>
      </c>
      <c r="B4" s="94" t="s">
        <v>880</v>
      </c>
      <c r="C4" s="86">
        <v>10</v>
      </c>
      <c r="D4" s="85">
        <f>2</f>
        <v>2</v>
      </c>
      <c r="E4" s="85">
        <f>6</f>
        <v>6</v>
      </c>
      <c r="F4" s="85">
        <v>0</v>
      </c>
      <c r="G4" s="95">
        <v>0.1</v>
      </c>
      <c r="H4" s="85" t="s">
        <v>734</v>
      </c>
      <c r="I4" s="85" t="s">
        <v>812</v>
      </c>
      <c r="J4" s="85" t="s">
        <v>756</v>
      </c>
    </row>
    <row r="5" spans="1:27" ht="15.75" customHeight="1">
      <c r="A5" s="84">
        <v>3</v>
      </c>
      <c r="B5" s="94" t="s">
        <v>879</v>
      </c>
      <c r="C5" s="86">
        <v>25</v>
      </c>
      <c r="D5" s="85">
        <f>3</f>
        <v>3</v>
      </c>
      <c r="E5" s="85">
        <f>5</f>
        <v>5</v>
      </c>
      <c r="F5" s="85" t="s">
        <v>854</v>
      </c>
      <c r="G5" s="95">
        <v>0.15</v>
      </c>
      <c r="H5" s="85" t="s">
        <v>734</v>
      </c>
      <c r="I5" s="85" t="s">
        <v>812</v>
      </c>
      <c r="J5" s="85" t="s">
        <v>878</v>
      </c>
    </row>
    <row r="6" spans="1:27" ht="15.75" customHeight="1">
      <c r="A6" s="84">
        <v>4</v>
      </c>
      <c r="B6" s="94" t="s">
        <v>877</v>
      </c>
      <c r="C6" s="86">
        <v>100</v>
      </c>
      <c r="D6" s="85">
        <f>4</f>
        <v>4</v>
      </c>
      <c r="E6" s="85">
        <f>4</f>
        <v>4</v>
      </c>
      <c r="F6" s="85" t="s">
        <v>851</v>
      </c>
      <c r="G6" s="95">
        <v>0.2</v>
      </c>
      <c r="H6" s="85" t="s">
        <v>734</v>
      </c>
      <c r="I6" s="85" t="s">
        <v>812</v>
      </c>
      <c r="J6" s="85" t="s">
        <v>874</v>
      </c>
    </row>
    <row r="7" spans="1:27" ht="15.75" customHeight="1">
      <c r="A7" s="84">
        <v>5</v>
      </c>
      <c r="B7" s="94" t="s">
        <v>876</v>
      </c>
      <c r="C7" s="86">
        <v>15</v>
      </c>
      <c r="D7" s="85">
        <f>3</f>
        <v>3</v>
      </c>
      <c r="E7" s="85">
        <f>4</f>
        <v>4</v>
      </c>
      <c r="F7" s="85" t="s">
        <v>875</v>
      </c>
      <c r="G7" s="95">
        <v>0.2</v>
      </c>
      <c r="H7" s="85" t="s">
        <v>812</v>
      </c>
      <c r="I7" s="85" t="s">
        <v>867</v>
      </c>
      <c r="J7" s="85" t="s">
        <v>874</v>
      </c>
    </row>
    <row r="8" spans="1:27" ht="15.75" customHeight="1">
      <c r="A8" s="84">
        <v>6</v>
      </c>
      <c r="B8" s="94" t="s">
        <v>873</v>
      </c>
      <c r="C8" s="86">
        <v>50</v>
      </c>
      <c r="D8" s="85">
        <f>4</f>
        <v>4</v>
      </c>
      <c r="E8" s="85">
        <f>3</f>
        <v>3</v>
      </c>
      <c r="F8" s="85" t="s">
        <v>868</v>
      </c>
      <c r="G8" s="95">
        <v>0.25</v>
      </c>
      <c r="H8" s="85" t="s">
        <v>812</v>
      </c>
      <c r="I8" s="85" t="s">
        <v>867</v>
      </c>
      <c r="J8" s="85" t="s">
        <v>866</v>
      </c>
    </row>
    <row r="9" spans="1:27" ht="15.75" customHeight="1">
      <c r="A9" s="84">
        <v>7</v>
      </c>
      <c r="B9" s="94" t="s">
        <v>872</v>
      </c>
      <c r="C9" s="86">
        <v>150</v>
      </c>
      <c r="D9" s="85">
        <f>5</f>
        <v>5</v>
      </c>
      <c r="E9" s="85">
        <f>2</f>
        <v>2</v>
      </c>
      <c r="F9" s="85" t="s">
        <v>871</v>
      </c>
      <c r="G9" s="95">
        <v>0.3</v>
      </c>
      <c r="H9" s="85" t="s">
        <v>812</v>
      </c>
      <c r="I9" s="85" t="s">
        <v>867</v>
      </c>
      <c r="J9" s="85" t="s">
        <v>870</v>
      </c>
    </row>
    <row r="10" spans="1:27" ht="15.75" customHeight="1">
      <c r="A10" s="84">
        <v>8</v>
      </c>
      <c r="B10" s="94" t="s">
        <v>869</v>
      </c>
      <c r="C10" s="86">
        <v>200</v>
      </c>
      <c r="D10" s="85">
        <f>5</f>
        <v>5</v>
      </c>
      <c r="E10" s="85">
        <f>3</f>
        <v>3</v>
      </c>
      <c r="F10" s="85" t="s">
        <v>868</v>
      </c>
      <c r="G10" s="95">
        <v>0.25</v>
      </c>
      <c r="H10" s="85" t="s">
        <v>812</v>
      </c>
      <c r="I10" s="85" t="s">
        <v>867</v>
      </c>
      <c r="J10" s="85" t="s">
        <v>866</v>
      </c>
    </row>
    <row r="11" spans="1:27" ht="15.75" customHeight="1">
      <c r="A11" s="84">
        <v>9</v>
      </c>
      <c r="B11" s="94" t="s">
        <v>865</v>
      </c>
      <c r="C11" s="86">
        <v>200</v>
      </c>
      <c r="D11" s="85">
        <f>6</f>
        <v>6</v>
      </c>
      <c r="E11" s="85">
        <f>0</f>
        <v>0</v>
      </c>
      <c r="F11" s="85" t="s">
        <v>861</v>
      </c>
      <c r="G11" s="95">
        <v>0.4</v>
      </c>
      <c r="H11" s="85" t="s">
        <v>858</v>
      </c>
      <c r="I11" s="85" t="s">
        <v>857</v>
      </c>
      <c r="J11" s="85" t="s">
        <v>848</v>
      </c>
    </row>
    <row r="12" spans="1:27" ht="15.75" customHeight="1">
      <c r="A12" s="84">
        <v>10</v>
      </c>
      <c r="B12" s="94" t="s">
        <v>864</v>
      </c>
      <c r="C12" s="86">
        <v>250</v>
      </c>
      <c r="D12" s="85">
        <f>6</f>
        <v>6</v>
      </c>
      <c r="E12" s="85">
        <f>1</f>
        <v>1</v>
      </c>
      <c r="F12" s="85" t="s">
        <v>859</v>
      </c>
      <c r="G12" s="95">
        <v>0.35</v>
      </c>
      <c r="H12" s="85" t="s">
        <v>858</v>
      </c>
      <c r="I12" s="85" t="s">
        <v>857</v>
      </c>
      <c r="J12" s="85" t="s">
        <v>863</v>
      </c>
    </row>
    <row r="13" spans="1:27" ht="15.75" customHeight="1">
      <c r="A13" s="84">
        <v>11</v>
      </c>
      <c r="B13" s="94" t="s">
        <v>862</v>
      </c>
      <c r="C13" s="86">
        <v>600</v>
      </c>
      <c r="D13" s="85">
        <f>7</f>
        <v>7</v>
      </c>
      <c r="E13" s="85">
        <f>0</f>
        <v>0</v>
      </c>
      <c r="F13" s="85" t="s">
        <v>861</v>
      </c>
      <c r="G13" s="95">
        <v>0.4</v>
      </c>
      <c r="H13" s="85" t="s">
        <v>858</v>
      </c>
      <c r="I13" s="85" t="s">
        <v>857</v>
      </c>
      <c r="J13" s="85" t="s">
        <v>856</v>
      </c>
    </row>
    <row r="14" spans="1:27" ht="15.75" customHeight="1">
      <c r="A14" s="84">
        <v>12</v>
      </c>
      <c r="B14" s="94" t="s">
        <v>860</v>
      </c>
      <c r="C14" s="86">
        <v>1500</v>
      </c>
      <c r="D14" s="85">
        <f>8</f>
        <v>8</v>
      </c>
      <c r="E14" s="85">
        <f>1</f>
        <v>1</v>
      </c>
      <c r="F14" s="85" t="s">
        <v>859</v>
      </c>
      <c r="G14" s="95">
        <v>0.35</v>
      </c>
      <c r="H14" s="85" t="s">
        <v>858</v>
      </c>
      <c r="I14" s="85" t="s">
        <v>857</v>
      </c>
      <c r="J14" s="85" t="s">
        <v>856</v>
      </c>
    </row>
    <row r="15" spans="1:27" ht="15.75" customHeight="1">
      <c r="A15" s="84">
        <v>13</v>
      </c>
      <c r="B15" s="94" t="s">
        <v>855</v>
      </c>
      <c r="C15" s="86">
        <v>15</v>
      </c>
      <c r="D15" s="85">
        <f>1</f>
        <v>1</v>
      </c>
      <c r="E15" s="85" t="s">
        <v>721</v>
      </c>
      <c r="F15" s="85" t="s">
        <v>854</v>
      </c>
      <c r="G15" s="95">
        <v>0.05</v>
      </c>
      <c r="H15" s="85" t="s">
        <v>721</v>
      </c>
      <c r="I15" s="85" t="s">
        <v>721</v>
      </c>
      <c r="J15" s="85" t="s">
        <v>791</v>
      </c>
    </row>
    <row r="16" spans="1:27" ht="15.75" customHeight="1">
      <c r="A16" s="84">
        <v>14</v>
      </c>
      <c r="B16" s="94" t="s">
        <v>707</v>
      </c>
      <c r="C16" s="86">
        <v>3</v>
      </c>
      <c r="D16" s="85">
        <f>1</f>
        <v>1</v>
      </c>
      <c r="E16" s="85" t="s">
        <v>721</v>
      </c>
      <c r="F16" s="85" t="s">
        <v>854</v>
      </c>
      <c r="G16" s="95">
        <v>0.05</v>
      </c>
      <c r="H16" s="85" t="s">
        <v>721</v>
      </c>
      <c r="I16" s="85" t="s">
        <v>721</v>
      </c>
      <c r="J16" s="85" t="s">
        <v>791</v>
      </c>
    </row>
    <row r="17" spans="1:10" ht="15.75" customHeight="1">
      <c r="A17" s="84">
        <v>15</v>
      </c>
      <c r="B17" s="94" t="s">
        <v>711</v>
      </c>
      <c r="C17" s="86">
        <v>9</v>
      </c>
      <c r="D17" s="85">
        <f>1</f>
        <v>1</v>
      </c>
      <c r="E17" s="85" t="s">
        <v>721</v>
      </c>
      <c r="F17" s="85" t="s">
        <v>854</v>
      </c>
      <c r="G17" s="95">
        <v>0.05</v>
      </c>
      <c r="H17" s="85" t="s">
        <v>721</v>
      </c>
      <c r="I17" s="85" t="s">
        <v>721</v>
      </c>
      <c r="J17" s="85" t="s">
        <v>722</v>
      </c>
    </row>
    <row r="18" spans="1:10" ht="15.75" customHeight="1">
      <c r="A18" s="84">
        <v>16</v>
      </c>
      <c r="B18" s="94" t="s">
        <v>853</v>
      </c>
      <c r="C18" s="86">
        <v>7</v>
      </c>
      <c r="D18" s="85">
        <f>2</f>
        <v>2</v>
      </c>
      <c r="E18" s="85" t="s">
        <v>721</v>
      </c>
      <c r="F18" s="85" t="s">
        <v>851</v>
      </c>
      <c r="G18" s="95">
        <v>0.15</v>
      </c>
      <c r="H18" s="85" t="s">
        <v>721</v>
      </c>
      <c r="I18" s="85" t="s">
        <v>721</v>
      </c>
      <c r="J18" s="85" t="s">
        <v>747</v>
      </c>
    </row>
    <row r="19" spans="1:10" ht="15.75" customHeight="1">
      <c r="A19" s="84">
        <v>17</v>
      </c>
      <c r="B19" s="94" t="s">
        <v>852</v>
      </c>
      <c r="C19" s="86">
        <v>20</v>
      </c>
      <c r="D19" s="85">
        <f>2</f>
        <v>2</v>
      </c>
      <c r="E19" s="85" t="s">
        <v>721</v>
      </c>
      <c r="F19" s="85" t="s">
        <v>851</v>
      </c>
      <c r="G19" s="95">
        <v>0.15</v>
      </c>
      <c r="H19" s="85" t="s">
        <v>721</v>
      </c>
      <c r="I19" s="85" t="s">
        <v>721</v>
      </c>
      <c r="J19" s="85" t="s">
        <v>756</v>
      </c>
    </row>
    <row r="20" spans="1:10" ht="15.75" customHeight="1">
      <c r="A20" s="84">
        <v>18</v>
      </c>
      <c r="B20" s="94" t="s">
        <v>850</v>
      </c>
      <c r="C20" s="86">
        <v>30</v>
      </c>
      <c r="D20" s="85">
        <f>43</f>
        <v>43</v>
      </c>
      <c r="E20" s="85">
        <f>2</f>
        <v>2</v>
      </c>
      <c r="F20" s="85" t="s">
        <v>849</v>
      </c>
      <c r="G20" s="95">
        <v>0.5</v>
      </c>
      <c r="H20" s="85" t="s">
        <v>721</v>
      </c>
      <c r="I20" s="85" t="s">
        <v>721</v>
      </c>
      <c r="J20" s="85" t="s">
        <v>848</v>
      </c>
    </row>
    <row r="21" spans="1:10" ht="15.75" customHeight="1">
      <c r="A21" s="84">
        <v>19</v>
      </c>
      <c r="B21" s="94" t="s">
        <v>847</v>
      </c>
      <c r="C21" s="86">
        <v>50</v>
      </c>
      <c r="D21" s="85" t="s">
        <v>721</v>
      </c>
      <c r="E21" s="85" t="s">
        <v>721</v>
      </c>
      <c r="F21" s="85" t="s">
        <v>721</v>
      </c>
      <c r="G21" s="85" t="s">
        <v>721</v>
      </c>
      <c r="H21" s="85" t="s">
        <v>721</v>
      </c>
      <c r="I21" s="85" t="s">
        <v>721</v>
      </c>
      <c r="J21" s="85" t="s">
        <v>747</v>
      </c>
    </row>
    <row r="22" spans="1:10" ht="15.75" customHeight="1">
      <c r="A22" s="84">
        <v>20</v>
      </c>
      <c r="B22" s="94" t="s">
        <v>846</v>
      </c>
      <c r="C22" s="86">
        <v>8</v>
      </c>
      <c r="D22" s="85" t="s">
        <v>721</v>
      </c>
      <c r="E22" s="85" t="s">
        <v>721</v>
      </c>
      <c r="F22" s="85" t="s">
        <v>845</v>
      </c>
      <c r="G22" s="85">
        <v>4</v>
      </c>
      <c r="H22" s="85" t="s">
        <v>721</v>
      </c>
      <c r="I22" s="85" t="s">
        <v>721</v>
      </c>
      <c r="J22" s="85" t="s">
        <v>791</v>
      </c>
    </row>
    <row r="23" spans="1:10" ht="15.75" customHeight="1">
      <c r="A23" s="84">
        <v>21</v>
      </c>
      <c r="B23" s="93" t="s">
        <v>844</v>
      </c>
      <c r="C23" s="86">
        <v>10</v>
      </c>
      <c r="D23" s="85" t="s">
        <v>721</v>
      </c>
      <c r="E23" s="85" t="s">
        <v>721</v>
      </c>
      <c r="F23" s="85" t="s">
        <v>721</v>
      </c>
      <c r="G23" s="85" t="s">
        <v>721</v>
      </c>
      <c r="H23" s="85" t="s">
        <v>721</v>
      </c>
      <c r="I23" s="85" t="s">
        <v>721</v>
      </c>
      <c r="J23" s="85" t="s">
        <v>791</v>
      </c>
    </row>
    <row r="24" spans="1:10" ht="15.75" customHeight="1">
      <c r="A24" s="3"/>
      <c r="C24" s="63"/>
    </row>
    <row r="25" spans="1:10" ht="15.75" customHeight="1">
      <c r="A25" s="3"/>
      <c r="C25" s="63"/>
    </row>
    <row r="26" spans="1:10" ht="15.75" customHeight="1">
      <c r="A26" s="3"/>
      <c r="C26" s="63"/>
    </row>
    <row r="27" spans="1:10" ht="13.2">
      <c r="A27" s="3"/>
      <c r="C27" s="63"/>
    </row>
    <row r="28" spans="1:10" ht="13.2">
      <c r="A28" s="3"/>
      <c r="C28" s="63"/>
    </row>
    <row r="29" spans="1:10" ht="13.2">
      <c r="A29" s="3"/>
      <c r="C29" s="63"/>
    </row>
    <row r="30" spans="1:10" ht="13.2">
      <c r="A30" s="3"/>
      <c r="C30" s="63"/>
    </row>
    <row r="31" spans="1:10" ht="13.2">
      <c r="A31" s="3"/>
      <c r="C31" s="63"/>
    </row>
    <row r="32" spans="1:10" ht="13.2">
      <c r="A32" s="3"/>
      <c r="C32" s="63"/>
    </row>
    <row r="33" spans="1:3" ht="13.2">
      <c r="A33" s="3"/>
      <c r="C33" s="63"/>
    </row>
    <row r="34" spans="1:3" ht="13.2">
      <c r="A34" s="3"/>
      <c r="C34" s="63"/>
    </row>
    <row r="35" spans="1:3" ht="13.2">
      <c r="A35" s="3"/>
      <c r="C35" s="63"/>
    </row>
    <row r="36" spans="1:3" ht="13.2">
      <c r="A36" s="3"/>
      <c r="C36" s="63"/>
    </row>
    <row r="37" spans="1:3" ht="13.2">
      <c r="A37" s="3"/>
      <c r="C37" s="63"/>
    </row>
    <row r="38" spans="1:3" ht="13.2">
      <c r="A38" s="3"/>
      <c r="C38" s="63"/>
    </row>
    <row r="39" spans="1:3" ht="13.2">
      <c r="A39" s="3"/>
      <c r="C39" s="63"/>
    </row>
    <row r="40" spans="1:3" ht="13.2">
      <c r="A40" s="3"/>
      <c r="C40" s="63"/>
    </row>
    <row r="41" spans="1:3" ht="13.2">
      <c r="A41" s="3"/>
      <c r="C41" s="63"/>
    </row>
    <row r="42" spans="1:3" ht="13.2">
      <c r="A42" s="3"/>
      <c r="C42" s="63"/>
    </row>
    <row r="43" spans="1:3" ht="13.2">
      <c r="A43" s="3"/>
      <c r="C43" s="63"/>
    </row>
    <row r="44" spans="1:3" ht="13.2">
      <c r="A44" s="3"/>
      <c r="C44" s="63"/>
    </row>
    <row r="45" spans="1:3" ht="13.2">
      <c r="A45" s="3"/>
      <c r="C45" s="63"/>
    </row>
    <row r="46" spans="1:3" ht="13.2">
      <c r="A46" s="3"/>
      <c r="C46" s="63"/>
    </row>
    <row r="47" spans="1:3" ht="13.2">
      <c r="A47" s="3"/>
      <c r="C47" s="63"/>
    </row>
    <row r="48" spans="1:3" ht="13.2">
      <c r="A48" s="3"/>
      <c r="C48" s="63"/>
    </row>
    <row r="49" spans="1:3" ht="13.2">
      <c r="A49" s="3"/>
      <c r="C49" s="63"/>
    </row>
    <row r="50" spans="1:3" ht="13.2">
      <c r="A50" s="3"/>
      <c r="C50" s="63"/>
    </row>
    <row r="51" spans="1:3" ht="13.2">
      <c r="A51" s="3"/>
      <c r="C51" s="63"/>
    </row>
    <row r="52" spans="1:3" ht="13.2">
      <c r="A52" s="3"/>
      <c r="C52" s="63"/>
    </row>
    <row r="53" spans="1:3" ht="13.2">
      <c r="A53" s="3"/>
      <c r="C53" s="63"/>
    </row>
    <row r="54" spans="1:3" ht="13.2">
      <c r="A54" s="3"/>
      <c r="C54" s="63"/>
    </row>
    <row r="55" spans="1:3" ht="13.2">
      <c r="A55" s="3"/>
      <c r="C55" s="63"/>
    </row>
    <row r="56" spans="1:3" ht="13.2">
      <c r="A56" s="3"/>
      <c r="C56" s="63"/>
    </row>
    <row r="57" spans="1:3" ht="13.2">
      <c r="A57" s="3"/>
      <c r="C57" s="63"/>
    </row>
    <row r="58" spans="1:3" ht="13.2">
      <c r="A58" s="3"/>
      <c r="C58" s="63"/>
    </row>
    <row r="59" spans="1:3" ht="13.2">
      <c r="A59" s="3"/>
      <c r="C59" s="63"/>
    </row>
    <row r="60" spans="1:3" ht="13.2">
      <c r="A60" s="3"/>
      <c r="C60" s="63"/>
    </row>
    <row r="61" spans="1:3" ht="13.2">
      <c r="A61" s="3"/>
      <c r="C61" s="63"/>
    </row>
    <row r="62" spans="1:3" ht="13.2">
      <c r="A62" s="3"/>
      <c r="C62" s="63"/>
    </row>
    <row r="63" spans="1:3" ht="13.2">
      <c r="A63" s="3"/>
      <c r="C63" s="63"/>
    </row>
    <row r="64" spans="1:3" ht="13.2">
      <c r="A64" s="3"/>
      <c r="C64" s="63"/>
    </row>
    <row r="65" spans="1:3" ht="13.2">
      <c r="A65" s="3"/>
      <c r="C65" s="63"/>
    </row>
    <row r="66" spans="1:3" ht="13.2">
      <c r="A66" s="3"/>
      <c r="C66" s="63"/>
    </row>
    <row r="67" spans="1:3" ht="13.2">
      <c r="A67" s="3"/>
      <c r="C67" s="63"/>
    </row>
    <row r="68" spans="1:3" ht="13.2">
      <c r="A68" s="3"/>
      <c r="C68" s="63"/>
    </row>
    <row r="69" spans="1:3" ht="13.2">
      <c r="A69" s="3"/>
      <c r="C69" s="63"/>
    </row>
    <row r="70" spans="1:3" ht="13.2">
      <c r="A70" s="3"/>
      <c r="C70" s="63"/>
    </row>
    <row r="71" spans="1:3" ht="13.2">
      <c r="A71" s="3"/>
      <c r="C71" s="63"/>
    </row>
    <row r="72" spans="1:3" ht="13.2">
      <c r="A72" s="3"/>
      <c r="C72" s="63"/>
    </row>
    <row r="73" spans="1:3" ht="13.2">
      <c r="A73" s="3"/>
      <c r="C73" s="63"/>
    </row>
    <row r="74" spans="1:3" ht="13.2">
      <c r="A74" s="3"/>
      <c r="C74" s="63"/>
    </row>
    <row r="75" spans="1:3" ht="13.2">
      <c r="A75" s="3"/>
      <c r="C75" s="63"/>
    </row>
    <row r="76" spans="1:3" ht="13.2">
      <c r="A76" s="3"/>
      <c r="C76" s="63"/>
    </row>
    <row r="77" spans="1:3" ht="13.2">
      <c r="A77" s="3"/>
      <c r="C77" s="63"/>
    </row>
    <row r="78" spans="1:3" ht="13.2">
      <c r="A78" s="3"/>
      <c r="C78" s="63"/>
    </row>
    <row r="79" spans="1:3" ht="13.2">
      <c r="A79" s="3"/>
      <c r="C79" s="63"/>
    </row>
    <row r="80" spans="1:3" ht="13.2">
      <c r="A80" s="3"/>
      <c r="C80" s="63"/>
    </row>
    <row r="81" spans="1:3" ht="13.2">
      <c r="A81" s="3"/>
      <c r="C81" s="63"/>
    </row>
    <row r="82" spans="1:3" ht="13.2">
      <c r="A82" s="3"/>
      <c r="C82" s="63"/>
    </row>
    <row r="83" spans="1:3" ht="13.2">
      <c r="A83" s="3"/>
      <c r="C83" s="63"/>
    </row>
    <row r="84" spans="1:3" ht="13.2">
      <c r="A84" s="3"/>
      <c r="C84" s="63"/>
    </row>
    <row r="85" spans="1:3" ht="13.2">
      <c r="A85" s="3"/>
      <c r="C85" s="63"/>
    </row>
    <row r="86" spans="1:3" ht="13.2">
      <c r="A86" s="3"/>
      <c r="C86" s="63"/>
    </row>
    <row r="87" spans="1:3" ht="13.2">
      <c r="A87" s="3"/>
      <c r="C87" s="63"/>
    </row>
    <row r="88" spans="1:3" ht="13.2">
      <c r="A88" s="3"/>
      <c r="C88" s="63"/>
    </row>
    <row r="89" spans="1:3" ht="13.2">
      <c r="A89" s="3"/>
      <c r="C89" s="63"/>
    </row>
    <row r="90" spans="1:3" ht="13.2">
      <c r="A90" s="3"/>
      <c r="C90" s="63"/>
    </row>
    <row r="91" spans="1:3" ht="13.2">
      <c r="A91" s="3"/>
      <c r="C91" s="63"/>
    </row>
    <row r="92" spans="1:3" ht="13.2">
      <c r="A92" s="3"/>
      <c r="C92" s="63"/>
    </row>
    <row r="93" spans="1:3" ht="13.2">
      <c r="A93" s="3"/>
      <c r="C93" s="63"/>
    </row>
    <row r="94" spans="1:3" ht="13.2">
      <c r="A94" s="3"/>
      <c r="C94" s="63"/>
    </row>
    <row r="95" spans="1:3" ht="13.2">
      <c r="A95" s="3"/>
      <c r="C95" s="63"/>
    </row>
    <row r="96" spans="1:3" ht="13.2">
      <c r="A96" s="3"/>
      <c r="C96" s="63"/>
    </row>
    <row r="97" spans="1:3" ht="13.2">
      <c r="A97" s="3"/>
      <c r="C97" s="63"/>
    </row>
    <row r="98" spans="1:3" ht="13.2">
      <c r="A98" s="3"/>
      <c r="C98" s="63"/>
    </row>
    <row r="99" spans="1:3" ht="13.2">
      <c r="A99" s="3"/>
      <c r="C99" s="63"/>
    </row>
    <row r="100" spans="1:3" ht="13.2">
      <c r="A100" s="3"/>
      <c r="C100" s="63"/>
    </row>
    <row r="101" spans="1:3" ht="13.2">
      <c r="A101" s="3"/>
      <c r="C101" s="63"/>
    </row>
    <row r="102" spans="1:3" ht="13.2">
      <c r="A102" s="3"/>
      <c r="C102" s="63"/>
    </row>
    <row r="103" spans="1:3" ht="13.2">
      <c r="A103" s="3"/>
      <c r="C103" s="63"/>
    </row>
    <row r="104" spans="1:3" ht="13.2">
      <c r="A104" s="3"/>
      <c r="C104" s="63"/>
    </row>
    <row r="105" spans="1:3" ht="13.2">
      <c r="A105" s="3"/>
      <c r="C105" s="63"/>
    </row>
    <row r="106" spans="1:3" ht="13.2">
      <c r="A106" s="3"/>
      <c r="C106" s="63"/>
    </row>
    <row r="107" spans="1:3" ht="13.2">
      <c r="A107" s="3"/>
      <c r="C107" s="63"/>
    </row>
    <row r="108" spans="1:3" ht="13.2">
      <c r="A108" s="3"/>
      <c r="C108" s="63"/>
    </row>
    <row r="109" spans="1:3" ht="13.2">
      <c r="A109" s="3"/>
      <c r="C109" s="63"/>
    </row>
    <row r="110" spans="1:3" ht="13.2">
      <c r="A110" s="3"/>
      <c r="C110" s="63"/>
    </row>
    <row r="111" spans="1:3" ht="13.2">
      <c r="A111" s="3"/>
      <c r="C111" s="63"/>
    </row>
    <row r="112" spans="1:3" ht="13.2">
      <c r="A112" s="3"/>
      <c r="C112" s="63"/>
    </row>
    <row r="113" spans="1:3" ht="13.2">
      <c r="A113" s="3"/>
      <c r="C113" s="63"/>
    </row>
    <row r="114" spans="1:3" ht="13.2">
      <c r="A114" s="3"/>
      <c r="C114" s="63"/>
    </row>
    <row r="115" spans="1:3" ht="13.2">
      <c r="A115" s="3"/>
      <c r="C115" s="63"/>
    </row>
    <row r="116" spans="1:3" ht="13.2">
      <c r="A116" s="3"/>
      <c r="C116" s="63"/>
    </row>
    <row r="117" spans="1:3" ht="13.2">
      <c r="A117" s="3"/>
      <c r="C117" s="63"/>
    </row>
    <row r="118" spans="1:3" ht="13.2">
      <c r="A118" s="3"/>
      <c r="C118" s="63"/>
    </row>
    <row r="119" spans="1:3" ht="13.2">
      <c r="A119" s="3"/>
      <c r="C119" s="63"/>
    </row>
    <row r="120" spans="1:3" ht="13.2">
      <c r="A120" s="3"/>
      <c r="C120" s="63"/>
    </row>
    <row r="121" spans="1:3" ht="13.2">
      <c r="A121" s="3"/>
      <c r="C121" s="63"/>
    </row>
    <row r="122" spans="1:3" ht="13.2">
      <c r="A122" s="3"/>
      <c r="C122" s="63"/>
    </row>
    <row r="123" spans="1:3" ht="13.2">
      <c r="A123" s="3"/>
      <c r="C123" s="63"/>
    </row>
    <row r="124" spans="1:3" ht="13.2">
      <c r="A124" s="3"/>
      <c r="C124" s="63"/>
    </row>
    <row r="125" spans="1:3" ht="13.2">
      <c r="A125" s="3"/>
      <c r="C125" s="63"/>
    </row>
    <row r="126" spans="1:3" ht="13.2">
      <c r="A126" s="3"/>
      <c r="C126" s="63"/>
    </row>
    <row r="127" spans="1:3" ht="13.2">
      <c r="A127" s="3"/>
      <c r="C127" s="63"/>
    </row>
    <row r="128" spans="1:3" ht="13.2">
      <c r="A128" s="3"/>
      <c r="C128" s="63"/>
    </row>
    <row r="129" spans="1:3" ht="13.2">
      <c r="A129" s="3"/>
      <c r="C129" s="63"/>
    </row>
    <row r="130" spans="1:3" ht="13.2">
      <c r="A130" s="3"/>
      <c r="C130" s="63"/>
    </row>
    <row r="131" spans="1:3" ht="13.2">
      <c r="A131" s="3"/>
      <c r="C131" s="63"/>
    </row>
    <row r="132" spans="1:3" ht="13.2">
      <c r="A132" s="3"/>
      <c r="C132" s="63"/>
    </row>
    <row r="133" spans="1:3" ht="13.2">
      <c r="A133" s="3"/>
      <c r="C133" s="63"/>
    </row>
    <row r="134" spans="1:3" ht="13.2">
      <c r="A134" s="3"/>
      <c r="C134" s="63"/>
    </row>
    <row r="135" spans="1:3" ht="13.2">
      <c r="A135" s="3"/>
      <c r="C135" s="63"/>
    </row>
    <row r="136" spans="1:3" ht="13.2">
      <c r="A136" s="3"/>
      <c r="C136" s="63"/>
    </row>
    <row r="137" spans="1:3" ht="13.2">
      <c r="A137" s="3"/>
      <c r="C137" s="63"/>
    </row>
    <row r="138" spans="1:3" ht="13.2">
      <c r="A138" s="3"/>
      <c r="C138" s="63"/>
    </row>
    <row r="139" spans="1:3" ht="13.2">
      <c r="A139" s="3"/>
      <c r="C139" s="63"/>
    </row>
    <row r="140" spans="1:3" ht="13.2">
      <c r="A140" s="3"/>
      <c r="C140" s="63"/>
    </row>
    <row r="141" spans="1:3" ht="13.2">
      <c r="A141" s="3"/>
      <c r="C141" s="63"/>
    </row>
    <row r="142" spans="1:3" ht="13.2">
      <c r="A142" s="3"/>
      <c r="C142" s="63"/>
    </row>
    <row r="143" spans="1:3" ht="13.2">
      <c r="A143" s="3"/>
      <c r="C143" s="63"/>
    </row>
    <row r="144" spans="1:3" ht="13.2">
      <c r="A144" s="3"/>
      <c r="C144" s="63"/>
    </row>
    <row r="145" spans="1:3" ht="13.2">
      <c r="A145" s="3"/>
      <c r="C145" s="63"/>
    </row>
    <row r="146" spans="1:3" ht="13.2">
      <c r="A146" s="3"/>
      <c r="C146" s="63"/>
    </row>
    <row r="147" spans="1:3" ht="13.2">
      <c r="A147" s="3"/>
      <c r="C147" s="63"/>
    </row>
    <row r="148" spans="1:3" ht="13.2">
      <c r="A148" s="3"/>
      <c r="C148" s="63"/>
    </row>
    <row r="149" spans="1:3" ht="13.2">
      <c r="A149" s="3"/>
      <c r="C149" s="63"/>
    </row>
    <row r="150" spans="1:3" ht="13.2">
      <c r="A150" s="3"/>
      <c r="C150" s="63"/>
    </row>
    <row r="151" spans="1:3" ht="13.2">
      <c r="A151" s="3"/>
      <c r="C151" s="63"/>
    </row>
    <row r="152" spans="1:3" ht="13.2">
      <c r="A152" s="3"/>
      <c r="C152" s="63"/>
    </row>
    <row r="153" spans="1:3" ht="13.2">
      <c r="A153" s="3"/>
      <c r="C153" s="63"/>
    </row>
    <row r="154" spans="1:3" ht="13.2">
      <c r="A154" s="3"/>
      <c r="C154" s="63"/>
    </row>
    <row r="155" spans="1:3" ht="13.2">
      <c r="A155" s="3"/>
      <c r="C155" s="63"/>
    </row>
    <row r="156" spans="1:3" ht="13.2">
      <c r="A156" s="3"/>
      <c r="C156" s="63"/>
    </row>
    <row r="157" spans="1:3" ht="13.2">
      <c r="A157" s="3"/>
      <c r="C157" s="63"/>
    </row>
    <row r="158" spans="1:3" ht="13.2">
      <c r="A158" s="3"/>
      <c r="C158" s="63"/>
    </row>
    <row r="159" spans="1:3" ht="13.2">
      <c r="A159" s="3"/>
      <c r="C159" s="63"/>
    </row>
    <row r="160" spans="1:3" ht="13.2">
      <c r="A160" s="3"/>
      <c r="C160" s="63"/>
    </row>
    <row r="161" spans="1:3" ht="13.2">
      <c r="A161" s="3"/>
      <c r="C161" s="63"/>
    </row>
    <row r="162" spans="1:3" ht="13.2">
      <c r="A162" s="3"/>
      <c r="C162" s="63"/>
    </row>
    <row r="163" spans="1:3" ht="13.2">
      <c r="A163" s="3"/>
      <c r="C163" s="63"/>
    </row>
    <row r="164" spans="1:3" ht="13.2">
      <c r="A164" s="3"/>
      <c r="C164" s="63"/>
    </row>
    <row r="165" spans="1:3" ht="13.2">
      <c r="A165" s="3"/>
      <c r="C165" s="63"/>
    </row>
    <row r="166" spans="1:3" ht="13.2">
      <c r="A166" s="3"/>
      <c r="C166" s="63"/>
    </row>
    <row r="167" spans="1:3" ht="13.2">
      <c r="A167" s="3"/>
      <c r="C167" s="63"/>
    </row>
    <row r="168" spans="1:3" ht="13.2">
      <c r="A168" s="3"/>
      <c r="C168" s="63"/>
    </row>
    <row r="169" spans="1:3" ht="13.2">
      <c r="A169" s="3"/>
      <c r="C169" s="63"/>
    </row>
    <row r="170" spans="1:3" ht="13.2">
      <c r="A170" s="3"/>
      <c r="C170" s="63"/>
    </row>
    <row r="171" spans="1:3" ht="13.2">
      <c r="A171" s="3"/>
      <c r="C171" s="63"/>
    </row>
    <row r="172" spans="1:3" ht="13.2">
      <c r="A172" s="3"/>
      <c r="C172" s="63"/>
    </row>
    <row r="173" spans="1:3" ht="13.2">
      <c r="A173" s="3"/>
      <c r="C173" s="63"/>
    </row>
    <row r="174" spans="1:3" ht="13.2">
      <c r="A174" s="3"/>
      <c r="C174" s="63"/>
    </row>
    <row r="175" spans="1:3" ht="13.2">
      <c r="A175" s="3"/>
      <c r="C175" s="63"/>
    </row>
    <row r="176" spans="1:3" ht="13.2">
      <c r="A176" s="3"/>
      <c r="C176" s="63"/>
    </row>
    <row r="177" spans="1:3" ht="13.2">
      <c r="A177" s="3"/>
      <c r="C177" s="63"/>
    </row>
    <row r="178" spans="1:3" ht="13.2">
      <c r="A178" s="3"/>
      <c r="C178" s="63"/>
    </row>
    <row r="179" spans="1:3" ht="13.2">
      <c r="A179" s="3"/>
      <c r="C179" s="63"/>
    </row>
    <row r="180" spans="1:3" ht="13.2">
      <c r="A180" s="3"/>
      <c r="C180" s="63"/>
    </row>
    <row r="181" spans="1:3" ht="13.2">
      <c r="A181" s="3"/>
      <c r="C181" s="63"/>
    </row>
    <row r="182" spans="1:3" ht="13.2">
      <c r="A182" s="3"/>
      <c r="C182" s="63"/>
    </row>
    <row r="183" spans="1:3" ht="13.2">
      <c r="A183" s="3"/>
      <c r="C183" s="63"/>
    </row>
    <row r="184" spans="1:3" ht="13.2">
      <c r="A184" s="3"/>
      <c r="C184" s="63"/>
    </row>
    <row r="185" spans="1:3" ht="13.2">
      <c r="A185" s="3"/>
      <c r="C185" s="63"/>
    </row>
    <row r="186" spans="1:3" ht="13.2">
      <c r="A186" s="3"/>
      <c r="C186" s="63"/>
    </row>
    <row r="187" spans="1:3" ht="13.2">
      <c r="A187" s="3"/>
      <c r="C187" s="63"/>
    </row>
    <row r="188" spans="1:3" ht="13.2">
      <c r="A188" s="3"/>
      <c r="C188" s="63"/>
    </row>
    <row r="189" spans="1:3" ht="13.2">
      <c r="A189" s="3"/>
      <c r="C189" s="63"/>
    </row>
    <row r="190" spans="1:3" ht="13.2">
      <c r="A190" s="3"/>
      <c r="C190" s="63"/>
    </row>
    <row r="191" spans="1:3" ht="13.2">
      <c r="A191" s="3"/>
      <c r="C191" s="63"/>
    </row>
    <row r="192" spans="1:3" ht="13.2">
      <c r="A192" s="3"/>
      <c r="C192" s="63"/>
    </row>
    <row r="193" spans="1:3" ht="13.2">
      <c r="A193" s="3"/>
      <c r="C193" s="63"/>
    </row>
    <row r="194" spans="1:3" ht="13.2">
      <c r="A194" s="3"/>
      <c r="C194" s="63"/>
    </row>
    <row r="195" spans="1:3" ht="13.2">
      <c r="A195" s="3"/>
      <c r="C195" s="63"/>
    </row>
    <row r="196" spans="1:3" ht="13.2">
      <c r="A196" s="3"/>
      <c r="C196" s="63"/>
    </row>
    <row r="197" spans="1:3" ht="13.2">
      <c r="A197" s="3"/>
      <c r="C197" s="63"/>
    </row>
    <row r="198" spans="1:3" ht="13.2">
      <c r="A198" s="3"/>
      <c r="C198" s="63"/>
    </row>
    <row r="199" spans="1:3" ht="13.2">
      <c r="A199" s="3"/>
      <c r="C199" s="63"/>
    </row>
    <row r="200" spans="1:3" ht="13.2">
      <c r="A200" s="3"/>
      <c r="C200" s="63"/>
    </row>
    <row r="201" spans="1:3" ht="13.2">
      <c r="A201" s="3"/>
      <c r="C201" s="63"/>
    </row>
    <row r="202" spans="1:3" ht="13.2">
      <c r="A202" s="3"/>
      <c r="C202" s="63"/>
    </row>
    <row r="203" spans="1:3" ht="13.2">
      <c r="A203" s="3"/>
      <c r="C203" s="63"/>
    </row>
    <row r="204" spans="1:3" ht="13.2">
      <c r="A204" s="3"/>
      <c r="C204" s="63"/>
    </row>
    <row r="205" spans="1:3" ht="13.2">
      <c r="A205" s="3"/>
      <c r="C205" s="63"/>
    </row>
    <row r="206" spans="1:3" ht="13.2">
      <c r="A206" s="3"/>
      <c r="C206" s="63"/>
    </row>
    <row r="207" spans="1:3" ht="13.2">
      <c r="A207" s="3"/>
      <c r="C207" s="63"/>
    </row>
    <row r="208" spans="1:3" ht="13.2">
      <c r="A208" s="3"/>
      <c r="C208" s="63"/>
    </row>
    <row r="209" spans="1:3" ht="13.2">
      <c r="A209" s="3"/>
      <c r="C209" s="63"/>
    </row>
    <row r="210" spans="1:3" ht="13.2">
      <c r="A210" s="3"/>
      <c r="C210" s="63"/>
    </row>
    <row r="211" spans="1:3" ht="13.2">
      <c r="A211" s="3"/>
      <c r="C211" s="63"/>
    </row>
    <row r="212" spans="1:3" ht="13.2">
      <c r="A212" s="3"/>
      <c r="C212" s="63"/>
    </row>
    <row r="213" spans="1:3" ht="13.2">
      <c r="A213" s="3"/>
      <c r="C213" s="63"/>
    </row>
    <row r="214" spans="1:3" ht="13.2">
      <c r="A214" s="3"/>
      <c r="C214" s="63"/>
    </row>
    <row r="215" spans="1:3" ht="13.2">
      <c r="A215" s="3"/>
      <c r="C215" s="63"/>
    </row>
    <row r="216" spans="1:3" ht="13.2">
      <c r="A216" s="3"/>
      <c r="C216" s="63"/>
    </row>
    <row r="217" spans="1:3" ht="13.2">
      <c r="A217" s="3"/>
      <c r="C217" s="63"/>
    </row>
    <row r="218" spans="1:3" ht="13.2">
      <c r="A218" s="3"/>
      <c r="C218" s="63"/>
    </row>
    <row r="219" spans="1:3" ht="13.2">
      <c r="A219" s="3"/>
      <c r="C219" s="63"/>
    </row>
    <row r="220" spans="1:3" ht="13.2">
      <c r="A220" s="3"/>
      <c r="C220" s="63"/>
    </row>
    <row r="221" spans="1:3" ht="13.2">
      <c r="A221" s="3"/>
      <c r="C221" s="63"/>
    </row>
    <row r="222" spans="1:3" ht="13.2">
      <c r="A222" s="3"/>
      <c r="C222" s="63"/>
    </row>
    <row r="223" spans="1:3" ht="13.2">
      <c r="A223" s="3"/>
      <c r="C223" s="63"/>
    </row>
    <row r="224" spans="1:3" ht="13.2">
      <c r="A224" s="3"/>
      <c r="C224" s="63"/>
    </row>
    <row r="225" spans="1:3" ht="13.2">
      <c r="A225" s="3"/>
      <c r="C225" s="63"/>
    </row>
    <row r="226" spans="1:3" ht="13.2">
      <c r="A226" s="3"/>
      <c r="C226" s="63"/>
    </row>
    <row r="227" spans="1:3" ht="13.2">
      <c r="A227" s="3"/>
      <c r="C227" s="63"/>
    </row>
    <row r="228" spans="1:3" ht="13.2">
      <c r="A228" s="3"/>
      <c r="C228" s="63"/>
    </row>
    <row r="229" spans="1:3" ht="13.2">
      <c r="A229" s="3"/>
      <c r="C229" s="63"/>
    </row>
    <row r="230" spans="1:3" ht="13.2">
      <c r="A230" s="3"/>
      <c r="C230" s="63"/>
    </row>
    <row r="231" spans="1:3" ht="13.2">
      <c r="A231" s="3"/>
      <c r="C231" s="63"/>
    </row>
    <row r="232" spans="1:3" ht="13.2">
      <c r="A232" s="3"/>
      <c r="C232" s="63"/>
    </row>
    <row r="233" spans="1:3" ht="13.2">
      <c r="A233" s="3"/>
      <c r="C233" s="63"/>
    </row>
    <row r="234" spans="1:3" ht="13.2">
      <c r="A234" s="3"/>
      <c r="C234" s="63"/>
    </row>
    <row r="235" spans="1:3" ht="13.2">
      <c r="A235" s="3"/>
      <c r="C235" s="63"/>
    </row>
    <row r="236" spans="1:3" ht="13.2">
      <c r="A236" s="3"/>
      <c r="C236" s="63"/>
    </row>
    <row r="237" spans="1:3" ht="13.2">
      <c r="A237" s="3"/>
      <c r="C237" s="63"/>
    </row>
    <row r="238" spans="1:3" ht="13.2">
      <c r="A238" s="3"/>
      <c r="C238" s="63"/>
    </row>
    <row r="239" spans="1:3" ht="13.2">
      <c r="A239" s="3"/>
      <c r="C239" s="63"/>
    </row>
    <row r="240" spans="1:3" ht="13.2">
      <c r="A240" s="3"/>
      <c r="C240" s="63"/>
    </row>
    <row r="241" spans="1:3" ht="13.2">
      <c r="A241" s="3"/>
      <c r="C241" s="63"/>
    </row>
    <row r="242" spans="1:3" ht="13.2">
      <c r="A242" s="3"/>
      <c r="C242" s="63"/>
    </row>
    <row r="243" spans="1:3" ht="13.2">
      <c r="A243" s="3"/>
      <c r="C243" s="63"/>
    </row>
    <row r="244" spans="1:3" ht="13.2">
      <c r="A244" s="3"/>
      <c r="C244" s="63"/>
    </row>
    <row r="245" spans="1:3" ht="13.2">
      <c r="A245" s="3"/>
      <c r="C245" s="63"/>
    </row>
    <row r="246" spans="1:3" ht="13.2">
      <c r="A246" s="3"/>
      <c r="C246" s="63"/>
    </row>
    <row r="247" spans="1:3" ht="13.2">
      <c r="A247" s="3"/>
      <c r="C247" s="63"/>
    </row>
    <row r="248" spans="1:3" ht="13.2">
      <c r="A248" s="3"/>
      <c r="C248" s="63"/>
    </row>
    <row r="249" spans="1:3" ht="13.2">
      <c r="A249" s="3"/>
      <c r="C249" s="63"/>
    </row>
    <row r="250" spans="1:3" ht="13.2">
      <c r="A250" s="3"/>
      <c r="C250" s="63"/>
    </row>
    <row r="251" spans="1:3" ht="13.2">
      <c r="A251" s="3"/>
      <c r="C251" s="63"/>
    </row>
    <row r="252" spans="1:3" ht="13.2">
      <c r="A252" s="3"/>
      <c r="C252" s="63"/>
    </row>
    <row r="253" spans="1:3" ht="13.2">
      <c r="A253" s="3"/>
      <c r="C253" s="63"/>
    </row>
    <row r="254" spans="1:3" ht="13.2">
      <c r="A254" s="3"/>
      <c r="C254" s="63"/>
    </row>
    <row r="255" spans="1:3" ht="13.2">
      <c r="A255" s="3"/>
      <c r="C255" s="63"/>
    </row>
    <row r="256" spans="1:3" ht="13.2">
      <c r="A256" s="3"/>
      <c r="C256" s="63"/>
    </row>
    <row r="257" spans="1:3" ht="13.2">
      <c r="A257" s="3"/>
      <c r="C257" s="63"/>
    </row>
    <row r="258" spans="1:3" ht="13.2">
      <c r="A258" s="3"/>
      <c r="C258" s="63"/>
    </row>
    <row r="259" spans="1:3" ht="13.2">
      <c r="A259" s="3"/>
      <c r="C259" s="63"/>
    </row>
    <row r="260" spans="1:3" ht="13.2">
      <c r="A260" s="3"/>
      <c r="C260" s="63"/>
    </row>
    <row r="261" spans="1:3" ht="13.2">
      <c r="A261" s="3"/>
      <c r="C261" s="63"/>
    </row>
    <row r="262" spans="1:3" ht="13.2">
      <c r="A262" s="3"/>
      <c r="C262" s="63"/>
    </row>
    <row r="263" spans="1:3" ht="13.2">
      <c r="A263" s="3"/>
      <c r="C263" s="63"/>
    </row>
    <row r="264" spans="1:3" ht="13.2">
      <c r="A264" s="3"/>
      <c r="C264" s="63"/>
    </row>
    <row r="265" spans="1:3" ht="13.2">
      <c r="A265" s="3"/>
      <c r="C265" s="63"/>
    </row>
    <row r="266" spans="1:3" ht="13.2">
      <c r="A266" s="3"/>
      <c r="C266" s="63"/>
    </row>
    <row r="267" spans="1:3" ht="13.2">
      <c r="A267" s="3"/>
      <c r="C267" s="63"/>
    </row>
    <row r="268" spans="1:3" ht="13.2">
      <c r="A268" s="3"/>
      <c r="C268" s="63"/>
    </row>
    <row r="269" spans="1:3" ht="13.2">
      <c r="A269" s="3"/>
      <c r="C269" s="63"/>
    </row>
    <row r="270" spans="1:3" ht="13.2">
      <c r="A270" s="3"/>
      <c r="C270" s="63"/>
    </row>
    <row r="271" spans="1:3" ht="13.2">
      <c r="A271" s="3"/>
      <c r="C271" s="63"/>
    </row>
    <row r="272" spans="1:3" ht="13.2">
      <c r="A272" s="3"/>
      <c r="C272" s="63"/>
    </row>
    <row r="273" spans="1:3" ht="13.2">
      <c r="A273" s="3"/>
      <c r="C273" s="63"/>
    </row>
    <row r="274" spans="1:3" ht="13.2">
      <c r="A274" s="3"/>
      <c r="C274" s="63"/>
    </row>
    <row r="275" spans="1:3" ht="13.2">
      <c r="A275" s="3"/>
      <c r="C275" s="63"/>
    </row>
    <row r="276" spans="1:3" ht="13.2">
      <c r="A276" s="3"/>
      <c r="C276" s="63"/>
    </row>
    <row r="277" spans="1:3" ht="13.2">
      <c r="A277" s="3"/>
      <c r="C277" s="63"/>
    </row>
    <row r="278" spans="1:3" ht="13.2">
      <c r="A278" s="3"/>
      <c r="C278" s="63"/>
    </row>
    <row r="279" spans="1:3" ht="13.2">
      <c r="A279" s="3"/>
      <c r="C279" s="63"/>
    </row>
    <row r="280" spans="1:3" ht="13.2">
      <c r="A280" s="3"/>
      <c r="C280" s="63"/>
    </row>
    <row r="281" spans="1:3" ht="13.2">
      <c r="A281" s="3"/>
      <c r="C281" s="63"/>
    </row>
    <row r="282" spans="1:3" ht="13.2">
      <c r="A282" s="3"/>
      <c r="C282" s="63"/>
    </row>
    <row r="283" spans="1:3" ht="13.2">
      <c r="A283" s="3"/>
      <c r="C283" s="63"/>
    </row>
    <row r="284" spans="1:3" ht="13.2">
      <c r="A284" s="3"/>
      <c r="C284" s="63"/>
    </row>
    <row r="285" spans="1:3" ht="13.2">
      <c r="A285" s="3"/>
      <c r="C285" s="63"/>
    </row>
    <row r="286" spans="1:3" ht="13.2">
      <c r="A286" s="3"/>
      <c r="C286" s="63"/>
    </row>
    <row r="287" spans="1:3" ht="13.2">
      <c r="A287" s="3"/>
      <c r="C287" s="63"/>
    </row>
    <row r="288" spans="1:3" ht="13.2">
      <c r="A288" s="3"/>
      <c r="C288" s="63"/>
    </row>
    <row r="289" spans="1:3" ht="13.2">
      <c r="A289" s="3"/>
      <c r="C289" s="63"/>
    </row>
    <row r="290" spans="1:3" ht="13.2">
      <c r="A290" s="3"/>
      <c r="C290" s="63"/>
    </row>
    <row r="291" spans="1:3" ht="13.2">
      <c r="A291" s="3"/>
      <c r="C291" s="63"/>
    </row>
    <row r="292" spans="1:3" ht="13.2">
      <c r="A292" s="3"/>
      <c r="C292" s="63"/>
    </row>
    <row r="293" spans="1:3" ht="13.2">
      <c r="A293" s="3"/>
      <c r="C293" s="63"/>
    </row>
    <row r="294" spans="1:3" ht="13.2">
      <c r="A294" s="3"/>
      <c r="C294" s="63"/>
    </row>
    <row r="295" spans="1:3" ht="13.2">
      <c r="A295" s="3"/>
      <c r="C295" s="63"/>
    </row>
    <row r="296" spans="1:3" ht="13.2">
      <c r="A296" s="3"/>
      <c r="C296" s="63"/>
    </row>
    <row r="297" spans="1:3" ht="13.2">
      <c r="A297" s="3"/>
      <c r="C297" s="63"/>
    </row>
    <row r="298" spans="1:3" ht="13.2">
      <c r="A298" s="3"/>
      <c r="C298" s="63"/>
    </row>
    <row r="299" spans="1:3" ht="13.2">
      <c r="A299" s="3"/>
      <c r="C299" s="63"/>
    </row>
    <row r="300" spans="1:3" ht="13.2">
      <c r="A300" s="3"/>
      <c r="C300" s="63"/>
    </row>
    <row r="301" spans="1:3" ht="13.2">
      <c r="A301" s="3"/>
      <c r="C301" s="63"/>
    </row>
    <row r="302" spans="1:3" ht="13.2">
      <c r="A302" s="3"/>
      <c r="C302" s="63"/>
    </row>
    <row r="303" spans="1:3" ht="13.2">
      <c r="A303" s="3"/>
      <c r="C303" s="63"/>
    </row>
    <row r="304" spans="1:3" ht="13.2">
      <c r="A304" s="3"/>
      <c r="C304" s="63"/>
    </row>
    <row r="305" spans="1:3" ht="13.2">
      <c r="A305" s="3"/>
      <c r="C305" s="63"/>
    </row>
    <row r="306" spans="1:3" ht="13.2">
      <c r="A306" s="3"/>
      <c r="C306" s="63"/>
    </row>
    <row r="307" spans="1:3" ht="13.2">
      <c r="A307" s="3"/>
      <c r="C307" s="63"/>
    </row>
    <row r="308" spans="1:3" ht="13.2">
      <c r="A308" s="3"/>
      <c r="C308" s="63"/>
    </row>
    <row r="309" spans="1:3" ht="13.2">
      <c r="A309" s="3"/>
      <c r="C309" s="63"/>
    </row>
    <row r="310" spans="1:3" ht="13.2">
      <c r="A310" s="3"/>
      <c r="C310" s="63"/>
    </row>
    <row r="311" spans="1:3" ht="13.2">
      <c r="A311" s="3"/>
      <c r="C311" s="63"/>
    </row>
    <row r="312" spans="1:3" ht="13.2">
      <c r="A312" s="3"/>
      <c r="C312" s="63"/>
    </row>
    <row r="313" spans="1:3" ht="13.2">
      <c r="A313" s="3"/>
      <c r="C313" s="63"/>
    </row>
    <row r="314" spans="1:3" ht="13.2">
      <c r="A314" s="3"/>
      <c r="C314" s="63"/>
    </row>
    <row r="315" spans="1:3" ht="13.2">
      <c r="A315" s="3"/>
      <c r="C315" s="63"/>
    </row>
    <row r="316" spans="1:3" ht="13.2">
      <c r="A316" s="3"/>
      <c r="C316" s="63"/>
    </row>
    <row r="317" spans="1:3" ht="13.2">
      <c r="A317" s="3"/>
      <c r="C317" s="63"/>
    </row>
    <row r="318" spans="1:3" ht="13.2">
      <c r="A318" s="3"/>
      <c r="C318" s="63"/>
    </row>
    <row r="319" spans="1:3" ht="13.2">
      <c r="A319" s="3"/>
      <c r="C319" s="63"/>
    </row>
    <row r="320" spans="1:3" ht="13.2">
      <c r="A320" s="3"/>
      <c r="C320" s="63"/>
    </row>
    <row r="321" spans="1:3" ht="13.2">
      <c r="A321" s="3"/>
      <c r="C321" s="63"/>
    </row>
    <row r="322" spans="1:3" ht="13.2">
      <c r="A322" s="3"/>
      <c r="C322" s="63"/>
    </row>
    <row r="323" spans="1:3" ht="13.2">
      <c r="A323" s="3"/>
      <c r="C323" s="63"/>
    </row>
    <row r="324" spans="1:3" ht="13.2">
      <c r="A324" s="3"/>
      <c r="C324" s="63"/>
    </row>
    <row r="325" spans="1:3" ht="13.2">
      <c r="A325" s="3"/>
      <c r="C325" s="63"/>
    </row>
    <row r="326" spans="1:3" ht="13.2">
      <c r="A326" s="3"/>
      <c r="C326" s="63"/>
    </row>
    <row r="327" spans="1:3" ht="13.2">
      <c r="A327" s="3"/>
      <c r="C327" s="63"/>
    </row>
    <row r="328" spans="1:3" ht="13.2">
      <c r="A328" s="3"/>
      <c r="C328" s="63"/>
    </row>
    <row r="329" spans="1:3" ht="13.2">
      <c r="A329" s="3"/>
      <c r="C329" s="63"/>
    </row>
    <row r="330" spans="1:3" ht="13.2">
      <c r="A330" s="3"/>
      <c r="C330" s="63"/>
    </row>
    <row r="331" spans="1:3" ht="13.2">
      <c r="A331" s="3"/>
      <c r="C331" s="63"/>
    </row>
    <row r="332" spans="1:3" ht="13.2">
      <c r="A332" s="3"/>
      <c r="C332" s="63"/>
    </row>
    <row r="333" spans="1:3" ht="13.2">
      <c r="A333" s="3"/>
      <c r="C333" s="63"/>
    </row>
    <row r="334" spans="1:3" ht="13.2">
      <c r="A334" s="3"/>
      <c r="C334" s="63"/>
    </row>
    <row r="335" spans="1:3" ht="13.2">
      <c r="A335" s="3"/>
      <c r="C335" s="63"/>
    </row>
    <row r="336" spans="1:3" ht="13.2">
      <c r="A336" s="3"/>
      <c r="C336" s="63"/>
    </row>
    <row r="337" spans="1:3" ht="13.2">
      <c r="A337" s="3"/>
      <c r="C337" s="63"/>
    </row>
    <row r="338" spans="1:3" ht="13.2">
      <c r="A338" s="3"/>
      <c r="C338" s="63"/>
    </row>
    <row r="339" spans="1:3" ht="13.2">
      <c r="A339" s="3"/>
      <c r="C339" s="63"/>
    </row>
    <row r="340" spans="1:3" ht="13.2">
      <c r="A340" s="3"/>
      <c r="C340" s="63"/>
    </row>
    <row r="341" spans="1:3" ht="13.2">
      <c r="A341" s="3"/>
      <c r="C341" s="63"/>
    </row>
    <row r="342" spans="1:3" ht="13.2">
      <c r="A342" s="3"/>
      <c r="C342" s="63"/>
    </row>
    <row r="343" spans="1:3" ht="13.2">
      <c r="A343" s="3"/>
      <c r="C343" s="63"/>
    </row>
    <row r="344" spans="1:3" ht="13.2">
      <c r="A344" s="3"/>
      <c r="C344" s="63"/>
    </row>
    <row r="345" spans="1:3" ht="13.2">
      <c r="A345" s="3"/>
      <c r="C345" s="63"/>
    </row>
    <row r="346" spans="1:3" ht="13.2">
      <c r="A346" s="3"/>
      <c r="C346" s="63"/>
    </row>
    <row r="347" spans="1:3" ht="13.2">
      <c r="A347" s="3"/>
      <c r="C347" s="63"/>
    </row>
    <row r="348" spans="1:3" ht="13.2">
      <c r="A348" s="3"/>
      <c r="C348" s="63"/>
    </row>
    <row r="349" spans="1:3" ht="13.2">
      <c r="A349" s="3"/>
      <c r="C349" s="63"/>
    </row>
    <row r="350" spans="1:3" ht="13.2">
      <c r="A350" s="3"/>
      <c r="C350" s="63"/>
    </row>
    <row r="351" spans="1:3" ht="13.2">
      <c r="A351" s="3"/>
      <c r="C351" s="63"/>
    </row>
    <row r="352" spans="1:3" ht="13.2">
      <c r="A352" s="3"/>
      <c r="C352" s="63"/>
    </row>
    <row r="353" spans="1:3" ht="13.2">
      <c r="A353" s="3"/>
      <c r="C353" s="63"/>
    </row>
    <row r="354" spans="1:3" ht="13.2">
      <c r="A354" s="3"/>
      <c r="C354" s="63"/>
    </row>
    <row r="355" spans="1:3" ht="13.2">
      <c r="A355" s="3"/>
      <c r="C355" s="63"/>
    </row>
    <row r="356" spans="1:3" ht="13.2">
      <c r="A356" s="3"/>
      <c r="C356" s="63"/>
    </row>
    <row r="357" spans="1:3" ht="13.2">
      <c r="A357" s="3"/>
      <c r="C357" s="63"/>
    </row>
    <row r="358" spans="1:3" ht="13.2">
      <c r="A358" s="3"/>
      <c r="C358" s="63"/>
    </row>
    <row r="359" spans="1:3" ht="13.2">
      <c r="A359" s="3"/>
      <c r="C359" s="63"/>
    </row>
    <row r="360" spans="1:3" ht="13.2">
      <c r="A360" s="3"/>
      <c r="C360" s="63"/>
    </row>
    <row r="361" spans="1:3" ht="13.2">
      <c r="A361" s="3"/>
      <c r="C361" s="63"/>
    </row>
    <row r="362" spans="1:3" ht="13.2">
      <c r="A362" s="3"/>
      <c r="C362" s="63"/>
    </row>
    <row r="363" spans="1:3" ht="13.2">
      <c r="A363" s="3"/>
      <c r="C363" s="63"/>
    </row>
    <row r="364" spans="1:3" ht="13.2">
      <c r="A364" s="3"/>
      <c r="C364" s="63"/>
    </row>
    <row r="365" spans="1:3" ht="13.2">
      <c r="A365" s="3"/>
      <c r="C365" s="63"/>
    </row>
    <row r="366" spans="1:3" ht="13.2">
      <c r="A366" s="3"/>
      <c r="C366" s="63"/>
    </row>
    <row r="367" spans="1:3" ht="13.2">
      <c r="A367" s="3"/>
      <c r="C367" s="63"/>
    </row>
    <row r="368" spans="1:3" ht="13.2">
      <c r="A368" s="3"/>
      <c r="C368" s="63"/>
    </row>
    <row r="369" spans="1:3" ht="13.2">
      <c r="A369" s="3"/>
      <c r="C369" s="63"/>
    </row>
    <row r="370" spans="1:3" ht="13.2">
      <c r="A370" s="3"/>
      <c r="C370" s="63"/>
    </row>
    <row r="371" spans="1:3" ht="13.2">
      <c r="A371" s="3"/>
      <c r="C371" s="63"/>
    </row>
    <row r="372" spans="1:3" ht="13.2">
      <c r="A372" s="3"/>
      <c r="C372" s="63"/>
    </row>
    <row r="373" spans="1:3" ht="13.2">
      <c r="A373" s="3"/>
      <c r="C373" s="63"/>
    </row>
    <row r="374" spans="1:3" ht="13.2">
      <c r="A374" s="3"/>
      <c r="C374" s="63"/>
    </row>
    <row r="375" spans="1:3" ht="13.2">
      <c r="A375" s="3"/>
      <c r="C375" s="63"/>
    </row>
    <row r="376" spans="1:3" ht="13.2">
      <c r="A376" s="3"/>
      <c r="C376" s="63"/>
    </row>
    <row r="377" spans="1:3" ht="13.2">
      <c r="A377" s="3"/>
      <c r="C377" s="63"/>
    </row>
    <row r="378" spans="1:3" ht="13.2">
      <c r="A378" s="3"/>
      <c r="C378" s="63"/>
    </row>
    <row r="379" spans="1:3" ht="13.2">
      <c r="A379" s="3"/>
      <c r="C379" s="63"/>
    </row>
    <row r="380" spans="1:3" ht="13.2">
      <c r="A380" s="3"/>
      <c r="C380" s="63"/>
    </row>
    <row r="381" spans="1:3" ht="13.2">
      <c r="A381" s="3"/>
      <c r="C381" s="63"/>
    </row>
    <row r="382" spans="1:3" ht="13.2">
      <c r="A382" s="3"/>
      <c r="C382" s="63"/>
    </row>
    <row r="383" spans="1:3" ht="13.2">
      <c r="A383" s="3"/>
      <c r="C383" s="63"/>
    </row>
    <row r="384" spans="1:3" ht="13.2">
      <c r="A384" s="3"/>
      <c r="C384" s="63"/>
    </row>
    <row r="385" spans="1:3" ht="13.2">
      <c r="A385" s="3"/>
      <c r="C385" s="63"/>
    </row>
    <row r="386" spans="1:3" ht="13.2">
      <c r="A386" s="3"/>
      <c r="C386" s="63"/>
    </row>
    <row r="387" spans="1:3" ht="13.2">
      <c r="A387" s="3"/>
      <c r="C387" s="63"/>
    </row>
    <row r="388" spans="1:3" ht="13.2">
      <c r="A388" s="3"/>
      <c r="C388" s="63"/>
    </row>
    <row r="389" spans="1:3" ht="13.2">
      <c r="A389" s="3"/>
      <c r="C389" s="63"/>
    </row>
    <row r="390" spans="1:3" ht="13.2">
      <c r="A390" s="3"/>
      <c r="C390" s="63"/>
    </row>
    <row r="391" spans="1:3" ht="13.2">
      <c r="A391" s="3"/>
      <c r="C391" s="63"/>
    </row>
    <row r="392" spans="1:3" ht="13.2">
      <c r="A392" s="3"/>
      <c r="C392" s="63"/>
    </row>
    <row r="393" spans="1:3" ht="13.2">
      <c r="A393" s="3"/>
      <c r="C393" s="63"/>
    </row>
    <row r="394" spans="1:3" ht="13.2">
      <c r="A394" s="3"/>
      <c r="C394" s="63"/>
    </row>
    <row r="395" spans="1:3" ht="13.2">
      <c r="A395" s="3"/>
      <c r="C395" s="63"/>
    </row>
    <row r="396" spans="1:3" ht="13.2">
      <c r="A396" s="3"/>
      <c r="C396" s="63"/>
    </row>
    <row r="397" spans="1:3" ht="13.2">
      <c r="A397" s="3"/>
      <c r="C397" s="63"/>
    </row>
    <row r="398" spans="1:3" ht="13.2">
      <c r="A398" s="3"/>
      <c r="C398" s="63"/>
    </row>
    <row r="399" spans="1:3" ht="13.2">
      <c r="A399" s="3"/>
      <c r="C399" s="63"/>
    </row>
    <row r="400" spans="1:3" ht="13.2">
      <c r="A400" s="3"/>
      <c r="C400" s="63"/>
    </row>
    <row r="401" spans="1:3" ht="13.2">
      <c r="A401" s="3"/>
      <c r="C401" s="63"/>
    </row>
    <row r="402" spans="1:3" ht="13.2">
      <c r="A402" s="3"/>
      <c r="C402" s="63"/>
    </row>
    <row r="403" spans="1:3" ht="13.2">
      <c r="A403" s="3"/>
      <c r="C403" s="63"/>
    </row>
    <row r="404" spans="1:3" ht="13.2">
      <c r="A404" s="3"/>
      <c r="C404" s="63"/>
    </row>
    <row r="405" spans="1:3" ht="13.2">
      <c r="A405" s="3"/>
      <c r="C405" s="63"/>
    </row>
    <row r="406" spans="1:3" ht="13.2">
      <c r="A406" s="3"/>
      <c r="C406" s="63"/>
    </row>
    <row r="407" spans="1:3" ht="13.2">
      <c r="A407" s="3"/>
      <c r="C407" s="63"/>
    </row>
    <row r="408" spans="1:3" ht="13.2">
      <c r="A408" s="3"/>
      <c r="C408" s="63"/>
    </row>
    <row r="409" spans="1:3" ht="13.2">
      <c r="A409" s="3"/>
      <c r="C409" s="63"/>
    </row>
    <row r="410" spans="1:3" ht="13.2">
      <c r="A410" s="3"/>
      <c r="C410" s="63"/>
    </row>
    <row r="411" spans="1:3" ht="13.2">
      <c r="A411" s="3"/>
      <c r="C411" s="63"/>
    </row>
    <row r="412" spans="1:3" ht="13.2">
      <c r="A412" s="3"/>
      <c r="C412" s="63"/>
    </row>
    <row r="413" spans="1:3" ht="13.2">
      <c r="A413" s="3"/>
      <c r="C413" s="63"/>
    </row>
    <row r="414" spans="1:3" ht="13.2">
      <c r="A414" s="3"/>
      <c r="C414" s="63"/>
    </row>
    <row r="415" spans="1:3" ht="13.2">
      <c r="A415" s="3"/>
      <c r="C415" s="63"/>
    </row>
    <row r="416" spans="1:3" ht="13.2">
      <c r="A416" s="3"/>
      <c r="C416" s="63"/>
    </row>
    <row r="417" spans="1:3" ht="13.2">
      <c r="A417" s="3"/>
      <c r="C417" s="63"/>
    </row>
    <row r="418" spans="1:3" ht="13.2">
      <c r="A418" s="3"/>
      <c r="C418" s="63"/>
    </row>
    <row r="419" spans="1:3" ht="13.2">
      <c r="A419" s="3"/>
      <c r="C419" s="63"/>
    </row>
    <row r="420" spans="1:3" ht="13.2">
      <c r="A420" s="3"/>
      <c r="C420" s="63"/>
    </row>
    <row r="421" spans="1:3" ht="13.2">
      <c r="A421" s="3"/>
      <c r="C421" s="63"/>
    </row>
    <row r="422" spans="1:3" ht="13.2">
      <c r="A422" s="3"/>
      <c r="C422" s="63"/>
    </row>
    <row r="423" spans="1:3" ht="13.2">
      <c r="A423" s="3"/>
      <c r="C423" s="63"/>
    </row>
    <row r="424" spans="1:3" ht="13.2">
      <c r="A424" s="3"/>
      <c r="C424" s="63"/>
    </row>
    <row r="425" spans="1:3" ht="13.2">
      <c r="A425" s="3"/>
      <c r="C425" s="63"/>
    </row>
    <row r="426" spans="1:3" ht="13.2">
      <c r="A426" s="3"/>
      <c r="C426" s="63"/>
    </row>
    <row r="427" spans="1:3" ht="13.2">
      <c r="A427" s="3"/>
      <c r="C427" s="63"/>
    </row>
    <row r="428" spans="1:3" ht="13.2">
      <c r="A428" s="3"/>
      <c r="C428" s="63"/>
    </row>
    <row r="429" spans="1:3" ht="13.2">
      <c r="A429" s="3"/>
      <c r="C429" s="63"/>
    </row>
    <row r="430" spans="1:3" ht="13.2">
      <c r="A430" s="3"/>
      <c r="C430" s="63"/>
    </row>
    <row r="431" spans="1:3" ht="13.2">
      <c r="A431" s="3"/>
      <c r="C431" s="63"/>
    </row>
    <row r="432" spans="1:3" ht="13.2">
      <c r="A432" s="3"/>
      <c r="C432" s="63"/>
    </row>
    <row r="433" spans="1:3" ht="13.2">
      <c r="A433" s="3"/>
      <c r="C433" s="63"/>
    </row>
    <row r="434" spans="1:3" ht="13.2">
      <c r="A434" s="3"/>
      <c r="C434" s="63"/>
    </row>
    <row r="435" spans="1:3" ht="13.2">
      <c r="A435" s="3"/>
      <c r="C435" s="63"/>
    </row>
    <row r="436" spans="1:3" ht="13.2">
      <c r="A436" s="3"/>
      <c r="C436" s="63"/>
    </row>
    <row r="437" spans="1:3" ht="13.2">
      <c r="A437" s="3"/>
      <c r="C437" s="63"/>
    </row>
    <row r="438" spans="1:3" ht="13.2">
      <c r="A438" s="3"/>
      <c r="C438" s="63"/>
    </row>
    <row r="439" spans="1:3" ht="13.2">
      <c r="A439" s="3"/>
      <c r="C439" s="63"/>
    </row>
    <row r="440" spans="1:3" ht="13.2">
      <c r="A440" s="3"/>
      <c r="C440" s="63"/>
    </row>
    <row r="441" spans="1:3" ht="13.2">
      <c r="A441" s="3"/>
      <c r="C441" s="63"/>
    </row>
    <row r="442" spans="1:3" ht="13.2">
      <c r="A442" s="3"/>
      <c r="C442" s="63"/>
    </row>
    <row r="443" spans="1:3" ht="13.2">
      <c r="A443" s="3"/>
      <c r="C443" s="63"/>
    </row>
    <row r="444" spans="1:3" ht="13.2">
      <c r="A444" s="3"/>
      <c r="C444" s="63"/>
    </row>
    <row r="445" spans="1:3" ht="13.2">
      <c r="A445" s="3"/>
      <c r="C445" s="63"/>
    </row>
    <row r="446" spans="1:3" ht="13.2">
      <c r="A446" s="3"/>
      <c r="C446" s="63"/>
    </row>
    <row r="447" spans="1:3" ht="13.2">
      <c r="A447" s="3"/>
      <c r="C447" s="63"/>
    </row>
    <row r="448" spans="1:3" ht="13.2">
      <c r="A448" s="3"/>
      <c r="C448" s="63"/>
    </row>
    <row r="449" spans="1:3" ht="13.2">
      <c r="A449" s="3"/>
      <c r="C449" s="63"/>
    </row>
    <row r="450" spans="1:3" ht="13.2">
      <c r="A450" s="3"/>
      <c r="C450" s="63"/>
    </row>
    <row r="451" spans="1:3" ht="13.2">
      <c r="A451" s="3"/>
      <c r="C451" s="63"/>
    </row>
    <row r="452" spans="1:3" ht="13.2">
      <c r="A452" s="3"/>
      <c r="C452" s="63"/>
    </row>
    <row r="453" spans="1:3" ht="13.2">
      <c r="A453" s="3"/>
      <c r="C453" s="63"/>
    </row>
    <row r="454" spans="1:3" ht="13.2">
      <c r="A454" s="3"/>
      <c r="C454" s="63"/>
    </row>
    <row r="455" spans="1:3" ht="13.2">
      <c r="A455" s="3"/>
      <c r="C455" s="63"/>
    </row>
    <row r="456" spans="1:3" ht="13.2">
      <c r="A456" s="3"/>
      <c r="C456" s="63"/>
    </row>
    <row r="457" spans="1:3" ht="13.2">
      <c r="A457" s="3"/>
      <c r="C457" s="63"/>
    </row>
    <row r="458" spans="1:3" ht="13.2">
      <c r="A458" s="3"/>
      <c r="C458" s="63"/>
    </row>
    <row r="459" spans="1:3" ht="13.2">
      <c r="A459" s="3"/>
      <c r="C459" s="63"/>
    </row>
    <row r="460" spans="1:3" ht="13.2">
      <c r="A460" s="3"/>
      <c r="C460" s="63"/>
    </row>
    <row r="461" spans="1:3" ht="13.2">
      <c r="A461" s="3"/>
      <c r="C461" s="63"/>
    </row>
    <row r="462" spans="1:3" ht="13.2">
      <c r="A462" s="3"/>
      <c r="C462" s="63"/>
    </row>
    <row r="463" spans="1:3" ht="13.2">
      <c r="A463" s="3"/>
      <c r="C463" s="63"/>
    </row>
    <row r="464" spans="1:3" ht="13.2">
      <c r="A464" s="3"/>
      <c r="C464" s="63"/>
    </row>
    <row r="465" spans="1:3" ht="13.2">
      <c r="A465" s="3"/>
      <c r="C465" s="63"/>
    </row>
    <row r="466" spans="1:3" ht="13.2">
      <c r="A466" s="3"/>
      <c r="C466" s="63"/>
    </row>
    <row r="467" spans="1:3" ht="13.2">
      <c r="A467" s="3"/>
      <c r="C467" s="63"/>
    </row>
    <row r="468" spans="1:3" ht="13.2">
      <c r="A468" s="3"/>
      <c r="C468" s="63"/>
    </row>
    <row r="469" spans="1:3" ht="13.2">
      <c r="A469" s="3"/>
      <c r="C469" s="63"/>
    </row>
    <row r="470" spans="1:3" ht="13.2">
      <c r="A470" s="3"/>
      <c r="C470" s="63"/>
    </row>
    <row r="471" spans="1:3" ht="13.2">
      <c r="A471" s="3"/>
      <c r="C471" s="63"/>
    </row>
    <row r="472" spans="1:3" ht="13.2">
      <c r="A472" s="3"/>
      <c r="C472" s="63"/>
    </row>
    <row r="473" spans="1:3" ht="13.2">
      <c r="A473" s="3"/>
      <c r="C473" s="63"/>
    </row>
    <row r="474" spans="1:3" ht="13.2">
      <c r="A474" s="3"/>
      <c r="C474" s="63"/>
    </row>
    <row r="475" spans="1:3" ht="13.2">
      <c r="A475" s="3"/>
      <c r="C475" s="63"/>
    </row>
    <row r="476" spans="1:3" ht="13.2">
      <c r="A476" s="3"/>
      <c r="C476" s="63"/>
    </row>
    <row r="477" spans="1:3" ht="13.2">
      <c r="A477" s="3"/>
      <c r="C477" s="63"/>
    </row>
    <row r="478" spans="1:3" ht="13.2">
      <c r="A478" s="3"/>
      <c r="C478" s="63"/>
    </row>
    <row r="479" spans="1:3" ht="13.2">
      <c r="A479" s="3"/>
      <c r="C479" s="63"/>
    </row>
    <row r="480" spans="1:3" ht="13.2">
      <c r="A480" s="3"/>
      <c r="C480" s="63"/>
    </row>
    <row r="481" spans="1:3" ht="13.2">
      <c r="A481" s="3"/>
      <c r="C481" s="63"/>
    </row>
    <row r="482" spans="1:3" ht="13.2">
      <c r="A482" s="3"/>
      <c r="C482" s="63"/>
    </row>
    <row r="483" spans="1:3" ht="13.2">
      <c r="A483" s="3"/>
      <c r="C483" s="63"/>
    </row>
    <row r="484" spans="1:3" ht="13.2">
      <c r="A484" s="3"/>
      <c r="C484" s="63"/>
    </row>
    <row r="485" spans="1:3" ht="13.2">
      <c r="A485" s="3"/>
      <c r="C485" s="63"/>
    </row>
    <row r="486" spans="1:3" ht="13.2">
      <c r="A486" s="3"/>
      <c r="C486" s="63"/>
    </row>
    <row r="487" spans="1:3" ht="13.2">
      <c r="A487" s="3"/>
      <c r="C487" s="63"/>
    </row>
    <row r="488" spans="1:3" ht="13.2">
      <c r="A488" s="3"/>
      <c r="C488" s="63"/>
    </row>
    <row r="489" spans="1:3" ht="13.2">
      <c r="A489" s="3"/>
      <c r="C489" s="63"/>
    </row>
    <row r="490" spans="1:3" ht="13.2">
      <c r="A490" s="3"/>
      <c r="C490" s="63"/>
    </row>
    <row r="491" spans="1:3" ht="13.2">
      <c r="A491" s="3"/>
      <c r="C491" s="63"/>
    </row>
    <row r="492" spans="1:3" ht="13.2">
      <c r="A492" s="3"/>
      <c r="C492" s="63"/>
    </row>
    <row r="493" spans="1:3" ht="13.2">
      <c r="A493" s="3"/>
      <c r="C493" s="63"/>
    </row>
    <row r="494" spans="1:3" ht="13.2">
      <c r="A494" s="3"/>
      <c r="C494" s="63"/>
    </row>
    <row r="495" spans="1:3" ht="13.2">
      <c r="A495" s="3"/>
      <c r="C495" s="63"/>
    </row>
    <row r="496" spans="1:3" ht="13.2">
      <c r="A496" s="3"/>
      <c r="C496" s="63"/>
    </row>
    <row r="497" spans="1:3" ht="13.2">
      <c r="A497" s="3"/>
      <c r="C497" s="63"/>
    </row>
    <row r="498" spans="1:3" ht="13.2">
      <c r="A498" s="3"/>
      <c r="C498" s="63"/>
    </row>
    <row r="499" spans="1:3" ht="13.2">
      <c r="A499" s="3"/>
      <c r="C499" s="63"/>
    </row>
    <row r="500" spans="1:3" ht="13.2">
      <c r="A500" s="3"/>
      <c r="C500" s="63"/>
    </row>
    <row r="501" spans="1:3" ht="13.2">
      <c r="A501" s="3"/>
      <c r="C501" s="63"/>
    </row>
    <row r="502" spans="1:3" ht="13.2">
      <c r="A502" s="3"/>
      <c r="C502" s="63"/>
    </row>
    <row r="503" spans="1:3" ht="13.2">
      <c r="A503" s="3"/>
      <c r="C503" s="63"/>
    </row>
    <row r="504" spans="1:3" ht="13.2">
      <c r="A504" s="3"/>
      <c r="C504" s="63"/>
    </row>
    <row r="505" spans="1:3" ht="13.2">
      <c r="A505" s="3"/>
      <c r="C505" s="63"/>
    </row>
    <row r="506" spans="1:3" ht="13.2">
      <c r="A506" s="3"/>
      <c r="C506" s="63"/>
    </row>
    <row r="507" spans="1:3" ht="13.2">
      <c r="A507" s="3"/>
      <c r="C507" s="63"/>
    </row>
    <row r="508" spans="1:3" ht="13.2">
      <c r="A508" s="3"/>
      <c r="C508" s="63"/>
    </row>
    <row r="509" spans="1:3" ht="13.2">
      <c r="A509" s="3"/>
      <c r="C509" s="63"/>
    </row>
    <row r="510" spans="1:3" ht="13.2">
      <c r="A510" s="3"/>
      <c r="C510" s="63"/>
    </row>
    <row r="511" spans="1:3" ht="13.2">
      <c r="A511" s="3"/>
      <c r="C511" s="63"/>
    </row>
    <row r="512" spans="1:3" ht="13.2">
      <c r="A512" s="3"/>
      <c r="C512" s="63"/>
    </row>
    <row r="513" spans="1:3" ht="13.2">
      <c r="A513" s="3"/>
      <c r="C513" s="63"/>
    </row>
    <row r="514" spans="1:3" ht="13.2">
      <c r="A514" s="3"/>
      <c r="C514" s="63"/>
    </row>
    <row r="515" spans="1:3" ht="13.2">
      <c r="A515" s="3"/>
      <c r="C515" s="63"/>
    </row>
    <row r="516" spans="1:3" ht="13.2">
      <c r="A516" s="3"/>
      <c r="C516" s="63"/>
    </row>
    <row r="517" spans="1:3" ht="13.2">
      <c r="A517" s="3"/>
      <c r="C517" s="63"/>
    </row>
    <row r="518" spans="1:3" ht="13.2">
      <c r="A518" s="3"/>
      <c r="C518" s="63"/>
    </row>
    <row r="519" spans="1:3" ht="13.2">
      <c r="A519" s="3"/>
      <c r="C519" s="63"/>
    </row>
    <row r="520" spans="1:3" ht="13.2">
      <c r="A520" s="3"/>
      <c r="C520" s="63"/>
    </row>
    <row r="521" spans="1:3" ht="13.2">
      <c r="A521" s="3"/>
      <c r="C521" s="63"/>
    </row>
    <row r="522" spans="1:3" ht="13.2">
      <c r="A522" s="3"/>
      <c r="C522" s="63"/>
    </row>
    <row r="523" spans="1:3" ht="13.2">
      <c r="A523" s="3"/>
      <c r="C523" s="63"/>
    </row>
    <row r="524" spans="1:3" ht="13.2">
      <c r="A524" s="3"/>
      <c r="C524" s="63"/>
    </row>
    <row r="525" spans="1:3" ht="13.2">
      <c r="A525" s="3"/>
      <c r="C525" s="63"/>
    </row>
    <row r="526" spans="1:3" ht="13.2">
      <c r="A526" s="3"/>
      <c r="C526" s="63"/>
    </row>
    <row r="527" spans="1:3" ht="13.2">
      <c r="A527" s="3"/>
      <c r="C527" s="63"/>
    </row>
    <row r="528" spans="1:3" ht="13.2">
      <c r="A528" s="3"/>
      <c r="C528" s="63"/>
    </row>
    <row r="529" spans="1:3" ht="13.2">
      <c r="A529" s="3"/>
      <c r="C529" s="63"/>
    </row>
    <row r="530" spans="1:3" ht="13.2">
      <c r="A530" s="3"/>
      <c r="C530" s="63"/>
    </row>
    <row r="531" spans="1:3" ht="13.2">
      <c r="A531" s="3"/>
      <c r="C531" s="63"/>
    </row>
    <row r="532" spans="1:3" ht="13.2">
      <c r="A532" s="3"/>
      <c r="C532" s="63"/>
    </row>
    <row r="533" spans="1:3" ht="13.2">
      <c r="A533" s="3"/>
      <c r="C533" s="63"/>
    </row>
    <row r="534" spans="1:3" ht="13.2">
      <c r="A534" s="3"/>
      <c r="C534" s="63"/>
    </row>
    <row r="535" spans="1:3" ht="13.2">
      <c r="A535" s="3"/>
      <c r="C535" s="63"/>
    </row>
    <row r="536" spans="1:3" ht="13.2">
      <c r="A536" s="3"/>
      <c r="C536" s="63"/>
    </row>
    <row r="537" spans="1:3" ht="13.2">
      <c r="A537" s="3"/>
      <c r="C537" s="63"/>
    </row>
    <row r="538" spans="1:3" ht="13.2">
      <c r="A538" s="3"/>
      <c r="C538" s="63"/>
    </row>
    <row r="539" spans="1:3" ht="13.2">
      <c r="A539" s="3"/>
      <c r="C539" s="63"/>
    </row>
    <row r="540" spans="1:3" ht="13.2">
      <c r="A540" s="3"/>
      <c r="C540" s="63"/>
    </row>
    <row r="541" spans="1:3" ht="13.2">
      <c r="A541" s="3"/>
      <c r="C541" s="63"/>
    </row>
    <row r="542" spans="1:3" ht="13.2">
      <c r="A542" s="3"/>
      <c r="C542" s="63"/>
    </row>
    <row r="543" spans="1:3" ht="13.2">
      <c r="A543" s="3"/>
      <c r="C543" s="63"/>
    </row>
    <row r="544" spans="1:3" ht="13.2">
      <c r="A544" s="3"/>
      <c r="C544" s="63"/>
    </row>
    <row r="545" spans="1:3" ht="13.2">
      <c r="A545" s="3"/>
      <c r="C545" s="63"/>
    </row>
    <row r="546" spans="1:3" ht="13.2">
      <c r="A546" s="3"/>
      <c r="C546" s="63"/>
    </row>
    <row r="547" spans="1:3" ht="13.2">
      <c r="A547" s="3"/>
      <c r="C547" s="63"/>
    </row>
    <row r="548" spans="1:3" ht="13.2">
      <c r="A548" s="3"/>
      <c r="C548" s="63"/>
    </row>
    <row r="549" spans="1:3" ht="13.2">
      <c r="A549" s="3"/>
      <c r="C549" s="63"/>
    </row>
    <row r="550" spans="1:3" ht="13.2">
      <c r="A550" s="3"/>
      <c r="C550" s="63"/>
    </row>
    <row r="551" spans="1:3" ht="13.2">
      <c r="A551" s="3"/>
      <c r="C551" s="63"/>
    </row>
    <row r="552" spans="1:3" ht="13.2">
      <c r="A552" s="3"/>
      <c r="C552" s="63"/>
    </row>
    <row r="553" spans="1:3" ht="13.2">
      <c r="A553" s="3"/>
      <c r="C553" s="63"/>
    </row>
    <row r="554" spans="1:3" ht="13.2">
      <c r="A554" s="3"/>
      <c r="C554" s="63"/>
    </row>
    <row r="555" spans="1:3" ht="13.2">
      <c r="A555" s="3"/>
      <c r="C555" s="63"/>
    </row>
    <row r="556" spans="1:3" ht="13.2">
      <c r="A556" s="3"/>
      <c r="C556" s="63"/>
    </row>
    <row r="557" spans="1:3" ht="13.2">
      <c r="A557" s="3"/>
      <c r="C557" s="63"/>
    </row>
    <row r="558" spans="1:3" ht="13.2">
      <c r="A558" s="3"/>
      <c r="C558" s="63"/>
    </row>
    <row r="559" spans="1:3" ht="13.2">
      <c r="A559" s="3"/>
      <c r="C559" s="63"/>
    </row>
    <row r="560" spans="1:3" ht="13.2">
      <c r="A560" s="3"/>
      <c r="C560" s="63"/>
    </row>
    <row r="561" spans="1:3" ht="13.2">
      <c r="A561" s="3"/>
      <c r="C561" s="63"/>
    </row>
    <row r="562" spans="1:3" ht="13.2">
      <c r="A562" s="3"/>
      <c r="C562" s="63"/>
    </row>
    <row r="563" spans="1:3" ht="13.2">
      <c r="A563" s="3"/>
      <c r="C563" s="63"/>
    </row>
    <row r="564" spans="1:3" ht="13.2">
      <c r="A564" s="3"/>
      <c r="C564" s="63"/>
    </row>
    <row r="565" spans="1:3" ht="13.2">
      <c r="A565" s="3"/>
      <c r="C565" s="63"/>
    </row>
    <row r="566" spans="1:3" ht="13.2">
      <c r="A566" s="3"/>
      <c r="C566" s="63"/>
    </row>
    <row r="567" spans="1:3" ht="13.2">
      <c r="A567" s="3"/>
      <c r="C567" s="63"/>
    </row>
    <row r="568" spans="1:3" ht="13.2">
      <c r="A568" s="3"/>
      <c r="C568" s="63"/>
    </row>
    <row r="569" spans="1:3" ht="13.2">
      <c r="A569" s="3"/>
      <c r="C569" s="63"/>
    </row>
    <row r="570" spans="1:3" ht="13.2">
      <c r="A570" s="3"/>
      <c r="C570" s="63"/>
    </row>
    <row r="571" spans="1:3" ht="13.2">
      <c r="A571" s="3"/>
      <c r="C571" s="63"/>
    </row>
    <row r="572" spans="1:3" ht="13.2">
      <c r="A572" s="3"/>
      <c r="C572" s="63"/>
    </row>
    <row r="573" spans="1:3" ht="13.2">
      <c r="A573" s="3"/>
      <c r="C573" s="63"/>
    </row>
    <row r="574" spans="1:3" ht="13.2">
      <c r="A574" s="3"/>
      <c r="C574" s="63"/>
    </row>
    <row r="575" spans="1:3" ht="13.2">
      <c r="A575" s="3"/>
      <c r="C575" s="63"/>
    </row>
    <row r="576" spans="1:3" ht="13.2">
      <c r="A576" s="3"/>
      <c r="C576" s="63"/>
    </row>
    <row r="577" spans="1:3" ht="13.2">
      <c r="A577" s="3"/>
      <c r="C577" s="63"/>
    </row>
    <row r="578" spans="1:3" ht="13.2">
      <c r="A578" s="3"/>
      <c r="C578" s="63"/>
    </row>
    <row r="579" spans="1:3" ht="13.2">
      <c r="A579" s="3"/>
      <c r="C579" s="63"/>
    </row>
    <row r="580" spans="1:3" ht="13.2">
      <c r="A580" s="3"/>
      <c r="C580" s="63"/>
    </row>
    <row r="581" spans="1:3" ht="13.2">
      <c r="A581" s="3"/>
      <c r="C581" s="63"/>
    </row>
    <row r="582" spans="1:3" ht="13.2">
      <c r="A582" s="3"/>
      <c r="C582" s="63"/>
    </row>
    <row r="583" spans="1:3" ht="13.2">
      <c r="A583" s="3"/>
      <c r="C583" s="63"/>
    </row>
    <row r="584" spans="1:3" ht="13.2">
      <c r="A584" s="3"/>
      <c r="C584" s="63"/>
    </row>
    <row r="585" spans="1:3" ht="13.2">
      <c r="A585" s="3"/>
      <c r="C585" s="63"/>
    </row>
    <row r="586" spans="1:3" ht="13.2">
      <c r="A586" s="3"/>
      <c r="C586" s="63"/>
    </row>
    <row r="587" spans="1:3" ht="13.2">
      <c r="A587" s="3"/>
      <c r="C587" s="63"/>
    </row>
    <row r="588" spans="1:3" ht="13.2">
      <c r="A588" s="3"/>
      <c r="C588" s="63"/>
    </row>
    <row r="589" spans="1:3" ht="13.2">
      <c r="A589" s="3"/>
      <c r="C589" s="63"/>
    </row>
    <row r="590" spans="1:3" ht="13.2">
      <c r="A590" s="3"/>
      <c r="C590" s="63"/>
    </row>
    <row r="591" spans="1:3" ht="13.2">
      <c r="A591" s="3"/>
      <c r="C591" s="63"/>
    </row>
    <row r="592" spans="1:3" ht="13.2">
      <c r="A592" s="3"/>
      <c r="C592" s="63"/>
    </row>
    <row r="593" spans="1:3" ht="13.2">
      <c r="A593" s="3"/>
      <c r="C593" s="63"/>
    </row>
    <row r="594" spans="1:3" ht="13.2">
      <c r="A594" s="3"/>
      <c r="C594" s="63"/>
    </row>
    <row r="595" spans="1:3" ht="13.2">
      <c r="A595" s="3"/>
      <c r="C595" s="63"/>
    </row>
    <row r="596" spans="1:3" ht="13.2">
      <c r="A596" s="3"/>
      <c r="C596" s="63"/>
    </row>
    <row r="597" spans="1:3" ht="13.2">
      <c r="A597" s="3"/>
      <c r="C597" s="63"/>
    </row>
    <row r="598" spans="1:3" ht="13.2">
      <c r="A598" s="3"/>
      <c r="C598" s="63"/>
    </row>
    <row r="599" spans="1:3" ht="13.2">
      <c r="A599" s="3"/>
      <c r="C599" s="63"/>
    </row>
    <row r="600" spans="1:3" ht="13.2">
      <c r="A600" s="3"/>
      <c r="C600" s="63"/>
    </row>
    <row r="601" spans="1:3" ht="13.2">
      <c r="A601" s="3"/>
      <c r="C601" s="63"/>
    </row>
    <row r="602" spans="1:3" ht="13.2">
      <c r="A602" s="3"/>
      <c r="C602" s="63"/>
    </row>
    <row r="603" spans="1:3" ht="13.2">
      <c r="A603" s="3"/>
      <c r="C603" s="63"/>
    </row>
    <row r="604" spans="1:3" ht="13.2">
      <c r="A604" s="3"/>
      <c r="C604" s="63"/>
    </row>
    <row r="605" spans="1:3" ht="13.2">
      <c r="A605" s="3"/>
      <c r="C605" s="63"/>
    </row>
    <row r="606" spans="1:3" ht="13.2">
      <c r="A606" s="3"/>
      <c r="C606" s="63"/>
    </row>
    <row r="607" spans="1:3" ht="13.2">
      <c r="A607" s="3"/>
      <c r="C607" s="63"/>
    </row>
    <row r="608" spans="1:3" ht="13.2">
      <c r="A608" s="3"/>
      <c r="C608" s="63"/>
    </row>
    <row r="609" spans="1:3" ht="13.2">
      <c r="A609" s="3"/>
      <c r="C609" s="63"/>
    </row>
    <row r="610" spans="1:3" ht="13.2">
      <c r="A610" s="3"/>
      <c r="C610" s="63"/>
    </row>
    <row r="611" spans="1:3" ht="13.2">
      <c r="A611" s="3"/>
      <c r="C611" s="63"/>
    </row>
    <row r="612" spans="1:3" ht="13.2">
      <c r="A612" s="3"/>
      <c r="C612" s="63"/>
    </row>
    <row r="613" spans="1:3" ht="13.2">
      <c r="A613" s="3"/>
      <c r="C613" s="63"/>
    </row>
    <row r="614" spans="1:3" ht="13.2">
      <c r="A614" s="3"/>
      <c r="C614" s="63"/>
    </row>
    <row r="615" spans="1:3" ht="13.2">
      <c r="A615" s="3"/>
      <c r="C615" s="63"/>
    </row>
    <row r="616" spans="1:3" ht="13.2">
      <c r="A616" s="3"/>
      <c r="C616" s="63"/>
    </row>
    <row r="617" spans="1:3" ht="13.2">
      <c r="A617" s="3"/>
      <c r="C617" s="63"/>
    </row>
    <row r="618" spans="1:3" ht="13.2">
      <c r="A618" s="3"/>
      <c r="C618" s="63"/>
    </row>
    <row r="619" spans="1:3" ht="13.2">
      <c r="A619" s="3"/>
      <c r="C619" s="63"/>
    </row>
    <row r="620" spans="1:3" ht="13.2">
      <c r="A620" s="3"/>
      <c r="C620" s="63"/>
    </row>
    <row r="621" spans="1:3" ht="13.2">
      <c r="A621" s="3"/>
      <c r="C621" s="63"/>
    </row>
    <row r="622" spans="1:3" ht="13.2">
      <c r="A622" s="3"/>
      <c r="C622" s="63"/>
    </row>
    <row r="623" spans="1:3" ht="13.2">
      <c r="A623" s="3"/>
      <c r="C623" s="63"/>
    </row>
    <row r="624" spans="1:3" ht="13.2">
      <c r="A624" s="3"/>
      <c r="C624" s="63"/>
    </row>
    <row r="625" spans="1:3" ht="13.2">
      <c r="A625" s="3"/>
      <c r="C625" s="63"/>
    </row>
    <row r="626" spans="1:3" ht="13.2">
      <c r="A626" s="3"/>
      <c r="C626" s="63"/>
    </row>
    <row r="627" spans="1:3" ht="13.2">
      <c r="A627" s="3"/>
      <c r="C627" s="63"/>
    </row>
    <row r="628" spans="1:3" ht="13.2">
      <c r="A628" s="3"/>
      <c r="C628" s="63"/>
    </row>
    <row r="629" spans="1:3" ht="13.2">
      <c r="A629" s="3"/>
      <c r="C629" s="63"/>
    </row>
    <row r="630" spans="1:3" ht="13.2">
      <c r="A630" s="3"/>
      <c r="C630" s="63"/>
    </row>
    <row r="631" spans="1:3" ht="13.2">
      <c r="A631" s="3"/>
      <c r="C631" s="63"/>
    </row>
    <row r="632" spans="1:3" ht="13.2">
      <c r="A632" s="3"/>
      <c r="C632" s="63"/>
    </row>
    <row r="633" spans="1:3" ht="13.2">
      <c r="A633" s="3"/>
      <c r="C633" s="63"/>
    </row>
    <row r="634" spans="1:3" ht="13.2">
      <c r="A634" s="3"/>
      <c r="C634" s="63"/>
    </row>
    <row r="635" spans="1:3" ht="13.2">
      <c r="A635" s="3"/>
      <c r="C635" s="63"/>
    </row>
    <row r="636" spans="1:3" ht="13.2">
      <c r="A636" s="3"/>
      <c r="C636" s="63"/>
    </row>
    <row r="637" spans="1:3" ht="13.2">
      <c r="A637" s="3"/>
      <c r="C637" s="63"/>
    </row>
    <row r="638" spans="1:3" ht="13.2">
      <c r="A638" s="3"/>
      <c r="C638" s="63"/>
    </row>
    <row r="639" spans="1:3" ht="13.2">
      <c r="A639" s="3"/>
      <c r="C639" s="63"/>
    </row>
    <row r="640" spans="1:3" ht="13.2">
      <c r="A640" s="3"/>
      <c r="C640" s="63"/>
    </row>
    <row r="641" spans="1:3" ht="13.2">
      <c r="A641" s="3"/>
      <c r="C641" s="63"/>
    </row>
    <row r="642" spans="1:3" ht="13.2">
      <c r="A642" s="3"/>
      <c r="C642" s="63"/>
    </row>
    <row r="643" spans="1:3" ht="13.2">
      <c r="A643" s="3"/>
      <c r="C643" s="63"/>
    </row>
    <row r="644" spans="1:3" ht="13.2">
      <c r="A644" s="3"/>
      <c r="C644" s="63"/>
    </row>
    <row r="645" spans="1:3" ht="13.2">
      <c r="A645" s="3"/>
      <c r="C645" s="63"/>
    </row>
    <row r="646" spans="1:3" ht="13.2">
      <c r="A646" s="3"/>
      <c r="C646" s="63"/>
    </row>
    <row r="647" spans="1:3" ht="13.2">
      <c r="A647" s="3"/>
      <c r="C647" s="63"/>
    </row>
    <row r="648" spans="1:3" ht="13.2">
      <c r="A648" s="3"/>
      <c r="C648" s="63"/>
    </row>
    <row r="649" spans="1:3" ht="13.2">
      <c r="A649" s="3"/>
      <c r="C649" s="63"/>
    </row>
    <row r="650" spans="1:3" ht="13.2">
      <c r="A650" s="3"/>
      <c r="C650" s="63"/>
    </row>
    <row r="651" spans="1:3" ht="13.2">
      <c r="A651" s="3"/>
      <c r="C651" s="63"/>
    </row>
    <row r="652" spans="1:3" ht="13.2">
      <c r="A652" s="3"/>
      <c r="C652" s="63"/>
    </row>
    <row r="653" spans="1:3" ht="13.2">
      <c r="A653" s="3"/>
      <c r="C653" s="63"/>
    </row>
    <row r="654" spans="1:3" ht="13.2">
      <c r="A654" s="3"/>
      <c r="C654" s="63"/>
    </row>
    <row r="655" spans="1:3" ht="13.2">
      <c r="A655" s="3"/>
      <c r="C655" s="63"/>
    </row>
    <row r="656" spans="1:3" ht="13.2">
      <c r="A656" s="3"/>
      <c r="C656" s="63"/>
    </row>
    <row r="657" spans="1:3" ht="13.2">
      <c r="A657" s="3"/>
      <c r="C657" s="63"/>
    </row>
    <row r="658" spans="1:3" ht="13.2">
      <c r="A658" s="3"/>
      <c r="C658" s="63"/>
    </row>
    <row r="659" spans="1:3" ht="13.2">
      <c r="A659" s="3"/>
      <c r="C659" s="63"/>
    </row>
    <row r="660" spans="1:3" ht="13.2">
      <c r="A660" s="3"/>
      <c r="C660" s="63"/>
    </row>
    <row r="661" spans="1:3" ht="13.2">
      <c r="A661" s="3"/>
      <c r="C661" s="63"/>
    </row>
    <row r="662" spans="1:3" ht="13.2">
      <c r="A662" s="3"/>
      <c r="C662" s="63"/>
    </row>
    <row r="663" spans="1:3" ht="13.2">
      <c r="A663" s="3"/>
      <c r="C663" s="63"/>
    </row>
    <row r="664" spans="1:3" ht="13.2">
      <c r="A664" s="3"/>
      <c r="C664" s="63"/>
    </row>
    <row r="665" spans="1:3" ht="13.2">
      <c r="A665" s="3"/>
      <c r="C665" s="63"/>
    </row>
    <row r="666" spans="1:3" ht="13.2">
      <c r="A666" s="3"/>
      <c r="C666" s="63"/>
    </row>
    <row r="667" spans="1:3" ht="13.2">
      <c r="A667" s="3"/>
      <c r="C667" s="63"/>
    </row>
    <row r="668" spans="1:3" ht="13.2">
      <c r="A668" s="3"/>
      <c r="C668" s="63"/>
    </row>
    <row r="669" spans="1:3" ht="13.2">
      <c r="A669" s="3"/>
      <c r="C669" s="63"/>
    </row>
    <row r="670" spans="1:3" ht="13.2">
      <c r="A670" s="3"/>
      <c r="C670" s="63"/>
    </row>
    <row r="671" spans="1:3" ht="13.2">
      <c r="A671" s="3"/>
      <c r="C671" s="63"/>
    </row>
    <row r="672" spans="1:3" ht="13.2">
      <c r="A672" s="3"/>
      <c r="C672" s="63"/>
    </row>
    <row r="673" spans="1:3" ht="13.2">
      <c r="A673" s="3"/>
      <c r="C673" s="63"/>
    </row>
    <row r="674" spans="1:3" ht="13.2">
      <c r="A674" s="3"/>
      <c r="C674" s="63"/>
    </row>
    <row r="675" spans="1:3" ht="13.2">
      <c r="A675" s="3"/>
      <c r="C675" s="63"/>
    </row>
    <row r="676" spans="1:3" ht="13.2">
      <c r="A676" s="3"/>
      <c r="C676" s="63"/>
    </row>
    <row r="677" spans="1:3" ht="13.2">
      <c r="A677" s="3"/>
      <c r="C677" s="63"/>
    </row>
    <row r="678" spans="1:3" ht="13.2">
      <c r="A678" s="3"/>
      <c r="C678" s="63"/>
    </row>
    <row r="679" spans="1:3" ht="13.2">
      <c r="A679" s="3"/>
      <c r="C679" s="63"/>
    </row>
    <row r="680" spans="1:3" ht="13.2">
      <c r="A680" s="3"/>
      <c r="C680" s="63"/>
    </row>
    <row r="681" spans="1:3" ht="13.2">
      <c r="A681" s="3"/>
      <c r="C681" s="63"/>
    </row>
    <row r="682" spans="1:3" ht="13.2">
      <c r="A682" s="3"/>
      <c r="C682" s="63"/>
    </row>
    <row r="683" spans="1:3" ht="13.2">
      <c r="A683" s="3"/>
      <c r="C683" s="63"/>
    </row>
    <row r="684" spans="1:3" ht="13.2">
      <c r="A684" s="3"/>
      <c r="C684" s="63"/>
    </row>
    <row r="685" spans="1:3" ht="13.2">
      <c r="A685" s="3"/>
      <c r="C685" s="63"/>
    </row>
    <row r="686" spans="1:3" ht="13.2">
      <c r="A686" s="3"/>
      <c r="C686" s="63"/>
    </row>
    <row r="687" spans="1:3" ht="13.2">
      <c r="A687" s="3"/>
      <c r="C687" s="63"/>
    </row>
    <row r="688" spans="1:3" ht="13.2">
      <c r="A688" s="3"/>
      <c r="C688" s="63"/>
    </row>
    <row r="689" spans="1:3" ht="13.2">
      <c r="A689" s="3"/>
      <c r="C689" s="63"/>
    </row>
    <row r="690" spans="1:3" ht="13.2">
      <c r="A690" s="3"/>
      <c r="C690" s="63"/>
    </row>
    <row r="691" spans="1:3" ht="13.2">
      <c r="A691" s="3"/>
      <c r="C691" s="63"/>
    </row>
    <row r="692" spans="1:3" ht="13.2">
      <c r="A692" s="3"/>
      <c r="C692" s="63"/>
    </row>
    <row r="693" spans="1:3" ht="13.2">
      <c r="A693" s="3"/>
      <c r="C693" s="63"/>
    </row>
    <row r="694" spans="1:3" ht="13.2">
      <c r="A694" s="3"/>
      <c r="C694" s="63"/>
    </row>
    <row r="695" spans="1:3" ht="13.2">
      <c r="A695" s="3"/>
      <c r="C695" s="63"/>
    </row>
    <row r="696" spans="1:3" ht="13.2">
      <c r="A696" s="3"/>
      <c r="C696" s="63"/>
    </row>
    <row r="697" spans="1:3" ht="13.2">
      <c r="A697" s="3"/>
      <c r="C697" s="63"/>
    </row>
    <row r="698" spans="1:3" ht="13.2">
      <c r="A698" s="3"/>
      <c r="C698" s="63"/>
    </row>
    <row r="699" spans="1:3" ht="13.2">
      <c r="A699" s="3"/>
      <c r="C699" s="63"/>
    </row>
    <row r="700" spans="1:3" ht="13.2">
      <c r="A700" s="3"/>
      <c r="C700" s="63"/>
    </row>
    <row r="701" spans="1:3" ht="13.2">
      <c r="A701" s="3"/>
      <c r="C701" s="63"/>
    </row>
    <row r="702" spans="1:3" ht="13.2">
      <c r="A702" s="3"/>
      <c r="C702" s="63"/>
    </row>
    <row r="703" spans="1:3" ht="13.2">
      <c r="A703" s="3"/>
      <c r="C703" s="63"/>
    </row>
    <row r="704" spans="1:3" ht="13.2">
      <c r="A704" s="3"/>
      <c r="C704" s="63"/>
    </row>
    <row r="705" spans="1:3" ht="13.2">
      <c r="A705" s="3"/>
      <c r="C705" s="63"/>
    </row>
    <row r="706" spans="1:3" ht="13.2">
      <c r="A706" s="3"/>
      <c r="C706" s="63"/>
    </row>
    <row r="707" spans="1:3" ht="13.2">
      <c r="A707" s="3"/>
      <c r="C707" s="63"/>
    </row>
    <row r="708" spans="1:3" ht="13.2">
      <c r="A708" s="3"/>
      <c r="C708" s="63"/>
    </row>
    <row r="709" spans="1:3" ht="13.2">
      <c r="A709" s="3"/>
      <c r="C709" s="63"/>
    </row>
    <row r="710" spans="1:3" ht="13.2">
      <c r="A710" s="3"/>
      <c r="C710" s="63"/>
    </row>
    <row r="711" spans="1:3" ht="13.2">
      <c r="A711" s="3"/>
      <c r="C711" s="63"/>
    </row>
    <row r="712" spans="1:3" ht="13.2">
      <c r="A712" s="3"/>
      <c r="C712" s="63"/>
    </row>
    <row r="713" spans="1:3" ht="13.2">
      <c r="A713" s="3"/>
      <c r="C713" s="63"/>
    </row>
    <row r="714" spans="1:3" ht="13.2">
      <c r="A714" s="3"/>
      <c r="C714" s="63"/>
    </row>
    <row r="715" spans="1:3" ht="13.2">
      <c r="A715" s="3"/>
      <c r="C715" s="63"/>
    </row>
    <row r="716" spans="1:3" ht="13.2">
      <c r="A716" s="3"/>
      <c r="C716" s="63"/>
    </row>
    <row r="717" spans="1:3" ht="13.2">
      <c r="A717" s="3"/>
      <c r="C717" s="63"/>
    </row>
    <row r="718" spans="1:3" ht="13.2">
      <c r="A718" s="3"/>
      <c r="C718" s="63"/>
    </row>
    <row r="719" spans="1:3" ht="13.2">
      <c r="A719" s="3"/>
      <c r="C719" s="63"/>
    </row>
    <row r="720" spans="1:3" ht="13.2">
      <c r="A720" s="3"/>
      <c r="C720" s="63"/>
    </row>
    <row r="721" spans="1:3" ht="13.2">
      <c r="A721" s="3"/>
      <c r="C721" s="63"/>
    </row>
    <row r="722" spans="1:3" ht="13.2">
      <c r="A722" s="3"/>
      <c r="C722" s="63"/>
    </row>
    <row r="723" spans="1:3" ht="13.2">
      <c r="A723" s="3"/>
      <c r="C723" s="63"/>
    </row>
    <row r="724" spans="1:3" ht="13.2">
      <c r="A724" s="3"/>
      <c r="C724" s="63"/>
    </row>
    <row r="725" spans="1:3" ht="13.2">
      <c r="A725" s="3"/>
      <c r="C725" s="63"/>
    </row>
    <row r="726" spans="1:3" ht="13.2">
      <c r="A726" s="3"/>
      <c r="C726" s="63"/>
    </row>
    <row r="727" spans="1:3" ht="13.2">
      <c r="A727" s="3"/>
      <c r="C727" s="63"/>
    </row>
    <row r="728" spans="1:3" ht="13.2">
      <c r="A728" s="3"/>
      <c r="C728" s="63"/>
    </row>
    <row r="729" spans="1:3" ht="13.2">
      <c r="A729" s="3"/>
      <c r="C729" s="63"/>
    </row>
    <row r="730" spans="1:3" ht="13.2">
      <c r="A730" s="3"/>
      <c r="C730" s="63"/>
    </row>
    <row r="731" spans="1:3" ht="13.2">
      <c r="A731" s="3"/>
      <c r="C731" s="63"/>
    </row>
    <row r="732" spans="1:3" ht="13.2">
      <c r="A732" s="3"/>
      <c r="C732" s="63"/>
    </row>
    <row r="733" spans="1:3" ht="13.2">
      <c r="A733" s="3"/>
      <c r="C733" s="63"/>
    </row>
    <row r="734" spans="1:3" ht="13.2">
      <c r="A734" s="3"/>
      <c r="C734" s="63"/>
    </row>
    <row r="735" spans="1:3" ht="13.2">
      <c r="A735" s="3"/>
      <c r="C735" s="63"/>
    </row>
    <row r="736" spans="1:3" ht="13.2">
      <c r="A736" s="3"/>
      <c r="C736" s="63"/>
    </row>
    <row r="737" spans="1:3" ht="13.2">
      <c r="A737" s="3"/>
      <c r="C737" s="63"/>
    </row>
    <row r="738" spans="1:3" ht="13.2">
      <c r="A738" s="3"/>
      <c r="C738" s="63"/>
    </row>
    <row r="739" spans="1:3" ht="13.2">
      <c r="A739" s="3"/>
      <c r="C739" s="63"/>
    </row>
    <row r="740" spans="1:3" ht="13.2">
      <c r="A740" s="3"/>
      <c r="C740" s="63"/>
    </row>
    <row r="741" spans="1:3" ht="13.2">
      <c r="A741" s="3"/>
      <c r="C741" s="63"/>
    </row>
    <row r="742" spans="1:3" ht="13.2">
      <c r="A742" s="3"/>
      <c r="C742" s="63"/>
    </row>
    <row r="743" spans="1:3" ht="13.2">
      <c r="A743" s="3"/>
      <c r="C743" s="63"/>
    </row>
    <row r="744" spans="1:3" ht="13.2">
      <c r="A744" s="3"/>
      <c r="C744" s="63"/>
    </row>
    <row r="745" spans="1:3" ht="13.2">
      <c r="A745" s="3"/>
      <c r="C745" s="63"/>
    </row>
    <row r="746" spans="1:3" ht="13.2">
      <c r="A746" s="3"/>
      <c r="C746" s="63"/>
    </row>
    <row r="747" spans="1:3" ht="13.2">
      <c r="A747" s="3"/>
      <c r="C747" s="63"/>
    </row>
    <row r="748" spans="1:3" ht="13.2">
      <c r="A748" s="3"/>
      <c r="C748" s="63"/>
    </row>
    <row r="749" spans="1:3" ht="13.2">
      <c r="A749" s="3"/>
      <c r="C749" s="63"/>
    </row>
    <row r="750" spans="1:3" ht="13.2">
      <c r="A750" s="3"/>
      <c r="C750" s="63"/>
    </row>
    <row r="751" spans="1:3" ht="13.2">
      <c r="A751" s="3"/>
      <c r="C751" s="63"/>
    </row>
    <row r="752" spans="1:3" ht="13.2">
      <c r="A752" s="3"/>
      <c r="C752" s="63"/>
    </row>
    <row r="753" spans="1:3" ht="13.2">
      <c r="A753" s="3"/>
      <c r="C753" s="63"/>
    </row>
    <row r="754" spans="1:3" ht="13.2">
      <c r="A754" s="3"/>
      <c r="C754" s="63"/>
    </row>
    <row r="755" spans="1:3" ht="13.2">
      <c r="A755" s="3"/>
      <c r="C755" s="63"/>
    </row>
    <row r="756" spans="1:3" ht="13.2">
      <c r="A756" s="3"/>
      <c r="C756" s="63"/>
    </row>
    <row r="757" spans="1:3" ht="13.2">
      <c r="A757" s="3"/>
      <c r="C757" s="63"/>
    </row>
    <row r="758" spans="1:3" ht="13.2">
      <c r="A758" s="3"/>
      <c r="C758" s="63"/>
    </row>
    <row r="759" spans="1:3" ht="13.2">
      <c r="A759" s="3"/>
      <c r="C759" s="63"/>
    </row>
    <row r="760" spans="1:3" ht="13.2">
      <c r="A760" s="3"/>
      <c r="C760" s="63"/>
    </row>
    <row r="761" spans="1:3" ht="13.2">
      <c r="A761" s="3"/>
      <c r="C761" s="63"/>
    </row>
    <row r="762" spans="1:3" ht="13.2">
      <c r="A762" s="3"/>
      <c r="C762" s="63"/>
    </row>
    <row r="763" spans="1:3" ht="13.2">
      <c r="A763" s="3"/>
      <c r="C763" s="63"/>
    </row>
    <row r="764" spans="1:3" ht="13.2">
      <c r="A764" s="3"/>
      <c r="C764" s="63"/>
    </row>
    <row r="765" spans="1:3" ht="13.2">
      <c r="A765" s="3"/>
      <c r="C765" s="63"/>
    </row>
    <row r="766" spans="1:3" ht="13.2">
      <c r="A766" s="3"/>
      <c r="C766" s="63"/>
    </row>
    <row r="767" spans="1:3" ht="13.2">
      <c r="A767" s="3"/>
      <c r="C767" s="63"/>
    </row>
    <row r="768" spans="1:3" ht="13.2">
      <c r="A768" s="3"/>
      <c r="C768" s="63"/>
    </row>
    <row r="769" spans="1:3" ht="13.2">
      <c r="A769" s="3"/>
      <c r="C769" s="63"/>
    </row>
    <row r="770" spans="1:3" ht="13.2">
      <c r="A770" s="3"/>
      <c r="C770" s="63"/>
    </row>
    <row r="771" spans="1:3" ht="13.2">
      <c r="A771" s="3"/>
      <c r="C771" s="63"/>
    </row>
    <row r="772" spans="1:3" ht="13.2">
      <c r="A772" s="3"/>
      <c r="C772" s="63"/>
    </row>
    <row r="773" spans="1:3" ht="13.2">
      <c r="A773" s="3"/>
      <c r="C773" s="63"/>
    </row>
    <row r="774" spans="1:3" ht="13.2">
      <c r="A774" s="3"/>
      <c r="C774" s="63"/>
    </row>
    <row r="775" spans="1:3" ht="13.2">
      <c r="A775" s="3"/>
      <c r="C775" s="63"/>
    </row>
    <row r="776" spans="1:3" ht="13.2">
      <c r="A776" s="3"/>
      <c r="C776" s="63"/>
    </row>
    <row r="777" spans="1:3" ht="13.2">
      <c r="A777" s="3"/>
      <c r="C777" s="63"/>
    </row>
    <row r="778" spans="1:3" ht="13.2">
      <c r="A778" s="3"/>
      <c r="C778" s="63"/>
    </row>
    <row r="779" spans="1:3" ht="13.2">
      <c r="A779" s="3"/>
      <c r="C779" s="63"/>
    </row>
    <row r="780" spans="1:3" ht="13.2">
      <c r="A780" s="3"/>
      <c r="C780" s="63"/>
    </row>
    <row r="781" spans="1:3" ht="13.2">
      <c r="A781" s="3"/>
      <c r="C781" s="63"/>
    </row>
    <row r="782" spans="1:3" ht="13.2">
      <c r="A782" s="3"/>
      <c r="C782" s="63"/>
    </row>
    <row r="783" spans="1:3" ht="13.2">
      <c r="A783" s="3"/>
      <c r="C783" s="63"/>
    </row>
    <row r="784" spans="1:3" ht="13.2">
      <c r="A784" s="3"/>
      <c r="C784" s="63"/>
    </row>
    <row r="785" spans="1:3" ht="13.2">
      <c r="A785" s="3"/>
      <c r="C785" s="63"/>
    </row>
    <row r="786" spans="1:3" ht="13.2">
      <c r="A786" s="3"/>
      <c r="C786" s="63"/>
    </row>
    <row r="787" spans="1:3" ht="13.2">
      <c r="A787" s="3"/>
      <c r="C787" s="63"/>
    </row>
    <row r="788" spans="1:3" ht="13.2">
      <c r="A788" s="3"/>
      <c r="C788" s="63"/>
    </row>
    <row r="789" spans="1:3" ht="13.2">
      <c r="A789" s="3"/>
      <c r="C789" s="63"/>
    </row>
    <row r="790" spans="1:3" ht="13.2">
      <c r="A790" s="3"/>
      <c r="C790" s="63"/>
    </row>
    <row r="791" spans="1:3" ht="13.2">
      <c r="A791" s="3"/>
      <c r="C791" s="63"/>
    </row>
    <row r="792" spans="1:3" ht="13.2">
      <c r="A792" s="3"/>
      <c r="C792" s="63"/>
    </row>
    <row r="793" spans="1:3" ht="13.2">
      <c r="A793" s="3"/>
      <c r="C793" s="63"/>
    </row>
    <row r="794" spans="1:3" ht="13.2">
      <c r="A794" s="3"/>
      <c r="C794" s="63"/>
    </row>
    <row r="795" spans="1:3" ht="13.2">
      <c r="A795" s="3"/>
      <c r="C795" s="63"/>
    </row>
    <row r="796" spans="1:3" ht="13.2">
      <c r="A796" s="3"/>
      <c r="C796" s="63"/>
    </row>
    <row r="797" spans="1:3" ht="13.2">
      <c r="A797" s="3"/>
      <c r="C797" s="63"/>
    </row>
    <row r="798" spans="1:3" ht="13.2">
      <c r="A798" s="3"/>
      <c r="C798" s="63"/>
    </row>
    <row r="799" spans="1:3" ht="13.2">
      <c r="A799" s="3"/>
      <c r="C799" s="63"/>
    </row>
    <row r="800" spans="1:3" ht="13.2">
      <c r="A800" s="3"/>
      <c r="C800" s="63"/>
    </row>
    <row r="801" spans="1:3" ht="13.2">
      <c r="A801" s="3"/>
      <c r="C801" s="63"/>
    </row>
    <row r="802" spans="1:3" ht="13.2">
      <c r="A802" s="3"/>
      <c r="C802" s="63"/>
    </row>
    <row r="803" spans="1:3" ht="13.2">
      <c r="A803" s="3"/>
      <c r="C803" s="63"/>
    </row>
    <row r="804" spans="1:3" ht="13.2">
      <c r="A804" s="3"/>
      <c r="C804" s="63"/>
    </row>
    <row r="805" spans="1:3" ht="13.2">
      <c r="A805" s="3"/>
      <c r="C805" s="63"/>
    </row>
    <row r="806" spans="1:3" ht="13.2">
      <c r="A806" s="3"/>
      <c r="C806" s="63"/>
    </row>
    <row r="807" spans="1:3" ht="13.2">
      <c r="A807" s="3"/>
      <c r="C807" s="63"/>
    </row>
    <row r="808" spans="1:3" ht="13.2">
      <c r="A808" s="3"/>
      <c r="C808" s="63"/>
    </row>
    <row r="809" spans="1:3" ht="13.2">
      <c r="A809" s="3"/>
      <c r="C809" s="63"/>
    </row>
    <row r="810" spans="1:3" ht="13.2">
      <c r="A810" s="3"/>
      <c r="C810" s="63"/>
    </row>
    <row r="811" spans="1:3" ht="13.2">
      <c r="A811" s="3"/>
      <c r="C811" s="63"/>
    </row>
    <row r="812" spans="1:3" ht="13.2">
      <c r="A812" s="3"/>
      <c r="C812" s="63"/>
    </row>
    <row r="813" spans="1:3" ht="13.2">
      <c r="A813" s="3"/>
      <c r="C813" s="63"/>
    </row>
    <row r="814" spans="1:3" ht="13.2">
      <c r="A814" s="3"/>
      <c r="C814" s="63"/>
    </row>
    <row r="815" spans="1:3" ht="13.2">
      <c r="A815" s="3"/>
      <c r="C815" s="63"/>
    </row>
    <row r="816" spans="1:3" ht="13.2">
      <c r="A816" s="3"/>
      <c r="C816" s="63"/>
    </row>
    <row r="817" spans="1:3" ht="13.2">
      <c r="A817" s="3"/>
      <c r="C817" s="63"/>
    </row>
    <row r="818" spans="1:3" ht="13.2">
      <c r="A818" s="3"/>
      <c r="C818" s="63"/>
    </row>
    <row r="819" spans="1:3" ht="13.2">
      <c r="A819" s="3"/>
      <c r="C819" s="63"/>
    </row>
    <row r="820" spans="1:3" ht="13.2">
      <c r="A820" s="3"/>
      <c r="C820" s="63"/>
    </row>
    <row r="821" spans="1:3" ht="13.2">
      <c r="A821" s="3"/>
      <c r="C821" s="63"/>
    </row>
    <row r="822" spans="1:3" ht="13.2">
      <c r="A822" s="3"/>
      <c r="C822" s="63"/>
    </row>
    <row r="823" spans="1:3" ht="13.2">
      <c r="A823" s="3"/>
      <c r="C823" s="63"/>
    </row>
    <row r="824" spans="1:3" ht="13.2">
      <c r="A824" s="3"/>
      <c r="C824" s="63"/>
    </row>
    <row r="825" spans="1:3" ht="13.2">
      <c r="A825" s="3"/>
      <c r="C825" s="63"/>
    </row>
    <row r="826" spans="1:3" ht="13.2">
      <c r="A826" s="3"/>
      <c r="C826" s="63"/>
    </row>
    <row r="827" spans="1:3" ht="13.2">
      <c r="A827" s="3"/>
      <c r="C827" s="63"/>
    </row>
    <row r="828" spans="1:3" ht="13.2">
      <c r="A828" s="3"/>
      <c r="C828" s="63"/>
    </row>
    <row r="829" spans="1:3" ht="13.2">
      <c r="A829" s="3"/>
      <c r="C829" s="63"/>
    </row>
    <row r="830" spans="1:3" ht="13.2">
      <c r="A830" s="3"/>
      <c r="C830" s="63"/>
    </row>
    <row r="831" spans="1:3" ht="13.2">
      <c r="A831" s="3"/>
      <c r="C831" s="63"/>
    </row>
    <row r="832" spans="1:3" ht="13.2">
      <c r="A832" s="3"/>
      <c r="C832" s="63"/>
    </row>
    <row r="833" spans="1:3" ht="13.2">
      <c r="A833" s="3"/>
      <c r="C833" s="63"/>
    </row>
    <row r="834" spans="1:3" ht="13.2">
      <c r="A834" s="3"/>
      <c r="C834" s="63"/>
    </row>
    <row r="835" spans="1:3" ht="13.2">
      <c r="A835" s="3"/>
      <c r="C835" s="63"/>
    </row>
    <row r="836" spans="1:3" ht="13.2">
      <c r="A836" s="3"/>
      <c r="C836" s="63"/>
    </row>
    <row r="837" spans="1:3" ht="13.2">
      <c r="A837" s="3"/>
      <c r="C837" s="63"/>
    </row>
    <row r="838" spans="1:3" ht="13.2">
      <c r="A838" s="3"/>
      <c r="C838" s="63"/>
    </row>
    <row r="839" spans="1:3" ht="13.2">
      <c r="A839" s="3"/>
      <c r="C839" s="63"/>
    </row>
    <row r="840" spans="1:3" ht="13.2">
      <c r="A840" s="3"/>
      <c r="C840" s="63"/>
    </row>
    <row r="841" spans="1:3" ht="13.2">
      <c r="A841" s="3"/>
      <c r="C841" s="63"/>
    </row>
    <row r="842" spans="1:3" ht="13.2">
      <c r="A842" s="3"/>
      <c r="C842" s="63"/>
    </row>
    <row r="843" spans="1:3" ht="13.2">
      <c r="A843" s="3"/>
      <c r="C843" s="63"/>
    </row>
    <row r="844" spans="1:3" ht="13.2">
      <c r="A844" s="3"/>
      <c r="C844" s="63"/>
    </row>
    <row r="845" spans="1:3" ht="13.2">
      <c r="A845" s="3"/>
      <c r="C845" s="63"/>
    </row>
    <row r="846" spans="1:3" ht="13.2">
      <c r="A846" s="3"/>
      <c r="C846" s="63"/>
    </row>
    <row r="847" spans="1:3" ht="13.2">
      <c r="A847" s="3"/>
      <c r="C847" s="63"/>
    </row>
    <row r="848" spans="1:3" ht="13.2">
      <c r="A848" s="3"/>
      <c r="C848" s="63"/>
    </row>
    <row r="849" spans="1:3" ht="13.2">
      <c r="A849" s="3"/>
      <c r="C849" s="63"/>
    </row>
    <row r="850" spans="1:3" ht="13.2">
      <c r="A850" s="3"/>
      <c r="C850" s="63"/>
    </row>
    <row r="851" spans="1:3" ht="13.2">
      <c r="A851" s="3"/>
      <c r="C851" s="63"/>
    </row>
    <row r="852" spans="1:3" ht="13.2">
      <c r="A852" s="3"/>
      <c r="C852" s="63"/>
    </row>
    <row r="853" spans="1:3" ht="13.2">
      <c r="A853" s="3"/>
      <c r="C853" s="63"/>
    </row>
    <row r="854" spans="1:3" ht="13.2">
      <c r="A854" s="3"/>
      <c r="C854" s="63"/>
    </row>
    <row r="855" spans="1:3" ht="13.2">
      <c r="A855" s="3"/>
      <c r="C855" s="63"/>
    </row>
    <row r="856" spans="1:3" ht="13.2">
      <c r="A856" s="3"/>
      <c r="C856" s="63"/>
    </row>
    <row r="857" spans="1:3" ht="13.2">
      <c r="A857" s="3"/>
      <c r="C857" s="63"/>
    </row>
    <row r="858" spans="1:3" ht="13.2">
      <c r="A858" s="3"/>
      <c r="C858" s="63"/>
    </row>
    <row r="859" spans="1:3" ht="13.2">
      <c r="A859" s="3"/>
      <c r="C859" s="63"/>
    </row>
    <row r="860" spans="1:3" ht="13.2">
      <c r="A860" s="3"/>
      <c r="C860" s="63"/>
    </row>
    <row r="861" spans="1:3" ht="13.2">
      <c r="A861" s="3"/>
      <c r="C861" s="63"/>
    </row>
    <row r="862" spans="1:3" ht="13.2">
      <c r="A862" s="3"/>
      <c r="C862" s="63"/>
    </row>
    <row r="863" spans="1:3" ht="13.2">
      <c r="A863" s="3"/>
      <c r="C863" s="63"/>
    </row>
    <row r="864" spans="1:3" ht="13.2">
      <c r="A864" s="3"/>
      <c r="C864" s="63"/>
    </row>
    <row r="865" spans="1:3" ht="13.2">
      <c r="A865" s="3"/>
      <c r="C865" s="63"/>
    </row>
    <row r="866" spans="1:3" ht="13.2">
      <c r="A866" s="3"/>
      <c r="C866" s="63"/>
    </row>
    <row r="867" spans="1:3" ht="13.2">
      <c r="A867" s="3"/>
      <c r="C867" s="63"/>
    </row>
    <row r="868" spans="1:3" ht="13.2">
      <c r="A868" s="3"/>
      <c r="C868" s="63"/>
    </row>
    <row r="869" spans="1:3" ht="13.2">
      <c r="A869" s="3"/>
      <c r="C869" s="63"/>
    </row>
    <row r="870" spans="1:3" ht="13.2">
      <c r="A870" s="3"/>
      <c r="C870" s="63"/>
    </row>
    <row r="871" spans="1:3" ht="13.2">
      <c r="A871" s="3"/>
      <c r="C871" s="63"/>
    </row>
    <row r="872" spans="1:3" ht="13.2">
      <c r="A872" s="3"/>
      <c r="C872" s="63"/>
    </row>
    <row r="873" spans="1:3" ht="13.2">
      <c r="A873" s="3"/>
      <c r="C873" s="63"/>
    </row>
    <row r="874" spans="1:3" ht="13.2">
      <c r="A874" s="3"/>
      <c r="C874" s="63"/>
    </row>
    <row r="875" spans="1:3" ht="13.2">
      <c r="A875" s="3"/>
      <c r="C875" s="63"/>
    </row>
    <row r="876" spans="1:3" ht="13.2">
      <c r="A876" s="3"/>
      <c r="C876" s="63"/>
    </row>
    <row r="877" spans="1:3" ht="13.2">
      <c r="A877" s="3"/>
      <c r="C877" s="63"/>
    </row>
    <row r="878" spans="1:3" ht="13.2">
      <c r="A878" s="3"/>
      <c r="C878" s="63"/>
    </row>
    <row r="879" spans="1:3" ht="13.2">
      <c r="A879" s="3"/>
      <c r="C879" s="63"/>
    </row>
    <row r="880" spans="1:3" ht="13.2">
      <c r="A880" s="3"/>
      <c r="C880" s="63"/>
    </row>
    <row r="881" spans="1:3" ht="13.2">
      <c r="A881" s="3"/>
      <c r="C881" s="63"/>
    </row>
    <row r="882" spans="1:3" ht="13.2">
      <c r="A882" s="3"/>
      <c r="C882" s="63"/>
    </row>
    <row r="883" spans="1:3" ht="13.2">
      <c r="A883" s="3"/>
      <c r="C883" s="63"/>
    </row>
    <row r="884" spans="1:3" ht="13.2">
      <c r="A884" s="3"/>
      <c r="C884" s="63"/>
    </row>
    <row r="885" spans="1:3" ht="13.2">
      <c r="A885" s="3"/>
      <c r="C885" s="63"/>
    </row>
    <row r="886" spans="1:3" ht="13.2">
      <c r="A886" s="3"/>
      <c r="C886" s="63"/>
    </row>
    <row r="887" spans="1:3" ht="13.2">
      <c r="A887" s="3"/>
      <c r="C887" s="63"/>
    </row>
    <row r="888" spans="1:3" ht="13.2">
      <c r="A888" s="3"/>
      <c r="C888" s="63"/>
    </row>
    <row r="889" spans="1:3" ht="13.2">
      <c r="A889" s="3"/>
      <c r="C889" s="63"/>
    </row>
    <row r="890" spans="1:3" ht="13.2">
      <c r="A890" s="3"/>
      <c r="C890" s="63"/>
    </row>
    <row r="891" spans="1:3" ht="13.2">
      <c r="A891" s="3"/>
      <c r="C891" s="63"/>
    </row>
    <row r="892" spans="1:3" ht="13.2">
      <c r="A892" s="3"/>
      <c r="C892" s="63"/>
    </row>
    <row r="893" spans="1:3" ht="13.2">
      <c r="A893" s="3"/>
      <c r="C893" s="63"/>
    </row>
    <row r="894" spans="1:3" ht="13.2">
      <c r="A894" s="3"/>
      <c r="C894" s="63"/>
    </row>
    <row r="895" spans="1:3" ht="13.2">
      <c r="A895" s="3"/>
      <c r="C895" s="63"/>
    </row>
    <row r="896" spans="1:3" ht="13.2">
      <c r="A896" s="3"/>
      <c r="C896" s="63"/>
    </row>
    <row r="897" spans="1:3" ht="13.2">
      <c r="A897" s="3"/>
      <c r="C897" s="63"/>
    </row>
    <row r="898" spans="1:3" ht="13.2">
      <c r="A898" s="3"/>
      <c r="C898" s="63"/>
    </row>
    <row r="899" spans="1:3" ht="13.2">
      <c r="A899" s="3"/>
      <c r="C899" s="63"/>
    </row>
    <row r="900" spans="1:3" ht="13.2">
      <c r="A900" s="3"/>
      <c r="C900" s="63"/>
    </row>
    <row r="901" spans="1:3" ht="13.2">
      <c r="A901" s="3"/>
      <c r="C901" s="63"/>
    </row>
    <row r="902" spans="1:3" ht="13.2">
      <c r="A902" s="3"/>
      <c r="C902" s="63"/>
    </row>
    <row r="903" spans="1:3" ht="13.2">
      <c r="A903" s="3"/>
      <c r="C903" s="63"/>
    </row>
    <row r="904" spans="1:3" ht="13.2">
      <c r="A904" s="3"/>
      <c r="C904" s="63"/>
    </row>
    <row r="905" spans="1:3" ht="13.2">
      <c r="A905" s="3"/>
      <c r="C905" s="63"/>
    </row>
    <row r="906" spans="1:3" ht="13.2">
      <c r="A906" s="3"/>
      <c r="C906" s="63"/>
    </row>
    <row r="907" spans="1:3" ht="13.2">
      <c r="A907" s="3"/>
      <c r="C907" s="63"/>
    </row>
    <row r="908" spans="1:3" ht="13.2">
      <c r="A908" s="3"/>
      <c r="C908" s="63"/>
    </row>
    <row r="909" spans="1:3" ht="13.2">
      <c r="A909" s="3"/>
      <c r="C909" s="63"/>
    </row>
    <row r="910" spans="1:3" ht="13.2">
      <c r="A910" s="3"/>
      <c r="C910" s="63"/>
    </row>
    <row r="911" spans="1:3" ht="13.2">
      <c r="A911" s="3"/>
      <c r="C911" s="63"/>
    </row>
    <row r="912" spans="1:3" ht="13.2">
      <c r="A912" s="3"/>
      <c r="C912" s="63"/>
    </row>
    <row r="913" spans="1:3" ht="13.2">
      <c r="A913" s="3"/>
      <c r="C913" s="63"/>
    </row>
    <row r="914" spans="1:3" ht="13.2">
      <c r="A914" s="3"/>
      <c r="C914" s="63"/>
    </row>
    <row r="915" spans="1:3" ht="13.2">
      <c r="A915" s="3"/>
      <c r="C915" s="63"/>
    </row>
    <row r="916" spans="1:3" ht="13.2">
      <c r="A916" s="3"/>
      <c r="C916" s="63"/>
    </row>
    <row r="917" spans="1:3" ht="13.2">
      <c r="A917" s="3"/>
      <c r="C917" s="63"/>
    </row>
    <row r="918" spans="1:3" ht="13.2">
      <c r="A918" s="3"/>
      <c r="C918" s="63"/>
    </row>
    <row r="919" spans="1:3" ht="13.2">
      <c r="A919" s="3"/>
      <c r="C919" s="63"/>
    </row>
    <row r="920" spans="1:3" ht="13.2">
      <c r="A920" s="3"/>
      <c r="C920" s="63"/>
    </row>
    <row r="921" spans="1:3" ht="13.2">
      <c r="A921" s="3"/>
      <c r="C921" s="63"/>
    </row>
    <row r="922" spans="1:3" ht="13.2">
      <c r="A922" s="3"/>
      <c r="C922" s="63"/>
    </row>
    <row r="923" spans="1:3" ht="13.2">
      <c r="A923" s="3"/>
      <c r="C923" s="63"/>
    </row>
    <row r="924" spans="1:3" ht="13.2">
      <c r="A924" s="3"/>
      <c r="C924" s="63"/>
    </row>
    <row r="925" spans="1:3" ht="13.2">
      <c r="A925" s="3"/>
      <c r="C925" s="63"/>
    </row>
    <row r="926" spans="1:3" ht="13.2">
      <c r="A926" s="3"/>
      <c r="C926" s="63"/>
    </row>
    <row r="927" spans="1:3" ht="13.2">
      <c r="A927" s="3"/>
      <c r="C927" s="63"/>
    </row>
    <row r="928" spans="1:3" ht="13.2">
      <c r="A928" s="3"/>
      <c r="C928" s="63"/>
    </row>
    <row r="929" spans="1:3" ht="13.2">
      <c r="A929" s="3"/>
      <c r="C929" s="63"/>
    </row>
    <row r="930" spans="1:3" ht="13.2">
      <c r="A930" s="3"/>
      <c r="C930" s="63"/>
    </row>
    <row r="931" spans="1:3" ht="13.2">
      <c r="A931" s="3"/>
      <c r="C931" s="63"/>
    </row>
    <row r="932" spans="1:3" ht="13.2">
      <c r="A932" s="3"/>
      <c r="C932" s="63"/>
    </row>
    <row r="933" spans="1:3" ht="13.2">
      <c r="A933" s="3"/>
      <c r="C933" s="63"/>
    </row>
    <row r="934" spans="1:3" ht="13.2">
      <c r="A934" s="3"/>
      <c r="C934" s="63"/>
    </row>
    <row r="935" spans="1:3" ht="13.2">
      <c r="A935" s="3"/>
      <c r="C935" s="63"/>
    </row>
    <row r="936" spans="1:3" ht="13.2">
      <c r="A936" s="3"/>
      <c r="C936" s="63"/>
    </row>
    <row r="937" spans="1:3" ht="13.2">
      <c r="A937" s="3"/>
      <c r="C937" s="63"/>
    </row>
    <row r="938" spans="1:3" ht="13.2">
      <c r="A938" s="3"/>
      <c r="C938" s="63"/>
    </row>
    <row r="939" spans="1:3" ht="13.2">
      <c r="A939" s="3"/>
      <c r="C939" s="63"/>
    </row>
    <row r="940" spans="1:3" ht="13.2">
      <c r="A940" s="3"/>
      <c r="C940" s="63"/>
    </row>
    <row r="941" spans="1:3" ht="13.2">
      <c r="A941" s="3"/>
      <c r="C941" s="63"/>
    </row>
    <row r="942" spans="1:3" ht="13.2">
      <c r="A942" s="3"/>
      <c r="C942" s="63"/>
    </row>
    <row r="943" spans="1:3" ht="13.2">
      <c r="A943" s="3"/>
      <c r="C943" s="63"/>
    </row>
    <row r="944" spans="1:3" ht="13.2">
      <c r="A944" s="3"/>
      <c r="C944" s="63"/>
    </row>
    <row r="945" spans="1:3" ht="13.2">
      <c r="A945" s="3"/>
      <c r="C945" s="63"/>
    </row>
    <row r="946" spans="1:3" ht="13.2">
      <c r="A946" s="3"/>
      <c r="C946" s="63"/>
    </row>
    <row r="947" spans="1:3" ht="13.2">
      <c r="A947" s="3"/>
      <c r="C947" s="63"/>
    </row>
    <row r="948" spans="1:3" ht="13.2">
      <c r="A948" s="3"/>
      <c r="C948" s="63"/>
    </row>
    <row r="949" spans="1:3" ht="13.2">
      <c r="A949" s="3"/>
      <c r="C949" s="63"/>
    </row>
    <row r="950" spans="1:3" ht="13.2">
      <c r="A950" s="3"/>
      <c r="C950" s="63"/>
    </row>
    <row r="951" spans="1:3" ht="13.2">
      <c r="A951" s="3"/>
      <c r="C951" s="63"/>
    </row>
    <row r="952" spans="1:3" ht="13.2">
      <c r="A952" s="3"/>
      <c r="C952" s="63"/>
    </row>
    <row r="953" spans="1:3" ht="13.2">
      <c r="A953" s="3"/>
      <c r="C953" s="63"/>
    </row>
    <row r="954" spans="1:3" ht="13.2">
      <c r="A954" s="3"/>
      <c r="C954" s="63"/>
    </row>
    <row r="955" spans="1:3" ht="13.2">
      <c r="A955" s="3"/>
      <c r="C955" s="63"/>
    </row>
    <row r="956" spans="1:3" ht="13.2">
      <c r="A956" s="3"/>
      <c r="C956" s="63"/>
    </row>
    <row r="957" spans="1:3" ht="13.2">
      <c r="A957" s="3"/>
      <c r="C957" s="63"/>
    </row>
    <row r="958" spans="1:3" ht="13.2">
      <c r="A958" s="3"/>
      <c r="C958" s="63"/>
    </row>
    <row r="959" spans="1:3" ht="13.2">
      <c r="A959" s="3"/>
      <c r="C959" s="63"/>
    </row>
    <row r="960" spans="1:3" ht="13.2">
      <c r="A960" s="3"/>
      <c r="C960" s="63"/>
    </row>
    <row r="961" spans="1:3" ht="13.2">
      <c r="A961" s="3"/>
      <c r="C961" s="63"/>
    </row>
    <row r="962" spans="1:3" ht="13.2">
      <c r="A962" s="3"/>
      <c r="C962" s="63"/>
    </row>
    <row r="963" spans="1:3" ht="13.2">
      <c r="A963" s="3"/>
      <c r="C963" s="63"/>
    </row>
    <row r="964" spans="1:3" ht="13.2">
      <c r="A964" s="3"/>
      <c r="C964" s="63"/>
    </row>
    <row r="965" spans="1:3" ht="13.2">
      <c r="A965" s="3"/>
      <c r="C965" s="63"/>
    </row>
    <row r="966" spans="1:3" ht="13.2">
      <c r="A966" s="3"/>
      <c r="C966" s="63"/>
    </row>
    <row r="967" spans="1:3" ht="13.2">
      <c r="A967" s="3"/>
      <c r="C967" s="63"/>
    </row>
    <row r="968" spans="1:3" ht="13.2">
      <c r="A968" s="3"/>
      <c r="C968" s="63"/>
    </row>
    <row r="969" spans="1:3" ht="13.2">
      <c r="A969" s="3"/>
      <c r="C969" s="63"/>
    </row>
    <row r="970" spans="1:3" ht="13.2">
      <c r="A970" s="3"/>
      <c r="C970" s="63"/>
    </row>
    <row r="971" spans="1:3" ht="13.2">
      <c r="A971" s="3"/>
      <c r="C971" s="63"/>
    </row>
    <row r="972" spans="1:3" ht="13.2">
      <c r="A972" s="3"/>
      <c r="C972" s="63"/>
    </row>
    <row r="973" spans="1:3" ht="13.2">
      <c r="A973" s="3"/>
      <c r="C973" s="63"/>
    </row>
    <row r="974" spans="1:3" ht="13.2">
      <c r="A974" s="3"/>
      <c r="C974" s="63"/>
    </row>
    <row r="975" spans="1:3" ht="13.2">
      <c r="A975" s="3"/>
      <c r="C975" s="63"/>
    </row>
    <row r="976" spans="1:3" ht="13.2">
      <c r="A976" s="3"/>
      <c r="C976" s="63"/>
    </row>
    <row r="977" spans="1:3" ht="13.2">
      <c r="A977" s="3"/>
      <c r="C977" s="63"/>
    </row>
    <row r="978" spans="1:3" ht="13.2">
      <c r="A978" s="3"/>
      <c r="C978" s="63"/>
    </row>
    <row r="979" spans="1:3" ht="13.2">
      <c r="A979" s="3"/>
      <c r="C979" s="63"/>
    </row>
    <row r="980" spans="1:3" ht="13.2">
      <c r="A980" s="3"/>
      <c r="C980" s="63"/>
    </row>
    <row r="981" spans="1:3" ht="13.2">
      <c r="A981" s="3"/>
      <c r="C981" s="63"/>
    </row>
    <row r="982" spans="1:3" ht="13.2">
      <c r="A982" s="3"/>
      <c r="C982" s="63"/>
    </row>
    <row r="983" spans="1:3" ht="13.2">
      <c r="A983" s="3"/>
      <c r="C983" s="63"/>
    </row>
    <row r="984" spans="1:3" ht="13.2">
      <c r="A984" s="3"/>
      <c r="C984" s="63"/>
    </row>
    <row r="985" spans="1:3" ht="13.2">
      <c r="A985" s="3"/>
      <c r="C985" s="63"/>
    </row>
    <row r="986" spans="1:3" ht="13.2">
      <c r="A986" s="3"/>
      <c r="C986" s="63"/>
    </row>
    <row r="987" spans="1:3" ht="13.2">
      <c r="A987" s="3"/>
      <c r="C987" s="63"/>
    </row>
    <row r="988" spans="1:3" ht="13.2">
      <c r="A988" s="3"/>
      <c r="C988" s="63"/>
    </row>
    <row r="989" spans="1:3" ht="13.2">
      <c r="A989" s="3"/>
      <c r="C989" s="63"/>
    </row>
    <row r="990" spans="1:3" ht="13.2">
      <c r="A990" s="3"/>
      <c r="C990" s="63"/>
    </row>
    <row r="991" spans="1:3" ht="13.2">
      <c r="A991" s="3"/>
      <c r="C991" s="63"/>
    </row>
    <row r="992" spans="1:3" ht="13.2">
      <c r="A992" s="3"/>
      <c r="C992" s="63"/>
    </row>
    <row r="993" spans="1:3" ht="13.2">
      <c r="A993" s="3"/>
      <c r="C993" s="63"/>
    </row>
    <row r="994" spans="1:3" ht="13.2">
      <c r="A994" s="3"/>
      <c r="C994" s="63"/>
    </row>
    <row r="995" spans="1:3" ht="13.2">
      <c r="A995" s="3"/>
      <c r="C995" s="63"/>
    </row>
  </sheetData>
  <mergeCells count="9">
    <mergeCell ref="H1:I1"/>
    <mergeCell ref="J1:J2"/>
    <mergeCell ref="A1:A2"/>
    <mergeCell ref="B1:B2"/>
    <mergeCell ref="C1:C2"/>
    <mergeCell ref="D1:D2"/>
    <mergeCell ref="E1:E2"/>
    <mergeCell ref="F1:F2"/>
    <mergeCell ref="G1:G2"/>
  </mergeCells>
  <hyperlinks>
    <hyperlink ref="D1" r:id="rId1" xr:uid="{0EEB88F6-6488-44B7-A56B-732BEA57FD25}"/>
    <hyperlink ref="E1" r:id="rId2" xr:uid="{D616E81D-3902-4F08-B3D0-C869ACEFF51E}"/>
    <hyperlink ref="B3" r:id="rId3" xr:uid="{ECE118F9-B66B-41D7-AD12-6CF8A2E7ADD8}"/>
    <hyperlink ref="B4" r:id="rId4" xr:uid="{B18B5872-D320-4F8C-8949-013513289CDB}"/>
    <hyperlink ref="B5" r:id="rId5" xr:uid="{90894F8F-8E4D-4B44-A3D8-30C0516C7409}"/>
    <hyperlink ref="B6" r:id="rId6" xr:uid="{D9727799-8FD4-49A4-B2FA-96663E83F76B}"/>
    <hyperlink ref="B7" r:id="rId7" xr:uid="{6222C86F-CBEE-4431-BDDD-E822D0A25A7C}"/>
    <hyperlink ref="B8" r:id="rId8" xr:uid="{F22E3D92-AAF3-4A3D-803C-356AFE914752}"/>
    <hyperlink ref="B9" r:id="rId9" xr:uid="{7A3C5790-14F6-4F7B-AD93-EA0733D68373}"/>
    <hyperlink ref="B10" r:id="rId10" xr:uid="{906AEE05-FF6E-4685-AC08-840AF98BA37A}"/>
    <hyperlink ref="B11" r:id="rId11" xr:uid="{D09310EE-CF29-4EFD-804A-264950613DED}"/>
    <hyperlink ref="B12" r:id="rId12" xr:uid="{73EADE81-0AFE-4894-92CE-4953A139A776}"/>
    <hyperlink ref="B13" r:id="rId13" xr:uid="{08CC94A9-9ADB-47CE-9290-7BC409F62662}"/>
    <hyperlink ref="B14" r:id="rId14" xr:uid="{29232520-8F44-459B-809E-0F3614728BFE}"/>
    <hyperlink ref="B15" r:id="rId15" xr:uid="{CCA244E0-F002-4A97-B387-2B98E1417402}"/>
    <hyperlink ref="B16" r:id="rId16" xr:uid="{B193B987-87FC-44D5-A057-0C94D8248CDA}"/>
    <hyperlink ref="B17" r:id="rId17" xr:uid="{6BA98147-D014-472C-94E5-B80E298424D6}"/>
    <hyperlink ref="B18" r:id="rId18" xr:uid="{E9CAC567-47E9-42F1-9EC3-EF596FAB23A0}"/>
    <hyperlink ref="B19" r:id="rId19" xr:uid="{4656E495-DF09-4084-B3BC-804CDA12D04A}"/>
    <hyperlink ref="B20" r:id="rId20" xr:uid="{4B5C2E78-B099-4493-AF14-FC5FD5EB214B}"/>
    <hyperlink ref="B21" r:id="rId21" xr:uid="{07CEAD0F-FA25-46F2-AAAE-FF06D8759347}"/>
    <hyperlink ref="B22" r:id="rId22" xr:uid="{90E729D5-7EF2-4174-A4BF-9D93C020DF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C4D9-4736-479C-8D48-CA56EAC01A7C}">
  <sheetPr>
    <outlinePr summaryBelow="0" summaryRight="0"/>
  </sheetPr>
  <dimension ref="A1:AA999"/>
  <sheetViews>
    <sheetView workbookViewId="0"/>
  </sheetViews>
  <sheetFormatPr defaultColWidth="12.6640625" defaultRowHeight="15.75" customHeight="1"/>
  <cols>
    <col min="1" max="1" width="8.33203125" customWidth="1"/>
    <col min="2" max="2" width="26.44140625" customWidth="1"/>
    <col min="3" max="3" width="21.44140625" customWidth="1"/>
  </cols>
  <sheetData>
    <row r="1" spans="1:27" ht="15.75" customHeight="1">
      <c r="A1" s="91" t="s">
        <v>0</v>
      </c>
      <c r="B1" s="91" t="s">
        <v>962</v>
      </c>
      <c r="C1" s="102" t="s">
        <v>3</v>
      </c>
      <c r="D1" s="91" t="s">
        <v>961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84">
        <v>1</v>
      </c>
      <c r="B2" s="50" t="s">
        <v>960</v>
      </c>
      <c r="C2" s="99">
        <v>2</v>
      </c>
      <c r="D2" s="5" t="s">
        <v>959</v>
      </c>
    </row>
    <row r="3" spans="1:27" ht="15.75" customHeight="1">
      <c r="A3" s="84">
        <v>2</v>
      </c>
      <c r="B3" s="50" t="s">
        <v>958</v>
      </c>
      <c r="C3" s="99">
        <v>2</v>
      </c>
      <c r="D3" s="5" t="s">
        <v>866</v>
      </c>
    </row>
    <row r="4" spans="1:27" ht="15.75" customHeight="1">
      <c r="A4" s="84">
        <v>3</v>
      </c>
      <c r="B4" s="50" t="s">
        <v>957</v>
      </c>
      <c r="C4" s="99">
        <v>0.4</v>
      </c>
      <c r="D4" s="5" t="s">
        <v>727</v>
      </c>
    </row>
    <row r="5" spans="1:27" ht="15.75" customHeight="1">
      <c r="A5" s="84">
        <v>4</v>
      </c>
      <c r="B5" s="50" t="s">
        <v>956</v>
      </c>
      <c r="C5" s="99">
        <v>0.1</v>
      </c>
      <c r="D5" s="5" t="s">
        <v>955</v>
      </c>
    </row>
    <row r="6" spans="1:27" ht="15.75" customHeight="1">
      <c r="A6" s="84">
        <v>5</v>
      </c>
      <c r="B6" s="50" t="s">
        <v>954</v>
      </c>
      <c r="C6" s="99">
        <v>1</v>
      </c>
      <c r="D6" s="5" t="s">
        <v>721</v>
      </c>
    </row>
    <row r="7" spans="1:27" ht="15.75" customHeight="1">
      <c r="A7" s="84">
        <v>6</v>
      </c>
      <c r="B7" s="50" t="s">
        <v>953</v>
      </c>
      <c r="C7" s="99">
        <v>0.5</v>
      </c>
      <c r="D7" s="5" t="s">
        <v>952</v>
      </c>
    </row>
    <row r="8" spans="1:27" ht="15.75" customHeight="1">
      <c r="A8" s="84">
        <v>7</v>
      </c>
      <c r="B8" s="50" t="s">
        <v>951</v>
      </c>
      <c r="C8" s="99">
        <v>5</v>
      </c>
      <c r="D8" s="5" t="s">
        <v>791</v>
      </c>
    </row>
    <row r="9" spans="1:27" ht="15.75" customHeight="1">
      <c r="A9" s="84">
        <v>8</v>
      </c>
      <c r="B9" s="50" t="s">
        <v>950</v>
      </c>
      <c r="C9" s="99">
        <v>2</v>
      </c>
      <c r="D9" s="5" t="s">
        <v>721</v>
      </c>
    </row>
    <row r="10" spans="1:27" ht="15.75" customHeight="1">
      <c r="A10" s="84">
        <v>9</v>
      </c>
      <c r="B10" s="50" t="s">
        <v>949</v>
      </c>
      <c r="C10" s="101">
        <v>0.05</v>
      </c>
      <c r="D10" s="5" t="s">
        <v>733</v>
      </c>
    </row>
    <row r="11" spans="1:27" ht="15.75" customHeight="1">
      <c r="A11" s="84">
        <v>10</v>
      </c>
      <c r="B11" s="100" t="s">
        <v>948</v>
      </c>
      <c r="C11" s="99">
        <v>0.1</v>
      </c>
      <c r="D11" s="5" t="s">
        <v>733</v>
      </c>
    </row>
    <row r="12" spans="1:27" ht="15.75" customHeight="1">
      <c r="A12" s="84">
        <v>11</v>
      </c>
      <c r="B12" s="100" t="s">
        <v>947</v>
      </c>
      <c r="C12" s="99">
        <v>0.1</v>
      </c>
      <c r="D12" s="5" t="s">
        <v>721</v>
      </c>
    </row>
    <row r="13" spans="1:27" ht="15.75" customHeight="1">
      <c r="A13" s="84">
        <v>12</v>
      </c>
      <c r="B13" s="50" t="s">
        <v>946</v>
      </c>
      <c r="C13" s="101">
        <v>0.1</v>
      </c>
      <c r="D13" s="5" t="s">
        <v>727</v>
      </c>
    </row>
    <row r="14" spans="1:27" ht="15.75" customHeight="1">
      <c r="A14" s="84">
        <v>13</v>
      </c>
      <c r="B14" s="50" t="s">
        <v>945</v>
      </c>
      <c r="C14" s="99">
        <v>1</v>
      </c>
      <c r="D14" s="5" t="s">
        <v>716</v>
      </c>
    </row>
    <row r="15" spans="1:27" ht="15.75" customHeight="1">
      <c r="A15" s="84">
        <v>14</v>
      </c>
      <c r="B15" s="100" t="s">
        <v>944</v>
      </c>
      <c r="C15" s="99">
        <v>30</v>
      </c>
      <c r="D15" s="5" t="s">
        <v>733</v>
      </c>
    </row>
    <row r="16" spans="1:27" ht="15.75" customHeight="1">
      <c r="A16" s="84">
        <v>15</v>
      </c>
      <c r="B16" s="50" t="s">
        <v>943</v>
      </c>
      <c r="C16" s="99">
        <v>0.01</v>
      </c>
      <c r="D16" s="5" t="s">
        <v>721</v>
      </c>
    </row>
    <row r="17" spans="1:4" ht="15.75" customHeight="1">
      <c r="A17" s="84">
        <v>16</v>
      </c>
      <c r="B17" s="50" t="s">
        <v>942</v>
      </c>
      <c r="C17" s="99">
        <v>2</v>
      </c>
      <c r="D17" s="5" t="s">
        <v>874</v>
      </c>
    </row>
    <row r="18" spans="1:4" ht="15.75" customHeight="1">
      <c r="A18" s="84">
        <v>17</v>
      </c>
      <c r="B18" s="100" t="s">
        <v>941</v>
      </c>
      <c r="C18" s="99">
        <v>2</v>
      </c>
      <c r="D18" s="5" t="s">
        <v>791</v>
      </c>
    </row>
    <row r="19" spans="1:4" ht="15.75" customHeight="1">
      <c r="A19" s="84">
        <v>18</v>
      </c>
      <c r="B19" s="50" t="s">
        <v>940</v>
      </c>
      <c r="C19" s="99">
        <v>0.01</v>
      </c>
      <c r="D19" s="5" t="s">
        <v>878</v>
      </c>
    </row>
    <row r="20" spans="1:4" ht="15.75" customHeight="1">
      <c r="A20" s="84">
        <v>19</v>
      </c>
      <c r="B20" s="50" t="s">
        <v>939</v>
      </c>
      <c r="C20" s="99">
        <v>0.1</v>
      </c>
      <c r="D20" s="5" t="s">
        <v>721</v>
      </c>
    </row>
    <row r="21" spans="1:4" ht="15.75" customHeight="1">
      <c r="A21" s="84">
        <v>20</v>
      </c>
      <c r="B21" s="50" t="s">
        <v>938</v>
      </c>
      <c r="C21" s="99">
        <v>4</v>
      </c>
      <c r="D21" s="5" t="s">
        <v>791</v>
      </c>
    </row>
    <row r="22" spans="1:4" ht="15.75" customHeight="1">
      <c r="A22" s="84">
        <v>21</v>
      </c>
      <c r="B22" s="50" t="s">
        <v>937</v>
      </c>
      <c r="C22" s="99">
        <v>0.03</v>
      </c>
      <c r="D22" s="5" t="s">
        <v>936</v>
      </c>
    </row>
    <row r="23" spans="1:4" ht="15.75" customHeight="1">
      <c r="A23" s="84">
        <v>22</v>
      </c>
      <c r="B23" s="100" t="s">
        <v>935</v>
      </c>
      <c r="C23" s="99">
        <v>1</v>
      </c>
      <c r="D23" s="5" t="s">
        <v>721</v>
      </c>
    </row>
    <row r="24" spans="1:4" ht="15.75" customHeight="1">
      <c r="A24" s="84">
        <v>23</v>
      </c>
      <c r="B24" s="100" t="s">
        <v>934</v>
      </c>
      <c r="C24" s="99">
        <v>1</v>
      </c>
      <c r="D24" s="5" t="s">
        <v>793</v>
      </c>
    </row>
    <row r="25" spans="1:4" ht="15.75" customHeight="1">
      <c r="A25" s="84">
        <v>24</v>
      </c>
      <c r="B25" s="100" t="s">
        <v>933</v>
      </c>
      <c r="C25" s="99">
        <v>0.5</v>
      </c>
      <c r="D25" s="5" t="s">
        <v>733</v>
      </c>
    </row>
    <row r="26" spans="1:4" ht="15.75" customHeight="1">
      <c r="A26" s="84">
        <v>25</v>
      </c>
      <c r="B26" s="100" t="s">
        <v>932</v>
      </c>
      <c r="C26" s="99">
        <v>8</v>
      </c>
      <c r="D26" s="5" t="s">
        <v>721</v>
      </c>
    </row>
    <row r="27" spans="1:4" ht="13.2">
      <c r="A27" s="84">
        <v>26</v>
      </c>
      <c r="B27" s="50" t="s">
        <v>931</v>
      </c>
      <c r="C27" s="99">
        <v>0.1</v>
      </c>
      <c r="D27" s="5" t="s">
        <v>721</v>
      </c>
    </row>
    <row r="28" spans="1:4" ht="13.2">
      <c r="A28" s="84">
        <v>27</v>
      </c>
      <c r="B28" s="100" t="s">
        <v>708</v>
      </c>
      <c r="C28" s="99">
        <v>0.04</v>
      </c>
      <c r="D28" s="5" t="s">
        <v>825</v>
      </c>
    </row>
    <row r="29" spans="1:4" ht="13.2">
      <c r="A29" s="84">
        <v>28</v>
      </c>
      <c r="B29" s="50" t="s">
        <v>930</v>
      </c>
      <c r="C29" s="99">
        <v>0.05</v>
      </c>
      <c r="D29" s="5" t="s">
        <v>878</v>
      </c>
    </row>
    <row r="30" spans="1:4" ht="13.2">
      <c r="A30" s="84">
        <v>29</v>
      </c>
      <c r="B30" s="100" t="s">
        <v>929</v>
      </c>
      <c r="C30" s="99">
        <v>0.1</v>
      </c>
      <c r="D30" s="5" t="s">
        <v>727</v>
      </c>
    </row>
    <row r="31" spans="1:4" ht="13.2">
      <c r="A31" s="84">
        <v>30</v>
      </c>
      <c r="B31" s="100" t="s">
        <v>928</v>
      </c>
      <c r="C31" s="99">
        <v>12</v>
      </c>
      <c r="D31" s="5" t="s">
        <v>767</v>
      </c>
    </row>
    <row r="32" spans="1:4" ht="13.2">
      <c r="A32" s="84">
        <v>31</v>
      </c>
      <c r="B32" s="100" t="s">
        <v>713</v>
      </c>
      <c r="C32" s="99">
        <v>7</v>
      </c>
      <c r="D32" s="5" t="s">
        <v>733</v>
      </c>
    </row>
    <row r="33" spans="1:4" ht="13.2">
      <c r="A33" s="84">
        <v>33</v>
      </c>
      <c r="B33" s="50" t="s">
        <v>927</v>
      </c>
      <c r="C33" s="99">
        <v>20</v>
      </c>
      <c r="D33" s="5" t="s">
        <v>727</v>
      </c>
    </row>
    <row r="34" spans="1:4" ht="13.2">
      <c r="A34" s="84">
        <v>34</v>
      </c>
      <c r="B34" s="50" t="s">
        <v>926</v>
      </c>
      <c r="C34" s="99">
        <v>40</v>
      </c>
      <c r="D34" s="5" t="s">
        <v>727</v>
      </c>
    </row>
    <row r="35" spans="1:4" ht="13.2">
      <c r="A35" s="84">
        <v>35</v>
      </c>
      <c r="B35" s="50" t="s">
        <v>925</v>
      </c>
      <c r="C35" s="99">
        <v>80</v>
      </c>
      <c r="D35" s="5" t="s">
        <v>727</v>
      </c>
    </row>
    <row r="36" spans="1:4" ht="13.2">
      <c r="A36" s="84">
        <v>36</v>
      </c>
      <c r="B36" s="50" t="s">
        <v>924</v>
      </c>
      <c r="C36" s="99">
        <v>150</v>
      </c>
      <c r="D36" s="5" t="s">
        <v>727</v>
      </c>
    </row>
    <row r="37" spans="1:4" ht="13.2">
      <c r="A37" s="84">
        <v>37</v>
      </c>
      <c r="B37" s="100" t="s">
        <v>923</v>
      </c>
      <c r="C37" s="99">
        <v>15</v>
      </c>
      <c r="D37" s="5" t="s">
        <v>733</v>
      </c>
    </row>
    <row r="38" spans="1:4" ht="13.2">
      <c r="A38" s="84">
        <v>38</v>
      </c>
      <c r="B38" s="100" t="s">
        <v>922</v>
      </c>
      <c r="C38" s="99">
        <v>50</v>
      </c>
      <c r="D38" s="5" t="s">
        <v>733</v>
      </c>
    </row>
    <row r="39" spans="1:4" ht="13.2">
      <c r="A39" s="84">
        <v>39</v>
      </c>
      <c r="B39" s="50" t="s">
        <v>921</v>
      </c>
      <c r="C39" s="99">
        <v>10</v>
      </c>
      <c r="D39" s="5" t="s">
        <v>716</v>
      </c>
    </row>
    <row r="40" spans="1:4" ht="13.2">
      <c r="A40" s="84">
        <v>40</v>
      </c>
      <c r="B40" s="50" t="s">
        <v>920</v>
      </c>
      <c r="C40" s="99">
        <v>2E-3</v>
      </c>
      <c r="D40" s="5" t="s">
        <v>727</v>
      </c>
    </row>
    <row r="41" spans="1:4" ht="13.2">
      <c r="A41" s="84">
        <v>41</v>
      </c>
      <c r="B41" s="100" t="s">
        <v>919</v>
      </c>
      <c r="C41" s="99">
        <v>0.1</v>
      </c>
      <c r="D41" s="5" t="s">
        <v>727</v>
      </c>
    </row>
    <row r="42" spans="1:4" ht="13.2">
      <c r="A42" s="84">
        <v>42</v>
      </c>
      <c r="B42" s="50" t="s">
        <v>918</v>
      </c>
      <c r="C42" s="99">
        <v>0.4</v>
      </c>
      <c r="D42" s="5" t="s">
        <v>721</v>
      </c>
    </row>
    <row r="43" spans="1:4" ht="13.2">
      <c r="A43" s="84">
        <v>43</v>
      </c>
      <c r="B43" s="50" t="s">
        <v>917</v>
      </c>
      <c r="C43" s="99">
        <v>0.2</v>
      </c>
      <c r="D43" s="5" t="s">
        <v>721</v>
      </c>
    </row>
    <row r="44" spans="1:4" ht="13.2">
      <c r="A44" s="84">
        <v>44</v>
      </c>
      <c r="B44" s="50" t="s">
        <v>916</v>
      </c>
      <c r="C44" s="99">
        <v>3</v>
      </c>
      <c r="D44" s="5" t="s">
        <v>747</v>
      </c>
    </row>
    <row r="45" spans="1:4" ht="13.2">
      <c r="A45" s="84">
        <v>45</v>
      </c>
      <c r="B45" s="50" t="s">
        <v>915</v>
      </c>
      <c r="C45" s="99">
        <v>2E-3</v>
      </c>
      <c r="D45" s="5" t="s">
        <v>791</v>
      </c>
    </row>
    <row r="46" spans="1:4" ht="13.2">
      <c r="A46" s="84">
        <v>46</v>
      </c>
      <c r="B46" s="50" t="s">
        <v>914</v>
      </c>
      <c r="C46" s="99">
        <v>0.1</v>
      </c>
      <c r="D46" s="5" t="s">
        <v>716</v>
      </c>
    </row>
    <row r="47" spans="1:4" ht="13.2">
      <c r="A47" s="84">
        <v>47</v>
      </c>
      <c r="B47" s="50" t="s">
        <v>913</v>
      </c>
      <c r="C47" s="99">
        <v>0.02</v>
      </c>
      <c r="D47" s="5" t="s">
        <v>760</v>
      </c>
    </row>
    <row r="48" spans="1:4" ht="13.2">
      <c r="A48" s="84">
        <v>48</v>
      </c>
      <c r="B48" s="50" t="s">
        <v>912</v>
      </c>
      <c r="C48" s="99">
        <v>0.05</v>
      </c>
      <c r="D48" s="5" t="s">
        <v>747</v>
      </c>
    </row>
    <row r="49" spans="1:4" ht="13.2">
      <c r="A49" s="84">
        <v>49</v>
      </c>
      <c r="B49" s="50" t="s">
        <v>911</v>
      </c>
      <c r="C49" s="99">
        <v>1</v>
      </c>
      <c r="D49" s="5" t="s">
        <v>904</v>
      </c>
    </row>
    <row r="50" spans="1:4" ht="13.2">
      <c r="A50" s="84">
        <v>50</v>
      </c>
      <c r="B50" s="100" t="s">
        <v>910</v>
      </c>
      <c r="C50" s="99">
        <v>10</v>
      </c>
      <c r="D50" s="5" t="s">
        <v>878</v>
      </c>
    </row>
    <row r="51" spans="1:4" ht="13.2">
      <c r="A51" s="84">
        <v>51</v>
      </c>
      <c r="B51" s="50" t="s">
        <v>909</v>
      </c>
      <c r="C51" s="99">
        <v>0.05</v>
      </c>
      <c r="D51" s="5" t="s">
        <v>908</v>
      </c>
    </row>
    <row r="52" spans="1:4" ht="13.2">
      <c r="A52" s="84">
        <v>52</v>
      </c>
      <c r="B52" s="100" t="s">
        <v>907</v>
      </c>
      <c r="C52" s="99">
        <v>1</v>
      </c>
      <c r="D52" s="5" t="s">
        <v>747</v>
      </c>
    </row>
    <row r="53" spans="1:4" ht="13.2">
      <c r="A53" s="84">
        <v>53</v>
      </c>
      <c r="B53" s="100" t="s">
        <v>906</v>
      </c>
      <c r="C53" s="99">
        <v>10</v>
      </c>
      <c r="D53" s="5" t="s">
        <v>791</v>
      </c>
    </row>
    <row r="54" spans="1:4" ht="13.2">
      <c r="A54" s="84">
        <v>54</v>
      </c>
      <c r="B54" s="50" t="s">
        <v>905</v>
      </c>
      <c r="C54" s="99">
        <v>0.01</v>
      </c>
      <c r="D54" s="5" t="s">
        <v>904</v>
      </c>
    </row>
    <row r="55" spans="1:4" ht="13.2">
      <c r="A55" s="84">
        <v>55</v>
      </c>
      <c r="B55" s="50" t="s">
        <v>903</v>
      </c>
      <c r="C55" s="99">
        <v>1</v>
      </c>
      <c r="D55" s="5" t="s">
        <v>727</v>
      </c>
    </row>
    <row r="56" spans="1:4" ht="13.2">
      <c r="A56" s="84">
        <v>56</v>
      </c>
      <c r="B56" s="50" t="s">
        <v>902</v>
      </c>
      <c r="C56" s="99">
        <v>0.05</v>
      </c>
      <c r="D56" s="5" t="s">
        <v>721</v>
      </c>
    </row>
    <row r="57" spans="1:4" ht="13.2">
      <c r="A57" s="84">
        <v>57</v>
      </c>
      <c r="B57" s="50" t="s">
        <v>712</v>
      </c>
      <c r="C57" s="99">
        <v>0.08</v>
      </c>
      <c r="D57" s="5" t="s">
        <v>721</v>
      </c>
    </row>
    <row r="58" spans="1:4" ht="13.2">
      <c r="A58" s="84">
        <v>58</v>
      </c>
      <c r="B58" s="50" t="s">
        <v>901</v>
      </c>
      <c r="C58" s="99">
        <v>5</v>
      </c>
      <c r="D58" s="5" t="s">
        <v>721</v>
      </c>
    </row>
    <row r="59" spans="1:4" ht="13.2">
      <c r="A59" s="84">
        <v>59</v>
      </c>
      <c r="B59" s="50" t="s">
        <v>900</v>
      </c>
      <c r="C59" s="99">
        <v>1</v>
      </c>
      <c r="D59" s="5" t="s">
        <v>747</v>
      </c>
    </row>
    <row r="60" spans="1:4" ht="13.2">
      <c r="A60" s="84">
        <v>60</v>
      </c>
      <c r="B60" s="50" t="s">
        <v>899</v>
      </c>
      <c r="C60" s="99">
        <v>0.05</v>
      </c>
      <c r="D60" s="5" t="s">
        <v>727</v>
      </c>
    </row>
    <row r="61" spans="1:4" ht="13.2">
      <c r="A61" s="84">
        <v>61</v>
      </c>
      <c r="B61" s="50" t="s">
        <v>898</v>
      </c>
      <c r="C61" s="99">
        <v>2</v>
      </c>
      <c r="D61" s="5" t="s">
        <v>760</v>
      </c>
    </row>
    <row r="62" spans="1:4" ht="13.2">
      <c r="A62" s="84">
        <v>62</v>
      </c>
      <c r="B62" s="50" t="s">
        <v>897</v>
      </c>
      <c r="C62" s="99">
        <v>1000</v>
      </c>
      <c r="D62" s="5" t="s">
        <v>727</v>
      </c>
    </row>
    <row r="63" spans="1:4" ht="13.2">
      <c r="A63" s="84">
        <v>63</v>
      </c>
      <c r="B63" s="50" t="s">
        <v>896</v>
      </c>
      <c r="C63" s="99">
        <v>10</v>
      </c>
      <c r="D63" s="5" t="s">
        <v>895</v>
      </c>
    </row>
    <row r="64" spans="1:4" ht="13.2">
      <c r="A64" s="84">
        <v>64</v>
      </c>
      <c r="B64" s="100" t="s">
        <v>894</v>
      </c>
      <c r="C64" s="99">
        <v>1E-3</v>
      </c>
      <c r="D64" s="5" t="s">
        <v>727</v>
      </c>
    </row>
    <row r="65" spans="1:4" ht="13.2">
      <c r="A65" s="84">
        <v>65</v>
      </c>
      <c r="B65" s="100" t="s">
        <v>893</v>
      </c>
      <c r="C65" s="99">
        <v>1</v>
      </c>
      <c r="D65" s="5" t="s">
        <v>892</v>
      </c>
    </row>
    <row r="66" spans="1:4" ht="13.2">
      <c r="A66" s="84">
        <v>66</v>
      </c>
      <c r="B66" s="50" t="s">
        <v>891</v>
      </c>
      <c r="C66" s="99">
        <v>1</v>
      </c>
      <c r="D66" s="5" t="s">
        <v>890</v>
      </c>
    </row>
    <row r="67" spans="1:4" ht="13.2">
      <c r="A67" s="84">
        <v>67</v>
      </c>
      <c r="B67" s="50" t="s">
        <v>889</v>
      </c>
      <c r="C67" s="99">
        <v>2E-3</v>
      </c>
      <c r="D67" s="5" t="s">
        <v>727</v>
      </c>
    </row>
    <row r="68" spans="1:4" ht="13.2">
      <c r="A68" s="3"/>
      <c r="C68" s="99"/>
      <c r="D68" s="5"/>
    </row>
    <row r="69" spans="1:4" ht="13.2">
      <c r="A69" s="3"/>
      <c r="C69" s="99"/>
      <c r="D69" s="5"/>
    </row>
    <row r="70" spans="1:4" ht="13.2">
      <c r="A70" s="3"/>
      <c r="C70" s="99"/>
      <c r="D70" s="5"/>
    </row>
    <row r="71" spans="1:4" ht="13.2">
      <c r="A71" s="3"/>
      <c r="C71" s="99"/>
      <c r="D71" s="5"/>
    </row>
    <row r="72" spans="1:4" ht="13.2">
      <c r="A72" s="3"/>
      <c r="C72" s="99"/>
      <c r="D72" s="5"/>
    </row>
    <row r="73" spans="1:4" ht="13.2">
      <c r="A73" s="3"/>
      <c r="C73" s="99"/>
      <c r="D73" s="5"/>
    </row>
    <row r="74" spans="1:4" ht="13.2">
      <c r="A74" s="3"/>
      <c r="C74" s="99"/>
      <c r="D74" s="5"/>
    </row>
    <row r="75" spans="1:4" ht="13.2">
      <c r="A75" s="3"/>
      <c r="C75" s="99"/>
      <c r="D75" s="5"/>
    </row>
    <row r="76" spans="1:4" ht="13.2">
      <c r="A76" s="3"/>
      <c r="C76" s="99"/>
      <c r="D76" s="5"/>
    </row>
    <row r="77" spans="1:4" ht="13.2">
      <c r="A77" s="3"/>
      <c r="C77" s="99"/>
      <c r="D77" s="5"/>
    </row>
    <row r="78" spans="1:4" ht="13.2">
      <c r="A78" s="3"/>
      <c r="C78" s="99"/>
      <c r="D78" s="5"/>
    </row>
    <row r="79" spans="1:4" ht="13.2">
      <c r="A79" s="3"/>
      <c r="C79" s="99"/>
      <c r="D79" s="5"/>
    </row>
    <row r="80" spans="1:4" ht="13.2">
      <c r="A80" s="3"/>
      <c r="C80" s="99"/>
      <c r="D80" s="5"/>
    </row>
    <row r="81" spans="1:4" ht="13.2">
      <c r="A81" s="3"/>
      <c r="C81" s="99"/>
      <c r="D81" s="5"/>
    </row>
    <row r="82" spans="1:4" ht="13.2">
      <c r="A82" s="3"/>
      <c r="C82" s="99"/>
      <c r="D82" s="5"/>
    </row>
    <row r="83" spans="1:4" ht="13.2">
      <c r="A83" s="3"/>
      <c r="C83" s="99"/>
      <c r="D83" s="5"/>
    </row>
    <row r="84" spans="1:4" ht="13.2">
      <c r="A84" s="3"/>
      <c r="C84" s="99"/>
      <c r="D84" s="5"/>
    </row>
    <row r="85" spans="1:4" ht="13.2">
      <c r="A85" s="3"/>
      <c r="C85" s="99"/>
      <c r="D85" s="5"/>
    </row>
    <row r="86" spans="1:4" ht="13.2">
      <c r="A86" s="3"/>
      <c r="C86" s="99"/>
      <c r="D86" s="5"/>
    </row>
    <row r="87" spans="1:4" ht="13.2">
      <c r="A87" s="3"/>
      <c r="C87" s="99"/>
      <c r="D87" s="5"/>
    </row>
    <row r="88" spans="1:4" ht="13.2">
      <c r="A88" s="3"/>
      <c r="C88" s="99"/>
      <c r="D88" s="5"/>
    </row>
    <row r="89" spans="1:4" ht="13.2">
      <c r="A89" s="3"/>
      <c r="C89" s="99"/>
      <c r="D89" s="5"/>
    </row>
    <row r="90" spans="1:4" ht="13.2">
      <c r="A90" s="3"/>
      <c r="C90" s="99"/>
      <c r="D90" s="5"/>
    </row>
    <row r="91" spans="1:4" ht="13.2">
      <c r="A91" s="3"/>
      <c r="C91" s="99"/>
      <c r="D91" s="5"/>
    </row>
    <row r="92" spans="1:4" ht="13.2">
      <c r="A92" s="3"/>
      <c r="C92" s="99"/>
      <c r="D92" s="5"/>
    </row>
    <row r="93" spans="1:4" ht="13.2">
      <c r="A93" s="3"/>
      <c r="C93" s="99"/>
      <c r="D93" s="5"/>
    </row>
    <row r="94" spans="1:4" ht="13.2">
      <c r="A94" s="3"/>
      <c r="C94" s="99"/>
      <c r="D94" s="5"/>
    </row>
    <row r="95" spans="1:4" ht="13.2">
      <c r="A95" s="3"/>
      <c r="C95" s="99"/>
      <c r="D95" s="5"/>
    </row>
    <row r="96" spans="1:4" ht="13.2">
      <c r="A96" s="3"/>
      <c r="C96" s="99"/>
      <c r="D96" s="5"/>
    </row>
    <row r="97" spans="1:4" ht="13.2">
      <c r="A97" s="3"/>
      <c r="C97" s="99"/>
      <c r="D97" s="5"/>
    </row>
    <row r="98" spans="1:4" ht="13.2">
      <c r="A98" s="3"/>
      <c r="C98" s="99"/>
      <c r="D98" s="5"/>
    </row>
    <row r="99" spans="1:4" ht="13.2">
      <c r="A99" s="3"/>
      <c r="C99" s="99"/>
      <c r="D99" s="5"/>
    </row>
    <row r="100" spans="1:4" ht="13.2">
      <c r="A100" s="3"/>
      <c r="C100" s="99"/>
      <c r="D100" s="5"/>
    </row>
    <row r="101" spans="1:4" ht="13.2">
      <c r="A101" s="3"/>
      <c r="C101" s="99"/>
      <c r="D101" s="5"/>
    </row>
    <row r="102" spans="1:4" ht="13.2">
      <c r="A102" s="3"/>
      <c r="C102" s="99"/>
      <c r="D102" s="5"/>
    </row>
    <row r="103" spans="1:4" ht="13.2">
      <c r="A103" s="3"/>
      <c r="C103" s="99"/>
      <c r="D103" s="5"/>
    </row>
    <row r="104" spans="1:4" ht="13.2">
      <c r="A104" s="3"/>
      <c r="C104" s="99"/>
      <c r="D104" s="5"/>
    </row>
    <row r="105" spans="1:4" ht="13.2">
      <c r="A105" s="3"/>
      <c r="C105" s="99"/>
      <c r="D105" s="5"/>
    </row>
    <row r="106" spans="1:4" ht="13.2">
      <c r="A106" s="3"/>
      <c r="C106" s="99"/>
      <c r="D106" s="5"/>
    </row>
    <row r="107" spans="1:4" ht="13.2">
      <c r="A107" s="3"/>
      <c r="C107" s="99"/>
      <c r="D107" s="5"/>
    </row>
    <row r="108" spans="1:4" ht="13.2">
      <c r="A108" s="3"/>
      <c r="C108" s="99"/>
      <c r="D108" s="5"/>
    </row>
    <row r="109" spans="1:4" ht="13.2">
      <c r="A109" s="3"/>
      <c r="C109" s="99"/>
      <c r="D109" s="5"/>
    </row>
    <row r="110" spans="1:4" ht="13.2">
      <c r="A110" s="3"/>
      <c r="C110" s="99"/>
      <c r="D110" s="5"/>
    </row>
    <row r="111" spans="1:4" ht="13.2">
      <c r="A111" s="3"/>
      <c r="C111" s="99"/>
      <c r="D111" s="5"/>
    </row>
    <row r="112" spans="1:4" ht="13.2">
      <c r="A112" s="3"/>
      <c r="C112" s="99"/>
      <c r="D112" s="5"/>
    </row>
    <row r="113" spans="1:4" ht="13.2">
      <c r="A113" s="3"/>
      <c r="C113" s="99"/>
      <c r="D113" s="5"/>
    </row>
    <row r="114" spans="1:4" ht="13.2">
      <c r="A114" s="3"/>
      <c r="C114" s="99"/>
      <c r="D114" s="5"/>
    </row>
    <row r="115" spans="1:4" ht="13.2">
      <c r="A115" s="3"/>
      <c r="C115" s="99"/>
      <c r="D115" s="5"/>
    </row>
    <row r="116" spans="1:4" ht="13.2">
      <c r="A116" s="3"/>
      <c r="C116" s="99"/>
      <c r="D116" s="5"/>
    </row>
    <row r="117" spans="1:4" ht="13.2">
      <c r="A117" s="3"/>
      <c r="C117" s="99"/>
      <c r="D117" s="5"/>
    </row>
    <row r="118" spans="1:4" ht="13.2">
      <c r="A118" s="3"/>
      <c r="C118" s="99"/>
      <c r="D118" s="5"/>
    </row>
    <row r="119" spans="1:4" ht="13.2">
      <c r="A119" s="3"/>
      <c r="C119" s="99"/>
      <c r="D119" s="5"/>
    </row>
    <row r="120" spans="1:4" ht="13.2">
      <c r="A120" s="3"/>
      <c r="C120" s="99"/>
      <c r="D120" s="5"/>
    </row>
    <row r="121" spans="1:4" ht="13.2">
      <c r="A121" s="3"/>
      <c r="C121" s="99"/>
      <c r="D121" s="5"/>
    </row>
    <row r="122" spans="1:4" ht="13.2">
      <c r="A122" s="3"/>
      <c r="C122" s="99"/>
      <c r="D122" s="5"/>
    </row>
    <row r="123" spans="1:4" ht="13.2">
      <c r="A123" s="3"/>
      <c r="C123" s="99"/>
      <c r="D123" s="5"/>
    </row>
    <row r="124" spans="1:4" ht="13.2">
      <c r="A124" s="3"/>
      <c r="C124" s="99"/>
      <c r="D124" s="5"/>
    </row>
    <row r="125" spans="1:4" ht="13.2">
      <c r="A125" s="3"/>
      <c r="C125" s="99"/>
      <c r="D125" s="5"/>
    </row>
    <row r="126" spans="1:4" ht="13.2">
      <c r="A126" s="3"/>
      <c r="C126" s="99"/>
      <c r="D126" s="5"/>
    </row>
    <row r="127" spans="1:4" ht="13.2">
      <c r="A127" s="3"/>
      <c r="C127" s="99"/>
      <c r="D127" s="5"/>
    </row>
    <row r="128" spans="1:4" ht="13.2">
      <c r="A128" s="3"/>
      <c r="C128" s="99"/>
      <c r="D128" s="5"/>
    </row>
    <row r="129" spans="1:4" ht="13.2">
      <c r="A129" s="3"/>
      <c r="C129" s="99"/>
      <c r="D129" s="5"/>
    </row>
    <row r="130" spans="1:4" ht="13.2">
      <c r="A130" s="3"/>
      <c r="C130" s="99"/>
      <c r="D130" s="5"/>
    </row>
    <row r="131" spans="1:4" ht="13.2">
      <c r="A131" s="3"/>
      <c r="C131" s="99"/>
      <c r="D131" s="5"/>
    </row>
    <row r="132" spans="1:4" ht="13.2">
      <c r="A132" s="3"/>
      <c r="C132" s="99"/>
      <c r="D132" s="5"/>
    </row>
    <row r="133" spans="1:4" ht="13.2">
      <c r="A133" s="3"/>
      <c r="C133" s="99"/>
      <c r="D133" s="5"/>
    </row>
    <row r="134" spans="1:4" ht="13.2">
      <c r="A134" s="3"/>
      <c r="C134" s="99"/>
      <c r="D134" s="5"/>
    </row>
    <row r="135" spans="1:4" ht="13.2">
      <c r="A135" s="3"/>
      <c r="C135" s="99"/>
      <c r="D135" s="5"/>
    </row>
    <row r="136" spans="1:4" ht="13.2">
      <c r="A136" s="3"/>
      <c r="C136" s="99"/>
      <c r="D136" s="5"/>
    </row>
    <row r="137" spans="1:4" ht="13.2">
      <c r="A137" s="3"/>
      <c r="C137" s="99"/>
      <c r="D137" s="5"/>
    </row>
    <row r="138" spans="1:4" ht="13.2">
      <c r="A138" s="3"/>
      <c r="C138" s="99"/>
      <c r="D138" s="5"/>
    </row>
    <row r="139" spans="1:4" ht="13.2">
      <c r="A139" s="3"/>
      <c r="C139" s="99"/>
      <c r="D139" s="5"/>
    </row>
    <row r="140" spans="1:4" ht="13.2">
      <c r="A140" s="3"/>
      <c r="C140" s="99"/>
      <c r="D140" s="5"/>
    </row>
    <row r="141" spans="1:4" ht="13.2">
      <c r="A141" s="3"/>
      <c r="C141" s="99"/>
      <c r="D141" s="5"/>
    </row>
    <row r="142" spans="1:4" ht="13.2">
      <c r="A142" s="3"/>
      <c r="C142" s="99"/>
      <c r="D142" s="5"/>
    </row>
    <row r="143" spans="1:4" ht="13.2">
      <c r="A143" s="3"/>
      <c r="C143" s="99"/>
      <c r="D143" s="5"/>
    </row>
    <row r="144" spans="1:4" ht="13.2">
      <c r="A144" s="3"/>
      <c r="C144" s="99"/>
      <c r="D144" s="5"/>
    </row>
    <row r="145" spans="1:4" ht="13.2">
      <c r="A145" s="3"/>
      <c r="C145" s="99"/>
      <c r="D145" s="5"/>
    </row>
    <row r="146" spans="1:4" ht="13.2">
      <c r="A146" s="3"/>
      <c r="C146" s="99"/>
      <c r="D146" s="5"/>
    </row>
    <row r="147" spans="1:4" ht="13.2">
      <c r="A147" s="3"/>
      <c r="C147" s="99"/>
      <c r="D147" s="5"/>
    </row>
    <row r="148" spans="1:4" ht="13.2">
      <c r="A148" s="3"/>
      <c r="C148" s="99"/>
      <c r="D148" s="5"/>
    </row>
    <row r="149" spans="1:4" ht="13.2">
      <c r="A149" s="3"/>
      <c r="C149" s="99"/>
      <c r="D149" s="5"/>
    </row>
    <row r="150" spans="1:4" ht="13.2">
      <c r="A150" s="3"/>
      <c r="C150" s="99"/>
      <c r="D150" s="5"/>
    </row>
    <row r="151" spans="1:4" ht="13.2">
      <c r="A151" s="3"/>
      <c r="C151" s="99"/>
      <c r="D151" s="5"/>
    </row>
    <row r="152" spans="1:4" ht="13.2">
      <c r="A152" s="3"/>
      <c r="C152" s="99"/>
      <c r="D152" s="5"/>
    </row>
    <row r="153" spans="1:4" ht="13.2">
      <c r="A153" s="3"/>
      <c r="C153" s="99"/>
      <c r="D153" s="5"/>
    </row>
    <row r="154" spans="1:4" ht="13.2">
      <c r="A154" s="3"/>
      <c r="C154" s="99"/>
      <c r="D154" s="5"/>
    </row>
    <row r="155" spans="1:4" ht="13.2">
      <c r="A155" s="3"/>
      <c r="C155" s="99"/>
      <c r="D155" s="5"/>
    </row>
    <row r="156" spans="1:4" ht="13.2">
      <c r="A156" s="3"/>
      <c r="C156" s="99"/>
      <c r="D156" s="5"/>
    </row>
    <row r="157" spans="1:4" ht="13.2">
      <c r="A157" s="3"/>
      <c r="C157" s="99"/>
      <c r="D157" s="5"/>
    </row>
    <row r="158" spans="1:4" ht="13.2">
      <c r="A158" s="3"/>
      <c r="C158" s="99"/>
      <c r="D158" s="5"/>
    </row>
    <row r="159" spans="1:4" ht="13.2">
      <c r="A159" s="3"/>
      <c r="C159" s="99"/>
      <c r="D159" s="5"/>
    </row>
    <row r="160" spans="1:4" ht="13.2">
      <c r="A160" s="3"/>
      <c r="C160" s="99"/>
      <c r="D160" s="5"/>
    </row>
    <row r="161" spans="1:4" ht="13.2">
      <c r="A161" s="3"/>
      <c r="C161" s="99"/>
      <c r="D161" s="5"/>
    </row>
    <row r="162" spans="1:4" ht="13.2">
      <c r="A162" s="3"/>
      <c r="C162" s="99"/>
      <c r="D162" s="5"/>
    </row>
    <row r="163" spans="1:4" ht="13.2">
      <c r="A163" s="3"/>
      <c r="C163" s="99"/>
      <c r="D163" s="5"/>
    </row>
    <row r="164" spans="1:4" ht="13.2">
      <c r="A164" s="3"/>
      <c r="C164" s="99"/>
      <c r="D164" s="5"/>
    </row>
    <row r="165" spans="1:4" ht="13.2">
      <c r="A165" s="3"/>
      <c r="C165" s="99"/>
      <c r="D165" s="5"/>
    </row>
    <row r="166" spans="1:4" ht="13.2">
      <c r="A166" s="3"/>
      <c r="C166" s="99"/>
      <c r="D166" s="5"/>
    </row>
    <row r="167" spans="1:4" ht="13.2">
      <c r="A167" s="3"/>
      <c r="C167" s="99"/>
      <c r="D167" s="5"/>
    </row>
    <row r="168" spans="1:4" ht="13.2">
      <c r="A168" s="3"/>
      <c r="C168" s="99"/>
      <c r="D168" s="5"/>
    </row>
    <row r="169" spans="1:4" ht="13.2">
      <c r="A169" s="3"/>
      <c r="C169" s="99"/>
      <c r="D169" s="5"/>
    </row>
    <row r="170" spans="1:4" ht="13.2">
      <c r="A170" s="3"/>
      <c r="C170" s="99"/>
      <c r="D170" s="5"/>
    </row>
    <row r="171" spans="1:4" ht="13.2">
      <c r="A171" s="3"/>
      <c r="C171" s="99"/>
      <c r="D171" s="5"/>
    </row>
    <row r="172" spans="1:4" ht="13.2">
      <c r="A172" s="3"/>
      <c r="C172" s="99"/>
      <c r="D172" s="5"/>
    </row>
    <row r="173" spans="1:4" ht="13.2">
      <c r="A173" s="3"/>
      <c r="C173" s="99"/>
      <c r="D173" s="5"/>
    </row>
    <row r="174" spans="1:4" ht="13.2">
      <c r="A174" s="3"/>
      <c r="C174" s="99"/>
      <c r="D174" s="5"/>
    </row>
    <row r="175" spans="1:4" ht="13.2">
      <c r="A175" s="3"/>
      <c r="C175" s="99"/>
      <c r="D175" s="5"/>
    </row>
    <row r="176" spans="1:4" ht="13.2">
      <c r="A176" s="3"/>
      <c r="C176" s="99"/>
      <c r="D176" s="5"/>
    </row>
    <row r="177" spans="1:4" ht="13.2">
      <c r="A177" s="3"/>
      <c r="C177" s="99"/>
      <c r="D177" s="5"/>
    </row>
    <row r="178" spans="1:4" ht="13.2">
      <c r="A178" s="3"/>
      <c r="C178" s="99"/>
      <c r="D178" s="5"/>
    </row>
    <row r="179" spans="1:4" ht="13.2">
      <c r="A179" s="3"/>
      <c r="C179" s="99"/>
      <c r="D179" s="5"/>
    </row>
    <row r="180" spans="1:4" ht="13.2">
      <c r="A180" s="3"/>
      <c r="C180" s="99"/>
      <c r="D180" s="5"/>
    </row>
    <row r="181" spans="1:4" ht="13.2">
      <c r="A181" s="3"/>
      <c r="C181" s="99"/>
      <c r="D181" s="5"/>
    </row>
    <row r="182" spans="1:4" ht="13.2">
      <c r="A182" s="3"/>
      <c r="C182" s="99"/>
      <c r="D182" s="5"/>
    </row>
    <row r="183" spans="1:4" ht="13.2">
      <c r="A183" s="3"/>
      <c r="C183" s="99"/>
      <c r="D183" s="5"/>
    </row>
    <row r="184" spans="1:4" ht="13.2">
      <c r="A184" s="3"/>
      <c r="C184" s="99"/>
      <c r="D184" s="5"/>
    </row>
    <row r="185" spans="1:4" ht="13.2">
      <c r="A185" s="3"/>
      <c r="C185" s="99"/>
      <c r="D185" s="5"/>
    </row>
    <row r="186" spans="1:4" ht="13.2">
      <c r="A186" s="3"/>
      <c r="C186" s="99"/>
      <c r="D186" s="5"/>
    </row>
    <row r="187" spans="1:4" ht="13.2">
      <c r="A187" s="3"/>
      <c r="C187" s="99"/>
      <c r="D187" s="5"/>
    </row>
    <row r="188" spans="1:4" ht="13.2">
      <c r="A188" s="3"/>
      <c r="C188" s="99"/>
      <c r="D188" s="5"/>
    </row>
    <row r="189" spans="1:4" ht="13.2">
      <c r="A189" s="3"/>
      <c r="C189" s="99"/>
      <c r="D189" s="5"/>
    </row>
    <row r="190" spans="1:4" ht="13.2">
      <c r="A190" s="3"/>
      <c r="C190" s="99"/>
      <c r="D190" s="5"/>
    </row>
    <row r="191" spans="1:4" ht="13.2">
      <c r="A191" s="3"/>
      <c r="C191" s="99"/>
      <c r="D191" s="5"/>
    </row>
    <row r="192" spans="1:4" ht="13.2">
      <c r="A192" s="3"/>
      <c r="C192" s="99"/>
      <c r="D192" s="5"/>
    </row>
    <row r="193" spans="1:4" ht="13.2">
      <c r="A193" s="3"/>
      <c r="C193" s="99"/>
      <c r="D193" s="5"/>
    </row>
    <row r="194" spans="1:4" ht="13.2">
      <c r="A194" s="3"/>
      <c r="C194" s="99"/>
      <c r="D194" s="5"/>
    </row>
    <row r="195" spans="1:4" ht="13.2">
      <c r="A195" s="3"/>
      <c r="C195" s="99"/>
      <c r="D195" s="5"/>
    </row>
    <row r="196" spans="1:4" ht="13.2">
      <c r="A196" s="3"/>
      <c r="C196" s="99"/>
      <c r="D196" s="5"/>
    </row>
    <row r="197" spans="1:4" ht="13.2">
      <c r="A197" s="3"/>
      <c r="C197" s="99"/>
      <c r="D197" s="5"/>
    </row>
    <row r="198" spans="1:4" ht="13.2">
      <c r="A198" s="3"/>
      <c r="C198" s="99"/>
      <c r="D198" s="5"/>
    </row>
    <row r="199" spans="1:4" ht="13.2">
      <c r="A199" s="3"/>
      <c r="C199" s="99"/>
      <c r="D199" s="5"/>
    </row>
    <row r="200" spans="1:4" ht="13.2">
      <c r="A200" s="3"/>
      <c r="C200" s="99"/>
      <c r="D200" s="5"/>
    </row>
    <row r="201" spans="1:4" ht="13.2">
      <c r="A201" s="3"/>
      <c r="C201" s="99"/>
      <c r="D201" s="5"/>
    </row>
    <row r="202" spans="1:4" ht="13.2">
      <c r="A202" s="3"/>
      <c r="C202" s="99"/>
      <c r="D202" s="5"/>
    </row>
    <row r="203" spans="1:4" ht="13.2">
      <c r="A203" s="3"/>
      <c r="C203" s="99"/>
      <c r="D203" s="5"/>
    </row>
    <row r="204" spans="1:4" ht="13.2">
      <c r="A204" s="3"/>
      <c r="C204" s="99"/>
      <c r="D204" s="5"/>
    </row>
    <row r="205" spans="1:4" ht="13.2">
      <c r="A205" s="3"/>
      <c r="C205" s="99"/>
      <c r="D205" s="5"/>
    </row>
    <row r="206" spans="1:4" ht="13.2">
      <c r="A206" s="3"/>
      <c r="C206" s="99"/>
      <c r="D206" s="5"/>
    </row>
    <row r="207" spans="1:4" ht="13.2">
      <c r="A207" s="3"/>
      <c r="C207" s="99"/>
      <c r="D207" s="5"/>
    </row>
    <row r="208" spans="1:4" ht="13.2">
      <c r="A208" s="3"/>
      <c r="C208" s="99"/>
      <c r="D208" s="5"/>
    </row>
    <row r="209" spans="1:4" ht="13.2">
      <c r="A209" s="3"/>
      <c r="C209" s="99"/>
      <c r="D209" s="5"/>
    </row>
    <row r="210" spans="1:4" ht="13.2">
      <c r="A210" s="3"/>
      <c r="C210" s="99"/>
      <c r="D210" s="5"/>
    </row>
    <row r="211" spans="1:4" ht="13.2">
      <c r="A211" s="3"/>
      <c r="C211" s="99"/>
      <c r="D211" s="5"/>
    </row>
    <row r="212" spans="1:4" ht="13.2">
      <c r="A212" s="3"/>
      <c r="C212" s="99"/>
      <c r="D212" s="5"/>
    </row>
    <row r="213" spans="1:4" ht="13.2">
      <c r="A213" s="3"/>
      <c r="C213" s="99"/>
      <c r="D213" s="5"/>
    </row>
    <row r="214" spans="1:4" ht="13.2">
      <c r="A214" s="3"/>
      <c r="C214" s="99"/>
      <c r="D214" s="5"/>
    </row>
    <row r="215" spans="1:4" ht="13.2">
      <c r="A215" s="3"/>
      <c r="C215" s="99"/>
      <c r="D215" s="5"/>
    </row>
    <row r="216" spans="1:4" ht="13.2">
      <c r="A216" s="3"/>
      <c r="C216" s="99"/>
      <c r="D216" s="5"/>
    </row>
    <row r="217" spans="1:4" ht="13.2">
      <c r="A217" s="3"/>
      <c r="C217" s="99"/>
      <c r="D217" s="5"/>
    </row>
    <row r="218" spans="1:4" ht="13.2">
      <c r="A218" s="3"/>
      <c r="C218" s="99"/>
      <c r="D218" s="5"/>
    </row>
    <row r="219" spans="1:4" ht="13.2">
      <c r="A219" s="3"/>
      <c r="C219" s="99"/>
      <c r="D219" s="5"/>
    </row>
    <row r="220" spans="1:4" ht="13.2">
      <c r="A220" s="3"/>
      <c r="C220" s="99"/>
      <c r="D220" s="5"/>
    </row>
    <row r="221" spans="1:4" ht="13.2">
      <c r="A221" s="3"/>
      <c r="C221" s="99"/>
      <c r="D221" s="5"/>
    </row>
    <row r="222" spans="1:4" ht="13.2">
      <c r="A222" s="3"/>
      <c r="C222" s="99"/>
      <c r="D222" s="5"/>
    </row>
    <row r="223" spans="1:4" ht="13.2">
      <c r="A223" s="3"/>
      <c r="C223" s="99"/>
      <c r="D223" s="5"/>
    </row>
    <row r="224" spans="1:4" ht="13.2">
      <c r="A224" s="3"/>
      <c r="C224" s="99"/>
      <c r="D224" s="5"/>
    </row>
    <row r="225" spans="1:4" ht="13.2">
      <c r="A225" s="3"/>
      <c r="C225" s="99"/>
      <c r="D225" s="5"/>
    </row>
    <row r="226" spans="1:4" ht="13.2">
      <c r="A226" s="3"/>
      <c r="C226" s="99"/>
      <c r="D226" s="5"/>
    </row>
    <row r="227" spans="1:4" ht="13.2">
      <c r="A227" s="3"/>
      <c r="C227" s="99"/>
      <c r="D227" s="5"/>
    </row>
    <row r="228" spans="1:4" ht="13.2">
      <c r="A228" s="3"/>
      <c r="C228" s="99"/>
      <c r="D228" s="5"/>
    </row>
    <row r="229" spans="1:4" ht="13.2">
      <c r="A229" s="3"/>
      <c r="C229" s="99"/>
      <c r="D229" s="5"/>
    </row>
    <row r="230" spans="1:4" ht="13.2">
      <c r="A230" s="3"/>
      <c r="C230" s="99"/>
      <c r="D230" s="5"/>
    </row>
    <row r="231" spans="1:4" ht="13.2">
      <c r="A231" s="3"/>
      <c r="C231" s="99"/>
      <c r="D231" s="5"/>
    </row>
    <row r="232" spans="1:4" ht="13.2">
      <c r="A232" s="3"/>
      <c r="C232" s="99"/>
      <c r="D232" s="5"/>
    </row>
    <row r="233" spans="1:4" ht="13.2">
      <c r="A233" s="3"/>
      <c r="C233" s="99"/>
      <c r="D233" s="5"/>
    </row>
    <row r="234" spans="1:4" ht="13.2">
      <c r="A234" s="3"/>
      <c r="C234" s="99"/>
      <c r="D234" s="5"/>
    </row>
    <row r="235" spans="1:4" ht="13.2">
      <c r="A235" s="3"/>
      <c r="C235" s="99"/>
      <c r="D235" s="5"/>
    </row>
    <row r="236" spans="1:4" ht="13.2">
      <c r="A236" s="3"/>
      <c r="C236" s="99"/>
      <c r="D236" s="5"/>
    </row>
    <row r="237" spans="1:4" ht="13.2">
      <c r="A237" s="3"/>
      <c r="C237" s="99"/>
      <c r="D237" s="5"/>
    </row>
    <row r="238" spans="1:4" ht="13.2">
      <c r="A238" s="3"/>
      <c r="C238" s="99"/>
      <c r="D238" s="5"/>
    </row>
    <row r="239" spans="1:4" ht="13.2">
      <c r="A239" s="3"/>
      <c r="C239" s="99"/>
      <c r="D239" s="5"/>
    </row>
    <row r="240" spans="1:4" ht="13.2">
      <c r="A240" s="3"/>
      <c r="C240" s="99"/>
      <c r="D240" s="5"/>
    </row>
    <row r="241" spans="1:4" ht="13.2">
      <c r="A241" s="3"/>
      <c r="C241" s="99"/>
      <c r="D241" s="5"/>
    </row>
    <row r="242" spans="1:4" ht="13.2">
      <c r="A242" s="3"/>
      <c r="C242" s="99"/>
      <c r="D242" s="5"/>
    </row>
    <row r="243" spans="1:4" ht="13.2">
      <c r="A243" s="3"/>
      <c r="C243" s="99"/>
      <c r="D243" s="5"/>
    </row>
    <row r="244" spans="1:4" ht="13.2">
      <c r="A244" s="3"/>
      <c r="C244" s="99"/>
      <c r="D244" s="5"/>
    </row>
    <row r="245" spans="1:4" ht="13.2">
      <c r="A245" s="3"/>
      <c r="C245" s="99"/>
      <c r="D245" s="5"/>
    </row>
    <row r="246" spans="1:4" ht="13.2">
      <c r="A246" s="3"/>
      <c r="C246" s="99"/>
      <c r="D246" s="5"/>
    </row>
    <row r="247" spans="1:4" ht="13.2">
      <c r="A247" s="3"/>
      <c r="C247" s="99"/>
      <c r="D247" s="5"/>
    </row>
    <row r="248" spans="1:4" ht="13.2">
      <c r="A248" s="3"/>
      <c r="C248" s="99"/>
      <c r="D248" s="5"/>
    </row>
    <row r="249" spans="1:4" ht="13.2">
      <c r="A249" s="3"/>
      <c r="C249" s="99"/>
      <c r="D249" s="5"/>
    </row>
    <row r="250" spans="1:4" ht="13.2">
      <c r="A250" s="3"/>
      <c r="C250" s="99"/>
      <c r="D250" s="5"/>
    </row>
    <row r="251" spans="1:4" ht="13.2">
      <c r="A251" s="3"/>
      <c r="C251" s="99"/>
      <c r="D251" s="5"/>
    </row>
    <row r="252" spans="1:4" ht="13.2">
      <c r="A252" s="3"/>
      <c r="C252" s="99"/>
      <c r="D252" s="5"/>
    </row>
    <row r="253" spans="1:4" ht="13.2">
      <c r="A253" s="3"/>
      <c r="C253" s="99"/>
      <c r="D253" s="5"/>
    </row>
    <row r="254" spans="1:4" ht="13.2">
      <c r="A254" s="3"/>
      <c r="C254" s="99"/>
      <c r="D254" s="5"/>
    </row>
    <row r="255" spans="1:4" ht="13.2">
      <c r="A255" s="3"/>
      <c r="C255" s="99"/>
      <c r="D255" s="5"/>
    </row>
    <row r="256" spans="1:4" ht="13.2">
      <c r="A256" s="3"/>
      <c r="C256" s="99"/>
      <c r="D256" s="5"/>
    </row>
    <row r="257" spans="1:4" ht="13.2">
      <c r="A257" s="3"/>
      <c r="C257" s="99"/>
      <c r="D257" s="5"/>
    </row>
    <row r="258" spans="1:4" ht="13.2">
      <c r="A258" s="3"/>
      <c r="C258" s="99"/>
      <c r="D258" s="5"/>
    </row>
    <row r="259" spans="1:4" ht="13.2">
      <c r="A259" s="3"/>
      <c r="C259" s="99"/>
      <c r="D259" s="5"/>
    </row>
    <row r="260" spans="1:4" ht="13.2">
      <c r="A260" s="3"/>
      <c r="C260" s="99"/>
      <c r="D260" s="5"/>
    </row>
    <row r="261" spans="1:4" ht="13.2">
      <c r="A261" s="3"/>
      <c r="C261" s="99"/>
      <c r="D261" s="5"/>
    </row>
    <row r="262" spans="1:4" ht="13.2">
      <c r="A262" s="3"/>
      <c r="C262" s="99"/>
      <c r="D262" s="5"/>
    </row>
    <row r="263" spans="1:4" ht="13.2">
      <c r="A263" s="3"/>
      <c r="C263" s="99"/>
      <c r="D263" s="5"/>
    </row>
    <row r="264" spans="1:4" ht="13.2">
      <c r="A264" s="3"/>
      <c r="C264" s="99"/>
      <c r="D264" s="5"/>
    </row>
    <row r="265" spans="1:4" ht="13.2">
      <c r="A265" s="3"/>
      <c r="C265" s="99"/>
      <c r="D265" s="5"/>
    </row>
    <row r="266" spans="1:4" ht="13.2">
      <c r="A266" s="3"/>
      <c r="C266" s="99"/>
      <c r="D266" s="5"/>
    </row>
    <row r="267" spans="1:4" ht="13.2">
      <c r="A267" s="3"/>
      <c r="C267" s="99"/>
      <c r="D267" s="5"/>
    </row>
    <row r="268" spans="1:4" ht="13.2">
      <c r="A268" s="3"/>
      <c r="C268" s="99"/>
      <c r="D268" s="5"/>
    </row>
    <row r="269" spans="1:4" ht="13.2">
      <c r="A269" s="3"/>
      <c r="C269" s="99"/>
      <c r="D269" s="5"/>
    </row>
    <row r="270" spans="1:4" ht="13.2">
      <c r="A270" s="3"/>
      <c r="C270" s="99"/>
      <c r="D270" s="5"/>
    </row>
    <row r="271" spans="1:4" ht="13.2">
      <c r="A271" s="3"/>
      <c r="C271" s="99"/>
      <c r="D271" s="5"/>
    </row>
    <row r="272" spans="1:4" ht="13.2">
      <c r="A272" s="3"/>
      <c r="C272" s="99"/>
      <c r="D272" s="5"/>
    </row>
    <row r="273" spans="1:4" ht="13.2">
      <c r="A273" s="3"/>
      <c r="C273" s="99"/>
      <c r="D273" s="5"/>
    </row>
    <row r="274" spans="1:4" ht="13.2">
      <c r="A274" s="3"/>
      <c r="C274" s="99"/>
      <c r="D274" s="5"/>
    </row>
    <row r="275" spans="1:4" ht="13.2">
      <c r="A275" s="3"/>
      <c r="C275" s="99"/>
      <c r="D275" s="5"/>
    </row>
    <row r="276" spans="1:4" ht="13.2">
      <c r="A276" s="3"/>
      <c r="C276" s="99"/>
      <c r="D276" s="5"/>
    </row>
    <row r="277" spans="1:4" ht="13.2">
      <c r="A277" s="3"/>
      <c r="C277" s="99"/>
      <c r="D277" s="5"/>
    </row>
    <row r="278" spans="1:4" ht="13.2">
      <c r="A278" s="3"/>
      <c r="C278" s="99"/>
      <c r="D278" s="5"/>
    </row>
    <row r="279" spans="1:4" ht="13.2">
      <c r="A279" s="3"/>
      <c r="C279" s="99"/>
      <c r="D279" s="5"/>
    </row>
    <row r="280" spans="1:4" ht="13.2">
      <c r="A280" s="3"/>
      <c r="C280" s="99"/>
      <c r="D280" s="5"/>
    </row>
    <row r="281" spans="1:4" ht="13.2">
      <c r="A281" s="3"/>
      <c r="C281" s="99"/>
      <c r="D281" s="5"/>
    </row>
    <row r="282" spans="1:4" ht="13.2">
      <c r="A282" s="3"/>
      <c r="C282" s="99"/>
      <c r="D282" s="5"/>
    </row>
    <row r="283" spans="1:4" ht="13.2">
      <c r="A283" s="3"/>
      <c r="C283" s="99"/>
      <c r="D283" s="5"/>
    </row>
    <row r="284" spans="1:4" ht="13.2">
      <c r="A284" s="3"/>
      <c r="C284" s="99"/>
      <c r="D284" s="5"/>
    </row>
    <row r="285" spans="1:4" ht="13.2">
      <c r="A285" s="3"/>
      <c r="C285" s="99"/>
      <c r="D285" s="5"/>
    </row>
    <row r="286" spans="1:4" ht="13.2">
      <c r="A286" s="3"/>
      <c r="C286" s="99"/>
      <c r="D286" s="5"/>
    </row>
    <row r="287" spans="1:4" ht="13.2">
      <c r="A287" s="3"/>
      <c r="C287" s="99"/>
      <c r="D287" s="5"/>
    </row>
    <row r="288" spans="1:4" ht="13.2">
      <c r="A288" s="3"/>
      <c r="C288" s="99"/>
      <c r="D288" s="5"/>
    </row>
    <row r="289" spans="1:4" ht="13.2">
      <c r="A289" s="3"/>
      <c r="C289" s="99"/>
      <c r="D289" s="5"/>
    </row>
    <row r="290" spans="1:4" ht="13.2">
      <c r="A290" s="3"/>
      <c r="C290" s="99"/>
      <c r="D290" s="5"/>
    </row>
    <row r="291" spans="1:4" ht="13.2">
      <c r="A291" s="3"/>
      <c r="C291" s="99"/>
      <c r="D291" s="5"/>
    </row>
    <row r="292" spans="1:4" ht="13.2">
      <c r="A292" s="3"/>
      <c r="C292" s="99"/>
      <c r="D292" s="5"/>
    </row>
    <row r="293" spans="1:4" ht="13.2">
      <c r="A293" s="3"/>
      <c r="C293" s="99"/>
      <c r="D293" s="5"/>
    </row>
    <row r="294" spans="1:4" ht="13.2">
      <c r="A294" s="3"/>
      <c r="C294" s="99"/>
      <c r="D294" s="5"/>
    </row>
    <row r="295" spans="1:4" ht="13.2">
      <c r="A295" s="3"/>
      <c r="C295" s="99"/>
      <c r="D295" s="5"/>
    </row>
    <row r="296" spans="1:4" ht="13.2">
      <c r="A296" s="3"/>
      <c r="C296" s="99"/>
      <c r="D296" s="5"/>
    </row>
    <row r="297" spans="1:4" ht="13.2">
      <c r="A297" s="3"/>
      <c r="C297" s="99"/>
      <c r="D297" s="5"/>
    </row>
    <row r="298" spans="1:4" ht="13.2">
      <c r="A298" s="3"/>
      <c r="C298" s="99"/>
      <c r="D298" s="5"/>
    </row>
    <row r="299" spans="1:4" ht="13.2">
      <c r="A299" s="3"/>
      <c r="C299" s="99"/>
      <c r="D299" s="5"/>
    </row>
    <row r="300" spans="1:4" ht="13.2">
      <c r="A300" s="3"/>
      <c r="C300" s="99"/>
      <c r="D300" s="5"/>
    </row>
    <row r="301" spans="1:4" ht="13.2">
      <c r="A301" s="3"/>
      <c r="C301" s="99"/>
      <c r="D301" s="5"/>
    </row>
    <row r="302" spans="1:4" ht="13.2">
      <c r="A302" s="3"/>
      <c r="C302" s="99"/>
      <c r="D302" s="5"/>
    </row>
    <row r="303" spans="1:4" ht="13.2">
      <c r="A303" s="3"/>
      <c r="C303" s="99"/>
      <c r="D303" s="5"/>
    </row>
    <row r="304" spans="1:4" ht="13.2">
      <c r="A304" s="3"/>
      <c r="C304" s="99"/>
      <c r="D304" s="5"/>
    </row>
    <row r="305" spans="1:4" ht="13.2">
      <c r="A305" s="3"/>
      <c r="C305" s="99"/>
      <c r="D305" s="5"/>
    </row>
    <row r="306" spans="1:4" ht="13.2">
      <c r="A306" s="3"/>
      <c r="C306" s="99"/>
      <c r="D306" s="5"/>
    </row>
    <row r="307" spans="1:4" ht="13.2">
      <c r="A307" s="3"/>
      <c r="C307" s="99"/>
      <c r="D307" s="5"/>
    </row>
    <row r="308" spans="1:4" ht="13.2">
      <c r="A308" s="3"/>
      <c r="C308" s="99"/>
      <c r="D308" s="5"/>
    </row>
    <row r="309" spans="1:4" ht="13.2">
      <c r="A309" s="3"/>
      <c r="C309" s="99"/>
      <c r="D309" s="5"/>
    </row>
    <row r="310" spans="1:4" ht="13.2">
      <c r="A310" s="3"/>
      <c r="C310" s="99"/>
      <c r="D310" s="5"/>
    </row>
    <row r="311" spans="1:4" ht="13.2">
      <c r="A311" s="3"/>
      <c r="C311" s="99"/>
      <c r="D311" s="5"/>
    </row>
    <row r="312" spans="1:4" ht="13.2">
      <c r="A312" s="3"/>
      <c r="C312" s="99"/>
      <c r="D312" s="5"/>
    </row>
    <row r="313" spans="1:4" ht="13.2">
      <c r="A313" s="3"/>
      <c r="C313" s="99"/>
      <c r="D313" s="5"/>
    </row>
    <row r="314" spans="1:4" ht="13.2">
      <c r="A314" s="3"/>
      <c r="C314" s="99"/>
      <c r="D314" s="5"/>
    </row>
    <row r="315" spans="1:4" ht="13.2">
      <c r="A315" s="3"/>
      <c r="C315" s="99"/>
      <c r="D315" s="5"/>
    </row>
    <row r="316" spans="1:4" ht="13.2">
      <c r="A316" s="3"/>
      <c r="C316" s="99"/>
      <c r="D316" s="5"/>
    </row>
    <row r="317" spans="1:4" ht="13.2">
      <c r="A317" s="3"/>
      <c r="C317" s="99"/>
      <c r="D317" s="5"/>
    </row>
    <row r="318" spans="1:4" ht="13.2">
      <c r="A318" s="3"/>
      <c r="C318" s="99"/>
      <c r="D318" s="5"/>
    </row>
    <row r="319" spans="1:4" ht="13.2">
      <c r="A319" s="3"/>
      <c r="C319" s="99"/>
      <c r="D319" s="5"/>
    </row>
    <row r="320" spans="1:4" ht="13.2">
      <c r="A320" s="3"/>
      <c r="C320" s="99"/>
      <c r="D320" s="5"/>
    </row>
    <row r="321" spans="1:4" ht="13.2">
      <c r="A321" s="3"/>
      <c r="C321" s="99"/>
      <c r="D321" s="5"/>
    </row>
    <row r="322" spans="1:4" ht="13.2">
      <c r="A322" s="3"/>
      <c r="C322" s="99"/>
      <c r="D322" s="5"/>
    </row>
    <row r="323" spans="1:4" ht="13.2">
      <c r="A323" s="3"/>
      <c r="C323" s="99"/>
      <c r="D323" s="5"/>
    </row>
    <row r="324" spans="1:4" ht="13.2">
      <c r="A324" s="3"/>
      <c r="C324" s="99"/>
      <c r="D324" s="5"/>
    </row>
    <row r="325" spans="1:4" ht="13.2">
      <c r="A325" s="3"/>
      <c r="C325" s="99"/>
      <c r="D325" s="5"/>
    </row>
    <row r="326" spans="1:4" ht="13.2">
      <c r="A326" s="3"/>
      <c r="C326" s="99"/>
      <c r="D326" s="5"/>
    </row>
    <row r="327" spans="1:4" ht="13.2">
      <c r="A327" s="3"/>
      <c r="C327" s="99"/>
      <c r="D327" s="5"/>
    </row>
    <row r="328" spans="1:4" ht="13.2">
      <c r="A328" s="3"/>
      <c r="C328" s="99"/>
      <c r="D328" s="5"/>
    </row>
    <row r="329" spans="1:4" ht="13.2">
      <c r="A329" s="3"/>
      <c r="C329" s="99"/>
      <c r="D329" s="5"/>
    </row>
    <row r="330" spans="1:4" ht="13.2">
      <c r="A330" s="3"/>
      <c r="C330" s="99"/>
      <c r="D330" s="5"/>
    </row>
    <row r="331" spans="1:4" ht="13.2">
      <c r="A331" s="3"/>
      <c r="C331" s="99"/>
      <c r="D331" s="5"/>
    </row>
    <row r="332" spans="1:4" ht="13.2">
      <c r="A332" s="3"/>
      <c r="C332" s="99"/>
      <c r="D332" s="5"/>
    </row>
    <row r="333" spans="1:4" ht="13.2">
      <c r="A333" s="3"/>
      <c r="C333" s="99"/>
      <c r="D333" s="5"/>
    </row>
    <row r="334" spans="1:4" ht="13.2">
      <c r="A334" s="3"/>
      <c r="C334" s="99"/>
      <c r="D334" s="5"/>
    </row>
    <row r="335" spans="1:4" ht="13.2">
      <c r="A335" s="3"/>
      <c r="C335" s="99"/>
      <c r="D335" s="5"/>
    </row>
    <row r="336" spans="1:4" ht="13.2">
      <c r="A336" s="3"/>
      <c r="C336" s="99"/>
      <c r="D336" s="5"/>
    </row>
    <row r="337" spans="1:4" ht="13.2">
      <c r="A337" s="3"/>
      <c r="C337" s="99"/>
      <c r="D337" s="5"/>
    </row>
    <row r="338" spans="1:4" ht="13.2">
      <c r="A338" s="3"/>
      <c r="C338" s="99"/>
      <c r="D338" s="5"/>
    </row>
    <row r="339" spans="1:4" ht="13.2">
      <c r="A339" s="3"/>
      <c r="C339" s="99"/>
      <c r="D339" s="5"/>
    </row>
    <row r="340" spans="1:4" ht="13.2">
      <c r="A340" s="3"/>
      <c r="C340" s="99"/>
      <c r="D340" s="5"/>
    </row>
    <row r="341" spans="1:4" ht="13.2">
      <c r="A341" s="3"/>
      <c r="C341" s="99"/>
      <c r="D341" s="5"/>
    </row>
    <row r="342" spans="1:4" ht="13.2">
      <c r="A342" s="3"/>
      <c r="C342" s="99"/>
      <c r="D342" s="5"/>
    </row>
    <row r="343" spans="1:4" ht="13.2">
      <c r="A343" s="3"/>
      <c r="C343" s="99"/>
      <c r="D343" s="5"/>
    </row>
    <row r="344" spans="1:4" ht="13.2">
      <c r="A344" s="3"/>
      <c r="C344" s="99"/>
      <c r="D344" s="5"/>
    </row>
    <row r="345" spans="1:4" ht="13.2">
      <c r="A345" s="3"/>
      <c r="C345" s="99"/>
      <c r="D345" s="5"/>
    </row>
    <row r="346" spans="1:4" ht="13.2">
      <c r="A346" s="3"/>
      <c r="C346" s="99"/>
      <c r="D346" s="5"/>
    </row>
    <row r="347" spans="1:4" ht="13.2">
      <c r="A347" s="3"/>
      <c r="C347" s="99"/>
      <c r="D347" s="5"/>
    </row>
    <row r="348" spans="1:4" ht="13.2">
      <c r="A348" s="3"/>
      <c r="C348" s="99"/>
      <c r="D348" s="5"/>
    </row>
    <row r="349" spans="1:4" ht="13.2">
      <c r="A349" s="3"/>
      <c r="C349" s="99"/>
      <c r="D349" s="5"/>
    </row>
    <row r="350" spans="1:4" ht="13.2">
      <c r="A350" s="3"/>
      <c r="C350" s="99"/>
      <c r="D350" s="5"/>
    </row>
    <row r="351" spans="1:4" ht="13.2">
      <c r="A351" s="3"/>
      <c r="C351" s="99"/>
      <c r="D351" s="5"/>
    </row>
    <row r="352" spans="1:4" ht="13.2">
      <c r="A352" s="3"/>
      <c r="C352" s="99"/>
      <c r="D352" s="5"/>
    </row>
    <row r="353" spans="1:4" ht="13.2">
      <c r="A353" s="3"/>
      <c r="C353" s="99"/>
      <c r="D353" s="5"/>
    </row>
    <row r="354" spans="1:4" ht="13.2">
      <c r="A354" s="3"/>
      <c r="C354" s="99"/>
      <c r="D354" s="5"/>
    </row>
    <row r="355" spans="1:4" ht="13.2">
      <c r="A355" s="3"/>
      <c r="C355" s="99"/>
      <c r="D355" s="5"/>
    </row>
    <row r="356" spans="1:4" ht="13.2">
      <c r="A356" s="3"/>
      <c r="C356" s="99"/>
      <c r="D356" s="5"/>
    </row>
    <row r="357" spans="1:4" ht="13.2">
      <c r="A357" s="3"/>
      <c r="C357" s="99"/>
      <c r="D357" s="5"/>
    </row>
    <row r="358" spans="1:4" ht="13.2">
      <c r="A358" s="3"/>
      <c r="C358" s="99"/>
      <c r="D358" s="5"/>
    </row>
    <row r="359" spans="1:4" ht="13.2">
      <c r="A359" s="3"/>
      <c r="C359" s="99"/>
      <c r="D359" s="5"/>
    </row>
    <row r="360" spans="1:4" ht="13.2">
      <c r="A360" s="3"/>
      <c r="C360" s="99"/>
      <c r="D360" s="5"/>
    </row>
    <row r="361" spans="1:4" ht="13.2">
      <c r="A361" s="3"/>
      <c r="C361" s="99"/>
      <c r="D361" s="5"/>
    </row>
    <row r="362" spans="1:4" ht="13.2">
      <c r="A362" s="3"/>
      <c r="C362" s="99"/>
      <c r="D362" s="5"/>
    </row>
    <row r="363" spans="1:4" ht="13.2">
      <c r="A363" s="3"/>
      <c r="C363" s="99"/>
      <c r="D363" s="5"/>
    </row>
    <row r="364" spans="1:4" ht="13.2">
      <c r="A364" s="3"/>
      <c r="C364" s="99"/>
      <c r="D364" s="5"/>
    </row>
    <row r="365" spans="1:4" ht="13.2">
      <c r="A365" s="3"/>
      <c r="C365" s="99"/>
      <c r="D365" s="5"/>
    </row>
    <row r="366" spans="1:4" ht="13.2">
      <c r="A366" s="3"/>
      <c r="C366" s="99"/>
      <c r="D366" s="5"/>
    </row>
    <row r="367" spans="1:4" ht="13.2">
      <c r="A367" s="3"/>
      <c r="C367" s="99"/>
      <c r="D367" s="5"/>
    </row>
    <row r="368" spans="1:4" ht="13.2">
      <c r="A368" s="3"/>
      <c r="C368" s="99"/>
      <c r="D368" s="5"/>
    </row>
    <row r="369" spans="1:4" ht="13.2">
      <c r="A369" s="3"/>
      <c r="C369" s="99"/>
      <c r="D369" s="5"/>
    </row>
    <row r="370" spans="1:4" ht="13.2">
      <c r="A370" s="3"/>
      <c r="C370" s="99"/>
      <c r="D370" s="5"/>
    </row>
    <row r="371" spans="1:4" ht="13.2">
      <c r="A371" s="3"/>
      <c r="C371" s="99"/>
      <c r="D371" s="5"/>
    </row>
    <row r="372" spans="1:4" ht="13.2">
      <c r="A372" s="3"/>
      <c r="C372" s="99"/>
      <c r="D372" s="5"/>
    </row>
    <row r="373" spans="1:4" ht="13.2">
      <c r="A373" s="3"/>
      <c r="C373" s="99"/>
      <c r="D373" s="5"/>
    </row>
    <row r="374" spans="1:4" ht="13.2">
      <c r="A374" s="3"/>
      <c r="C374" s="99"/>
      <c r="D374" s="5"/>
    </row>
    <row r="375" spans="1:4" ht="13.2">
      <c r="A375" s="3"/>
      <c r="C375" s="99"/>
      <c r="D375" s="5"/>
    </row>
    <row r="376" spans="1:4" ht="13.2">
      <c r="A376" s="3"/>
      <c r="C376" s="99"/>
      <c r="D376" s="5"/>
    </row>
    <row r="377" spans="1:4" ht="13.2">
      <c r="A377" s="3"/>
      <c r="C377" s="99"/>
      <c r="D377" s="5"/>
    </row>
    <row r="378" spans="1:4" ht="13.2">
      <c r="A378" s="3"/>
      <c r="C378" s="99"/>
      <c r="D378" s="5"/>
    </row>
    <row r="379" spans="1:4" ht="13.2">
      <c r="A379" s="3"/>
      <c r="C379" s="99"/>
      <c r="D379" s="5"/>
    </row>
    <row r="380" spans="1:4" ht="13.2">
      <c r="A380" s="3"/>
      <c r="C380" s="99"/>
      <c r="D380" s="5"/>
    </row>
    <row r="381" spans="1:4" ht="13.2">
      <c r="A381" s="3"/>
      <c r="C381" s="99"/>
      <c r="D381" s="5"/>
    </row>
    <row r="382" spans="1:4" ht="13.2">
      <c r="A382" s="3"/>
      <c r="C382" s="99"/>
      <c r="D382" s="5"/>
    </row>
    <row r="383" spans="1:4" ht="13.2">
      <c r="A383" s="3"/>
      <c r="C383" s="99"/>
      <c r="D383" s="5"/>
    </row>
    <row r="384" spans="1:4" ht="13.2">
      <c r="A384" s="3"/>
      <c r="C384" s="99"/>
      <c r="D384" s="5"/>
    </row>
    <row r="385" spans="1:4" ht="13.2">
      <c r="A385" s="3"/>
      <c r="C385" s="99"/>
      <c r="D385" s="5"/>
    </row>
    <row r="386" spans="1:4" ht="13.2">
      <c r="A386" s="3"/>
      <c r="C386" s="99"/>
      <c r="D386" s="5"/>
    </row>
    <row r="387" spans="1:4" ht="13.2">
      <c r="A387" s="3"/>
      <c r="C387" s="99"/>
      <c r="D387" s="5"/>
    </row>
    <row r="388" spans="1:4" ht="13.2">
      <c r="A388" s="3"/>
      <c r="C388" s="99"/>
      <c r="D388" s="5"/>
    </row>
    <row r="389" spans="1:4" ht="13.2">
      <c r="A389" s="3"/>
      <c r="C389" s="99"/>
      <c r="D389" s="5"/>
    </row>
    <row r="390" spans="1:4" ht="13.2">
      <c r="A390" s="3"/>
      <c r="C390" s="99"/>
      <c r="D390" s="5"/>
    </row>
    <row r="391" spans="1:4" ht="13.2">
      <c r="A391" s="3"/>
      <c r="C391" s="99"/>
      <c r="D391" s="5"/>
    </row>
    <row r="392" spans="1:4" ht="13.2">
      <c r="A392" s="3"/>
      <c r="C392" s="99"/>
      <c r="D392" s="5"/>
    </row>
    <row r="393" spans="1:4" ht="13.2">
      <c r="A393" s="3"/>
      <c r="C393" s="99"/>
      <c r="D393" s="5"/>
    </row>
    <row r="394" spans="1:4" ht="13.2">
      <c r="A394" s="3"/>
      <c r="C394" s="99"/>
      <c r="D394" s="5"/>
    </row>
    <row r="395" spans="1:4" ht="13.2">
      <c r="A395" s="3"/>
      <c r="C395" s="99"/>
      <c r="D395" s="5"/>
    </row>
    <row r="396" spans="1:4" ht="13.2">
      <c r="A396" s="3"/>
      <c r="C396" s="99"/>
      <c r="D396" s="5"/>
    </row>
    <row r="397" spans="1:4" ht="13.2">
      <c r="A397" s="3"/>
      <c r="C397" s="99"/>
      <c r="D397" s="5"/>
    </row>
    <row r="398" spans="1:4" ht="13.2">
      <c r="A398" s="3"/>
      <c r="C398" s="99"/>
      <c r="D398" s="5"/>
    </row>
    <row r="399" spans="1:4" ht="13.2">
      <c r="A399" s="3"/>
      <c r="C399" s="99"/>
      <c r="D399" s="5"/>
    </row>
    <row r="400" spans="1:4" ht="13.2">
      <c r="A400" s="3"/>
      <c r="C400" s="99"/>
      <c r="D400" s="5"/>
    </row>
    <row r="401" spans="1:4" ht="13.2">
      <c r="A401" s="3"/>
      <c r="C401" s="99"/>
      <c r="D401" s="5"/>
    </row>
    <row r="402" spans="1:4" ht="13.2">
      <c r="A402" s="3"/>
      <c r="C402" s="99"/>
      <c r="D402" s="5"/>
    </row>
    <row r="403" spans="1:4" ht="13.2">
      <c r="A403" s="3"/>
      <c r="C403" s="99"/>
      <c r="D403" s="5"/>
    </row>
    <row r="404" spans="1:4" ht="13.2">
      <c r="A404" s="3"/>
      <c r="C404" s="99"/>
      <c r="D404" s="5"/>
    </row>
    <row r="405" spans="1:4" ht="13.2">
      <c r="A405" s="3"/>
      <c r="C405" s="99"/>
      <c r="D405" s="5"/>
    </row>
    <row r="406" spans="1:4" ht="13.2">
      <c r="A406" s="3"/>
      <c r="C406" s="99"/>
      <c r="D406" s="5"/>
    </row>
    <row r="407" spans="1:4" ht="13.2">
      <c r="A407" s="3"/>
      <c r="C407" s="99"/>
      <c r="D407" s="5"/>
    </row>
    <row r="408" spans="1:4" ht="13.2">
      <c r="A408" s="3"/>
      <c r="C408" s="99"/>
      <c r="D408" s="5"/>
    </row>
    <row r="409" spans="1:4" ht="13.2">
      <c r="A409" s="3"/>
      <c r="C409" s="99"/>
      <c r="D409" s="5"/>
    </row>
    <row r="410" spans="1:4" ht="13.2">
      <c r="A410" s="3"/>
      <c r="C410" s="99"/>
      <c r="D410" s="5"/>
    </row>
    <row r="411" spans="1:4" ht="13.2">
      <c r="A411" s="3"/>
      <c r="C411" s="99"/>
      <c r="D411" s="5"/>
    </row>
    <row r="412" spans="1:4" ht="13.2">
      <c r="A412" s="3"/>
      <c r="C412" s="99"/>
      <c r="D412" s="5"/>
    </row>
    <row r="413" spans="1:4" ht="13.2">
      <c r="A413" s="3"/>
      <c r="C413" s="99"/>
      <c r="D413" s="5"/>
    </row>
    <row r="414" spans="1:4" ht="13.2">
      <c r="A414" s="3"/>
      <c r="C414" s="99"/>
      <c r="D414" s="5"/>
    </row>
    <row r="415" spans="1:4" ht="13.2">
      <c r="A415" s="3"/>
      <c r="C415" s="99"/>
      <c r="D415" s="5"/>
    </row>
    <row r="416" spans="1:4" ht="13.2">
      <c r="A416" s="3"/>
      <c r="C416" s="99"/>
      <c r="D416" s="5"/>
    </row>
    <row r="417" spans="1:4" ht="13.2">
      <c r="A417" s="3"/>
      <c r="C417" s="99"/>
      <c r="D417" s="5"/>
    </row>
    <row r="418" spans="1:4" ht="13.2">
      <c r="A418" s="3"/>
      <c r="C418" s="99"/>
      <c r="D418" s="5"/>
    </row>
    <row r="419" spans="1:4" ht="13.2">
      <c r="A419" s="3"/>
      <c r="C419" s="99"/>
      <c r="D419" s="5"/>
    </row>
    <row r="420" spans="1:4" ht="13.2">
      <c r="A420" s="3"/>
      <c r="C420" s="99"/>
      <c r="D420" s="5"/>
    </row>
    <row r="421" spans="1:4" ht="13.2">
      <c r="A421" s="3"/>
      <c r="C421" s="99"/>
      <c r="D421" s="5"/>
    </row>
    <row r="422" spans="1:4" ht="13.2">
      <c r="A422" s="3"/>
      <c r="C422" s="99"/>
      <c r="D422" s="5"/>
    </row>
    <row r="423" spans="1:4" ht="13.2">
      <c r="A423" s="3"/>
      <c r="C423" s="99"/>
      <c r="D423" s="5"/>
    </row>
    <row r="424" spans="1:4" ht="13.2">
      <c r="A424" s="3"/>
      <c r="C424" s="99"/>
      <c r="D424" s="5"/>
    </row>
    <row r="425" spans="1:4" ht="13.2">
      <c r="A425" s="3"/>
      <c r="C425" s="99"/>
      <c r="D425" s="5"/>
    </row>
    <row r="426" spans="1:4" ht="13.2">
      <c r="A426" s="3"/>
      <c r="C426" s="99"/>
      <c r="D426" s="5"/>
    </row>
    <row r="427" spans="1:4" ht="13.2">
      <c r="A427" s="3"/>
      <c r="C427" s="99"/>
      <c r="D427" s="5"/>
    </row>
    <row r="428" spans="1:4" ht="13.2">
      <c r="A428" s="3"/>
      <c r="C428" s="99"/>
      <c r="D428" s="5"/>
    </row>
    <row r="429" spans="1:4" ht="13.2">
      <c r="A429" s="3"/>
      <c r="C429" s="99"/>
      <c r="D429" s="5"/>
    </row>
    <row r="430" spans="1:4" ht="13.2">
      <c r="A430" s="3"/>
      <c r="C430" s="99"/>
      <c r="D430" s="5"/>
    </row>
    <row r="431" spans="1:4" ht="13.2">
      <c r="A431" s="3"/>
      <c r="C431" s="99"/>
      <c r="D431" s="5"/>
    </row>
    <row r="432" spans="1:4" ht="13.2">
      <c r="A432" s="3"/>
      <c r="C432" s="99"/>
      <c r="D432" s="5"/>
    </row>
    <row r="433" spans="1:4" ht="13.2">
      <c r="A433" s="3"/>
      <c r="C433" s="99"/>
      <c r="D433" s="5"/>
    </row>
    <row r="434" spans="1:4" ht="13.2">
      <c r="A434" s="3"/>
      <c r="C434" s="99"/>
      <c r="D434" s="5"/>
    </row>
    <row r="435" spans="1:4" ht="13.2">
      <c r="A435" s="3"/>
      <c r="C435" s="99"/>
      <c r="D435" s="5"/>
    </row>
    <row r="436" spans="1:4" ht="13.2">
      <c r="A436" s="3"/>
      <c r="C436" s="99"/>
      <c r="D436" s="5"/>
    </row>
    <row r="437" spans="1:4" ht="13.2">
      <c r="A437" s="3"/>
      <c r="C437" s="99"/>
      <c r="D437" s="5"/>
    </row>
    <row r="438" spans="1:4" ht="13.2">
      <c r="A438" s="3"/>
      <c r="C438" s="99"/>
      <c r="D438" s="5"/>
    </row>
    <row r="439" spans="1:4" ht="13.2">
      <c r="A439" s="3"/>
      <c r="C439" s="99"/>
      <c r="D439" s="5"/>
    </row>
    <row r="440" spans="1:4" ht="13.2">
      <c r="A440" s="3"/>
      <c r="C440" s="99"/>
      <c r="D440" s="5"/>
    </row>
    <row r="441" spans="1:4" ht="13.2">
      <c r="A441" s="3"/>
      <c r="C441" s="99"/>
      <c r="D441" s="5"/>
    </row>
    <row r="442" spans="1:4" ht="13.2">
      <c r="A442" s="3"/>
      <c r="C442" s="99"/>
      <c r="D442" s="5"/>
    </row>
    <row r="443" spans="1:4" ht="13.2">
      <c r="A443" s="3"/>
      <c r="C443" s="99"/>
      <c r="D443" s="5"/>
    </row>
    <row r="444" spans="1:4" ht="13.2">
      <c r="A444" s="3"/>
      <c r="C444" s="99"/>
      <c r="D444" s="5"/>
    </row>
    <row r="445" spans="1:4" ht="13.2">
      <c r="A445" s="3"/>
      <c r="C445" s="99"/>
      <c r="D445" s="5"/>
    </row>
    <row r="446" spans="1:4" ht="13.2">
      <c r="A446" s="3"/>
      <c r="C446" s="99"/>
      <c r="D446" s="5"/>
    </row>
    <row r="447" spans="1:4" ht="13.2">
      <c r="A447" s="3"/>
      <c r="C447" s="99"/>
      <c r="D447" s="5"/>
    </row>
    <row r="448" spans="1:4" ht="13.2">
      <c r="A448" s="3"/>
      <c r="C448" s="99"/>
      <c r="D448" s="5"/>
    </row>
    <row r="449" spans="1:4" ht="13.2">
      <c r="A449" s="3"/>
      <c r="C449" s="99"/>
      <c r="D449" s="5"/>
    </row>
    <row r="450" spans="1:4" ht="13.2">
      <c r="A450" s="3"/>
      <c r="C450" s="99"/>
      <c r="D450" s="5"/>
    </row>
    <row r="451" spans="1:4" ht="13.2">
      <c r="A451" s="3"/>
      <c r="C451" s="99"/>
      <c r="D451" s="5"/>
    </row>
    <row r="452" spans="1:4" ht="13.2">
      <c r="A452" s="3"/>
      <c r="C452" s="99"/>
      <c r="D452" s="5"/>
    </row>
    <row r="453" spans="1:4" ht="13.2">
      <c r="A453" s="3"/>
      <c r="C453" s="99"/>
      <c r="D453" s="5"/>
    </row>
    <row r="454" spans="1:4" ht="13.2">
      <c r="A454" s="3"/>
      <c r="C454" s="99"/>
      <c r="D454" s="5"/>
    </row>
    <row r="455" spans="1:4" ht="13.2">
      <c r="A455" s="3"/>
      <c r="C455" s="99"/>
      <c r="D455" s="5"/>
    </row>
    <row r="456" spans="1:4" ht="13.2">
      <c r="A456" s="3"/>
      <c r="C456" s="99"/>
      <c r="D456" s="5"/>
    </row>
    <row r="457" spans="1:4" ht="13.2">
      <c r="A457" s="3"/>
      <c r="C457" s="99"/>
      <c r="D457" s="5"/>
    </row>
    <row r="458" spans="1:4" ht="13.2">
      <c r="A458" s="3"/>
      <c r="C458" s="99"/>
      <c r="D458" s="5"/>
    </row>
    <row r="459" spans="1:4" ht="13.2">
      <c r="A459" s="3"/>
      <c r="C459" s="99"/>
      <c r="D459" s="5"/>
    </row>
    <row r="460" spans="1:4" ht="13.2">
      <c r="A460" s="3"/>
      <c r="C460" s="99"/>
      <c r="D460" s="5"/>
    </row>
    <row r="461" spans="1:4" ht="13.2">
      <c r="A461" s="3"/>
      <c r="C461" s="99"/>
      <c r="D461" s="5"/>
    </row>
    <row r="462" spans="1:4" ht="13.2">
      <c r="A462" s="3"/>
      <c r="C462" s="99"/>
      <c r="D462" s="5"/>
    </row>
    <row r="463" spans="1:4" ht="13.2">
      <c r="A463" s="3"/>
      <c r="C463" s="99"/>
      <c r="D463" s="5"/>
    </row>
    <row r="464" spans="1:4" ht="13.2">
      <c r="A464" s="3"/>
      <c r="C464" s="99"/>
      <c r="D464" s="5"/>
    </row>
    <row r="465" spans="1:4" ht="13.2">
      <c r="A465" s="3"/>
      <c r="C465" s="99"/>
      <c r="D465" s="5"/>
    </row>
    <row r="466" spans="1:4" ht="13.2">
      <c r="A466" s="3"/>
      <c r="C466" s="99"/>
      <c r="D466" s="5"/>
    </row>
    <row r="467" spans="1:4" ht="13.2">
      <c r="A467" s="3"/>
      <c r="C467" s="99"/>
      <c r="D467" s="5"/>
    </row>
    <row r="468" spans="1:4" ht="13.2">
      <c r="A468" s="3"/>
      <c r="C468" s="99"/>
      <c r="D468" s="5"/>
    </row>
    <row r="469" spans="1:4" ht="13.2">
      <c r="A469" s="3"/>
      <c r="C469" s="99"/>
      <c r="D469" s="5"/>
    </row>
    <row r="470" spans="1:4" ht="13.2">
      <c r="A470" s="3"/>
      <c r="C470" s="99"/>
      <c r="D470" s="5"/>
    </row>
    <row r="471" spans="1:4" ht="13.2">
      <c r="A471" s="3"/>
      <c r="C471" s="99"/>
      <c r="D471" s="5"/>
    </row>
    <row r="472" spans="1:4" ht="13.2">
      <c r="A472" s="3"/>
      <c r="C472" s="99"/>
      <c r="D472" s="5"/>
    </row>
    <row r="473" spans="1:4" ht="13.2">
      <c r="A473" s="3"/>
      <c r="C473" s="99"/>
      <c r="D473" s="5"/>
    </row>
    <row r="474" spans="1:4" ht="13.2">
      <c r="A474" s="3"/>
      <c r="C474" s="99"/>
      <c r="D474" s="5"/>
    </row>
    <row r="475" spans="1:4" ht="13.2">
      <c r="A475" s="3"/>
      <c r="C475" s="99"/>
      <c r="D475" s="5"/>
    </row>
    <row r="476" spans="1:4" ht="13.2">
      <c r="A476" s="3"/>
      <c r="C476" s="99"/>
      <c r="D476" s="5"/>
    </row>
    <row r="477" spans="1:4" ht="13.2">
      <c r="A477" s="3"/>
      <c r="C477" s="99"/>
      <c r="D477" s="5"/>
    </row>
    <row r="478" spans="1:4" ht="13.2">
      <c r="A478" s="3"/>
      <c r="C478" s="99"/>
      <c r="D478" s="5"/>
    </row>
    <row r="479" spans="1:4" ht="13.2">
      <c r="A479" s="3"/>
      <c r="C479" s="99"/>
      <c r="D479" s="5"/>
    </row>
    <row r="480" spans="1:4" ht="13.2">
      <c r="A480" s="3"/>
      <c r="C480" s="99"/>
      <c r="D480" s="5"/>
    </row>
    <row r="481" spans="1:4" ht="13.2">
      <c r="A481" s="3"/>
      <c r="C481" s="99"/>
      <c r="D481" s="5"/>
    </row>
    <row r="482" spans="1:4" ht="13.2">
      <c r="A482" s="3"/>
      <c r="C482" s="99"/>
      <c r="D482" s="5"/>
    </row>
    <row r="483" spans="1:4" ht="13.2">
      <c r="A483" s="3"/>
      <c r="C483" s="99"/>
      <c r="D483" s="5"/>
    </row>
    <row r="484" spans="1:4" ht="13.2">
      <c r="A484" s="3"/>
      <c r="C484" s="99"/>
      <c r="D484" s="5"/>
    </row>
    <row r="485" spans="1:4" ht="13.2">
      <c r="A485" s="3"/>
      <c r="C485" s="99"/>
      <c r="D485" s="5"/>
    </row>
    <row r="486" spans="1:4" ht="13.2">
      <c r="A486" s="3"/>
      <c r="C486" s="99"/>
      <c r="D486" s="5"/>
    </row>
    <row r="487" spans="1:4" ht="13.2">
      <c r="A487" s="3"/>
      <c r="C487" s="99"/>
      <c r="D487" s="5"/>
    </row>
    <row r="488" spans="1:4" ht="13.2">
      <c r="A488" s="3"/>
      <c r="C488" s="99"/>
      <c r="D488" s="5"/>
    </row>
    <row r="489" spans="1:4" ht="13.2">
      <c r="A489" s="3"/>
      <c r="C489" s="99"/>
      <c r="D489" s="5"/>
    </row>
    <row r="490" spans="1:4" ht="13.2">
      <c r="A490" s="3"/>
      <c r="C490" s="99"/>
      <c r="D490" s="5"/>
    </row>
    <row r="491" spans="1:4" ht="13.2">
      <c r="A491" s="3"/>
      <c r="C491" s="99"/>
      <c r="D491" s="5"/>
    </row>
    <row r="492" spans="1:4" ht="13.2">
      <c r="A492" s="3"/>
      <c r="C492" s="99"/>
      <c r="D492" s="5"/>
    </row>
    <row r="493" spans="1:4" ht="13.2">
      <c r="A493" s="3"/>
      <c r="C493" s="99"/>
      <c r="D493" s="5"/>
    </row>
    <row r="494" spans="1:4" ht="13.2">
      <c r="A494" s="3"/>
      <c r="C494" s="99"/>
      <c r="D494" s="5"/>
    </row>
    <row r="495" spans="1:4" ht="13.2">
      <c r="A495" s="3"/>
      <c r="C495" s="99"/>
      <c r="D495" s="5"/>
    </row>
    <row r="496" spans="1:4" ht="13.2">
      <c r="A496" s="3"/>
      <c r="C496" s="99"/>
      <c r="D496" s="5"/>
    </row>
    <row r="497" spans="1:4" ht="13.2">
      <c r="A497" s="3"/>
      <c r="C497" s="99"/>
      <c r="D497" s="5"/>
    </row>
    <row r="498" spans="1:4" ht="13.2">
      <c r="A498" s="3"/>
      <c r="C498" s="99"/>
      <c r="D498" s="5"/>
    </row>
    <row r="499" spans="1:4" ht="13.2">
      <c r="A499" s="3"/>
      <c r="C499" s="99"/>
      <c r="D499" s="5"/>
    </row>
    <row r="500" spans="1:4" ht="13.2">
      <c r="A500" s="3"/>
      <c r="C500" s="99"/>
      <c r="D500" s="5"/>
    </row>
    <row r="501" spans="1:4" ht="13.2">
      <c r="A501" s="3"/>
      <c r="C501" s="99"/>
      <c r="D501" s="5"/>
    </row>
    <row r="502" spans="1:4" ht="13.2">
      <c r="A502" s="3"/>
      <c r="C502" s="99"/>
      <c r="D502" s="5"/>
    </row>
    <row r="503" spans="1:4" ht="13.2">
      <c r="A503" s="3"/>
      <c r="C503" s="99"/>
      <c r="D503" s="5"/>
    </row>
    <row r="504" spans="1:4" ht="13.2">
      <c r="A504" s="3"/>
      <c r="C504" s="99"/>
      <c r="D504" s="5"/>
    </row>
    <row r="505" spans="1:4" ht="13.2">
      <c r="A505" s="3"/>
      <c r="C505" s="99"/>
      <c r="D505" s="5"/>
    </row>
    <row r="506" spans="1:4" ht="13.2">
      <c r="A506" s="3"/>
      <c r="C506" s="99"/>
      <c r="D506" s="5"/>
    </row>
    <row r="507" spans="1:4" ht="13.2">
      <c r="A507" s="3"/>
      <c r="C507" s="99"/>
      <c r="D507" s="5"/>
    </row>
    <row r="508" spans="1:4" ht="13.2">
      <c r="A508" s="3"/>
      <c r="C508" s="99"/>
      <c r="D508" s="5"/>
    </row>
    <row r="509" spans="1:4" ht="13.2">
      <c r="A509" s="3"/>
      <c r="C509" s="99"/>
      <c r="D509" s="5"/>
    </row>
    <row r="510" spans="1:4" ht="13.2">
      <c r="A510" s="3"/>
      <c r="C510" s="99"/>
      <c r="D510" s="5"/>
    </row>
    <row r="511" spans="1:4" ht="13.2">
      <c r="A511" s="3"/>
      <c r="C511" s="99"/>
      <c r="D511" s="5"/>
    </row>
    <row r="512" spans="1:4" ht="13.2">
      <c r="A512" s="3"/>
      <c r="C512" s="99"/>
      <c r="D512" s="5"/>
    </row>
    <row r="513" spans="1:4" ht="13.2">
      <c r="A513" s="3"/>
      <c r="C513" s="99"/>
      <c r="D513" s="5"/>
    </row>
    <row r="514" spans="1:4" ht="13.2">
      <c r="A514" s="3"/>
      <c r="C514" s="99"/>
      <c r="D514" s="5"/>
    </row>
    <row r="515" spans="1:4" ht="13.2">
      <c r="A515" s="3"/>
      <c r="C515" s="99"/>
      <c r="D515" s="5"/>
    </row>
    <row r="516" spans="1:4" ht="13.2">
      <c r="A516" s="3"/>
      <c r="C516" s="99"/>
      <c r="D516" s="5"/>
    </row>
    <row r="517" spans="1:4" ht="13.2">
      <c r="A517" s="3"/>
      <c r="C517" s="99"/>
      <c r="D517" s="5"/>
    </row>
    <row r="518" spans="1:4" ht="13.2">
      <c r="A518" s="3"/>
      <c r="C518" s="99"/>
      <c r="D518" s="5"/>
    </row>
    <row r="519" spans="1:4" ht="13.2">
      <c r="A519" s="3"/>
      <c r="C519" s="99"/>
      <c r="D519" s="5"/>
    </row>
    <row r="520" spans="1:4" ht="13.2">
      <c r="A520" s="3"/>
      <c r="C520" s="99"/>
      <c r="D520" s="5"/>
    </row>
    <row r="521" spans="1:4" ht="13.2">
      <c r="A521" s="3"/>
      <c r="C521" s="99"/>
      <c r="D521" s="5"/>
    </row>
    <row r="522" spans="1:4" ht="13.2">
      <c r="A522" s="3"/>
      <c r="C522" s="99"/>
      <c r="D522" s="5"/>
    </row>
    <row r="523" spans="1:4" ht="13.2">
      <c r="A523" s="3"/>
      <c r="C523" s="99"/>
      <c r="D523" s="5"/>
    </row>
    <row r="524" spans="1:4" ht="13.2">
      <c r="A524" s="3"/>
      <c r="C524" s="99"/>
      <c r="D524" s="5"/>
    </row>
    <row r="525" spans="1:4" ht="13.2">
      <c r="A525" s="3"/>
      <c r="C525" s="99"/>
      <c r="D525" s="5"/>
    </row>
    <row r="526" spans="1:4" ht="13.2">
      <c r="A526" s="3"/>
      <c r="C526" s="99"/>
      <c r="D526" s="5"/>
    </row>
    <row r="527" spans="1:4" ht="13.2">
      <c r="A527" s="3"/>
      <c r="C527" s="99"/>
      <c r="D527" s="5"/>
    </row>
    <row r="528" spans="1:4" ht="13.2">
      <c r="A528" s="3"/>
      <c r="C528" s="99"/>
      <c r="D528" s="5"/>
    </row>
    <row r="529" spans="1:4" ht="13.2">
      <c r="A529" s="3"/>
      <c r="C529" s="99"/>
      <c r="D529" s="5"/>
    </row>
    <row r="530" spans="1:4" ht="13.2">
      <c r="A530" s="3"/>
      <c r="C530" s="99"/>
      <c r="D530" s="5"/>
    </row>
    <row r="531" spans="1:4" ht="13.2">
      <c r="A531" s="3"/>
      <c r="C531" s="99"/>
      <c r="D531" s="5"/>
    </row>
    <row r="532" spans="1:4" ht="13.2">
      <c r="A532" s="3"/>
      <c r="C532" s="99"/>
      <c r="D532" s="5"/>
    </row>
    <row r="533" spans="1:4" ht="13.2">
      <c r="A533" s="3"/>
      <c r="C533" s="99"/>
      <c r="D533" s="5"/>
    </row>
    <row r="534" spans="1:4" ht="13.2">
      <c r="A534" s="3"/>
      <c r="C534" s="99"/>
      <c r="D534" s="5"/>
    </row>
    <row r="535" spans="1:4" ht="13.2">
      <c r="A535" s="3"/>
      <c r="C535" s="99"/>
      <c r="D535" s="5"/>
    </row>
    <row r="536" spans="1:4" ht="13.2">
      <c r="A536" s="3"/>
      <c r="C536" s="99"/>
      <c r="D536" s="5"/>
    </row>
    <row r="537" spans="1:4" ht="13.2">
      <c r="A537" s="3"/>
      <c r="C537" s="99"/>
      <c r="D537" s="5"/>
    </row>
    <row r="538" spans="1:4" ht="13.2">
      <c r="A538" s="3"/>
      <c r="C538" s="99"/>
      <c r="D538" s="5"/>
    </row>
    <row r="539" spans="1:4" ht="13.2">
      <c r="A539" s="3"/>
      <c r="C539" s="99"/>
      <c r="D539" s="5"/>
    </row>
    <row r="540" spans="1:4" ht="13.2">
      <c r="A540" s="3"/>
      <c r="C540" s="99"/>
      <c r="D540" s="5"/>
    </row>
    <row r="541" spans="1:4" ht="13.2">
      <c r="A541" s="3"/>
      <c r="C541" s="99"/>
      <c r="D541" s="5"/>
    </row>
    <row r="542" spans="1:4" ht="13.2">
      <c r="A542" s="3"/>
      <c r="C542" s="99"/>
      <c r="D542" s="5"/>
    </row>
    <row r="543" spans="1:4" ht="13.2">
      <c r="A543" s="3"/>
      <c r="C543" s="99"/>
      <c r="D543" s="5"/>
    </row>
    <row r="544" spans="1:4" ht="13.2">
      <c r="A544" s="3"/>
      <c r="C544" s="99"/>
      <c r="D544" s="5"/>
    </row>
    <row r="545" spans="1:4" ht="13.2">
      <c r="A545" s="3"/>
      <c r="C545" s="99"/>
      <c r="D545" s="5"/>
    </row>
    <row r="546" spans="1:4" ht="13.2">
      <c r="A546" s="3"/>
      <c r="C546" s="99"/>
      <c r="D546" s="5"/>
    </row>
    <row r="547" spans="1:4" ht="13.2">
      <c r="A547" s="3"/>
      <c r="C547" s="99"/>
      <c r="D547" s="5"/>
    </row>
    <row r="548" spans="1:4" ht="13.2">
      <c r="A548" s="3"/>
      <c r="C548" s="99"/>
      <c r="D548" s="5"/>
    </row>
    <row r="549" spans="1:4" ht="13.2">
      <c r="A549" s="3"/>
      <c r="C549" s="99"/>
      <c r="D549" s="5"/>
    </row>
    <row r="550" spans="1:4" ht="13.2">
      <c r="A550" s="3"/>
      <c r="C550" s="99"/>
      <c r="D550" s="5"/>
    </row>
    <row r="551" spans="1:4" ht="13.2">
      <c r="A551" s="3"/>
      <c r="C551" s="99"/>
      <c r="D551" s="5"/>
    </row>
    <row r="552" spans="1:4" ht="13.2">
      <c r="A552" s="3"/>
      <c r="C552" s="99"/>
      <c r="D552" s="5"/>
    </row>
    <row r="553" spans="1:4" ht="13.2">
      <c r="A553" s="3"/>
      <c r="C553" s="99"/>
      <c r="D553" s="5"/>
    </row>
    <row r="554" spans="1:4" ht="13.2">
      <c r="A554" s="3"/>
      <c r="C554" s="99"/>
      <c r="D554" s="5"/>
    </row>
    <row r="555" spans="1:4" ht="13.2">
      <c r="A555" s="3"/>
      <c r="C555" s="99"/>
      <c r="D555" s="5"/>
    </row>
    <row r="556" spans="1:4" ht="13.2">
      <c r="A556" s="3"/>
      <c r="C556" s="99"/>
      <c r="D556" s="5"/>
    </row>
    <row r="557" spans="1:4" ht="13.2">
      <c r="A557" s="3"/>
      <c r="C557" s="99"/>
      <c r="D557" s="5"/>
    </row>
    <row r="558" spans="1:4" ht="13.2">
      <c r="A558" s="3"/>
      <c r="C558" s="99"/>
      <c r="D558" s="5"/>
    </row>
    <row r="559" spans="1:4" ht="13.2">
      <c r="A559" s="3"/>
      <c r="C559" s="99"/>
      <c r="D559" s="5"/>
    </row>
    <row r="560" spans="1:4" ht="13.2">
      <c r="A560" s="3"/>
      <c r="C560" s="99"/>
      <c r="D560" s="5"/>
    </row>
    <row r="561" spans="1:4" ht="13.2">
      <c r="A561" s="3"/>
      <c r="C561" s="99"/>
      <c r="D561" s="5"/>
    </row>
    <row r="562" spans="1:4" ht="13.2">
      <c r="A562" s="3"/>
      <c r="C562" s="99"/>
      <c r="D562" s="5"/>
    </row>
    <row r="563" spans="1:4" ht="13.2">
      <c r="A563" s="3"/>
      <c r="C563" s="99"/>
      <c r="D563" s="5"/>
    </row>
    <row r="564" spans="1:4" ht="13.2">
      <c r="A564" s="3"/>
      <c r="C564" s="99"/>
      <c r="D564" s="5"/>
    </row>
    <row r="565" spans="1:4" ht="13.2">
      <c r="A565" s="3"/>
      <c r="C565" s="99"/>
      <c r="D565" s="5"/>
    </row>
    <row r="566" spans="1:4" ht="13.2">
      <c r="A566" s="3"/>
      <c r="C566" s="99"/>
      <c r="D566" s="5"/>
    </row>
    <row r="567" spans="1:4" ht="13.2">
      <c r="A567" s="3"/>
      <c r="C567" s="99"/>
      <c r="D567" s="5"/>
    </row>
    <row r="568" spans="1:4" ht="13.2">
      <c r="A568" s="3"/>
      <c r="C568" s="99"/>
      <c r="D568" s="5"/>
    </row>
    <row r="569" spans="1:4" ht="13.2">
      <c r="A569" s="3"/>
      <c r="C569" s="99"/>
      <c r="D569" s="5"/>
    </row>
    <row r="570" spans="1:4" ht="13.2">
      <c r="A570" s="3"/>
      <c r="C570" s="99"/>
      <c r="D570" s="5"/>
    </row>
    <row r="571" spans="1:4" ht="13.2">
      <c r="A571" s="3"/>
      <c r="C571" s="99"/>
      <c r="D571" s="5"/>
    </row>
    <row r="572" spans="1:4" ht="13.2">
      <c r="A572" s="3"/>
      <c r="C572" s="99"/>
      <c r="D572" s="5"/>
    </row>
    <row r="573" spans="1:4" ht="13.2">
      <c r="A573" s="3"/>
      <c r="C573" s="99"/>
      <c r="D573" s="5"/>
    </row>
    <row r="574" spans="1:4" ht="13.2">
      <c r="A574" s="3"/>
      <c r="C574" s="99"/>
      <c r="D574" s="5"/>
    </row>
    <row r="575" spans="1:4" ht="13.2">
      <c r="A575" s="3"/>
      <c r="C575" s="99"/>
      <c r="D575" s="5"/>
    </row>
    <row r="576" spans="1:4" ht="13.2">
      <c r="A576" s="3"/>
      <c r="C576" s="99"/>
      <c r="D576" s="5"/>
    </row>
    <row r="577" spans="1:4" ht="13.2">
      <c r="A577" s="3"/>
      <c r="C577" s="99"/>
      <c r="D577" s="5"/>
    </row>
    <row r="578" spans="1:4" ht="13.2">
      <c r="A578" s="3"/>
      <c r="C578" s="99"/>
      <c r="D578" s="5"/>
    </row>
    <row r="579" spans="1:4" ht="13.2">
      <c r="A579" s="3"/>
      <c r="C579" s="99"/>
      <c r="D579" s="5"/>
    </row>
    <row r="580" spans="1:4" ht="13.2">
      <c r="A580" s="3"/>
      <c r="C580" s="99"/>
      <c r="D580" s="5"/>
    </row>
    <row r="581" spans="1:4" ht="13.2">
      <c r="A581" s="3"/>
      <c r="C581" s="99"/>
      <c r="D581" s="5"/>
    </row>
    <row r="582" spans="1:4" ht="13.2">
      <c r="A582" s="3"/>
      <c r="C582" s="99"/>
      <c r="D582" s="5"/>
    </row>
    <row r="583" spans="1:4" ht="13.2">
      <c r="A583" s="3"/>
      <c r="C583" s="99"/>
      <c r="D583" s="5"/>
    </row>
    <row r="584" spans="1:4" ht="13.2">
      <c r="A584" s="3"/>
      <c r="C584" s="99"/>
      <c r="D584" s="5"/>
    </row>
    <row r="585" spans="1:4" ht="13.2">
      <c r="A585" s="3"/>
      <c r="C585" s="99"/>
      <c r="D585" s="5"/>
    </row>
    <row r="586" spans="1:4" ht="13.2">
      <c r="A586" s="3"/>
      <c r="C586" s="99"/>
      <c r="D586" s="5"/>
    </row>
    <row r="587" spans="1:4" ht="13.2">
      <c r="A587" s="3"/>
      <c r="C587" s="99"/>
      <c r="D587" s="5"/>
    </row>
    <row r="588" spans="1:4" ht="13.2">
      <c r="A588" s="3"/>
      <c r="C588" s="99"/>
      <c r="D588" s="5"/>
    </row>
    <row r="589" spans="1:4" ht="13.2">
      <c r="A589" s="3"/>
      <c r="C589" s="99"/>
      <c r="D589" s="5"/>
    </row>
    <row r="590" spans="1:4" ht="13.2">
      <c r="A590" s="3"/>
      <c r="C590" s="99"/>
      <c r="D590" s="5"/>
    </row>
    <row r="591" spans="1:4" ht="13.2">
      <c r="A591" s="3"/>
      <c r="C591" s="99"/>
      <c r="D591" s="5"/>
    </row>
    <row r="592" spans="1:4" ht="13.2">
      <c r="A592" s="3"/>
      <c r="C592" s="99"/>
      <c r="D592" s="5"/>
    </row>
    <row r="593" spans="1:4" ht="13.2">
      <c r="A593" s="3"/>
      <c r="C593" s="99"/>
      <c r="D593" s="5"/>
    </row>
    <row r="594" spans="1:4" ht="13.2">
      <c r="A594" s="3"/>
      <c r="C594" s="99"/>
      <c r="D594" s="5"/>
    </row>
    <row r="595" spans="1:4" ht="13.2">
      <c r="A595" s="3"/>
      <c r="C595" s="99"/>
      <c r="D595" s="5"/>
    </row>
    <row r="596" spans="1:4" ht="13.2">
      <c r="A596" s="3"/>
      <c r="C596" s="99"/>
      <c r="D596" s="5"/>
    </row>
    <row r="597" spans="1:4" ht="13.2">
      <c r="A597" s="3"/>
      <c r="C597" s="99"/>
      <c r="D597" s="5"/>
    </row>
    <row r="598" spans="1:4" ht="13.2">
      <c r="A598" s="3"/>
      <c r="C598" s="99"/>
      <c r="D598" s="5"/>
    </row>
    <row r="599" spans="1:4" ht="13.2">
      <c r="A599" s="3"/>
      <c r="C599" s="99"/>
      <c r="D599" s="5"/>
    </row>
    <row r="600" spans="1:4" ht="13.2">
      <c r="A600" s="3"/>
      <c r="C600" s="99"/>
      <c r="D600" s="5"/>
    </row>
    <row r="601" spans="1:4" ht="13.2">
      <c r="A601" s="3"/>
      <c r="C601" s="99"/>
      <c r="D601" s="5"/>
    </row>
    <row r="602" spans="1:4" ht="13.2">
      <c r="A602" s="3"/>
      <c r="C602" s="99"/>
      <c r="D602" s="5"/>
    </row>
    <row r="603" spans="1:4" ht="13.2">
      <c r="A603" s="3"/>
      <c r="C603" s="99"/>
      <c r="D603" s="5"/>
    </row>
    <row r="604" spans="1:4" ht="13.2">
      <c r="A604" s="3"/>
      <c r="C604" s="99"/>
      <c r="D604" s="5"/>
    </row>
    <row r="605" spans="1:4" ht="13.2">
      <c r="A605" s="3"/>
      <c r="C605" s="99"/>
      <c r="D605" s="5"/>
    </row>
    <row r="606" spans="1:4" ht="13.2">
      <c r="A606" s="3"/>
      <c r="C606" s="99"/>
      <c r="D606" s="5"/>
    </row>
    <row r="607" spans="1:4" ht="13.2">
      <c r="A607" s="3"/>
      <c r="C607" s="99"/>
      <c r="D607" s="5"/>
    </row>
    <row r="608" spans="1:4" ht="13.2">
      <c r="A608" s="3"/>
      <c r="C608" s="99"/>
      <c r="D608" s="5"/>
    </row>
    <row r="609" spans="1:4" ht="13.2">
      <c r="A609" s="3"/>
      <c r="C609" s="99"/>
      <c r="D609" s="5"/>
    </row>
    <row r="610" spans="1:4" ht="13.2">
      <c r="A610" s="3"/>
      <c r="C610" s="99"/>
      <c r="D610" s="5"/>
    </row>
    <row r="611" spans="1:4" ht="13.2">
      <c r="A611" s="3"/>
      <c r="C611" s="99"/>
      <c r="D611" s="5"/>
    </row>
    <row r="612" spans="1:4" ht="13.2">
      <c r="A612" s="3"/>
      <c r="C612" s="99"/>
      <c r="D612" s="5"/>
    </row>
    <row r="613" spans="1:4" ht="13.2">
      <c r="A613" s="3"/>
      <c r="C613" s="99"/>
      <c r="D613" s="5"/>
    </row>
    <row r="614" spans="1:4" ht="13.2">
      <c r="A614" s="3"/>
      <c r="C614" s="99"/>
      <c r="D614" s="5"/>
    </row>
    <row r="615" spans="1:4" ht="13.2">
      <c r="A615" s="3"/>
      <c r="C615" s="99"/>
      <c r="D615" s="5"/>
    </row>
    <row r="616" spans="1:4" ht="13.2">
      <c r="A616" s="3"/>
      <c r="C616" s="99"/>
      <c r="D616" s="5"/>
    </row>
    <row r="617" spans="1:4" ht="13.2">
      <c r="A617" s="3"/>
      <c r="C617" s="99"/>
      <c r="D617" s="5"/>
    </row>
    <row r="618" spans="1:4" ht="13.2">
      <c r="A618" s="3"/>
      <c r="C618" s="99"/>
      <c r="D618" s="5"/>
    </row>
    <row r="619" spans="1:4" ht="13.2">
      <c r="A619" s="3"/>
      <c r="C619" s="99"/>
      <c r="D619" s="5"/>
    </row>
    <row r="620" spans="1:4" ht="13.2">
      <c r="A620" s="3"/>
      <c r="C620" s="99"/>
      <c r="D620" s="5"/>
    </row>
    <row r="621" spans="1:4" ht="13.2">
      <c r="A621" s="3"/>
      <c r="C621" s="99"/>
      <c r="D621" s="5"/>
    </row>
    <row r="622" spans="1:4" ht="13.2">
      <c r="A622" s="3"/>
      <c r="C622" s="99"/>
      <c r="D622" s="5"/>
    </row>
    <row r="623" spans="1:4" ht="13.2">
      <c r="A623" s="3"/>
      <c r="C623" s="99"/>
      <c r="D623" s="5"/>
    </row>
    <row r="624" spans="1:4" ht="13.2">
      <c r="A624" s="3"/>
      <c r="C624" s="99"/>
      <c r="D624" s="5"/>
    </row>
    <row r="625" spans="1:4" ht="13.2">
      <c r="A625" s="3"/>
      <c r="C625" s="99"/>
      <c r="D625" s="5"/>
    </row>
    <row r="626" spans="1:4" ht="13.2">
      <c r="A626" s="3"/>
      <c r="C626" s="99"/>
      <c r="D626" s="5"/>
    </row>
    <row r="627" spans="1:4" ht="13.2">
      <c r="A627" s="3"/>
      <c r="C627" s="99"/>
      <c r="D627" s="5"/>
    </row>
    <row r="628" spans="1:4" ht="13.2">
      <c r="A628" s="3"/>
      <c r="C628" s="99"/>
      <c r="D628" s="5"/>
    </row>
    <row r="629" spans="1:4" ht="13.2">
      <c r="A629" s="3"/>
      <c r="C629" s="99"/>
      <c r="D629" s="5"/>
    </row>
    <row r="630" spans="1:4" ht="13.2">
      <c r="A630" s="3"/>
      <c r="C630" s="99"/>
      <c r="D630" s="5"/>
    </row>
    <row r="631" spans="1:4" ht="13.2">
      <c r="A631" s="3"/>
      <c r="C631" s="99"/>
      <c r="D631" s="5"/>
    </row>
    <row r="632" spans="1:4" ht="13.2">
      <c r="A632" s="3"/>
      <c r="C632" s="99"/>
      <c r="D632" s="5"/>
    </row>
    <row r="633" spans="1:4" ht="13.2">
      <c r="A633" s="3"/>
      <c r="C633" s="99"/>
      <c r="D633" s="5"/>
    </row>
    <row r="634" spans="1:4" ht="13.2">
      <c r="A634" s="3"/>
      <c r="C634" s="99"/>
      <c r="D634" s="5"/>
    </row>
    <row r="635" spans="1:4" ht="13.2">
      <c r="A635" s="3"/>
      <c r="C635" s="99"/>
      <c r="D635" s="5"/>
    </row>
    <row r="636" spans="1:4" ht="13.2">
      <c r="A636" s="3"/>
      <c r="C636" s="99"/>
      <c r="D636" s="5"/>
    </row>
    <row r="637" spans="1:4" ht="13.2">
      <c r="A637" s="3"/>
      <c r="C637" s="99"/>
      <c r="D637" s="5"/>
    </row>
    <row r="638" spans="1:4" ht="13.2">
      <c r="A638" s="3"/>
      <c r="C638" s="99"/>
      <c r="D638" s="5"/>
    </row>
    <row r="639" spans="1:4" ht="13.2">
      <c r="A639" s="3"/>
      <c r="C639" s="99"/>
      <c r="D639" s="5"/>
    </row>
    <row r="640" spans="1:4" ht="13.2">
      <c r="A640" s="3"/>
      <c r="C640" s="99"/>
      <c r="D640" s="5"/>
    </row>
    <row r="641" spans="1:4" ht="13.2">
      <c r="A641" s="3"/>
      <c r="C641" s="99"/>
      <c r="D641" s="5"/>
    </row>
    <row r="642" spans="1:4" ht="13.2">
      <c r="A642" s="3"/>
      <c r="C642" s="99"/>
      <c r="D642" s="5"/>
    </row>
    <row r="643" spans="1:4" ht="13.2">
      <c r="A643" s="3"/>
      <c r="C643" s="99"/>
      <c r="D643" s="5"/>
    </row>
    <row r="644" spans="1:4" ht="13.2">
      <c r="A644" s="3"/>
      <c r="C644" s="99"/>
      <c r="D644" s="5"/>
    </row>
    <row r="645" spans="1:4" ht="13.2">
      <c r="A645" s="3"/>
      <c r="C645" s="99"/>
      <c r="D645" s="5"/>
    </row>
    <row r="646" spans="1:4" ht="13.2">
      <c r="A646" s="3"/>
      <c r="C646" s="99"/>
      <c r="D646" s="5"/>
    </row>
    <row r="647" spans="1:4" ht="13.2">
      <c r="A647" s="3"/>
      <c r="C647" s="99"/>
      <c r="D647" s="5"/>
    </row>
    <row r="648" spans="1:4" ht="13.2">
      <c r="A648" s="3"/>
      <c r="C648" s="99"/>
      <c r="D648" s="5"/>
    </row>
    <row r="649" spans="1:4" ht="13.2">
      <c r="A649" s="3"/>
      <c r="C649" s="99"/>
      <c r="D649" s="5"/>
    </row>
    <row r="650" spans="1:4" ht="13.2">
      <c r="A650" s="3"/>
      <c r="C650" s="99"/>
      <c r="D650" s="5"/>
    </row>
    <row r="651" spans="1:4" ht="13.2">
      <c r="A651" s="3"/>
      <c r="C651" s="99"/>
      <c r="D651" s="5"/>
    </row>
    <row r="652" spans="1:4" ht="13.2">
      <c r="A652" s="3"/>
      <c r="C652" s="99"/>
      <c r="D652" s="5"/>
    </row>
    <row r="653" spans="1:4" ht="13.2">
      <c r="A653" s="3"/>
      <c r="C653" s="99"/>
      <c r="D653" s="5"/>
    </row>
    <row r="654" spans="1:4" ht="13.2">
      <c r="A654" s="3"/>
      <c r="C654" s="99"/>
      <c r="D654" s="5"/>
    </row>
    <row r="655" spans="1:4" ht="13.2">
      <c r="A655" s="3"/>
      <c r="C655" s="99"/>
      <c r="D655" s="5"/>
    </row>
    <row r="656" spans="1:4" ht="13.2">
      <c r="A656" s="3"/>
      <c r="C656" s="99"/>
      <c r="D656" s="5"/>
    </row>
    <row r="657" spans="1:4" ht="13.2">
      <c r="A657" s="3"/>
      <c r="C657" s="99"/>
      <c r="D657" s="5"/>
    </row>
    <row r="658" spans="1:4" ht="13.2">
      <c r="A658" s="3"/>
      <c r="C658" s="99"/>
      <c r="D658" s="5"/>
    </row>
    <row r="659" spans="1:4" ht="13.2">
      <c r="A659" s="3"/>
      <c r="C659" s="99"/>
      <c r="D659" s="5"/>
    </row>
    <row r="660" spans="1:4" ht="13.2">
      <c r="A660" s="3"/>
      <c r="C660" s="99"/>
      <c r="D660" s="5"/>
    </row>
    <row r="661" spans="1:4" ht="13.2">
      <c r="A661" s="3"/>
      <c r="C661" s="99"/>
      <c r="D661" s="5"/>
    </row>
    <row r="662" spans="1:4" ht="13.2">
      <c r="A662" s="3"/>
      <c r="C662" s="99"/>
      <c r="D662" s="5"/>
    </row>
    <row r="663" spans="1:4" ht="13.2">
      <c r="A663" s="3"/>
      <c r="C663" s="99"/>
      <c r="D663" s="5"/>
    </row>
    <row r="664" spans="1:4" ht="13.2">
      <c r="A664" s="3"/>
      <c r="C664" s="99"/>
      <c r="D664" s="5"/>
    </row>
    <row r="665" spans="1:4" ht="13.2">
      <c r="A665" s="3"/>
      <c r="C665" s="99"/>
      <c r="D665" s="5"/>
    </row>
    <row r="666" spans="1:4" ht="13.2">
      <c r="A666" s="3"/>
      <c r="C666" s="99"/>
      <c r="D666" s="5"/>
    </row>
    <row r="667" spans="1:4" ht="13.2">
      <c r="A667" s="3"/>
      <c r="C667" s="99"/>
      <c r="D667" s="5"/>
    </row>
    <row r="668" spans="1:4" ht="13.2">
      <c r="A668" s="3"/>
      <c r="C668" s="99"/>
      <c r="D668" s="5"/>
    </row>
    <row r="669" spans="1:4" ht="13.2">
      <c r="A669" s="3"/>
      <c r="C669" s="99"/>
      <c r="D669" s="5"/>
    </row>
    <row r="670" spans="1:4" ht="13.2">
      <c r="A670" s="3"/>
      <c r="C670" s="99"/>
      <c r="D670" s="5"/>
    </row>
    <row r="671" spans="1:4" ht="13.2">
      <c r="A671" s="3"/>
      <c r="C671" s="99"/>
      <c r="D671" s="5"/>
    </row>
    <row r="672" spans="1:4" ht="13.2">
      <c r="A672" s="3"/>
      <c r="C672" s="99"/>
      <c r="D672" s="5"/>
    </row>
    <row r="673" spans="1:4" ht="13.2">
      <c r="A673" s="3"/>
      <c r="C673" s="99"/>
      <c r="D673" s="5"/>
    </row>
    <row r="674" spans="1:4" ht="13.2">
      <c r="A674" s="3"/>
      <c r="C674" s="99"/>
      <c r="D674" s="5"/>
    </row>
    <row r="675" spans="1:4" ht="13.2">
      <c r="A675" s="3"/>
      <c r="C675" s="99"/>
      <c r="D675" s="5"/>
    </row>
    <row r="676" spans="1:4" ht="13.2">
      <c r="A676" s="3"/>
      <c r="C676" s="99"/>
      <c r="D676" s="5"/>
    </row>
    <row r="677" spans="1:4" ht="13.2">
      <c r="A677" s="3"/>
      <c r="C677" s="99"/>
      <c r="D677" s="5"/>
    </row>
    <row r="678" spans="1:4" ht="13.2">
      <c r="A678" s="3"/>
      <c r="C678" s="99"/>
      <c r="D678" s="5"/>
    </row>
    <row r="679" spans="1:4" ht="13.2">
      <c r="A679" s="3"/>
      <c r="C679" s="99"/>
      <c r="D679" s="5"/>
    </row>
    <row r="680" spans="1:4" ht="13.2">
      <c r="A680" s="3"/>
      <c r="C680" s="99"/>
      <c r="D680" s="5"/>
    </row>
    <row r="681" spans="1:4" ht="13.2">
      <c r="A681" s="3"/>
      <c r="C681" s="99"/>
      <c r="D681" s="5"/>
    </row>
    <row r="682" spans="1:4" ht="13.2">
      <c r="A682" s="3"/>
      <c r="C682" s="99"/>
      <c r="D682" s="5"/>
    </row>
    <row r="683" spans="1:4" ht="13.2">
      <c r="A683" s="3"/>
      <c r="C683" s="99"/>
      <c r="D683" s="5"/>
    </row>
    <row r="684" spans="1:4" ht="13.2">
      <c r="A684" s="3"/>
      <c r="C684" s="99"/>
      <c r="D684" s="5"/>
    </row>
    <row r="685" spans="1:4" ht="13.2">
      <c r="A685" s="3"/>
      <c r="C685" s="99"/>
      <c r="D685" s="5"/>
    </row>
    <row r="686" spans="1:4" ht="13.2">
      <c r="A686" s="3"/>
      <c r="C686" s="99"/>
      <c r="D686" s="5"/>
    </row>
    <row r="687" spans="1:4" ht="13.2">
      <c r="A687" s="3"/>
      <c r="C687" s="99"/>
      <c r="D687" s="5"/>
    </row>
    <row r="688" spans="1:4" ht="13.2">
      <c r="A688" s="3"/>
      <c r="C688" s="99"/>
      <c r="D688" s="5"/>
    </row>
    <row r="689" spans="1:4" ht="13.2">
      <c r="A689" s="3"/>
      <c r="C689" s="99"/>
      <c r="D689" s="5"/>
    </row>
    <row r="690" spans="1:4" ht="13.2">
      <c r="A690" s="3"/>
      <c r="C690" s="99"/>
      <c r="D690" s="5"/>
    </row>
    <row r="691" spans="1:4" ht="13.2">
      <c r="A691" s="3"/>
      <c r="C691" s="99"/>
      <c r="D691" s="5"/>
    </row>
    <row r="692" spans="1:4" ht="13.2">
      <c r="A692" s="3"/>
      <c r="C692" s="99"/>
      <c r="D692" s="5"/>
    </row>
    <row r="693" spans="1:4" ht="13.2">
      <c r="A693" s="3"/>
      <c r="C693" s="99"/>
      <c r="D693" s="5"/>
    </row>
    <row r="694" spans="1:4" ht="13.2">
      <c r="A694" s="3"/>
      <c r="C694" s="99"/>
      <c r="D694" s="5"/>
    </row>
    <row r="695" spans="1:4" ht="13.2">
      <c r="A695" s="3"/>
      <c r="C695" s="99"/>
      <c r="D695" s="5"/>
    </row>
    <row r="696" spans="1:4" ht="13.2">
      <c r="A696" s="3"/>
      <c r="C696" s="99"/>
      <c r="D696" s="5"/>
    </row>
    <row r="697" spans="1:4" ht="13.2">
      <c r="A697" s="3"/>
      <c r="C697" s="99"/>
      <c r="D697" s="5"/>
    </row>
    <row r="698" spans="1:4" ht="13.2">
      <c r="A698" s="3"/>
      <c r="C698" s="99"/>
      <c r="D698" s="5"/>
    </row>
    <row r="699" spans="1:4" ht="13.2">
      <c r="A699" s="3"/>
      <c r="C699" s="99"/>
      <c r="D699" s="5"/>
    </row>
    <row r="700" spans="1:4" ht="13.2">
      <c r="A700" s="3"/>
      <c r="C700" s="99"/>
      <c r="D700" s="5"/>
    </row>
    <row r="701" spans="1:4" ht="13.2">
      <c r="A701" s="3"/>
      <c r="C701" s="99"/>
      <c r="D701" s="5"/>
    </row>
    <row r="702" spans="1:4" ht="13.2">
      <c r="A702" s="3"/>
      <c r="C702" s="99"/>
      <c r="D702" s="5"/>
    </row>
    <row r="703" spans="1:4" ht="13.2">
      <c r="A703" s="3"/>
      <c r="C703" s="99"/>
      <c r="D703" s="5"/>
    </row>
    <row r="704" spans="1:4" ht="13.2">
      <c r="A704" s="3"/>
      <c r="C704" s="99"/>
      <c r="D704" s="5"/>
    </row>
    <row r="705" spans="1:4" ht="13.2">
      <c r="A705" s="3"/>
      <c r="C705" s="99"/>
      <c r="D705" s="5"/>
    </row>
    <row r="706" spans="1:4" ht="13.2">
      <c r="A706" s="3"/>
      <c r="C706" s="99"/>
      <c r="D706" s="5"/>
    </row>
    <row r="707" spans="1:4" ht="13.2">
      <c r="A707" s="3"/>
      <c r="C707" s="99"/>
      <c r="D707" s="5"/>
    </row>
    <row r="708" spans="1:4" ht="13.2">
      <c r="A708" s="3"/>
      <c r="C708" s="99"/>
      <c r="D708" s="5"/>
    </row>
    <row r="709" spans="1:4" ht="13.2">
      <c r="A709" s="3"/>
      <c r="C709" s="99"/>
      <c r="D709" s="5"/>
    </row>
    <row r="710" spans="1:4" ht="13.2">
      <c r="A710" s="3"/>
      <c r="C710" s="99"/>
      <c r="D710" s="5"/>
    </row>
    <row r="711" spans="1:4" ht="13.2">
      <c r="A711" s="3"/>
      <c r="C711" s="99"/>
      <c r="D711" s="5"/>
    </row>
    <row r="712" spans="1:4" ht="13.2">
      <c r="A712" s="3"/>
      <c r="C712" s="99"/>
      <c r="D712" s="5"/>
    </row>
    <row r="713" spans="1:4" ht="13.2">
      <c r="A713" s="3"/>
      <c r="C713" s="99"/>
      <c r="D713" s="5"/>
    </row>
    <row r="714" spans="1:4" ht="13.2">
      <c r="A714" s="3"/>
      <c r="C714" s="99"/>
      <c r="D714" s="5"/>
    </row>
    <row r="715" spans="1:4" ht="13.2">
      <c r="A715" s="3"/>
      <c r="C715" s="99"/>
      <c r="D715" s="5"/>
    </row>
    <row r="716" spans="1:4" ht="13.2">
      <c r="A716" s="3"/>
      <c r="C716" s="99"/>
      <c r="D716" s="5"/>
    </row>
    <row r="717" spans="1:4" ht="13.2">
      <c r="A717" s="3"/>
      <c r="C717" s="99"/>
      <c r="D717" s="5"/>
    </row>
    <row r="718" spans="1:4" ht="13.2">
      <c r="A718" s="3"/>
      <c r="C718" s="99"/>
      <c r="D718" s="5"/>
    </row>
    <row r="719" spans="1:4" ht="13.2">
      <c r="A719" s="3"/>
      <c r="C719" s="99"/>
      <c r="D719" s="5"/>
    </row>
    <row r="720" spans="1:4" ht="13.2">
      <c r="A720" s="3"/>
      <c r="C720" s="99"/>
      <c r="D720" s="5"/>
    </row>
    <row r="721" spans="1:4" ht="13.2">
      <c r="A721" s="3"/>
      <c r="C721" s="99"/>
      <c r="D721" s="5"/>
    </row>
    <row r="722" spans="1:4" ht="13.2">
      <c r="A722" s="3"/>
      <c r="C722" s="99"/>
      <c r="D722" s="5"/>
    </row>
    <row r="723" spans="1:4" ht="13.2">
      <c r="A723" s="3"/>
      <c r="C723" s="99"/>
      <c r="D723" s="5"/>
    </row>
    <row r="724" spans="1:4" ht="13.2">
      <c r="A724" s="3"/>
      <c r="C724" s="99"/>
      <c r="D724" s="5"/>
    </row>
    <row r="725" spans="1:4" ht="13.2">
      <c r="A725" s="3"/>
      <c r="C725" s="99"/>
      <c r="D725" s="5"/>
    </row>
    <row r="726" spans="1:4" ht="13.2">
      <c r="A726" s="3"/>
      <c r="C726" s="99"/>
      <c r="D726" s="5"/>
    </row>
    <row r="727" spans="1:4" ht="13.2">
      <c r="A727" s="3"/>
      <c r="C727" s="99"/>
      <c r="D727" s="5"/>
    </row>
    <row r="728" spans="1:4" ht="13.2">
      <c r="A728" s="3"/>
      <c r="C728" s="99"/>
      <c r="D728" s="5"/>
    </row>
    <row r="729" spans="1:4" ht="13.2">
      <c r="A729" s="3"/>
      <c r="C729" s="99"/>
      <c r="D729" s="5"/>
    </row>
    <row r="730" spans="1:4" ht="13.2">
      <c r="A730" s="3"/>
      <c r="C730" s="99"/>
      <c r="D730" s="5"/>
    </row>
    <row r="731" spans="1:4" ht="13.2">
      <c r="A731" s="3"/>
      <c r="C731" s="99"/>
      <c r="D731" s="5"/>
    </row>
    <row r="732" spans="1:4" ht="13.2">
      <c r="A732" s="3"/>
      <c r="C732" s="99"/>
      <c r="D732" s="5"/>
    </row>
    <row r="733" spans="1:4" ht="13.2">
      <c r="A733" s="3"/>
      <c r="C733" s="99"/>
      <c r="D733" s="5"/>
    </row>
    <row r="734" spans="1:4" ht="13.2">
      <c r="A734" s="3"/>
      <c r="C734" s="99"/>
      <c r="D734" s="5"/>
    </row>
    <row r="735" spans="1:4" ht="13.2">
      <c r="A735" s="3"/>
      <c r="C735" s="99"/>
      <c r="D735" s="5"/>
    </row>
    <row r="736" spans="1:4" ht="13.2">
      <c r="A736" s="3"/>
      <c r="C736" s="99"/>
      <c r="D736" s="5"/>
    </row>
    <row r="737" spans="1:4" ht="13.2">
      <c r="A737" s="3"/>
      <c r="C737" s="99"/>
      <c r="D737" s="5"/>
    </row>
    <row r="738" spans="1:4" ht="13.2">
      <c r="A738" s="3"/>
      <c r="C738" s="99"/>
      <c r="D738" s="5"/>
    </row>
    <row r="739" spans="1:4" ht="13.2">
      <c r="A739" s="3"/>
      <c r="C739" s="99"/>
      <c r="D739" s="5"/>
    </row>
    <row r="740" spans="1:4" ht="13.2">
      <c r="A740" s="3"/>
      <c r="C740" s="99"/>
      <c r="D740" s="5"/>
    </row>
    <row r="741" spans="1:4" ht="13.2">
      <c r="A741" s="3"/>
      <c r="C741" s="99"/>
      <c r="D741" s="5"/>
    </row>
    <row r="742" spans="1:4" ht="13.2">
      <c r="A742" s="3"/>
      <c r="C742" s="99"/>
      <c r="D742" s="5"/>
    </row>
    <row r="743" spans="1:4" ht="13.2">
      <c r="A743" s="3"/>
      <c r="C743" s="99"/>
      <c r="D743" s="5"/>
    </row>
    <row r="744" spans="1:4" ht="13.2">
      <c r="A744" s="3"/>
      <c r="C744" s="99"/>
      <c r="D744" s="5"/>
    </row>
    <row r="745" spans="1:4" ht="13.2">
      <c r="A745" s="3"/>
      <c r="C745" s="99"/>
      <c r="D745" s="5"/>
    </row>
    <row r="746" spans="1:4" ht="13.2">
      <c r="A746" s="3"/>
      <c r="C746" s="99"/>
      <c r="D746" s="5"/>
    </row>
    <row r="747" spans="1:4" ht="13.2">
      <c r="A747" s="3"/>
      <c r="C747" s="99"/>
      <c r="D747" s="5"/>
    </row>
    <row r="748" spans="1:4" ht="13.2">
      <c r="A748" s="3"/>
      <c r="C748" s="99"/>
      <c r="D748" s="5"/>
    </row>
    <row r="749" spans="1:4" ht="13.2">
      <c r="A749" s="3"/>
      <c r="C749" s="99"/>
      <c r="D749" s="5"/>
    </row>
    <row r="750" spans="1:4" ht="13.2">
      <c r="A750" s="3"/>
      <c r="C750" s="99"/>
      <c r="D750" s="5"/>
    </row>
    <row r="751" spans="1:4" ht="13.2">
      <c r="A751" s="3"/>
      <c r="C751" s="99"/>
      <c r="D751" s="5"/>
    </row>
    <row r="752" spans="1:4" ht="13.2">
      <c r="A752" s="3"/>
      <c r="C752" s="99"/>
      <c r="D752" s="5"/>
    </row>
    <row r="753" spans="1:4" ht="13.2">
      <c r="A753" s="3"/>
      <c r="C753" s="99"/>
      <c r="D753" s="5"/>
    </row>
    <row r="754" spans="1:4" ht="13.2">
      <c r="A754" s="3"/>
      <c r="C754" s="99"/>
      <c r="D754" s="5"/>
    </row>
    <row r="755" spans="1:4" ht="13.2">
      <c r="A755" s="3"/>
      <c r="C755" s="99"/>
      <c r="D755" s="5"/>
    </row>
    <row r="756" spans="1:4" ht="13.2">
      <c r="A756" s="3"/>
      <c r="C756" s="99"/>
      <c r="D756" s="5"/>
    </row>
    <row r="757" spans="1:4" ht="13.2">
      <c r="A757" s="3"/>
      <c r="C757" s="99"/>
      <c r="D757" s="5"/>
    </row>
    <row r="758" spans="1:4" ht="13.2">
      <c r="A758" s="3"/>
      <c r="C758" s="99"/>
      <c r="D758" s="5"/>
    </row>
    <row r="759" spans="1:4" ht="13.2">
      <c r="A759" s="3"/>
      <c r="C759" s="99"/>
      <c r="D759" s="5"/>
    </row>
    <row r="760" spans="1:4" ht="13.2">
      <c r="A760" s="3"/>
      <c r="C760" s="99"/>
      <c r="D760" s="5"/>
    </row>
    <row r="761" spans="1:4" ht="13.2">
      <c r="A761" s="3"/>
      <c r="C761" s="99"/>
      <c r="D761" s="5"/>
    </row>
    <row r="762" spans="1:4" ht="13.2">
      <c r="A762" s="3"/>
      <c r="C762" s="99"/>
      <c r="D762" s="5"/>
    </row>
    <row r="763" spans="1:4" ht="13.2">
      <c r="A763" s="3"/>
      <c r="C763" s="99"/>
      <c r="D763" s="5"/>
    </row>
    <row r="764" spans="1:4" ht="13.2">
      <c r="A764" s="3"/>
      <c r="C764" s="99"/>
      <c r="D764" s="5"/>
    </row>
    <row r="765" spans="1:4" ht="13.2">
      <c r="A765" s="3"/>
      <c r="C765" s="99"/>
      <c r="D765" s="5"/>
    </row>
    <row r="766" spans="1:4" ht="13.2">
      <c r="A766" s="3"/>
      <c r="C766" s="99"/>
      <c r="D766" s="5"/>
    </row>
    <row r="767" spans="1:4" ht="13.2">
      <c r="A767" s="3"/>
      <c r="C767" s="99"/>
      <c r="D767" s="5"/>
    </row>
    <row r="768" spans="1:4" ht="13.2">
      <c r="A768" s="3"/>
      <c r="C768" s="99"/>
      <c r="D768" s="5"/>
    </row>
    <row r="769" spans="1:4" ht="13.2">
      <c r="A769" s="3"/>
      <c r="C769" s="99"/>
      <c r="D769" s="5"/>
    </row>
    <row r="770" spans="1:4" ht="13.2">
      <c r="A770" s="3"/>
      <c r="C770" s="99"/>
      <c r="D770" s="5"/>
    </row>
    <row r="771" spans="1:4" ht="13.2">
      <c r="A771" s="3"/>
      <c r="C771" s="99"/>
      <c r="D771" s="5"/>
    </row>
    <row r="772" spans="1:4" ht="13.2">
      <c r="A772" s="3"/>
      <c r="C772" s="99"/>
      <c r="D772" s="5"/>
    </row>
    <row r="773" spans="1:4" ht="13.2">
      <c r="A773" s="3"/>
      <c r="C773" s="99"/>
      <c r="D773" s="5"/>
    </row>
    <row r="774" spans="1:4" ht="13.2">
      <c r="A774" s="3"/>
      <c r="C774" s="99"/>
      <c r="D774" s="5"/>
    </row>
    <row r="775" spans="1:4" ht="13.2">
      <c r="A775" s="3"/>
      <c r="C775" s="99"/>
      <c r="D775" s="5"/>
    </row>
    <row r="776" spans="1:4" ht="13.2">
      <c r="A776" s="3"/>
      <c r="C776" s="99"/>
      <c r="D776" s="5"/>
    </row>
    <row r="777" spans="1:4" ht="13.2">
      <c r="A777" s="3"/>
      <c r="C777" s="99"/>
      <c r="D777" s="5"/>
    </row>
    <row r="778" spans="1:4" ht="13.2">
      <c r="A778" s="3"/>
      <c r="C778" s="99"/>
      <c r="D778" s="5"/>
    </row>
    <row r="779" spans="1:4" ht="13.2">
      <c r="A779" s="3"/>
      <c r="C779" s="99"/>
      <c r="D779" s="5"/>
    </row>
    <row r="780" spans="1:4" ht="13.2">
      <c r="A780" s="3"/>
      <c r="C780" s="99"/>
      <c r="D780" s="5"/>
    </row>
    <row r="781" spans="1:4" ht="13.2">
      <c r="A781" s="3"/>
      <c r="C781" s="99"/>
      <c r="D781" s="5"/>
    </row>
    <row r="782" spans="1:4" ht="13.2">
      <c r="A782" s="3"/>
      <c r="C782" s="99"/>
      <c r="D782" s="5"/>
    </row>
    <row r="783" spans="1:4" ht="13.2">
      <c r="A783" s="3"/>
      <c r="C783" s="99"/>
      <c r="D783" s="5"/>
    </row>
    <row r="784" spans="1:4" ht="13.2">
      <c r="A784" s="3"/>
      <c r="C784" s="99"/>
      <c r="D784" s="5"/>
    </row>
    <row r="785" spans="1:4" ht="13.2">
      <c r="A785" s="3"/>
      <c r="C785" s="99"/>
      <c r="D785" s="5"/>
    </row>
    <row r="786" spans="1:4" ht="13.2">
      <c r="A786" s="3"/>
      <c r="C786" s="99"/>
      <c r="D786" s="5"/>
    </row>
    <row r="787" spans="1:4" ht="13.2">
      <c r="A787" s="3"/>
      <c r="C787" s="99"/>
      <c r="D787" s="5"/>
    </row>
    <row r="788" spans="1:4" ht="13.2">
      <c r="A788" s="3"/>
      <c r="C788" s="99"/>
      <c r="D788" s="5"/>
    </row>
    <row r="789" spans="1:4" ht="13.2">
      <c r="A789" s="3"/>
      <c r="C789" s="99"/>
      <c r="D789" s="5"/>
    </row>
    <row r="790" spans="1:4" ht="13.2">
      <c r="A790" s="3"/>
      <c r="C790" s="99"/>
      <c r="D790" s="5"/>
    </row>
    <row r="791" spans="1:4" ht="13.2">
      <c r="A791" s="3"/>
      <c r="C791" s="99"/>
      <c r="D791" s="5"/>
    </row>
    <row r="792" spans="1:4" ht="13.2">
      <c r="A792" s="3"/>
      <c r="C792" s="99"/>
      <c r="D792" s="5"/>
    </row>
    <row r="793" spans="1:4" ht="13.2">
      <c r="A793" s="3"/>
      <c r="C793" s="99"/>
      <c r="D793" s="5"/>
    </row>
    <row r="794" spans="1:4" ht="13.2">
      <c r="A794" s="3"/>
      <c r="C794" s="99"/>
      <c r="D794" s="5"/>
    </row>
    <row r="795" spans="1:4" ht="13.2">
      <c r="A795" s="3"/>
      <c r="C795" s="99"/>
      <c r="D795" s="5"/>
    </row>
    <row r="796" spans="1:4" ht="13.2">
      <c r="A796" s="3"/>
      <c r="C796" s="99"/>
      <c r="D796" s="5"/>
    </row>
    <row r="797" spans="1:4" ht="13.2">
      <c r="A797" s="3"/>
      <c r="C797" s="99"/>
      <c r="D797" s="5"/>
    </row>
    <row r="798" spans="1:4" ht="13.2">
      <c r="A798" s="3"/>
      <c r="C798" s="99"/>
      <c r="D798" s="5"/>
    </row>
    <row r="799" spans="1:4" ht="13.2">
      <c r="A799" s="3"/>
      <c r="C799" s="99"/>
      <c r="D799" s="5"/>
    </row>
    <row r="800" spans="1:4" ht="13.2">
      <c r="A800" s="3"/>
      <c r="C800" s="99"/>
      <c r="D800" s="5"/>
    </row>
    <row r="801" spans="1:4" ht="13.2">
      <c r="A801" s="3"/>
      <c r="C801" s="99"/>
      <c r="D801" s="5"/>
    </row>
    <row r="802" spans="1:4" ht="13.2">
      <c r="A802" s="3"/>
      <c r="C802" s="99"/>
      <c r="D802" s="5"/>
    </row>
    <row r="803" spans="1:4" ht="13.2">
      <c r="A803" s="3"/>
      <c r="C803" s="99"/>
      <c r="D803" s="5"/>
    </row>
    <row r="804" spans="1:4" ht="13.2">
      <c r="A804" s="3"/>
      <c r="C804" s="99"/>
      <c r="D804" s="5"/>
    </row>
    <row r="805" spans="1:4" ht="13.2">
      <c r="A805" s="3"/>
      <c r="C805" s="99"/>
      <c r="D805" s="5"/>
    </row>
    <row r="806" spans="1:4" ht="13.2">
      <c r="A806" s="3"/>
      <c r="C806" s="99"/>
      <c r="D806" s="5"/>
    </row>
    <row r="807" spans="1:4" ht="13.2">
      <c r="A807" s="3"/>
      <c r="C807" s="99"/>
      <c r="D807" s="5"/>
    </row>
    <row r="808" spans="1:4" ht="13.2">
      <c r="A808" s="3"/>
      <c r="C808" s="99"/>
      <c r="D808" s="5"/>
    </row>
    <row r="809" spans="1:4" ht="13.2">
      <c r="A809" s="3"/>
      <c r="C809" s="99"/>
      <c r="D809" s="5"/>
    </row>
    <row r="810" spans="1:4" ht="13.2">
      <c r="A810" s="3"/>
      <c r="C810" s="99"/>
      <c r="D810" s="5"/>
    </row>
    <row r="811" spans="1:4" ht="13.2">
      <c r="A811" s="3"/>
      <c r="C811" s="99"/>
      <c r="D811" s="5"/>
    </row>
    <row r="812" spans="1:4" ht="13.2">
      <c r="A812" s="3"/>
      <c r="C812" s="99"/>
      <c r="D812" s="5"/>
    </row>
    <row r="813" spans="1:4" ht="13.2">
      <c r="A813" s="3"/>
      <c r="C813" s="99"/>
      <c r="D813" s="5"/>
    </row>
    <row r="814" spans="1:4" ht="13.2">
      <c r="A814" s="3"/>
      <c r="C814" s="99"/>
      <c r="D814" s="5"/>
    </row>
    <row r="815" spans="1:4" ht="13.2">
      <c r="A815" s="3"/>
      <c r="C815" s="99"/>
      <c r="D815" s="5"/>
    </row>
    <row r="816" spans="1:4" ht="13.2">
      <c r="A816" s="3"/>
      <c r="C816" s="99"/>
      <c r="D816" s="5"/>
    </row>
    <row r="817" spans="1:4" ht="13.2">
      <c r="A817" s="3"/>
      <c r="C817" s="99"/>
      <c r="D817" s="5"/>
    </row>
    <row r="818" spans="1:4" ht="13.2">
      <c r="A818" s="3"/>
      <c r="C818" s="99"/>
      <c r="D818" s="5"/>
    </row>
    <row r="819" spans="1:4" ht="13.2">
      <c r="A819" s="3"/>
      <c r="C819" s="99"/>
      <c r="D819" s="5"/>
    </row>
    <row r="820" spans="1:4" ht="13.2">
      <c r="A820" s="3"/>
      <c r="C820" s="99"/>
      <c r="D820" s="5"/>
    </row>
    <row r="821" spans="1:4" ht="13.2">
      <c r="A821" s="3"/>
      <c r="C821" s="99"/>
      <c r="D821" s="5"/>
    </row>
    <row r="822" spans="1:4" ht="13.2">
      <c r="A822" s="3"/>
      <c r="C822" s="99"/>
      <c r="D822" s="5"/>
    </row>
    <row r="823" spans="1:4" ht="13.2">
      <c r="A823" s="3"/>
      <c r="C823" s="99"/>
      <c r="D823" s="5"/>
    </row>
    <row r="824" spans="1:4" ht="13.2">
      <c r="A824" s="3"/>
      <c r="C824" s="99"/>
      <c r="D824" s="5"/>
    </row>
    <row r="825" spans="1:4" ht="13.2">
      <c r="A825" s="3"/>
      <c r="C825" s="99"/>
      <c r="D825" s="5"/>
    </row>
    <row r="826" spans="1:4" ht="13.2">
      <c r="A826" s="3"/>
      <c r="C826" s="99"/>
      <c r="D826" s="5"/>
    </row>
    <row r="827" spans="1:4" ht="13.2">
      <c r="A827" s="3"/>
      <c r="C827" s="99"/>
      <c r="D827" s="5"/>
    </row>
    <row r="828" spans="1:4" ht="13.2">
      <c r="A828" s="3"/>
      <c r="C828" s="99"/>
      <c r="D828" s="5"/>
    </row>
    <row r="829" spans="1:4" ht="13.2">
      <c r="A829" s="3"/>
      <c r="C829" s="99"/>
      <c r="D829" s="5"/>
    </row>
    <row r="830" spans="1:4" ht="13.2">
      <c r="A830" s="3"/>
      <c r="C830" s="99"/>
      <c r="D830" s="5"/>
    </row>
    <row r="831" spans="1:4" ht="13.2">
      <c r="A831" s="3"/>
      <c r="C831" s="99"/>
      <c r="D831" s="5"/>
    </row>
    <row r="832" spans="1:4" ht="13.2">
      <c r="A832" s="3"/>
      <c r="C832" s="99"/>
      <c r="D832" s="5"/>
    </row>
    <row r="833" spans="1:4" ht="13.2">
      <c r="A833" s="3"/>
      <c r="C833" s="99"/>
      <c r="D833" s="5"/>
    </row>
    <row r="834" spans="1:4" ht="13.2">
      <c r="A834" s="3"/>
      <c r="C834" s="99"/>
      <c r="D834" s="5"/>
    </row>
    <row r="835" spans="1:4" ht="13.2">
      <c r="A835" s="3"/>
      <c r="C835" s="99"/>
      <c r="D835" s="5"/>
    </row>
    <row r="836" spans="1:4" ht="13.2">
      <c r="A836" s="3"/>
      <c r="C836" s="99"/>
      <c r="D836" s="5"/>
    </row>
    <row r="837" spans="1:4" ht="13.2">
      <c r="A837" s="3"/>
      <c r="C837" s="99"/>
      <c r="D837" s="5"/>
    </row>
    <row r="838" spans="1:4" ht="13.2">
      <c r="A838" s="3"/>
      <c r="C838" s="99"/>
      <c r="D838" s="5"/>
    </row>
    <row r="839" spans="1:4" ht="13.2">
      <c r="A839" s="3"/>
      <c r="C839" s="99"/>
      <c r="D839" s="5"/>
    </row>
    <row r="840" spans="1:4" ht="13.2">
      <c r="A840" s="3"/>
      <c r="C840" s="99"/>
      <c r="D840" s="5"/>
    </row>
    <row r="841" spans="1:4" ht="13.2">
      <c r="A841" s="3"/>
      <c r="C841" s="99"/>
      <c r="D841" s="5"/>
    </row>
    <row r="842" spans="1:4" ht="13.2">
      <c r="A842" s="3"/>
      <c r="C842" s="99"/>
      <c r="D842" s="5"/>
    </row>
    <row r="843" spans="1:4" ht="13.2">
      <c r="A843" s="3"/>
      <c r="C843" s="99"/>
      <c r="D843" s="5"/>
    </row>
    <row r="844" spans="1:4" ht="13.2">
      <c r="A844" s="3"/>
      <c r="C844" s="99"/>
      <c r="D844" s="5"/>
    </row>
    <row r="845" spans="1:4" ht="13.2">
      <c r="A845" s="3"/>
      <c r="C845" s="99"/>
      <c r="D845" s="5"/>
    </row>
    <row r="846" spans="1:4" ht="13.2">
      <c r="A846" s="3"/>
      <c r="C846" s="99"/>
      <c r="D846" s="5"/>
    </row>
    <row r="847" spans="1:4" ht="13.2">
      <c r="A847" s="3"/>
      <c r="C847" s="99"/>
      <c r="D847" s="5"/>
    </row>
    <row r="848" spans="1:4" ht="13.2">
      <c r="A848" s="3"/>
      <c r="C848" s="99"/>
      <c r="D848" s="5"/>
    </row>
    <row r="849" spans="1:4" ht="13.2">
      <c r="A849" s="3"/>
      <c r="C849" s="99"/>
      <c r="D849" s="5"/>
    </row>
    <row r="850" spans="1:4" ht="13.2">
      <c r="A850" s="3"/>
      <c r="C850" s="99"/>
      <c r="D850" s="5"/>
    </row>
    <row r="851" spans="1:4" ht="13.2">
      <c r="A851" s="3"/>
      <c r="C851" s="99"/>
      <c r="D851" s="5"/>
    </row>
    <row r="852" spans="1:4" ht="13.2">
      <c r="A852" s="3"/>
      <c r="C852" s="99"/>
      <c r="D852" s="5"/>
    </row>
    <row r="853" spans="1:4" ht="13.2">
      <c r="A853" s="3"/>
      <c r="C853" s="99"/>
      <c r="D853" s="5"/>
    </row>
    <row r="854" spans="1:4" ht="13.2">
      <c r="A854" s="3"/>
      <c r="C854" s="99"/>
      <c r="D854" s="5"/>
    </row>
    <row r="855" spans="1:4" ht="13.2">
      <c r="A855" s="3"/>
      <c r="C855" s="99"/>
      <c r="D855" s="5"/>
    </row>
    <row r="856" spans="1:4" ht="13.2">
      <c r="A856" s="3"/>
      <c r="C856" s="99"/>
      <c r="D856" s="5"/>
    </row>
    <row r="857" spans="1:4" ht="13.2">
      <c r="A857" s="3"/>
      <c r="C857" s="99"/>
      <c r="D857" s="5"/>
    </row>
    <row r="858" spans="1:4" ht="13.2">
      <c r="A858" s="3"/>
      <c r="C858" s="99"/>
      <c r="D858" s="5"/>
    </row>
    <row r="859" spans="1:4" ht="13.2">
      <c r="A859" s="3"/>
      <c r="C859" s="99"/>
      <c r="D859" s="5"/>
    </row>
    <row r="860" spans="1:4" ht="13.2">
      <c r="A860" s="3"/>
      <c r="C860" s="99"/>
      <c r="D860" s="5"/>
    </row>
    <row r="861" spans="1:4" ht="13.2">
      <c r="A861" s="3"/>
      <c r="C861" s="99"/>
      <c r="D861" s="5"/>
    </row>
    <row r="862" spans="1:4" ht="13.2">
      <c r="A862" s="3"/>
      <c r="C862" s="99"/>
      <c r="D862" s="5"/>
    </row>
    <row r="863" spans="1:4" ht="13.2">
      <c r="A863" s="3"/>
      <c r="C863" s="99"/>
      <c r="D863" s="5"/>
    </row>
    <row r="864" spans="1:4" ht="13.2">
      <c r="A864" s="3"/>
      <c r="C864" s="99"/>
      <c r="D864" s="5"/>
    </row>
    <row r="865" spans="1:4" ht="13.2">
      <c r="A865" s="3"/>
      <c r="C865" s="99"/>
      <c r="D865" s="5"/>
    </row>
    <row r="866" spans="1:4" ht="13.2">
      <c r="A866" s="3"/>
      <c r="C866" s="99"/>
      <c r="D866" s="5"/>
    </row>
    <row r="867" spans="1:4" ht="13.2">
      <c r="A867" s="3"/>
      <c r="C867" s="99"/>
      <c r="D867" s="5"/>
    </row>
    <row r="868" spans="1:4" ht="13.2">
      <c r="A868" s="3"/>
      <c r="C868" s="99"/>
      <c r="D868" s="5"/>
    </row>
    <row r="869" spans="1:4" ht="13.2">
      <c r="A869" s="3"/>
      <c r="C869" s="99"/>
      <c r="D869" s="5"/>
    </row>
    <row r="870" spans="1:4" ht="13.2">
      <c r="A870" s="3"/>
      <c r="C870" s="99"/>
      <c r="D870" s="5"/>
    </row>
    <row r="871" spans="1:4" ht="13.2">
      <c r="A871" s="3"/>
      <c r="C871" s="99"/>
      <c r="D871" s="5"/>
    </row>
    <row r="872" spans="1:4" ht="13.2">
      <c r="A872" s="3"/>
      <c r="C872" s="99"/>
      <c r="D872" s="5"/>
    </row>
    <row r="873" spans="1:4" ht="13.2">
      <c r="A873" s="3"/>
      <c r="C873" s="99"/>
      <c r="D873" s="5"/>
    </row>
    <row r="874" spans="1:4" ht="13.2">
      <c r="A874" s="3"/>
      <c r="C874" s="99"/>
      <c r="D874" s="5"/>
    </row>
    <row r="875" spans="1:4" ht="13.2">
      <c r="A875" s="3"/>
      <c r="C875" s="99"/>
      <c r="D875" s="5"/>
    </row>
    <row r="876" spans="1:4" ht="13.2">
      <c r="A876" s="3"/>
      <c r="C876" s="99"/>
      <c r="D876" s="5"/>
    </row>
    <row r="877" spans="1:4" ht="13.2">
      <c r="A877" s="3"/>
      <c r="C877" s="99"/>
      <c r="D877" s="5"/>
    </row>
    <row r="878" spans="1:4" ht="13.2">
      <c r="A878" s="3"/>
      <c r="C878" s="99"/>
      <c r="D878" s="5"/>
    </row>
    <row r="879" spans="1:4" ht="13.2">
      <c r="A879" s="3"/>
      <c r="C879" s="99"/>
      <c r="D879" s="5"/>
    </row>
    <row r="880" spans="1:4" ht="13.2">
      <c r="A880" s="3"/>
      <c r="C880" s="99"/>
      <c r="D880" s="5"/>
    </row>
    <row r="881" spans="1:4" ht="13.2">
      <c r="A881" s="3"/>
      <c r="C881" s="99"/>
      <c r="D881" s="5"/>
    </row>
    <row r="882" spans="1:4" ht="13.2">
      <c r="A882" s="3"/>
      <c r="C882" s="99"/>
      <c r="D882" s="5"/>
    </row>
    <row r="883" spans="1:4" ht="13.2">
      <c r="A883" s="3"/>
      <c r="C883" s="99"/>
      <c r="D883" s="5"/>
    </row>
    <row r="884" spans="1:4" ht="13.2">
      <c r="A884" s="3"/>
      <c r="C884" s="99"/>
      <c r="D884" s="5"/>
    </row>
    <row r="885" spans="1:4" ht="13.2">
      <c r="A885" s="3"/>
      <c r="C885" s="99"/>
      <c r="D885" s="5"/>
    </row>
    <row r="886" spans="1:4" ht="13.2">
      <c r="A886" s="3"/>
      <c r="C886" s="99"/>
      <c r="D886" s="5"/>
    </row>
    <row r="887" spans="1:4" ht="13.2">
      <c r="A887" s="3"/>
      <c r="C887" s="99"/>
      <c r="D887" s="5"/>
    </row>
    <row r="888" spans="1:4" ht="13.2">
      <c r="A888" s="3"/>
      <c r="C888" s="99"/>
      <c r="D888" s="5"/>
    </row>
    <row r="889" spans="1:4" ht="13.2">
      <c r="A889" s="3"/>
      <c r="C889" s="99"/>
      <c r="D889" s="5"/>
    </row>
    <row r="890" spans="1:4" ht="13.2">
      <c r="A890" s="3"/>
      <c r="C890" s="99"/>
      <c r="D890" s="5"/>
    </row>
    <row r="891" spans="1:4" ht="13.2">
      <c r="A891" s="3"/>
      <c r="C891" s="99"/>
      <c r="D891" s="5"/>
    </row>
    <row r="892" spans="1:4" ht="13.2">
      <c r="A892" s="3"/>
      <c r="C892" s="99"/>
      <c r="D892" s="5"/>
    </row>
    <row r="893" spans="1:4" ht="13.2">
      <c r="A893" s="3"/>
      <c r="C893" s="99"/>
      <c r="D893" s="5"/>
    </row>
    <row r="894" spans="1:4" ht="13.2">
      <c r="A894" s="3"/>
      <c r="C894" s="99"/>
      <c r="D894" s="5"/>
    </row>
    <row r="895" spans="1:4" ht="13.2">
      <c r="A895" s="3"/>
      <c r="C895" s="99"/>
      <c r="D895" s="5"/>
    </row>
    <row r="896" spans="1:4" ht="13.2">
      <c r="A896" s="3"/>
      <c r="C896" s="99"/>
      <c r="D896" s="5"/>
    </row>
    <row r="897" spans="1:4" ht="13.2">
      <c r="A897" s="3"/>
      <c r="C897" s="99"/>
      <c r="D897" s="5"/>
    </row>
    <row r="898" spans="1:4" ht="13.2">
      <c r="A898" s="3"/>
      <c r="C898" s="99"/>
      <c r="D898" s="5"/>
    </row>
    <row r="899" spans="1:4" ht="13.2">
      <c r="A899" s="3"/>
      <c r="C899" s="99"/>
      <c r="D899" s="5"/>
    </row>
    <row r="900" spans="1:4" ht="13.2">
      <c r="A900" s="3"/>
      <c r="C900" s="99"/>
      <c r="D900" s="5"/>
    </row>
    <row r="901" spans="1:4" ht="13.2">
      <c r="A901" s="3"/>
      <c r="C901" s="99"/>
      <c r="D901" s="5"/>
    </row>
    <row r="902" spans="1:4" ht="13.2">
      <c r="A902" s="3"/>
      <c r="C902" s="99"/>
      <c r="D902" s="5"/>
    </row>
    <row r="903" spans="1:4" ht="13.2">
      <c r="A903" s="3"/>
      <c r="C903" s="99"/>
      <c r="D903" s="5"/>
    </row>
    <row r="904" spans="1:4" ht="13.2">
      <c r="A904" s="3"/>
      <c r="C904" s="99"/>
      <c r="D904" s="5"/>
    </row>
    <row r="905" spans="1:4" ht="13.2">
      <c r="A905" s="3"/>
      <c r="C905" s="99"/>
      <c r="D905" s="5"/>
    </row>
    <row r="906" spans="1:4" ht="13.2">
      <c r="A906" s="3"/>
      <c r="C906" s="99"/>
      <c r="D906" s="5"/>
    </row>
    <row r="907" spans="1:4" ht="13.2">
      <c r="A907" s="3"/>
      <c r="C907" s="99"/>
      <c r="D907" s="5"/>
    </row>
    <row r="908" spans="1:4" ht="13.2">
      <c r="A908" s="3"/>
      <c r="C908" s="99"/>
      <c r="D908" s="5"/>
    </row>
    <row r="909" spans="1:4" ht="13.2">
      <c r="A909" s="3"/>
      <c r="C909" s="99"/>
      <c r="D909" s="5"/>
    </row>
    <row r="910" spans="1:4" ht="13.2">
      <c r="A910" s="3"/>
      <c r="C910" s="99"/>
      <c r="D910" s="5"/>
    </row>
    <row r="911" spans="1:4" ht="13.2">
      <c r="A911" s="3"/>
      <c r="C911" s="99"/>
      <c r="D911" s="5"/>
    </row>
    <row r="912" spans="1:4" ht="13.2">
      <c r="A912" s="3"/>
      <c r="C912" s="99"/>
      <c r="D912" s="5"/>
    </row>
    <row r="913" spans="1:4" ht="13.2">
      <c r="A913" s="3"/>
      <c r="C913" s="99"/>
      <c r="D913" s="5"/>
    </row>
    <row r="914" spans="1:4" ht="13.2">
      <c r="A914" s="3"/>
      <c r="C914" s="99"/>
      <c r="D914" s="5"/>
    </row>
    <row r="915" spans="1:4" ht="13.2">
      <c r="A915" s="3"/>
      <c r="C915" s="99"/>
      <c r="D915" s="5"/>
    </row>
    <row r="916" spans="1:4" ht="13.2">
      <c r="A916" s="3"/>
      <c r="C916" s="99"/>
      <c r="D916" s="5"/>
    </row>
    <row r="917" spans="1:4" ht="13.2">
      <c r="A917" s="3"/>
      <c r="C917" s="99"/>
      <c r="D917" s="5"/>
    </row>
    <row r="918" spans="1:4" ht="13.2">
      <c r="A918" s="3"/>
      <c r="C918" s="99"/>
      <c r="D918" s="5"/>
    </row>
    <row r="919" spans="1:4" ht="13.2">
      <c r="A919" s="3"/>
      <c r="C919" s="99"/>
      <c r="D919" s="5"/>
    </row>
    <row r="920" spans="1:4" ht="13.2">
      <c r="A920" s="3"/>
      <c r="C920" s="99"/>
      <c r="D920" s="5"/>
    </row>
    <row r="921" spans="1:4" ht="13.2">
      <c r="A921" s="3"/>
      <c r="C921" s="99"/>
      <c r="D921" s="5"/>
    </row>
    <row r="922" spans="1:4" ht="13.2">
      <c r="A922" s="3"/>
      <c r="C922" s="99"/>
      <c r="D922" s="5"/>
    </row>
    <row r="923" spans="1:4" ht="13.2">
      <c r="A923" s="3"/>
      <c r="C923" s="99"/>
      <c r="D923" s="5"/>
    </row>
    <row r="924" spans="1:4" ht="13.2">
      <c r="A924" s="3"/>
      <c r="C924" s="99"/>
      <c r="D924" s="5"/>
    </row>
    <row r="925" spans="1:4" ht="13.2">
      <c r="A925" s="3"/>
      <c r="C925" s="99"/>
      <c r="D925" s="5"/>
    </row>
    <row r="926" spans="1:4" ht="13.2">
      <c r="A926" s="3"/>
      <c r="C926" s="99"/>
      <c r="D926" s="5"/>
    </row>
    <row r="927" spans="1:4" ht="13.2">
      <c r="A927" s="3"/>
      <c r="C927" s="99"/>
      <c r="D927" s="5"/>
    </row>
    <row r="928" spans="1:4" ht="13.2">
      <c r="A928" s="3"/>
      <c r="C928" s="99"/>
      <c r="D928" s="5"/>
    </row>
    <row r="929" spans="1:4" ht="13.2">
      <c r="A929" s="3"/>
      <c r="C929" s="99"/>
      <c r="D929" s="5"/>
    </row>
    <row r="930" spans="1:4" ht="13.2">
      <c r="A930" s="3"/>
      <c r="C930" s="99"/>
      <c r="D930" s="5"/>
    </row>
    <row r="931" spans="1:4" ht="13.2">
      <c r="A931" s="3"/>
      <c r="C931" s="99"/>
      <c r="D931" s="5"/>
    </row>
    <row r="932" spans="1:4" ht="13.2">
      <c r="A932" s="3"/>
      <c r="C932" s="99"/>
      <c r="D932" s="5"/>
    </row>
    <row r="933" spans="1:4" ht="13.2">
      <c r="A933" s="3"/>
      <c r="C933" s="99"/>
      <c r="D933" s="5"/>
    </row>
    <row r="934" spans="1:4" ht="13.2">
      <c r="A934" s="3"/>
      <c r="C934" s="99"/>
      <c r="D934" s="5"/>
    </row>
    <row r="935" spans="1:4" ht="13.2">
      <c r="A935" s="3"/>
      <c r="C935" s="99"/>
      <c r="D935" s="5"/>
    </row>
    <row r="936" spans="1:4" ht="13.2">
      <c r="A936" s="3"/>
      <c r="C936" s="99"/>
      <c r="D936" s="5"/>
    </row>
    <row r="937" spans="1:4" ht="13.2">
      <c r="A937" s="3"/>
      <c r="C937" s="99"/>
      <c r="D937" s="5"/>
    </row>
    <row r="938" spans="1:4" ht="13.2">
      <c r="A938" s="3"/>
      <c r="C938" s="99"/>
      <c r="D938" s="5"/>
    </row>
    <row r="939" spans="1:4" ht="13.2">
      <c r="A939" s="3"/>
      <c r="C939" s="99"/>
      <c r="D939" s="5"/>
    </row>
    <row r="940" spans="1:4" ht="13.2">
      <c r="A940" s="3"/>
      <c r="C940" s="99"/>
      <c r="D940" s="5"/>
    </row>
    <row r="941" spans="1:4" ht="13.2">
      <c r="A941" s="3"/>
      <c r="C941" s="99"/>
      <c r="D941" s="5"/>
    </row>
    <row r="942" spans="1:4" ht="13.2">
      <c r="A942" s="3"/>
      <c r="C942" s="99"/>
      <c r="D942" s="5"/>
    </row>
    <row r="943" spans="1:4" ht="13.2">
      <c r="A943" s="3"/>
      <c r="C943" s="99"/>
      <c r="D943" s="5"/>
    </row>
    <row r="944" spans="1:4" ht="13.2">
      <c r="A944" s="3"/>
      <c r="C944" s="99"/>
      <c r="D944" s="5"/>
    </row>
    <row r="945" spans="1:4" ht="13.2">
      <c r="A945" s="3"/>
      <c r="C945" s="99"/>
      <c r="D945" s="5"/>
    </row>
    <row r="946" spans="1:4" ht="13.2">
      <c r="A946" s="3"/>
      <c r="C946" s="99"/>
      <c r="D946" s="5"/>
    </row>
    <row r="947" spans="1:4" ht="13.2">
      <c r="A947" s="3"/>
      <c r="C947" s="99"/>
      <c r="D947" s="5"/>
    </row>
    <row r="948" spans="1:4" ht="13.2">
      <c r="A948" s="3"/>
      <c r="C948" s="99"/>
      <c r="D948" s="5"/>
    </row>
    <row r="949" spans="1:4" ht="13.2">
      <c r="A949" s="3"/>
      <c r="C949" s="99"/>
      <c r="D949" s="5"/>
    </row>
    <row r="950" spans="1:4" ht="13.2">
      <c r="A950" s="3"/>
      <c r="C950" s="99"/>
      <c r="D950" s="5"/>
    </row>
    <row r="951" spans="1:4" ht="13.2">
      <c r="A951" s="3"/>
      <c r="C951" s="99"/>
      <c r="D951" s="5"/>
    </row>
    <row r="952" spans="1:4" ht="13.2">
      <c r="A952" s="3"/>
      <c r="C952" s="99"/>
      <c r="D952" s="5"/>
    </row>
    <row r="953" spans="1:4" ht="13.2">
      <c r="A953" s="3"/>
      <c r="C953" s="99"/>
      <c r="D953" s="5"/>
    </row>
    <row r="954" spans="1:4" ht="13.2">
      <c r="A954" s="3"/>
      <c r="C954" s="99"/>
      <c r="D954" s="5"/>
    </row>
    <row r="955" spans="1:4" ht="13.2">
      <c r="A955" s="3"/>
      <c r="C955" s="99"/>
      <c r="D955" s="5"/>
    </row>
    <row r="956" spans="1:4" ht="13.2">
      <c r="A956" s="3"/>
      <c r="C956" s="99"/>
      <c r="D956" s="5"/>
    </row>
    <row r="957" spans="1:4" ht="13.2">
      <c r="A957" s="3"/>
      <c r="C957" s="99"/>
      <c r="D957" s="5"/>
    </row>
    <row r="958" spans="1:4" ht="13.2">
      <c r="A958" s="3"/>
      <c r="C958" s="99"/>
      <c r="D958" s="5"/>
    </row>
    <row r="959" spans="1:4" ht="13.2">
      <c r="A959" s="3"/>
      <c r="C959" s="99"/>
      <c r="D959" s="5"/>
    </row>
    <row r="960" spans="1:4" ht="13.2">
      <c r="A960" s="3"/>
      <c r="C960" s="99"/>
      <c r="D960" s="5"/>
    </row>
    <row r="961" spans="1:4" ht="13.2">
      <c r="A961" s="3"/>
      <c r="C961" s="99"/>
      <c r="D961" s="5"/>
    </row>
    <row r="962" spans="1:4" ht="13.2">
      <c r="A962" s="3"/>
      <c r="C962" s="99"/>
      <c r="D962" s="5"/>
    </row>
    <row r="963" spans="1:4" ht="13.2">
      <c r="A963" s="3"/>
      <c r="C963" s="99"/>
      <c r="D963" s="5"/>
    </row>
    <row r="964" spans="1:4" ht="13.2">
      <c r="A964" s="3"/>
      <c r="C964" s="99"/>
      <c r="D964" s="5"/>
    </row>
    <row r="965" spans="1:4" ht="13.2">
      <c r="A965" s="3"/>
      <c r="C965" s="99"/>
      <c r="D965" s="5"/>
    </row>
    <row r="966" spans="1:4" ht="13.2">
      <c r="A966" s="3"/>
      <c r="C966" s="99"/>
      <c r="D966" s="5"/>
    </row>
    <row r="967" spans="1:4" ht="13.2">
      <c r="A967" s="3"/>
      <c r="C967" s="99"/>
      <c r="D967" s="5"/>
    </row>
    <row r="968" spans="1:4" ht="13.2">
      <c r="A968" s="3"/>
      <c r="C968" s="99"/>
      <c r="D968" s="5"/>
    </row>
    <row r="969" spans="1:4" ht="13.2">
      <c r="A969" s="3"/>
      <c r="C969" s="99"/>
      <c r="D969" s="5"/>
    </row>
    <row r="970" spans="1:4" ht="13.2">
      <c r="A970" s="3"/>
      <c r="C970" s="99"/>
      <c r="D970" s="5"/>
    </row>
    <row r="971" spans="1:4" ht="13.2">
      <c r="A971" s="3"/>
      <c r="C971" s="99"/>
      <c r="D971" s="5"/>
    </row>
    <row r="972" spans="1:4" ht="13.2">
      <c r="A972" s="3"/>
      <c r="C972" s="99"/>
      <c r="D972" s="5"/>
    </row>
    <row r="973" spans="1:4" ht="13.2">
      <c r="A973" s="3"/>
      <c r="C973" s="99"/>
      <c r="D973" s="5"/>
    </row>
    <row r="974" spans="1:4" ht="13.2">
      <c r="A974" s="3"/>
      <c r="C974" s="99"/>
      <c r="D974" s="5"/>
    </row>
    <row r="975" spans="1:4" ht="13.2">
      <c r="A975" s="3"/>
      <c r="C975" s="99"/>
      <c r="D975" s="5"/>
    </row>
    <row r="976" spans="1:4" ht="13.2">
      <c r="A976" s="3"/>
      <c r="C976" s="99"/>
      <c r="D976" s="5"/>
    </row>
    <row r="977" spans="1:4" ht="13.2">
      <c r="A977" s="3"/>
      <c r="C977" s="99"/>
      <c r="D977" s="5"/>
    </row>
    <row r="978" spans="1:4" ht="13.2">
      <c r="A978" s="3"/>
      <c r="C978" s="99"/>
      <c r="D978" s="5"/>
    </row>
    <row r="979" spans="1:4" ht="13.2">
      <c r="A979" s="3"/>
      <c r="C979" s="99"/>
      <c r="D979" s="5"/>
    </row>
    <row r="980" spans="1:4" ht="13.2">
      <c r="A980" s="3"/>
      <c r="C980" s="99"/>
      <c r="D980" s="5"/>
    </row>
    <row r="981" spans="1:4" ht="13.2">
      <c r="A981" s="3"/>
      <c r="C981" s="99"/>
      <c r="D981" s="5"/>
    </row>
    <row r="982" spans="1:4" ht="13.2">
      <c r="A982" s="3"/>
      <c r="C982" s="99"/>
      <c r="D982" s="5"/>
    </row>
    <row r="983" spans="1:4" ht="13.2">
      <c r="A983" s="3"/>
      <c r="C983" s="99"/>
      <c r="D983" s="5"/>
    </row>
    <row r="984" spans="1:4" ht="13.2">
      <c r="A984" s="3"/>
      <c r="C984" s="99"/>
      <c r="D984" s="5"/>
    </row>
    <row r="985" spans="1:4" ht="13.2">
      <c r="A985" s="3"/>
      <c r="C985" s="99"/>
      <c r="D985" s="5"/>
    </row>
    <row r="986" spans="1:4" ht="13.2">
      <c r="A986" s="3"/>
      <c r="C986" s="99"/>
      <c r="D986" s="5"/>
    </row>
    <row r="987" spans="1:4" ht="13.2">
      <c r="A987" s="3"/>
      <c r="C987" s="99"/>
      <c r="D987" s="5"/>
    </row>
    <row r="988" spans="1:4" ht="13.2">
      <c r="A988" s="3"/>
      <c r="C988" s="99"/>
      <c r="D988" s="5"/>
    </row>
    <row r="989" spans="1:4" ht="13.2">
      <c r="A989" s="3"/>
      <c r="C989" s="99"/>
      <c r="D989" s="5"/>
    </row>
    <row r="990" spans="1:4" ht="13.2">
      <c r="A990" s="3"/>
      <c r="C990" s="99"/>
      <c r="D990" s="5"/>
    </row>
    <row r="991" spans="1:4" ht="13.2">
      <c r="A991" s="3"/>
      <c r="C991" s="99"/>
      <c r="D991" s="5"/>
    </row>
    <row r="992" spans="1:4" ht="13.2">
      <c r="A992" s="3"/>
      <c r="C992" s="99"/>
      <c r="D992" s="5"/>
    </row>
    <row r="993" spans="1:4" ht="13.2">
      <c r="A993" s="3"/>
      <c r="C993" s="99"/>
      <c r="D993" s="5"/>
    </row>
    <row r="994" spans="1:4" ht="13.2">
      <c r="A994" s="3"/>
      <c r="C994" s="99"/>
      <c r="D994" s="5"/>
    </row>
    <row r="995" spans="1:4" ht="13.2">
      <c r="A995" s="3"/>
      <c r="C995" s="99"/>
      <c r="D995" s="5"/>
    </row>
    <row r="996" spans="1:4" ht="13.2">
      <c r="A996" s="3"/>
      <c r="C996" s="99"/>
      <c r="D996" s="5"/>
    </row>
    <row r="997" spans="1:4" ht="13.2">
      <c r="A997" s="3"/>
      <c r="C997" s="99"/>
      <c r="D997" s="5"/>
    </row>
    <row r="998" spans="1:4" ht="13.2">
      <c r="A998" s="3"/>
      <c r="C998" s="99"/>
      <c r="D998" s="5"/>
    </row>
    <row r="999" spans="1:4" ht="13.2">
      <c r="A999" s="3"/>
      <c r="C999" s="99"/>
      <c r="D999" s="5"/>
    </row>
  </sheetData>
  <hyperlinks>
    <hyperlink ref="B11" r:id="rId1" xr:uid="{ED95563F-E71A-4EC2-A68B-DC43211083FB}"/>
    <hyperlink ref="B12" r:id="rId2" xr:uid="{B563D024-AA00-4847-92AE-B74AB1FF055D}"/>
    <hyperlink ref="B15" r:id="rId3" xr:uid="{BDF23F92-50C3-49DD-BB76-AF9AE2022D86}"/>
    <hyperlink ref="B18" r:id="rId4" xr:uid="{5EB2179C-F4B6-4117-8505-AB5E33ED2FB7}"/>
    <hyperlink ref="B23" r:id="rId5" xr:uid="{57598F47-6168-4409-BBBB-EEE121968876}"/>
    <hyperlink ref="B24" r:id="rId6" xr:uid="{560E01A7-BC55-4198-9545-457B4A309285}"/>
    <hyperlink ref="B25" r:id="rId7" xr:uid="{1EA52418-1478-4937-9E9D-E103E4DF4E78}"/>
    <hyperlink ref="B26" r:id="rId8" xr:uid="{A1C4E6E4-C910-497E-9B30-64043999D235}"/>
    <hyperlink ref="B28" r:id="rId9" xr:uid="{54A5BD79-B317-4FD9-895B-2F625791CF8B}"/>
    <hyperlink ref="B30" r:id="rId10" xr:uid="{C94372D2-E697-469D-86EB-F182435B4D20}"/>
    <hyperlink ref="B31" r:id="rId11" xr:uid="{F4C4624B-FA76-4F47-87F1-D814634E1A39}"/>
    <hyperlink ref="B32" r:id="rId12" xr:uid="{52E4ABFC-E6B4-44ED-921D-348A2E2F3F0F}"/>
    <hyperlink ref="B37" r:id="rId13" xr:uid="{9F2B4E49-5ED8-4010-9AC4-91D4A49F7470}"/>
    <hyperlink ref="B38" r:id="rId14" xr:uid="{77A0F86C-B94A-4BF3-8B73-CE868B306E7D}"/>
    <hyperlink ref="B41" r:id="rId15" xr:uid="{19058EB7-56F3-40B3-AE81-A65E7823A834}"/>
    <hyperlink ref="B50" r:id="rId16" xr:uid="{51036DAE-D6D6-4C8F-97E7-8AB11A02318C}"/>
    <hyperlink ref="B52" r:id="rId17" xr:uid="{C84C426D-1F57-4C82-B073-D3C306475278}"/>
    <hyperlink ref="B53" r:id="rId18" xr:uid="{B2255306-CFE9-4371-BA30-7541D56EE616}"/>
    <hyperlink ref="B64" r:id="rId19" xr:uid="{EEB46D39-6C17-495A-9E0C-A91B71B31726}"/>
    <hyperlink ref="B65" r:id="rId20" xr:uid="{C41091EA-C220-4F1E-A8F4-DF047EE5EA5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A26C-8BBC-42B4-8E47-0437575AF341}">
  <sheetPr>
    <outlinePr summaryBelow="0" summaryRight="0"/>
  </sheetPr>
  <dimension ref="A1:AB1000"/>
  <sheetViews>
    <sheetView workbookViewId="0">
      <pane ySplit="1" topLeftCell="A2" activePane="bottomLeft" state="frozen"/>
      <selection pane="bottomLeft"/>
    </sheetView>
  </sheetViews>
  <sheetFormatPr defaultColWidth="12.6640625" defaultRowHeight="15.75" customHeight="1"/>
  <cols>
    <col min="1" max="1" width="8.33203125" customWidth="1"/>
    <col min="2" max="2" width="38.21875" customWidth="1"/>
    <col min="7" max="7" width="23" customWidth="1"/>
    <col min="8" max="8" width="32.44140625" customWidth="1"/>
    <col min="11" max="11" width="26" customWidth="1"/>
  </cols>
  <sheetData>
    <row r="1" spans="1:28" ht="15.75" customHeight="1">
      <c r="A1" s="91" t="s">
        <v>0</v>
      </c>
      <c r="B1" s="102" t="s">
        <v>1</v>
      </c>
      <c r="C1" s="102" t="s">
        <v>1384</v>
      </c>
      <c r="D1" s="102" t="s">
        <v>1383</v>
      </c>
      <c r="E1" s="102" t="s">
        <v>3</v>
      </c>
      <c r="F1" s="102" t="s">
        <v>1382</v>
      </c>
      <c r="G1" s="102" t="s">
        <v>2</v>
      </c>
      <c r="H1" s="102" t="s">
        <v>1381</v>
      </c>
      <c r="I1" s="102" t="s">
        <v>1380</v>
      </c>
      <c r="J1" s="102" t="s">
        <v>1379</v>
      </c>
      <c r="K1" s="102" t="s">
        <v>1378</v>
      </c>
      <c r="L1" s="102" t="s">
        <v>1377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15.75" customHeight="1">
      <c r="A2" s="84">
        <v>1</v>
      </c>
      <c r="B2" s="50" t="s">
        <v>1376</v>
      </c>
      <c r="C2" s="5" t="s">
        <v>994</v>
      </c>
      <c r="D2" s="5">
        <f>IF(C2="common",100,IF(C2="Uncommon",300,IF(C2="Rare",700,IF(C2="very rare",1100,IF(C2="Legendary",2000,0)))))</f>
        <v>300</v>
      </c>
      <c r="E2" s="5">
        <f>(F2*TRUNC(3+(15-3)*(TRUNC(MOD((A2*1103515245 +12345)/ 65536, 32768),0)/32768),0))+D2+(D2/10*F2)</f>
        <v>378</v>
      </c>
      <c r="F2" s="5">
        <v>2</v>
      </c>
      <c r="G2" s="5" t="s">
        <v>1072</v>
      </c>
      <c r="H2" s="5" t="s">
        <v>1195</v>
      </c>
      <c r="I2" s="5"/>
      <c r="J2" s="5"/>
      <c r="K2" s="50"/>
      <c r="L2" s="103">
        <v>150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  <row r="3" spans="1:28" ht="15.75" customHeight="1">
      <c r="A3" s="3">
        <f>IF(ISBLANK(B3),,A2+1)</f>
        <v>2</v>
      </c>
      <c r="B3" s="50" t="s">
        <v>1375</v>
      </c>
      <c r="C3" s="5" t="s">
        <v>994</v>
      </c>
      <c r="D3" s="5">
        <f>IF(C3="common",100,IF(C3="Uncommon",300,IF(C3="Rare",700,IF(C3="very rare",1100,IF(C3="Legendary",2000,0)))))</f>
        <v>300</v>
      </c>
      <c r="E3" s="5">
        <f>(F3*TRUNC(3+(15-3)*(TRUNC(MOD((A3*1103515245 +12345)/ 65536, 32768),0)/32768),0))+D3+(D3/10*F3)</f>
        <v>366</v>
      </c>
      <c r="F3" s="5">
        <v>2</v>
      </c>
      <c r="G3" s="5" t="s">
        <v>970</v>
      </c>
      <c r="H3" s="5"/>
      <c r="I3" s="5"/>
      <c r="J3" s="5"/>
      <c r="K3" s="50"/>
      <c r="L3" s="103">
        <v>150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</row>
    <row r="4" spans="1:28" ht="15.75" customHeight="1">
      <c r="A4" s="3">
        <f>IF(ISBLANK(B4),,A3+1)</f>
        <v>3</v>
      </c>
      <c r="B4" s="50" t="s">
        <v>1374</v>
      </c>
      <c r="C4" s="5" t="s">
        <v>994</v>
      </c>
      <c r="D4" s="5">
        <f>IF(C4="common",100,IF(C4="Uncommon",300,IF(C4="Rare",700,IF(C4="very rare",1100,IF(C4="Legendary",2000,0)))))</f>
        <v>300</v>
      </c>
      <c r="E4" s="5">
        <f>(F4*TRUNC(3+(15-3)*(TRUNC(MOD((A4*1103515245 +12345)/ 65536, 32768),0)/32768),0))+D4+(D4/10*F4)</f>
        <v>378</v>
      </c>
      <c r="F4" s="5">
        <v>2</v>
      </c>
      <c r="G4" s="5" t="s">
        <v>1359</v>
      </c>
      <c r="H4" s="5" t="s">
        <v>999</v>
      </c>
      <c r="I4" s="5"/>
      <c r="J4" s="5"/>
      <c r="K4" s="50"/>
      <c r="L4" s="103">
        <v>150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</row>
    <row r="5" spans="1:28" ht="15.75" customHeight="1">
      <c r="A5" s="3">
        <f>IF(ISBLANK(B5),,A4+1)</f>
        <v>4</v>
      </c>
      <c r="B5" s="50" t="s">
        <v>1373</v>
      </c>
      <c r="C5" s="5" t="s">
        <v>991</v>
      </c>
      <c r="D5" s="5">
        <f>IF(C5="common",100,IF(C5="Uncommon",300,IF(C5="Rare",700,IF(C5="very rare",1100,IF(C5="Legendary",2000,0)))))</f>
        <v>700</v>
      </c>
      <c r="E5" s="5">
        <f>(F5*TRUNC(3+(15-3)*(TRUNC(MOD((A5*1103515245 +12345)/ 65536, 32768),0)/32768),0))+D5+(D5/10*F5)</f>
        <v>919</v>
      </c>
      <c r="F5" s="5">
        <v>3</v>
      </c>
      <c r="G5" s="5" t="s">
        <v>1359</v>
      </c>
      <c r="H5" s="5" t="s">
        <v>999</v>
      </c>
      <c r="I5" s="5"/>
      <c r="J5" s="5"/>
      <c r="K5" s="50"/>
      <c r="L5" s="103">
        <v>150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28" ht="15.75" customHeight="1">
      <c r="A6" s="3">
        <f>IF(ISBLANK(B6),,A5+1)</f>
        <v>5</v>
      </c>
      <c r="B6" s="50" t="s">
        <v>1372</v>
      </c>
      <c r="C6" s="5" t="s">
        <v>1001</v>
      </c>
      <c r="D6" s="5">
        <f>IF(C6="common",100,IF(C6="Uncommon",300,IF(C6="Rare",700,IF(C6="very rare",1100,IF(C6="Legendary",2000,0)))))</f>
        <v>1100</v>
      </c>
      <c r="E6" s="5">
        <f>(F6*TRUNC(3+(15-3)*(TRUNC(MOD((A6*1103515245 +12345)/ 65536, 32768),0)/32768),0))+D6+(D6/10*F6)</f>
        <v>1576</v>
      </c>
      <c r="F6" s="5">
        <v>4</v>
      </c>
      <c r="G6" s="5" t="s">
        <v>1359</v>
      </c>
      <c r="H6" s="5" t="s">
        <v>999</v>
      </c>
      <c r="I6" s="5"/>
      <c r="J6" s="5"/>
      <c r="K6" s="50"/>
      <c r="L6" s="103">
        <v>150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1:28" ht="15.75" customHeight="1">
      <c r="A7" s="3">
        <f>IF(ISBLANK(B7),,A6+1)</f>
        <v>6</v>
      </c>
      <c r="B7" s="50" t="s">
        <v>1371</v>
      </c>
      <c r="C7" s="5" t="s">
        <v>991</v>
      </c>
      <c r="D7" s="5">
        <f>IF(C7="common",100,IF(C7="Uncommon",300,IF(C7="Rare",700,IF(C7="very rare",1100,IF(C7="Legendary",2000,0)))))</f>
        <v>700</v>
      </c>
      <c r="E7" s="5">
        <f>(F7*TRUNC(3+(15-3)*(TRUNC(MOD((A7*1103515245 +12345)/ 65536, 32768),0)/32768),0))+D7+(D7/10*F7)</f>
        <v>919</v>
      </c>
      <c r="F7" s="5">
        <v>3</v>
      </c>
      <c r="G7" s="5" t="s">
        <v>970</v>
      </c>
      <c r="H7" s="5" t="s">
        <v>1179</v>
      </c>
      <c r="I7" s="5" t="s">
        <v>963</v>
      </c>
      <c r="J7" s="5"/>
      <c r="K7" s="50"/>
      <c r="L7" s="103">
        <v>150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15.75" customHeight="1">
      <c r="A8" s="3">
        <f>IF(ISBLANK(B8),,A7+1)</f>
        <v>7</v>
      </c>
      <c r="B8" s="50" t="s">
        <v>1370</v>
      </c>
      <c r="C8" s="5" t="s">
        <v>994</v>
      </c>
      <c r="D8" s="5">
        <f>IF(C8="common",100,IF(C8="Uncommon",300,IF(C8="Rare",700,IF(C8="very rare",1100,IF(C8="Legendary",2000,0)))))</f>
        <v>300</v>
      </c>
      <c r="E8" s="5">
        <f>(F8*TRUNC(3+(15-3)*(TRUNC(MOD((A8*1103515245 +12345)/ 65536, 32768),0)/32768),0))+D8+(D8/10*F8)</f>
        <v>380</v>
      </c>
      <c r="F8" s="5">
        <v>2</v>
      </c>
      <c r="G8" s="5" t="s">
        <v>970</v>
      </c>
      <c r="H8" s="5" t="s">
        <v>1179</v>
      </c>
      <c r="I8" s="5" t="s">
        <v>963</v>
      </c>
      <c r="J8" s="5"/>
      <c r="K8" s="50"/>
      <c r="L8" s="103">
        <v>150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</row>
    <row r="9" spans="1:28" ht="15.75" customHeight="1">
      <c r="A9" s="3">
        <f>IF(ISBLANK(B9),,A8+1)</f>
        <v>8</v>
      </c>
      <c r="B9" s="50" t="s">
        <v>1369</v>
      </c>
      <c r="C9" s="5" t="s">
        <v>1001</v>
      </c>
      <c r="D9" s="5">
        <f>IF(C9="common",100,IF(C9="Uncommon",300,IF(C9="Rare",700,IF(C9="very rare",1100,IF(C9="Legendary",2000,0)))))</f>
        <v>1100</v>
      </c>
      <c r="E9" s="5">
        <f>(F9*TRUNC(3+(15-3)*(TRUNC(MOD((A9*1103515245 +12345)/ 65536, 32768),0)/32768),0))+D9+(D9/10*F9)</f>
        <v>1556</v>
      </c>
      <c r="F9" s="5">
        <v>4</v>
      </c>
      <c r="G9" s="5" t="s">
        <v>970</v>
      </c>
      <c r="H9" s="5" t="s">
        <v>1179</v>
      </c>
      <c r="I9" s="5" t="s">
        <v>963</v>
      </c>
      <c r="J9" s="5"/>
      <c r="K9" s="50"/>
      <c r="L9" s="103">
        <v>150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ht="15.75" customHeight="1">
      <c r="A10" s="3">
        <f>IF(ISBLANK(B10),,A9+1)</f>
        <v>9</v>
      </c>
      <c r="B10" s="50" t="s">
        <v>1368</v>
      </c>
      <c r="C10" s="5" t="s">
        <v>1001</v>
      </c>
      <c r="D10" s="5">
        <f>IF(C10="common",100,IF(C10="Uncommon",300,IF(C10="Rare",700,IF(C10="very rare",1100,IF(C10="Legendary",2000,0)))))</f>
        <v>1100</v>
      </c>
      <c r="E10" s="5">
        <f>(F10*TRUNC(3+(15-3)*(TRUNC(MOD((A10*1103515245 +12345)/ 65536, 32768),0)/32768),0))+D10+(D10/10*F10)</f>
        <v>1580</v>
      </c>
      <c r="F10" s="5">
        <v>4</v>
      </c>
      <c r="G10" s="5" t="s">
        <v>970</v>
      </c>
      <c r="H10" s="5" t="s">
        <v>1179</v>
      </c>
      <c r="I10" s="5" t="s">
        <v>963</v>
      </c>
      <c r="J10" s="5"/>
      <c r="K10" s="50"/>
      <c r="L10" s="103">
        <v>151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5.75" customHeight="1">
      <c r="A11" s="3">
        <f>IF(ISBLANK(B11),,A10+1)</f>
        <v>10</v>
      </c>
      <c r="B11" s="50" t="s">
        <v>1367</v>
      </c>
      <c r="C11" s="5" t="s">
        <v>997</v>
      </c>
      <c r="D11" s="5">
        <f>IF(C11="common",100,IF(C11="Uncommon",300,IF(C11="Rare",700,IF(C11="very rare",1100,IF(C11="Legendary",2000,0)))))</f>
        <v>2000</v>
      </c>
      <c r="E11" s="5">
        <f>(F11*TRUNC(3+(15-3)*(TRUNC(MOD((A11*1103515245 +12345)/ 65536, 32768),0)/32768),0))+D11+(D11/10*F11)</f>
        <v>3020</v>
      </c>
      <c r="F11" s="5">
        <v>5</v>
      </c>
      <c r="G11" s="5" t="s">
        <v>970</v>
      </c>
      <c r="H11" s="5"/>
      <c r="I11" s="5"/>
      <c r="J11" s="5"/>
      <c r="K11" s="50"/>
      <c r="L11" s="103">
        <v>151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15.75" customHeight="1">
      <c r="A12" s="3">
        <f>IF(ISBLANK(B12),,A11+1)</f>
        <v>11</v>
      </c>
      <c r="B12" s="50" t="s">
        <v>1366</v>
      </c>
      <c r="C12" s="5" t="s">
        <v>991</v>
      </c>
      <c r="D12" s="5">
        <f>IF(C12="common",100,IF(C12="Uncommon",300,IF(C12="Rare",700,IF(C12="very rare",1100,IF(C12="Legendary",2000,0)))))</f>
        <v>700</v>
      </c>
      <c r="E12" s="5">
        <f>(F12*TRUNC(3+(15-3)*(TRUNC(MOD((A12*1103515245 +12345)/ 65536, 32768),0)/32768),0))+D12+(D12/10*F12)</f>
        <v>940</v>
      </c>
      <c r="F12" s="5">
        <v>3</v>
      </c>
      <c r="G12" s="5" t="s">
        <v>1072</v>
      </c>
      <c r="H12" s="5" t="s">
        <v>1199</v>
      </c>
      <c r="I12" s="5"/>
      <c r="J12" s="5"/>
      <c r="K12" s="50"/>
      <c r="L12" s="103">
        <v>152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spans="1:28" ht="15.75" customHeight="1">
      <c r="A13" s="3">
        <f>IF(ISBLANK(B13),,A12+1)</f>
        <v>12</v>
      </c>
      <c r="B13" s="50" t="s">
        <v>1365</v>
      </c>
      <c r="C13" s="5" t="s">
        <v>1001</v>
      </c>
      <c r="D13" s="5">
        <f>IF(C13="common",100,IF(C13="Uncommon",300,IF(C13="Rare",700,IF(C13="very rare",1100,IF(C13="Legendary",2000,0)))))</f>
        <v>1100</v>
      </c>
      <c r="E13" s="5">
        <f>(F13*TRUNC(3+(15-3)*(TRUNC(MOD((A13*1103515245 +12345)/ 65536, 32768),0)/32768),0))+D13+(D13/10*F13)</f>
        <v>1556</v>
      </c>
      <c r="F13" s="5">
        <v>4</v>
      </c>
      <c r="G13" s="5" t="s">
        <v>1072</v>
      </c>
      <c r="H13" s="5" t="s">
        <v>1199</v>
      </c>
      <c r="I13" s="5"/>
      <c r="J13" s="5"/>
      <c r="K13" s="50"/>
      <c r="L13" s="103">
        <v>152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 ht="15.75" customHeight="1">
      <c r="A14" s="3">
        <f>IF(ISBLANK(B14),,A13+1)</f>
        <v>13</v>
      </c>
      <c r="B14" s="50" t="s">
        <v>1364</v>
      </c>
      <c r="C14" s="5" t="s">
        <v>997</v>
      </c>
      <c r="D14" s="5">
        <f>IF(C14="common",100,IF(C14="Uncommon",300,IF(C14="Rare",700,IF(C14="very rare",1100,IF(C14="Legendary",2000,0)))))</f>
        <v>2000</v>
      </c>
      <c r="E14" s="5">
        <f>(F14*TRUNC(3+(15-3)*(TRUNC(MOD((A14*1103515245 +12345)/ 65536, 32768),0)/32768),0))+D14+(D14/10*F14)</f>
        <v>3055</v>
      </c>
      <c r="F14" s="5">
        <v>5</v>
      </c>
      <c r="G14" s="5" t="s">
        <v>1072</v>
      </c>
      <c r="H14" s="5" t="s">
        <v>1199</v>
      </c>
      <c r="I14" s="5"/>
      <c r="J14" s="5"/>
      <c r="K14" s="50"/>
      <c r="L14" s="103">
        <v>152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5.75" customHeight="1">
      <c r="A15" s="3">
        <f>IF(ISBLANK(B15),,A14+1)</f>
        <v>14</v>
      </c>
      <c r="B15" s="50" t="s">
        <v>1363</v>
      </c>
      <c r="C15" s="5" t="s">
        <v>997</v>
      </c>
      <c r="D15" s="5">
        <f>IF(C15="common",100,IF(C15="Uncommon",300,IF(C15="Rare",700,IF(C15="very rare",1100,IF(C15="Legendary",2000,0)))))</f>
        <v>2000</v>
      </c>
      <c r="E15" s="5">
        <f>(F15*TRUNC(3+(15-3)*(TRUNC(MOD((A15*1103515245 +12345)/ 65536, 32768),0)/32768),0))+D15+(D15/10*F15)</f>
        <v>3025</v>
      </c>
      <c r="F15" s="5">
        <v>5</v>
      </c>
      <c r="G15" s="5" t="s">
        <v>1072</v>
      </c>
      <c r="H15" s="5" t="s">
        <v>1174</v>
      </c>
      <c r="I15" s="5" t="s">
        <v>963</v>
      </c>
      <c r="J15" s="5"/>
      <c r="K15" s="50"/>
      <c r="L15" s="103">
        <v>152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spans="1:28" ht="15.75" customHeight="1">
      <c r="A16" s="3">
        <f>IF(ISBLANK(B16),,A15+1)</f>
        <v>15</v>
      </c>
      <c r="B16" s="50" t="s">
        <v>1362</v>
      </c>
      <c r="C16" s="5" t="s">
        <v>991</v>
      </c>
      <c r="D16" s="5">
        <f>IF(C16="common",100,IF(C16="Uncommon",300,IF(C16="Rare",700,IF(C16="very rare",1100,IF(C16="Legendary",2000,0)))))</f>
        <v>700</v>
      </c>
      <c r="E16" s="5">
        <f>(F16*TRUNC(3+(15-3)*(TRUNC(MOD((A16*1103515245 +12345)/ 65536, 32768),0)/32768),0))+D16+(D16/10*F16)</f>
        <v>943</v>
      </c>
      <c r="F16" s="5">
        <v>3</v>
      </c>
      <c r="G16" s="5" t="s">
        <v>1072</v>
      </c>
      <c r="H16" s="5" t="s">
        <v>1199</v>
      </c>
      <c r="I16" s="5" t="s">
        <v>963</v>
      </c>
      <c r="J16" s="5"/>
      <c r="K16" s="50"/>
      <c r="L16" s="103">
        <v>152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1:28" ht="15.75" customHeight="1">
      <c r="A17" s="3">
        <f>IF(ISBLANK(B17),,A16+1)</f>
        <v>16</v>
      </c>
      <c r="B17" s="50" t="s">
        <v>1361</v>
      </c>
      <c r="C17" s="5" t="s">
        <v>991</v>
      </c>
      <c r="D17" s="5">
        <f>IF(C17="common",100,IF(C17="Uncommon",300,IF(C17="Rare",700,IF(C17="very rare",1100,IF(C17="Legendary",2000,0)))))</f>
        <v>700</v>
      </c>
      <c r="E17" s="5">
        <f>(F17*TRUNC(3+(15-3)*(TRUNC(MOD((A17*1103515245 +12345)/ 65536, 32768),0)/32768),0))+D17+(D17/10*F17)</f>
        <v>925</v>
      </c>
      <c r="F17" s="5">
        <v>3</v>
      </c>
      <c r="G17" s="5" t="s">
        <v>1072</v>
      </c>
      <c r="H17" s="5" t="s">
        <v>1174</v>
      </c>
      <c r="I17" s="5" t="s">
        <v>963</v>
      </c>
      <c r="J17" s="5" t="s">
        <v>1088</v>
      </c>
      <c r="K17" s="50"/>
      <c r="L17" s="103">
        <v>152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spans="1:28" ht="15.75" customHeight="1">
      <c r="A18" s="3">
        <f>IF(ISBLANK(B18),,A17+1)</f>
        <v>17</v>
      </c>
      <c r="B18" s="50" t="s">
        <v>1360</v>
      </c>
      <c r="C18" s="5" t="s">
        <v>1001</v>
      </c>
      <c r="D18" s="5">
        <f>IF(C18="common",100,IF(C18="Uncommon",300,IF(C18="Rare",700,IF(C18="very rare",1100,IF(C18="Legendary",2000,0)))))</f>
        <v>1100</v>
      </c>
      <c r="E18" s="5">
        <f>(F18*TRUNC(3+(15-3)*(TRUNC(MOD((A18*1103515245 +12345)/ 65536, 32768),0)/32768),0))+D18+(D18/10*F18)</f>
        <v>1584</v>
      </c>
      <c r="F18" s="5">
        <v>4</v>
      </c>
      <c r="G18" s="5" t="s">
        <v>1359</v>
      </c>
      <c r="H18" s="5" t="s">
        <v>1358</v>
      </c>
      <c r="I18" s="5"/>
      <c r="J18" s="5"/>
      <c r="K18" s="50"/>
      <c r="L18" s="103">
        <v>152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1:28" ht="15.75" customHeight="1">
      <c r="A19" s="3">
        <f>IF(ISBLANK(B19),,A18+1)</f>
        <v>18</v>
      </c>
      <c r="B19" s="50" t="s">
        <v>1357</v>
      </c>
      <c r="C19" s="5" t="s">
        <v>991</v>
      </c>
      <c r="D19" s="5">
        <f>IF(C19="common",100,IF(C19="Uncommon",300,IF(C19="Rare",700,IF(C19="very rare",1100,IF(C19="Legendary",2000,0)))))</f>
        <v>700</v>
      </c>
      <c r="E19" s="5">
        <f>(F19*TRUNC(3+(15-3)*(TRUNC(MOD((A19*1103515245 +12345)/ 65536, 32768),0)/32768),0))+D19+(D19/10*F19)</f>
        <v>925</v>
      </c>
      <c r="F19" s="5">
        <v>3</v>
      </c>
      <c r="G19" s="5" t="s">
        <v>1072</v>
      </c>
      <c r="H19" s="5" t="s">
        <v>1071</v>
      </c>
      <c r="I19" s="5"/>
      <c r="J19" s="5"/>
      <c r="K19" s="50"/>
      <c r="L19" s="103">
        <v>152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1:28" ht="15.75" customHeight="1">
      <c r="A20" s="3">
        <f>IF(ISBLANK(B20),,A19+1)</f>
        <v>19</v>
      </c>
      <c r="B20" s="50" t="s">
        <v>1356</v>
      </c>
      <c r="C20" s="5" t="s">
        <v>991</v>
      </c>
      <c r="D20" s="5">
        <f>IF(C20="common",100,IF(C20="Uncommon",300,IF(C20="Rare",700,IF(C20="very rare",1100,IF(C20="Legendary",2000,0)))))</f>
        <v>700</v>
      </c>
      <c r="E20" s="5">
        <f>(F20*TRUNC(3+(15-3)*(TRUNC(MOD((A20*1103515245 +12345)/ 65536, 32768),0)/32768),0))+D20+(D20/10*F20)</f>
        <v>946</v>
      </c>
      <c r="F20" s="5">
        <v>3</v>
      </c>
      <c r="G20" s="5" t="s">
        <v>970</v>
      </c>
      <c r="H20" s="5" t="s">
        <v>1024</v>
      </c>
      <c r="I20" s="5"/>
      <c r="J20" s="5"/>
      <c r="K20" s="50"/>
      <c r="L20" s="103">
        <v>152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 ht="15.75" customHeight="1">
      <c r="A21" s="3">
        <f>IF(ISBLANK(B21),,A20+1)</f>
        <v>20</v>
      </c>
      <c r="B21" s="50" t="s">
        <v>1355</v>
      </c>
      <c r="C21" s="5" t="s">
        <v>1001</v>
      </c>
      <c r="D21" s="5">
        <f>IF(C21="common",100,IF(C21="Uncommon",300,IF(C21="Rare",700,IF(C21="very rare",1100,IF(C21="Legendary",2000,0)))))</f>
        <v>1100</v>
      </c>
      <c r="E21" s="5">
        <f>(F21*TRUNC(3+(15-3)*(TRUNC(MOD((A21*1103515245 +12345)/ 65536, 32768),0)/32768),0))+D21+(D21/10*F21)</f>
        <v>1564</v>
      </c>
      <c r="F21" s="5">
        <v>4</v>
      </c>
      <c r="G21" s="5" t="s">
        <v>970</v>
      </c>
      <c r="H21" s="5"/>
      <c r="I21" s="5"/>
      <c r="J21" s="5"/>
      <c r="K21" s="50"/>
      <c r="L21" s="103">
        <v>153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spans="1:28" ht="15.75" customHeight="1">
      <c r="A22" s="3">
        <f>IF(ISBLANK(B22),,A21+1)</f>
        <v>21</v>
      </c>
      <c r="B22" s="50" t="s">
        <v>1354</v>
      </c>
      <c r="C22" s="5" t="s">
        <v>994</v>
      </c>
      <c r="D22" s="5">
        <f>IF(C22="common",100,IF(C22="Uncommon",300,IF(C22="Rare",700,IF(C22="very rare",1100,IF(C22="Legendary",2000,0)))))</f>
        <v>300</v>
      </c>
      <c r="E22" s="5">
        <f>(F22*TRUNC(3+(15-3)*(TRUNC(MOD((A22*1103515245 +12345)/ 65536, 32768),0)/32768),0))+D22+(D22/10*F22)</f>
        <v>384</v>
      </c>
      <c r="F22" s="5">
        <v>2</v>
      </c>
      <c r="G22" s="5" t="s">
        <v>970</v>
      </c>
      <c r="H22" s="5"/>
      <c r="I22" s="5"/>
      <c r="J22" s="5"/>
      <c r="K22" s="50"/>
      <c r="L22" s="103">
        <v>153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8" ht="15.75" customHeight="1">
      <c r="A23" s="3">
        <f>IF(ISBLANK(B23),,A22+1)</f>
        <v>22</v>
      </c>
      <c r="B23" s="50" t="s">
        <v>1353</v>
      </c>
      <c r="C23" s="5" t="s">
        <v>994</v>
      </c>
      <c r="D23" s="5">
        <f>IF(C23="common",100,IF(C23="Uncommon",300,IF(C23="Rare",700,IF(C23="very rare",1100,IF(C23="Legendary",2000,0)))))</f>
        <v>300</v>
      </c>
      <c r="E23" s="5">
        <f>(F23*TRUNC(3+(15-3)*(TRUNC(MOD((A23*1103515245 +12345)/ 65536, 32768),0)/32768),0))+D23+(D23/10*F23)</f>
        <v>372</v>
      </c>
      <c r="F23" s="5">
        <v>2</v>
      </c>
      <c r="G23" s="5" t="s">
        <v>970</v>
      </c>
      <c r="H23" s="5"/>
      <c r="I23" s="5"/>
      <c r="J23" s="5"/>
      <c r="K23" s="50"/>
      <c r="L23" s="103">
        <v>154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1:28" ht="15.75" customHeight="1">
      <c r="A24" s="3">
        <f>IF(ISBLANK(B24),,A23+1)</f>
        <v>23</v>
      </c>
      <c r="B24" s="50" t="s">
        <v>1352</v>
      </c>
      <c r="C24" s="5" t="s">
        <v>991</v>
      </c>
      <c r="D24" s="5">
        <f>IF(C24="common",100,IF(C24="Uncommon",300,IF(C24="Rare",700,IF(C24="very rare",1100,IF(C24="Legendary",2000,0)))))</f>
        <v>700</v>
      </c>
      <c r="E24" s="5">
        <f>(F24*TRUNC(3+(15-3)*(TRUNC(MOD((A24*1103515245 +12345)/ 65536, 32768),0)/32768),0))+D24+(D24/10*F24)</f>
        <v>946</v>
      </c>
      <c r="F24" s="5">
        <v>3</v>
      </c>
      <c r="G24" s="5" t="s">
        <v>970</v>
      </c>
      <c r="H24" s="5" t="s">
        <v>1024</v>
      </c>
      <c r="I24" s="5"/>
      <c r="J24" s="5"/>
      <c r="K24" s="50"/>
      <c r="L24" s="103">
        <v>154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.75" customHeight="1">
      <c r="A25" s="3">
        <f>IF(ISBLANK(B25),,A24+1)</f>
        <v>24</v>
      </c>
      <c r="B25" s="50" t="s">
        <v>1351</v>
      </c>
      <c r="C25" s="5" t="s">
        <v>991</v>
      </c>
      <c r="D25" s="5">
        <f>IF(C25="common",100,IF(C25="Uncommon",300,IF(C25="Rare",700,IF(C25="very rare",1100,IF(C25="Legendary",2000,0)))))</f>
        <v>700</v>
      </c>
      <c r="E25" s="5">
        <f>(F25*TRUNC(3+(15-3)*(TRUNC(MOD((A25*1103515245 +12345)/ 65536, 32768),0)/32768),0))+D25+(D25/10*F25)</f>
        <v>928</v>
      </c>
      <c r="F25" s="5">
        <v>3</v>
      </c>
      <c r="G25" s="5" t="s">
        <v>970</v>
      </c>
      <c r="H25" s="5" t="s">
        <v>1345</v>
      </c>
      <c r="I25" s="5" t="s">
        <v>963</v>
      </c>
      <c r="J25" s="5"/>
      <c r="K25" s="50"/>
      <c r="L25" s="103">
        <v>155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1:28" ht="15.75" customHeight="1">
      <c r="A26" s="3">
        <f>IF(ISBLANK(B26),,A25+1)</f>
        <v>25</v>
      </c>
      <c r="B26" s="50" t="s">
        <v>1350</v>
      </c>
      <c r="C26" s="5" t="s">
        <v>997</v>
      </c>
      <c r="D26" s="5">
        <f>IF(C26="common",100,IF(C26="Uncommon",300,IF(C26="Rare",700,IF(C26="very rare",1100,IF(C26="Legendary",2000,0)))))</f>
        <v>2000</v>
      </c>
      <c r="E26" s="5">
        <f>(F26*TRUNC(3+(15-3)*(TRUNC(MOD((A26*1103515245 +12345)/ 65536, 32768),0)/32768),0))+D26+(D26/10*F26)</f>
        <v>3065</v>
      </c>
      <c r="F26" s="5">
        <v>5</v>
      </c>
      <c r="G26" s="5" t="s">
        <v>970</v>
      </c>
      <c r="H26" s="5" t="s">
        <v>1345</v>
      </c>
      <c r="I26" s="5" t="s">
        <v>963</v>
      </c>
      <c r="J26" s="5"/>
      <c r="K26" s="50"/>
      <c r="L26" s="103">
        <v>155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</row>
    <row r="27" spans="1:28" ht="15.75" customHeight="1">
      <c r="A27" s="3">
        <f>IF(ISBLANK(B27),,A26+1)</f>
        <v>26</v>
      </c>
      <c r="B27" s="50" t="s">
        <v>1349</v>
      </c>
      <c r="C27" s="5" t="s">
        <v>1001</v>
      </c>
      <c r="D27" s="5">
        <f>IF(C27="common",100,IF(C27="Uncommon",300,IF(C27="Rare",700,IF(C27="very rare",1100,IF(C27="Legendary",2000,0)))))</f>
        <v>1100</v>
      </c>
      <c r="E27" s="5">
        <f>(F27*TRUNC(3+(15-3)*(TRUNC(MOD((A27*1103515245 +12345)/ 65536, 32768),0)/32768),0))+D27+(D27/10*F27)</f>
        <v>1568</v>
      </c>
      <c r="F27" s="5">
        <v>4</v>
      </c>
      <c r="G27" s="5" t="s">
        <v>970</v>
      </c>
      <c r="H27" s="5" t="s">
        <v>1345</v>
      </c>
      <c r="I27" s="5" t="s">
        <v>963</v>
      </c>
      <c r="J27" s="5"/>
      <c r="K27" s="50"/>
      <c r="L27" s="103">
        <v>155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1:28" ht="15.75" customHeight="1">
      <c r="A28" s="3">
        <f>IF(ISBLANK(B28),,A27+1)</f>
        <v>27</v>
      </c>
      <c r="B28" s="50" t="s">
        <v>1348</v>
      </c>
      <c r="C28" s="5" t="s">
        <v>1001</v>
      </c>
      <c r="D28" s="5">
        <f>IF(C28="common",100,IF(C28="Uncommon",300,IF(C28="Rare",700,IF(C28="very rare",1100,IF(C28="Legendary",2000,0)))))</f>
        <v>1100</v>
      </c>
      <c r="E28" s="5">
        <f>(F28*TRUNC(3+(15-3)*(TRUNC(MOD((A28*1103515245 +12345)/ 65536, 32768),0)/32768),0))+D28+(D28/10*F28)</f>
        <v>1592</v>
      </c>
      <c r="F28" s="5">
        <v>4</v>
      </c>
      <c r="G28" s="5" t="s">
        <v>970</v>
      </c>
      <c r="H28" s="5" t="s">
        <v>1345</v>
      </c>
      <c r="I28" s="5" t="s">
        <v>963</v>
      </c>
      <c r="J28" s="5"/>
      <c r="K28" s="50"/>
      <c r="L28" s="103">
        <v>155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1:28" ht="13.2">
      <c r="A29" s="3">
        <f>IF(ISBLANK(B29),,A28+1)</f>
        <v>28</v>
      </c>
      <c r="B29" s="50" t="s">
        <v>1347</v>
      </c>
      <c r="C29" s="5" t="s">
        <v>991</v>
      </c>
      <c r="D29" s="5">
        <f>IF(C29="common",100,IF(C29="Uncommon",300,IF(C29="Rare",700,IF(C29="very rare",1100,IF(C29="Legendary",2000,0)))))</f>
        <v>700</v>
      </c>
      <c r="E29" s="5">
        <f>(F29*TRUNC(3+(15-3)*(TRUNC(MOD((A29*1103515245 +12345)/ 65536, 32768),0)/32768),0))+D29+(D29/10*F29)</f>
        <v>931</v>
      </c>
      <c r="F29" s="5">
        <v>3</v>
      </c>
      <c r="G29" s="5" t="s">
        <v>970</v>
      </c>
      <c r="H29" s="5" t="s">
        <v>1345</v>
      </c>
      <c r="I29" s="5" t="s">
        <v>963</v>
      </c>
      <c r="J29" s="5"/>
      <c r="K29" s="50"/>
      <c r="L29" s="103">
        <v>155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</row>
    <row r="30" spans="1:28" ht="13.2">
      <c r="A30" s="3">
        <f>IF(ISBLANK(B30),,A29+1)</f>
        <v>29</v>
      </c>
      <c r="B30" s="50" t="s">
        <v>1346</v>
      </c>
      <c r="C30" s="5" t="s">
        <v>997</v>
      </c>
      <c r="D30" s="5">
        <f>IF(C30="common",100,IF(C30="Uncommon",300,IF(C30="Rare",700,IF(C30="very rare",1100,IF(C30="Legendary",2000,0)))))</f>
        <v>2000</v>
      </c>
      <c r="E30" s="5">
        <f>(F30*TRUNC(3+(15-3)*(TRUNC(MOD((A30*1103515245 +12345)/ 65536, 32768),0)/32768),0))+D30+(D30/10*F30)</f>
        <v>3065</v>
      </c>
      <c r="F30" s="5">
        <v>5</v>
      </c>
      <c r="G30" s="5" t="s">
        <v>970</v>
      </c>
      <c r="H30" s="5" t="s">
        <v>1345</v>
      </c>
      <c r="I30" s="5" t="s">
        <v>963</v>
      </c>
      <c r="J30" s="5"/>
      <c r="K30" s="50"/>
      <c r="L30" s="103">
        <v>155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1:28" ht="13.2">
      <c r="A31" s="3">
        <f>IF(ISBLANK(B31),,A30+1)</f>
        <v>30</v>
      </c>
      <c r="B31" s="50" t="s">
        <v>1344</v>
      </c>
      <c r="C31" s="5" t="s">
        <v>991</v>
      </c>
      <c r="D31" s="5">
        <f>IF(C31="common",100,IF(C31="Uncommon",300,IF(C31="Rare",700,IF(C31="very rare",1100,IF(C31="Legendary",2000,0)))))</f>
        <v>700</v>
      </c>
      <c r="E31" s="5">
        <f>(F31*TRUNC(3+(15-3)*(TRUNC(MOD((A31*1103515245 +12345)/ 65536, 32768),0)/32768),0))+D31+(D31/10*F31)</f>
        <v>931</v>
      </c>
      <c r="F31" s="5">
        <v>3</v>
      </c>
      <c r="G31" s="5" t="s">
        <v>968</v>
      </c>
      <c r="H31" s="5" t="s">
        <v>1343</v>
      </c>
      <c r="I31" s="5" t="s">
        <v>963</v>
      </c>
      <c r="J31" s="5" t="s">
        <v>1088</v>
      </c>
      <c r="K31" s="50"/>
      <c r="L31" s="103">
        <v>155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1:28" ht="13.2">
      <c r="A32" s="3">
        <f>IF(ISBLANK(B32),,A31+1)</f>
        <v>31</v>
      </c>
      <c r="B32" s="50" t="s">
        <v>1342</v>
      </c>
      <c r="C32" s="5" t="s">
        <v>994</v>
      </c>
      <c r="D32" s="5">
        <f>IF(C32="common",100,IF(C32="Uncommon",300,IF(C32="Rare",700,IF(C32="very rare",1100,IF(C32="Legendary",2000,0)))))</f>
        <v>300</v>
      </c>
      <c r="E32" s="5">
        <f>(F32*TRUNC(3+(15-3)*(TRUNC(MOD((A32*1103515245 +12345)/ 65536, 32768),0)/32768),0))+D32+(D32/10*F32)</f>
        <v>388</v>
      </c>
      <c r="F32" s="5">
        <v>2</v>
      </c>
      <c r="G32" s="5" t="s">
        <v>970</v>
      </c>
      <c r="H32" s="5" t="s">
        <v>993</v>
      </c>
      <c r="I32" s="5"/>
      <c r="J32" s="5"/>
      <c r="K32" s="50"/>
      <c r="L32" s="103">
        <v>155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3.2">
      <c r="A33" s="3">
        <f>IF(ISBLANK(B33),,A32+1)</f>
        <v>32</v>
      </c>
      <c r="B33" s="50" t="s">
        <v>1341</v>
      </c>
      <c r="C33" s="5" t="s">
        <v>991</v>
      </c>
      <c r="D33" s="5">
        <f>IF(C33="common",100,IF(C33="Uncommon",300,IF(C33="Rare",700,IF(C33="very rare",1100,IF(C33="Legendary",2000,0)))))</f>
        <v>700</v>
      </c>
      <c r="E33" s="5">
        <f>(F33*TRUNC(3+(15-3)*(TRUNC(MOD((A33*1103515245 +12345)/ 65536, 32768),0)/32768),0))+D33+(D33/10*F33)</f>
        <v>934</v>
      </c>
      <c r="F33" s="5">
        <v>3</v>
      </c>
      <c r="G33" s="5" t="s">
        <v>970</v>
      </c>
      <c r="H33" s="5" t="s">
        <v>993</v>
      </c>
      <c r="I33" s="5" t="s">
        <v>963</v>
      </c>
      <c r="J33" s="5"/>
      <c r="K33" s="50"/>
      <c r="L33" s="103">
        <v>155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1:28" ht="13.2">
      <c r="A34" s="3">
        <f>IF(ISBLANK(B34),,A33+1)</f>
        <v>33</v>
      </c>
      <c r="B34" s="50" t="s">
        <v>1340</v>
      </c>
      <c r="C34" s="5" t="s">
        <v>991</v>
      </c>
      <c r="D34" s="5">
        <f>IF(C34="common",100,IF(C34="Uncommon",300,IF(C34="Rare",700,IF(C34="very rare",1100,IF(C34="Legendary",2000,0)))))</f>
        <v>700</v>
      </c>
      <c r="E34" s="5">
        <f>(F34*TRUNC(3+(15-3)*(TRUNC(MOD((A34*1103515245 +12345)/ 65536, 32768),0)/32768),0))+D34+(D34/10*F34)</f>
        <v>952</v>
      </c>
      <c r="F34" s="5">
        <v>3</v>
      </c>
      <c r="G34" s="5" t="s">
        <v>970</v>
      </c>
      <c r="H34" s="5" t="s">
        <v>993</v>
      </c>
      <c r="I34" s="5" t="s">
        <v>963</v>
      </c>
      <c r="J34" s="5"/>
      <c r="K34" s="50"/>
      <c r="L34" s="103">
        <v>155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1:28" ht="13.2">
      <c r="A35" s="3">
        <f>IF(ISBLANK(B35),,A34+1)</f>
        <v>34</v>
      </c>
      <c r="B35" s="50" t="s">
        <v>1339</v>
      </c>
      <c r="C35" s="5" t="s">
        <v>994</v>
      </c>
      <c r="D35" s="5">
        <f>IF(C35="common",100,IF(C35="Uncommon",300,IF(C35="Rare",700,IF(C35="very rare",1100,IF(C35="Legendary",2000,0)))))</f>
        <v>300</v>
      </c>
      <c r="E35" s="5">
        <f>(F35*TRUNC(3+(15-3)*(TRUNC(MOD((A35*1103515245 +12345)/ 65536, 32768),0)/32768),0))+D35+(D35/10*F35)</f>
        <v>376</v>
      </c>
      <c r="F35" s="5">
        <v>2</v>
      </c>
      <c r="G35" s="5" t="s">
        <v>970</v>
      </c>
      <c r="H35" s="5" t="s">
        <v>993</v>
      </c>
      <c r="I35" s="5" t="s">
        <v>963</v>
      </c>
      <c r="J35" s="5"/>
      <c r="K35" s="50"/>
      <c r="L35" s="103">
        <v>156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1:28" ht="13.2">
      <c r="A36" s="3">
        <f>IF(ISBLANK(B36),,A35+1)</f>
        <v>35</v>
      </c>
      <c r="B36" s="50" t="s">
        <v>1338</v>
      </c>
      <c r="C36" s="5" t="s">
        <v>994</v>
      </c>
      <c r="D36" s="5">
        <f>IF(C36="common",100,IF(C36="Uncommon",300,IF(C36="Rare",700,IF(C36="very rare",1100,IF(C36="Legendary",2000,0)))))</f>
        <v>300</v>
      </c>
      <c r="E36" s="5">
        <f>(F36*TRUNC(3+(15-3)*(TRUNC(MOD((A36*1103515245 +12345)/ 65536, 32768),0)/32768),0))+D36+(D36/10*F36)</f>
        <v>388</v>
      </c>
      <c r="F36" s="5">
        <v>2</v>
      </c>
      <c r="G36" s="5" t="s">
        <v>970</v>
      </c>
      <c r="H36" s="5" t="s">
        <v>993</v>
      </c>
      <c r="I36" s="5" t="s">
        <v>963</v>
      </c>
      <c r="J36" s="5"/>
      <c r="K36" s="50"/>
      <c r="L36" s="103">
        <v>156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1:28" ht="13.2">
      <c r="A37" s="3">
        <f>IF(ISBLANK(B37),,A36+1)</f>
        <v>36</v>
      </c>
      <c r="B37" s="50" t="s">
        <v>1337</v>
      </c>
      <c r="C37" s="5" t="s">
        <v>991</v>
      </c>
      <c r="D37" s="5">
        <f>IF(C37="common",100,IF(C37="Uncommon",300,IF(C37="Rare",700,IF(C37="very rare",1100,IF(C37="Legendary",2000,0)))))</f>
        <v>700</v>
      </c>
      <c r="E37" s="5">
        <f>(F37*TRUNC(3+(15-3)*(TRUNC(MOD((A37*1103515245 +12345)/ 65536, 32768),0)/32768),0))+D37+(D37/10*F37)</f>
        <v>934</v>
      </c>
      <c r="F37" s="5">
        <v>3</v>
      </c>
      <c r="G37" s="5" t="s">
        <v>970</v>
      </c>
      <c r="H37" s="5"/>
      <c r="I37" s="5"/>
      <c r="J37" s="5"/>
      <c r="K37" s="50"/>
      <c r="L37" s="103">
        <v>156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 ht="13.2">
      <c r="A38" s="3">
        <f>IF(ISBLANK(B38),,A37+1)</f>
        <v>37</v>
      </c>
      <c r="B38" s="50" t="s">
        <v>1336</v>
      </c>
      <c r="C38" s="5" t="s">
        <v>994</v>
      </c>
      <c r="D38" s="5">
        <f>IF(C38="common",100,IF(C38="Uncommon",300,IF(C38="Rare",700,IF(C38="very rare",1100,IF(C38="Legendary",2000,0)))))</f>
        <v>300</v>
      </c>
      <c r="E38" s="5">
        <f>(F38*TRUNC(3+(15-3)*(TRUNC(MOD((A38*1103515245 +12345)/ 65536, 32768),0)/32768),0))+D38+(D38/10*F38)</f>
        <v>366</v>
      </c>
      <c r="F38" s="5">
        <v>2</v>
      </c>
      <c r="G38" s="5" t="s">
        <v>970</v>
      </c>
      <c r="H38" s="5" t="s">
        <v>1334</v>
      </c>
      <c r="I38" s="5" t="s">
        <v>963</v>
      </c>
      <c r="J38" s="5"/>
      <c r="K38" s="50"/>
      <c r="L38" s="103">
        <v>156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ht="13.2">
      <c r="A39" s="3">
        <f>IF(ISBLANK(B39),,A38+1)</f>
        <v>38</v>
      </c>
      <c r="B39" s="50" t="s">
        <v>1335</v>
      </c>
      <c r="C39" s="5" t="s">
        <v>991</v>
      </c>
      <c r="D39" s="5">
        <f>IF(C39="common",100,IF(C39="Uncommon",300,IF(C39="Rare",700,IF(C39="very rare",1100,IF(C39="Legendary",2000,0)))))</f>
        <v>700</v>
      </c>
      <c r="E39" s="5">
        <f>(F39*TRUNC(3+(15-3)*(TRUNC(MOD((A39*1103515245 +12345)/ 65536, 32768),0)/32768),0))+D39+(D39/10*F39)</f>
        <v>937</v>
      </c>
      <c r="F39" s="5">
        <v>3</v>
      </c>
      <c r="G39" s="5" t="s">
        <v>970</v>
      </c>
      <c r="H39" s="5" t="s">
        <v>1334</v>
      </c>
      <c r="I39" s="5" t="s">
        <v>963</v>
      </c>
      <c r="J39" s="5"/>
      <c r="K39" s="50"/>
      <c r="L39" s="103">
        <v>156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 ht="13.2">
      <c r="A40" s="3">
        <f>IF(ISBLANK(B40),,A39+1)</f>
        <v>39</v>
      </c>
      <c r="B40" s="50" t="s">
        <v>1333</v>
      </c>
      <c r="C40" s="5" t="s">
        <v>991</v>
      </c>
      <c r="D40" s="5">
        <f>IF(C40="common",100,IF(C40="Uncommon",300,IF(C40="Rare",700,IF(C40="very rare",1100,IF(C40="Legendary",2000,0)))))</f>
        <v>700</v>
      </c>
      <c r="E40" s="5">
        <f>(F40*TRUNC(3+(15-3)*(TRUNC(MOD((A40*1103515245 +12345)/ 65536, 32768),0)/32768),0))+D40+(D40/10*F40)</f>
        <v>919</v>
      </c>
      <c r="F40" s="5">
        <v>3</v>
      </c>
      <c r="G40" s="5" t="s">
        <v>970</v>
      </c>
      <c r="H40" s="5"/>
      <c r="I40" s="5"/>
      <c r="J40" s="5"/>
      <c r="K40" s="50"/>
      <c r="L40" s="103">
        <v>156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 ht="13.2">
      <c r="A41" s="3">
        <f>IF(ISBLANK(B41),,A40+1)</f>
        <v>40</v>
      </c>
      <c r="B41" s="50" t="s">
        <v>1332</v>
      </c>
      <c r="C41" s="5" t="s">
        <v>994</v>
      </c>
      <c r="D41" s="5">
        <f>IF(C41="common",100,IF(C41="Uncommon",300,IF(C41="Rare",700,IF(C41="very rare",1100,IF(C41="Legendary",2000,0)))))</f>
        <v>300</v>
      </c>
      <c r="E41" s="5">
        <f>(F41*TRUNC(3+(15-3)*(TRUNC(MOD((A41*1103515245 +12345)/ 65536, 32768),0)/32768),0))+D41+(D41/10*F41)</f>
        <v>378</v>
      </c>
      <c r="F41" s="5">
        <v>2</v>
      </c>
      <c r="G41" s="5" t="s">
        <v>970</v>
      </c>
      <c r="H41" s="5" t="s">
        <v>1179</v>
      </c>
      <c r="I41" s="5" t="s">
        <v>963</v>
      </c>
      <c r="J41" s="5"/>
      <c r="K41" s="50"/>
      <c r="L41" s="103">
        <v>156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 ht="13.2">
      <c r="A42" s="3">
        <f>IF(ISBLANK(B42),,A41+1)</f>
        <v>41</v>
      </c>
      <c r="B42" s="50" t="s">
        <v>1331</v>
      </c>
      <c r="C42" s="5" t="s">
        <v>994</v>
      </c>
      <c r="D42" s="5">
        <f>IF(C42="common",100,IF(C42="Uncommon",300,IF(C42="Rare",700,IF(C42="very rare",1100,IF(C42="Legendary",2000,0)))))</f>
        <v>300</v>
      </c>
      <c r="E42" s="5">
        <f>(F42*TRUNC(3+(15-3)*(TRUNC(MOD((A42*1103515245 +12345)/ 65536, 32768),0)/32768),0))+D42+(D42/10*F42)</f>
        <v>366</v>
      </c>
      <c r="F42" s="5">
        <v>2</v>
      </c>
      <c r="G42" s="5" t="s">
        <v>970</v>
      </c>
      <c r="H42" s="5"/>
      <c r="I42" s="5"/>
      <c r="J42" s="5"/>
      <c r="K42" s="50"/>
      <c r="L42" s="103">
        <v>156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 ht="13.2">
      <c r="A43" s="3">
        <f>IF(ISBLANK(B43),,A42+1)</f>
        <v>42</v>
      </c>
      <c r="B43" s="50" t="s">
        <v>1330</v>
      </c>
      <c r="C43" s="5" t="s">
        <v>1001</v>
      </c>
      <c r="D43" s="5">
        <f>IF(C43="common",100,IF(C43="Uncommon",300,IF(C43="Rare",700,IF(C43="very rare",1100,IF(C43="Legendary",2000,0)))))</f>
        <v>1100</v>
      </c>
      <c r="E43" s="5">
        <f>(F43*TRUNC(3+(15-3)*(TRUNC(MOD((A43*1103515245 +12345)/ 65536, 32768),0)/32768),0))+D43+(D43/10*F43)</f>
        <v>1576</v>
      </c>
      <c r="F43" s="5">
        <v>4</v>
      </c>
      <c r="G43" s="5" t="s">
        <v>970</v>
      </c>
      <c r="H43" s="5" t="s">
        <v>1024</v>
      </c>
      <c r="I43" s="5" t="s">
        <v>963</v>
      </c>
      <c r="J43" s="5"/>
      <c r="K43" s="50"/>
      <c r="L43" s="103">
        <v>157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1:28" ht="13.2">
      <c r="A44" s="3">
        <f>IF(ISBLANK(B44),,A43+1)</f>
        <v>43</v>
      </c>
      <c r="B44" s="50" t="s">
        <v>1329</v>
      </c>
      <c r="C44" s="5" t="s">
        <v>994</v>
      </c>
      <c r="D44" s="5">
        <f>IF(C44="common",100,IF(C44="Uncommon",300,IF(C44="Rare",700,IF(C44="very rare",1100,IF(C44="Legendary",2000,0)))))</f>
        <v>300</v>
      </c>
      <c r="E44" s="5">
        <f>(F44*TRUNC(3+(15-3)*(TRUNC(MOD((A44*1103515245 +12345)/ 65536, 32768),0)/32768),0))+D44+(D44/10*F44)</f>
        <v>368</v>
      </c>
      <c r="F44" s="5">
        <v>2</v>
      </c>
      <c r="G44" s="5" t="s">
        <v>970</v>
      </c>
      <c r="H44" s="5" t="s">
        <v>1217</v>
      </c>
      <c r="I44" s="5"/>
      <c r="J44" s="5"/>
      <c r="K44" s="50"/>
      <c r="L44" s="103">
        <v>157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 ht="13.2">
      <c r="A45" s="3">
        <f>IF(ISBLANK(B45),,A44+1)</f>
        <v>44</v>
      </c>
      <c r="B45" s="50" t="s">
        <v>1328</v>
      </c>
      <c r="C45" s="5" t="s">
        <v>991</v>
      </c>
      <c r="D45" s="5">
        <f>IF(C45="common",100,IF(C45="Uncommon",300,IF(C45="Rare",700,IF(C45="very rare",1100,IF(C45="Legendary",2000,0)))))</f>
        <v>700</v>
      </c>
      <c r="E45" s="5">
        <f>(F45*TRUNC(3+(15-3)*(TRUNC(MOD((A45*1103515245 +12345)/ 65536, 32768),0)/32768),0))+D45+(D45/10*F45)</f>
        <v>940</v>
      </c>
      <c r="F45" s="5">
        <v>3</v>
      </c>
      <c r="G45" s="5" t="s">
        <v>970</v>
      </c>
      <c r="H45" s="5" t="s">
        <v>990</v>
      </c>
      <c r="I45" s="5"/>
      <c r="J45" s="5"/>
      <c r="K45" s="50"/>
      <c r="L45" s="103">
        <v>157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 ht="13.2">
      <c r="A46" s="3">
        <f>IF(ISBLANK(B46),,A45+1)</f>
        <v>45</v>
      </c>
      <c r="B46" s="50" t="s">
        <v>1327</v>
      </c>
      <c r="C46" s="5" t="s">
        <v>1001</v>
      </c>
      <c r="D46" s="5">
        <f>IF(C46="common",100,IF(C46="Uncommon",300,IF(C46="Rare",700,IF(C46="very rare",1100,IF(C46="Legendary",2000,0)))))</f>
        <v>1100</v>
      </c>
      <c r="E46" s="5">
        <f>(F46*TRUNC(3+(15-3)*(TRUNC(MOD((A46*1103515245 +12345)/ 65536, 32768),0)/32768),0))+D46+(D46/10*F46)</f>
        <v>1556</v>
      </c>
      <c r="F46" s="5">
        <v>4</v>
      </c>
      <c r="G46" s="5" t="s">
        <v>970</v>
      </c>
      <c r="H46" s="5"/>
      <c r="I46" s="5"/>
      <c r="J46" s="5"/>
      <c r="K46" s="50"/>
      <c r="L46" s="103">
        <v>157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 ht="13.2">
      <c r="A47" s="3">
        <f>IF(ISBLANK(B47),,A46+1)</f>
        <v>46</v>
      </c>
      <c r="B47" s="50" t="s">
        <v>1326</v>
      </c>
      <c r="C47" s="5" t="s">
        <v>991</v>
      </c>
      <c r="D47" s="5">
        <f>IF(C47="common",100,IF(C47="Uncommon",300,IF(C47="Rare",700,IF(C47="very rare",1100,IF(C47="Legendary",2000,0)))))</f>
        <v>700</v>
      </c>
      <c r="E47" s="5">
        <f>(F47*TRUNC(3+(15-3)*(TRUNC(MOD((A47*1103515245 +12345)/ 65536, 32768),0)/32768),0))+D47+(D47/10*F47)</f>
        <v>940</v>
      </c>
      <c r="F47" s="5">
        <v>3</v>
      </c>
      <c r="G47" s="5" t="s">
        <v>970</v>
      </c>
      <c r="H47" s="5"/>
      <c r="I47" s="5"/>
      <c r="J47" s="5"/>
      <c r="K47" s="50"/>
      <c r="L47" s="103">
        <v>158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 ht="13.2">
      <c r="A48" s="3">
        <f>IF(ISBLANK(B48),,A47+1)</f>
        <v>47</v>
      </c>
      <c r="B48" s="50" t="s">
        <v>1325</v>
      </c>
      <c r="C48" s="5" t="s">
        <v>991</v>
      </c>
      <c r="D48" s="5">
        <f>IF(C48="common",100,IF(C48="Uncommon",300,IF(C48="Rare",700,IF(C48="very rare",1100,IF(C48="Legendary",2000,0)))))</f>
        <v>700</v>
      </c>
      <c r="E48" s="5">
        <f>(F48*TRUNC(3+(15-3)*(TRUNC(MOD((A48*1103515245 +12345)/ 65536, 32768),0)/32768),0))+D48+(D48/10*F48)</f>
        <v>922</v>
      </c>
      <c r="F48" s="5">
        <v>3</v>
      </c>
      <c r="G48" s="5" t="s">
        <v>970</v>
      </c>
      <c r="H48" s="5"/>
      <c r="I48" s="5"/>
      <c r="J48" s="5"/>
      <c r="K48" s="50"/>
      <c r="L48" s="103">
        <v>158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13.2">
      <c r="A49" s="3">
        <f>IF(ISBLANK(B49),,A48+1)</f>
        <v>48</v>
      </c>
      <c r="B49" s="50" t="s">
        <v>1324</v>
      </c>
      <c r="C49" s="5" t="s">
        <v>994</v>
      </c>
      <c r="D49" s="5">
        <f>IF(C49="common",100,IF(C49="Uncommon",300,IF(C49="Rare",700,IF(C49="very rare",1100,IF(C49="Legendary",2000,0)))))</f>
        <v>300</v>
      </c>
      <c r="E49" s="5">
        <f>(F49*TRUNC(3+(15-3)*(TRUNC(MOD((A49*1103515245 +12345)/ 65536, 32768),0)/32768),0))+D49+(D49/10*F49)</f>
        <v>380</v>
      </c>
      <c r="F49" s="5">
        <v>2</v>
      </c>
      <c r="G49" s="5" t="s">
        <v>970</v>
      </c>
      <c r="H49" s="5" t="s">
        <v>1217</v>
      </c>
      <c r="I49" s="5"/>
      <c r="J49" s="5"/>
      <c r="K49" s="50"/>
      <c r="L49" s="103">
        <v>158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 ht="13.2">
      <c r="A50" s="3">
        <f>IF(ISBLANK(B50),,A49+1)</f>
        <v>49</v>
      </c>
      <c r="B50" s="50" t="s">
        <v>1323</v>
      </c>
      <c r="C50" s="5" t="s">
        <v>1001</v>
      </c>
      <c r="D50" s="5">
        <f>IF(C50="common",100,IF(C50="Uncommon",300,IF(C50="Rare",700,IF(C50="very rare",1100,IF(C50="Legendary",2000,0)))))</f>
        <v>1100</v>
      </c>
      <c r="E50" s="5">
        <f>(F50*TRUNC(3+(15-3)*(TRUNC(MOD((A50*1103515245 +12345)/ 65536, 32768),0)/32768),0))+D50+(D50/10*F50)</f>
        <v>1560</v>
      </c>
      <c r="F50" s="5">
        <v>4</v>
      </c>
      <c r="G50" s="5" t="s">
        <v>970</v>
      </c>
      <c r="H50" s="5" t="s">
        <v>990</v>
      </c>
      <c r="I50" s="5" t="s">
        <v>963</v>
      </c>
      <c r="J50" s="5"/>
      <c r="K50" s="50"/>
      <c r="L50" s="103">
        <v>158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 ht="13.2">
      <c r="A51" s="3">
        <f>IF(ISBLANK(B51),,A50+1)</f>
        <v>50</v>
      </c>
      <c r="B51" s="50" t="s">
        <v>1322</v>
      </c>
      <c r="C51" s="5" t="s">
        <v>991</v>
      </c>
      <c r="D51" s="5">
        <f>IF(C51="common",100,IF(C51="Uncommon",300,IF(C51="Rare",700,IF(C51="very rare",1100,IF(C51="Legendary",2000,0)))))</f>
        <v>700</v>
      </c>
      <c r="E51" s="5">
        <f>(F51*TRUNC(3+(15-3)*(TRUNC(MOD((A51*1103515245 +12345)/ 65536, 32768),0)/32768),0))+D51+(D51/10*F51)</f>
        <v>943</v>
      </c>
      <c r="F51" s="5">
        <v>3</v>
      </c>
      <c r="G51" s="5" t="s">
        <v>970</v>
      </c>
      <c r="H51" s="5" t="s">
        <v>990</v>
      </c>
      <c r="I51" s="5" t="s">
        <v>963</v>
      </c>
      <c r="J51" s="5"/>
      <c r="K51" s="50"/>
      <c r="L51" s="103">
        <v>158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 ht="13.2">
      <c r="A52" s="3">
        <f>IF(ISBLANK(B52),,A51+1)</f>
        <v>51</v>
      </c>
      <c r="B52" s="50" t="s">
        <v>1321</v>
      </c>
      <c r="C52" s="5" t="s">
        <v>994</v>
      </c>
      <c r="D52" s="5">
        <f>IF(C52="common",100,IF(C52="Uncommon",300,IF(C52="Rare",700,IF(C52="very rare",1100,IF(C52="Legendary",2000,0)))))</f>
        <v>300</v>
      </c>
      <c r="E52" s="5">
        <f>(F52*TRUNC(3+(15-3)*(TRUNC(MOD((A52*1103515245 +12345)/ 65536, 32768),0)/32768),0))+D52+(D52/10*F52)</f>
        <v>370</v>
      </c>
      <c r="F52" s="5">
        <v>2</v>
      </c>
      <c r="G52" s="5" t="s">
        <v>970</v>
      </c>
      <c r="H52" s="5" t="s">
        <v>990</v>
      </c>
      <c r="I52" s="5" t="s">
        <v>963</v>
      </c>
      <c r="J52" s="5"/>
      <c r="K52" s="50"/>
      <c r="L52" s="103">
        <v>158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 ht="13.2">
      <c r="A53" s="3">
        <f>IF(ISBLANK(B53),,A52+1)</f>
        <v>52</v>
      </c>
      <c r="B53" s="50" t="s">
        <v>1320</v>
      </c>
      <c r="C53" s="5" t="s">
        <v>997</v>
      </c>
      <c r="D53" s="5">
        <f>IF(C53="common",100,IF(C53="Uncommon",300,IF(C53="Rare",700,IF(C53="very rare",1100,IF(C53="Legendary",2000,0)))))</f>
        <v>2000</v>
      </c>
      <c r="E53" s="5">
        <f>(F53*TRUNC(3+(15-3)*(TRUNC(MOD((A53*1103515245 +12345)/ 65536, 32768),0)/32768),0))+D53+(D53/10*F53)</f>
        <v>3055</v>
      </c>
      <c r="F53" s="5">
        <v>5</v>
      </c>
      <c r="G53" s="5" t="s">
        <v>970</v>
      </c>
      <c r="H53" s="5" t="s">
        <v>990</v>
      </c>
      <c r="I53" s="5" t="s">
        <v>963</v>
      </c>
      <c r="J53" s="5"/>
      <c r="K53" s="50"/>
      <c r="L53" s="103">
        <v>158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 ht="13.2">
      <c r="A54" s="3">
        <f>IF(ISBLANK(B54),,A53+1)</f>
        <v>53</v>
      </c>
      <c r="B54" s="50" t="s">
        <v>1319</v>
      </c>
      <c r="C54" s="5" t="s">
        <v>994</v>
      </c>
      <c r="D54" s="5">
        <f>IF(C54="common",100,IF(C54="Uncommon",300,IF(C54="Rare",700,IF(C54="very rare",1100,IF(C54="Legendary",2000,0)))))</f>
        <v>300</v>
      </c>
      <c r="E54" s="5">
        <f>(F54*TRUNC(3+(15-3)*(TRUNC(MOD((A54*1103515245 +12345)/ 65536, 32768),0)/32768),0))+D54+(D54/10*F54)</f>
        <v>370</v>
      </c>
      <c r="F54" s="5">
        <v>2</v>
      </c>
      <c r="G54" s="5" t="s">
        <v>970</v>
      </c>
      <c r="H54" s="5" t="s">
        <v>990</v>
      </c>
      <c r="I54" s="5" t="s">
        <v>963</v>
      </c>
      <c r="J54" s="5"/>
      <c r="K54" s="50"/>
      <c r="L54" s="103">
        <v>159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 ht="13.2">
      <c r="A55" s="3">
        <f>IF(ISBLANK(B55),,A54+1)</f>
        <v>54</v>
      </c>
      <c r="B55" s="50" t="s">
        <v>1318</v>
      </c>
      <c r="C55" s="5" t="s">
        <v>991</v>
      </c>
      <c r="D55" s="5">
        <f>IF(C55="common",100,IF(C55="Uncommon",300,IF(C55="Rare",700,IF(C55="very rare",1100,IF(C55="Legendary",2000,0)))))</f>
        <v>700</v>
      </c>
      <c r="E55" s="5">
        <f>(F55*TRUNC(3+(15-3)*(TRUNC(MOD((A55*1103515245 +12345)/ 65536, 32768),0)/32768),0))+D55+(D55/10*F55)</f>
        <v>943</v>
      </c>
      <c r="F55" s="5">
        <v>3</v>
      </c>
      <c r="G55" s="5" t="s">
        <v>970</v>
      </c>
      <c r="H55" s="5" t="s">
        <v>990</v>
      </c>
      <c r="I55" s="5" t="s">
        <v>963</v>
      </c>
      <c r="J55" s="5"/>
      <c r="K55" s="50"/>
      <c r="L55" s="103">
        <v>159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 ht="13.2">
      <c r="A56" s="3">
        <f>IF(ISBLANK(B56),,A55+1)</f>
        <v>55</v>
      </c>
      <c r="B56" s="50" t="s">
        <v>1317</v>
      </c>
      <c r="C56" s="5" t="s">
        <v>994</v>
      </c>
      <c r="D56" s="5">
        <f>IF(C56="common",100,IF(C56="Uncommon",300,IF(C56="Rare",700,IF(C56="very rare",1100,IF(C56="Legendary",2000,0)))))</f>
        <v>300</v>
      </c>
      <c r="E56" s="5">
        <f>(F56*TRUNC(3+(15-3)*(TRUNC(MOD((A56*1103515245 +12345)/ 65536, 32768),0)/32768),0))+D56+(D56/10*F56)</f>
        <v>372</v>
      </c>
      <c r="F56" s="5">
        <v>2</v>
      </c>
      <c r="G56" s="5" t="s">
        <v>970</v>
      </c>
      <c r="H56" s="5" t="s">
        <v>990</v>
      </c>
      <c r="I56" s="5"/>
      <c r="J56" s="5"/>
      <c r="K56" s="50"/>
      <c r="L56" s="103">
        <v>159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3.2">
      <c r="A57" s="3">
        <f>IF(ISBLANK(B57),,A56+1)</f>
        <v>56</v>
      </c>
      <c r="B57" s="50" t="s">
        <v>1316</v>
      </c>
      <c r="C57" s="5" t="s">
        <v>1001</v>
      </c>
      <c r="D57" s="5">
        <f>IF(C57="common",100,IF(C57="Uncommon",300,IF(C57="Rare",700,IF(C57="very rare",1100,IF(C57="Legendary",2000,0)))))</f>
        <v>1100</v>
      </c>
      <c r="E57" s="5">
        <f>(F57*TRUNC(3+(15-3)*(TRUNC(MOD((A57*1103515245 +12345)/ 65536, 32768),0)/32768),0))+D57+(D57/10*F57)</f>
        <v>1588</v>
      </c>
      <c r="F57" s="5">
        <v>4</v>
      </c>
      <c r="G57" s="5" t="s">
        <v>970</v>
      </c>
      <c r="H57" s="5"/>
      <c r="I57" s="5" t="s">
        <v>963</v>
      </c>
      <c r="J57" s="5"/>
      <c r="K57" s="50"/>
      <c r="L57" s="103">
        <v>159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1:28" ht="13.2">
      <c r="A58" s="3">
        <f>IF(ISBLANK(B58),,A57+1)</f>
        <v>57</v>
      </c>
      <c r="B58" s="50" t="s">
        <v>1316</v>
      </c>
      <c r="C58" s="5" t="s">
        <v>997</v>
      </c>
      <c r="D58" s="5">
        <f>IF(C58="common",100,IF(C58="Uncommon",300,IF(C58="Rare",700,IF(C58="very rare",1100,IF(C58="Legendary",2000,0)))))</f>
        <v>2000</v>
      </c>
      <c r="E58" s="5">
        <f>(F58*TRUNC(3+(15-3)*(TRUNC(MOD((A58*1103515245 +12345)/ 65536, 32768),0)/32768),0))+D58+(D58/10*F58)</f>
        <v>3030</v>
      </c>
      <c r="F58" s="5">
        <v>5</v>
      </c>
      <c r="G58" s="5" t="s">
        <v>970</v>
      </c>
      <c r="H58" s="5"/>
      <c r="I58" s="5" t="s">
        <v>963</v>
      </c>
      <c r="J58" s="5"/>
      <c r="K58" s="50"/>
      <c r="L58" s="103">
        <v>159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1:28" ht="13.2">
      <c r="A59" s="3">
        <f>IF(ISBLANK(B59),,A58+1)</f>
        <v>58</v>
      </c>
      <c r="B59" s="50" t="s">
        <v>1315</v>
      </c>
      <c r="C59" s="5" t="s">
        <v>991</v>
      </c>
      <c r="D59" s="5">
        <f>IF(C59="common",100,IF(C59="Uncommon",300,IF(C59="Rare",700,IF(C59="very rare",1100,IF(C59="Legendary",2000,0)))))</f>
        <v>700</v>
      </c>
      <c r="E59" s="5">
        <f>(F59*TRUNC(3+(15-3)*(TRUNC(MOD((A59*1103515245 +12345)/ 65536, 32768),0)/32768),0))+D59+(D59/10*F59)</f>
        <v>946</v>
      </c>
      <c r="F59" s="5">
        <v>3</v>
      </c>
      <c r="G59" s="5" t="s">
        <v>970</v>
      </c>
      <c r="H59" s="5"/>
      <c r="I59" s="5" t="s">
        <v>963</v>
      </c>
      <c r="J59" s="5"/>
      <c r="K59" s="50"/>
      <c r="L59" s="103">
        <v>159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1:28" ht="13.2">
      <c r="A60" s="3">
        <f>IF(ISBLANK(B60),,A59+1)</f>
        <v>59</v>
      </c>
      <c r="B60" s="50" t="s">
        <v>1314</v>
      </c>
      <c r="C60" s="5" t="s">
        <v>997</v>
      </c>
      <c r="D60" s="5">
        <f>IF(C60="common",100,IF(C60="Uncommon",300,IF(C60="Rare",700,IF(C60="very rare",1100,IF(C60="Legendary",2000,0)))))</f>
        <v>2000</v>
      </c>
      <c r="E60" s="5">
        <f>(F60*TRUNC(3+(15-3)*(TRUNC(MOD((A60*1103515245 +12345)/ 65536, 32768),0)/32768),0))+D60+(D60/10*F60)</f>
        <v>3030</v>
      </c>
      <c r="F60" s="5">
        <v>5</v>
      </c>
      <c r="G60" s="5" t="s">
        <v>970</v>
      </c>
      <c r="H60" s="5"/>
      <c r="I60" s="5"/>
      <c r="J60" s="5"/>
      <c r="K60" s="50"/>
      <c r="L60" s="103">
        <v>160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1:28" ht="13.2">
      <c r="A61" s="3">
        <f>IF(ISBLANK(B61),,A60+1)</f>
        <v>60</v>
      </c>
      <c r="B61" s="50" t="s">
        <v>1313</v>
      </c>
      <c r="C61" s="5" t="s">
        <v>991</v>
      </c>
      <c r="D61" s="5">
        <f>IF(C61="common",100,IF(C61="Uncommon",300,IF(C61="Rare",700,IF(C61="very rare",1100,IF(C61="Legendary",2000,0)))))</f>
        <v>700</v>
      </c>
      <c r="E61" s="5">
        <f>(F61*TRUNC(3+(15-3)*(TRUNC(MOD((A61*1103515245 +12345)/ 65536, 32768),0)/32768),0))+D61+(D61/10*F61)</f>
        <v>946</v>
      </c>
      <c r="F61" s="5">
        <v>3</v>
      </c>
      <c r="G61" s="5" t="s">
        <v>970</v>
      </c>
      <c r="H61" s="5"/>
      <c r="I61" s="5"/>
      <c r="J61" s="5"/>
      <c r="K61" s="50"/>
      <c r="L61" s="103">
        <v>160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1:28" ht="13.2">
      <c r="A62" s="3">
        <f>IF(ISBLANK(B62),,A61+1)</f>
        <v>61</v>
      </c>
      <c r="B62" s="50" t="s">
        <v>1312</v>
      </c>
      <c r="C62" s="5" t="s">
        <v>991</v>
      </c>
      <c r="D62" s="5">
        <f>IF(C62="common",100,IF(C62="Uncommon",300,IF(C62="Rare",700,IF(C62="very rare",1100,IF(C62="Legendary",2000,0)))))</f>
        <v>700</v>
      </c>
      <c r="E62" s="5">
        <f>(F62*TRUNC(3+(15-3)*(TRUNC(MOD((A62*1103515245 +12345)/ 65536, 32768),0)/32768),0))+D62+(D62/10*F62)</f>
        <v>931</v>
      </c>
      <c r="F62" s="5">
        <v>3</v>
      </c>
      <c r="G62" s="5" t="s">
        <v>968</v>
      </c>
      <c r="H62" s="5" t="s">
        <v>1311</v>
      </c>
      <c r="I62" s="5"/>
      <c r="J62" s="5"/>
      <c r="K62" s="50"/>
      <c r="L62" s="103">
        <v>161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1:28" ht="13.2">
      <c r="A63" s="3">
        <f>IF(ISBLANK(B63),,A62+1)</f>
        <v>62</v>
      </c>
      <c r="B63" s="50" t="s">
        <v>1310</v>
      </c>
      <c r="C63" s="5" t="s">
        <v>1001</v>
      </c>
      <c r="D63" s="5">
        <f>IF(C63="common",100,IF(C63="Uncommon",300,IF(C63="Rare",700,IF(C63="very rare",1100,IF(C63="Legendary",2000,0)))))</f>
        <v>1100</v>
      </c>
      <c r="E63" s="5">
        <f>(F63*TRUNC(3+(15-3)*(TRUNC(MOD((A63*1103515245 +12345)/ 65536, 32768),0)/32768),0))+D63+(D63/10*F63)</f>
        <v>1592</v>
      </c>
      <c r="F63" s="5">
        <v>4</v>
      </c>
      <c r="G63" s="5" t="s">
        <v>968</v>
      </c>
      <c r="H63" s="5" t="s">
        <v>1039</v>
      </c>
      <c r="I63" s="5" t="s">
        <v>963</v>
      </c>
      <c r="J63" s="5"/>
      <c r="K63" s="50"/>
      <c r="L63" s="103">
        <v>161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 ht="13.2">
      <c r="A64" s="3">
        <f>IF(ISBLANK(B64),,A63+1)</f>
        <v>63</v>
      </c>
      <c r="B64" s="50" t="s">
        <v>1309</v>
      </c>
      <c r="C64" s="5" t="s">
        <v>994</v>
      </c>
      <c r="D64" s="5">
        <f>IF(C64="common",100,IF(C64="Uncommon",300,IF(C64="Rare",700,IF(C64="very rare",1100,IF(C64="Legendary",2000,0)))))</f>
        <v>300</v>
      </c>
      <c r="E64" s="5">
        <f>(F64*TRUNC(3+(15-3)*(TRUNC(MOD((A64*1103515245 +12345)/ 65536, 32768),0)/32768),0))+D64+(D64/10*F64)</f>
        <v>374</v>
      </c>
      <c r="F64" s="5">
        <v>2</v>
      </c>
      <c r="G64" s="5" t="s">
        <v>970</v>
      </c>
      <c r="H64" s="5"/>
      <c r="I64" s="5"/>
      <c r="J64" s="5"/>
      <c r="K64" s="50"/>
      <c r="L64" s="103">
        <v>161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spans="1:28" ht="13.2">
      <c r="A65" s="3">
        <f>IF(ISBLANK(B65),,A64+1)</f>
        <v>64</v>
      </c>
      <c r="B65" s="50" t="s">
        <v>1308</v>
      </c>
      <c r="C65" s="5" t="s">
        <v>994</v>
      </c>
      <c r="D65" s="5">
        <f>IF(C65="common",100,IF(C65="Uncommon",300,IF(C65="Rare",700,IF(C65="very rare",1100,IF(C65="Legendary",2000,0)))))</f>
        <v>300</v>
      </c>
      <c r="E65" s="5">
        <f>(F65*TRUNC(3+(15-3)*(TRUNC(MOD((A65*1103515245 +12345)/ 65536, 32768),0)/32768),0))+D65+(D65/10*F65)</f>
        <v>386</v>
      </c>
      <c r="F65" s="5">
        <v>2</v>
      </c>
      <c r="G65" s="5" t="s">
        <v>970</v>
      </c>
      <c r="H65" s="5" t="s">
        <v>1024</v>
      </c>
      <c r="I65" s="5"/>
      <c r="J65" s="5"/>
      <c r="K65" s="50"/>
      <c r="L65" s="103">
        <v>161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1:28" ht="13.2">
      <c r="A66" s="3">
        <f>IF(ISBLANK(B66),,A65+1)</f>
        <v>65</v>
      </c>
      <c r="B66" s="50" t="s">
        <v>1307</v>
      </c>
      <c r="C66" s="5" t="s">
        <v>997</v>
      </c>
      <c r="D66" s="5">
        <f>IF(C66="common",100,IF(C66="Uncommon",300,IF(C66="Rare",700,IF(C66="very rare",1100,IF(C66="Legendary",2000,0)))))</f>
        <v>2000</v>
      </c>
      <c r="E66" s="5">
        <f>(F66*TRUNC(3+(15-3)*(TRUNC(MOD((A66*1103515245 +12345)/ 65536, 32768),0)/32768),0))+D66+(D66/10*F66)</f>
        <v>3035</v>
      </c>
      <c r="F66" s="5">
        <v>5</v>
      </c>
      <c r="G66" s="5" t="s">
        <v>970</v>
      </c>
      <c r="H66" s="5" t="s">
        <v>1024</v>
      </c>
      <c r="I66" s="5"/>
      <c r="J66" s="5"/>
      <c r="K66" s="50"/>
      <c r="L66" s="103">
        <v>162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1:28" ht="13.2">
      <c r="A67" s="3">
        <f>IF(ISBLANK(B67),,A66+1)</f>
        <v>66</v>
      </c>
      <c r="B67" s="50" t="s">
        <v>1306</v>
      </c>
      <c r="C67" s="5" t="s">
        <v>997</v>
      </c>
      <c r="D67" s="5">
        <f>IF(C67="common",100,IF(C67="Uncommon",300,IF(C67="Rare",700,IF(C67="very rare",1100,IF(C67="Legendary",2000,0)))))</f>
        <v>2000</v>
      </c>
      <c r="E67" s="5">
        <f>(F67*TRUNC(3+(15-3)*(TRUNC(MOD((A67*1103515245 +12345)/ 65536, 32768),0)/32768),0))+D67+(D67/10*F67)</f>
        <v>3065</v>
      </c>
      <c r="F67" s="5">
        <v>5</v>
      </c>
      <c r="G67" s="5" t="s">
        <v>968</v>
      </c>
      <c r="H67" s="5" t="s">
        <v>1039</v>
      </c>
      <c r="I67" s="5" t="s">
        <v>963</v>
      </c>
      <c r="J67" s="5"/>
      <c r="K67" s="50"/>
      <c r="L67" s="103">
        <v>164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1:28" ht="13.2">
      <c r="A68" s="3">
        <f>IF(ISBLANK(B68),,A67+1)</f>
        <v>67</v>
      </c>
      <c r="B68" s="50" t="s">
        <v>1305</v>
      </c>
      <c r="C68" s="5" t="s">
        <v>1001</v>
      </c>
      <c r="D68" s="5">
        <f>IF(C68="common",100,IF(C68="Uncommon",300,IF(C68="Rare",700,IF(C68="very rare",1100,IF(C68="Legendary",2000,0)))))</f>
        <v>1100</v>
      </c>
      <c r="E68" s="5">
        <f>(F68*TRUNC(3+(15-3)*(TRUNC(MOD((A68*1103515245 +12345)/ 65536, 32768),0)/32768),0))+D68+(D68/10*F68)</f>
        <v>1572</v>
      </c>
      <c r="F68" s="5">
        <v>4</v>
      </c>
      <c r="G68" s="5" t="s">
        <v>1072</v>
      </c>
      <c r="H68" s="5" t="s">
        <v>1174</v>
      </c>
      <c r="I68" s="5" t="s">
        <v>963</v>
      </c>
      <c r="J68" s="5" t="s">
        <v>1088</v>
      </c>
      <c r="K68" s="50"/>
      <c r="L68" s="103">
        <v>165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1:28" ht="13.2">
      <c r="A69" s="3">
        <f>IF(ISBLANK(B69),,A68+1)</f>
        <v>68</v>
      </c>
      <c r="B69" s="50" t="s">
        <v>1304</v>
      </c>
      <c r="C69" s="5" t="s">
        <v>991</v>
      </c>
      <c r="D69" s="5">
        <f>IF(C69="common",100,IF(C69="Uncommon",300,IF(C69="Rare",700,IF(C69="very rare",1100,IF(C69="Legendary",2000,0)))))</f>
        <v>700</v>
      </c>
      <c r="E69" s="5">
        <f>(F69*TRUNC(3+(15-3)*(TRUNC(MOD((A69*1103515245 +12345)/ 65536, 32768),0)/32768),0))+D69+(D69/10*F69)</f>
        <v>952</v>
      </c>
      <c r="F69" s="5">
        <v>3</v>
      </c>
      <c r="G69" s="5" t="s">
        <v>970</v>
      </c>
      <c r="H69" s="5"/>
      <c r="I69" s="5"/>
      <c r="J69" s="5"/>
      <c r="K69" s="50"/>
      <c r="L69" s="103">
        <v>165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1:28" ht="13.2">
      <c r="A70" s="3">
        <f>IF(ISBLANK(B70),,A69+1)</f>
        <v>69</v>
      </c>
      <c r="B70" s="50" t="s">
        <v>1303</v>
      </c>
      <c r="C70" s="5" t="s">
        <v>1001</v>
      </c>
      <c r="D70" s="5">
        <f>IF(C70="common",100,IF(C70="Uncommon",300,IF(C70="Rare",700,IF(C70="very rare",1100,IF(C70="Legendary",2000,0)))))</f>
        <v>1100</v>
      </c>
      <c r="E70" s="5">
        <f>(F70*TRUNC(3+(15-3)*(TRUNC(MOD((A70*1103515245 +12345)/ 65536, 32768),0)/32768),0))+D70+(D70/10*F70)</f>
        <v>1572</v>
      </c>
      <c r="F70" s="5">
        <v>4</v>
      </c>
      <c r="G70" s="5" t="s">
        <v>1072</v>
      </c>
      <c r="H70" s="5" t="s">
        <v>1302</v>
      </c>
      <c r="I70" s="5" t="s">
        <v>963</v>
      </c>
      <c r="J70" s="5"/>
      <c r="K70" s="50"/>
      <c r="L70" s="103">
        <v>165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ht="13.2">
      <c r="A71" s="3">
        <f>IF(ISBLANK(B71),,A70+1)</f>
        <v>70</v>
      </c>
      <c r="B71" s="50" t="s">
        <v>1301</v>
      </c>
      <c r="C71" s="5" t="s">
        <v>991</v>
      </c>
      <c r="D71" s="5">
        <f>IF(C71="common",100,IF(C71="Uncommon",300,IF(C71="Rare",700,IF(C71="very rare",1100,IF(C71="Legendary",2000,0)))))</f>
        <v>700</v>
      </c>
      <c r="E71" s="5">
        <f>(F71*TRUNC(3+(15-3)*(TRUNC(MOD((A71*1103515245 +12345)/ 65536, 32768),0)/32768),0))+D71+(D71/10*F71)</f>
        <v>952</v>
      </c>
      <c r="F71" s="5">
        <v>3</v>
      </c>
      <c r="G71" s="5" t="s">
        <v>968</v>
      </c>
      <c r="H71" s="5" t="s">
        <v>1039</v>
      </c>
      <c r="I71" s="5"/>
      <c r="J71" s="5"/>
      <c r="K71" s="50"/>
      <c r="L71" s="103">
        <v>165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1:28" ht="13.2">
      <c r="A72" s="3">
        <f>IF(ISBLANK(B72),,A71+1)</f>
        <v>71</v>
      </c>
      <c r="B72" s="50" t="s">
        <v>1300</v>
      </c>
      <c r="C72" s="5" t="s">
        <v>994</v>
      </c>
      <c r="D72" s="5">
        <f>IF(C72="common",100,IF(C72="Uncommon",300,IF(C72="Rare",700,IF(C72="very rare",1100,IF(C72="Legendary",2000,0)))))</f>
        <v>300</v>
      </c>
      <c r="E72" s="5">
        <f>(F72*TRUNC(3+(15-3)*(TRUNC(MOD((A72*1103515245 +12345)/ 65536, 32768),0)/32768),0))+D72+(D72/10*F72)</f>
        <v>376</v>
      </c>
      <c r="F72" s="5">
        <v>2</v>
      </c>
      <c r="G72" s="5" t="s">
        <v>970</v>
      </c>
      <c r="H72" s="5"/>
      <c r="I72" s="5"/>
      <c r="J72" s="5"/>
      <c r="K72" s="50"/>
      <c r="L72" s="103">
        <v>166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1:28" ht="13.2">
      <c r="A73" s="3">
        <f>IF(ISBLANK(B73),,A72+1)</f>
        <v>72</v>
      </c>
      <c r="B73" s="50" t="s">
        <v>1299</v>
      </c>
      <c r="C73" s="5" t="s">
        <v>994</v>
      </c>
      <c r="D73" s="5">
        <f>IF(C73="common",100,IF(C73="Uncommon",300,IF(C73="Rare",700,IF(C73="very rare",1100,IF(C73="Legendary",2000,0)))))</f>
        <v>300</v>
      </c>
      <c r="E73" s="5">
        <f>(F73*TRUNC(3+(15-3)*(TRUNC(MOD((A73*1103515245 +12345)/ 65536, 32768),0)/32768),0))+D73+(D73/10*F73)</f>
        <v>388</v>
      </c>
      <c r="F73" s="5">
        <v>2</v>
      </c>
      <c r="G73" s="5" t="s">
        <v>970</v>
      </c>
      <c r="H73" s="5" t="s">
        <v>1024</v>
      </c>
      <c r="I73" s="5"/>
      <c r="J73" s="5"/>
      <c r="K73" s="50"/>
      <c r="L73" s="103">
        <v>166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1:28" ht="13.2">
      <c r="A74" s="3">
        <f>IF(ISBLANK(B74),,A73+1)</f>
        <v>73</v>
      </c>
      <c r="B74" s="50" t="s">
        <v>1298</v>
      </c>
      <c r="C74" s="5" t="s">
        <v>994</v>
      </c>
      <c r="D74" s="5">
        <f>IF(C74="common",100,IF(C74="Uncommon",300,IF(C74="Rare",700,IF(C74="very rare",1100,IF(C74="Legendary",2000,0)))))</f>
        <v>300</v>
      </c>
      <c r="E74" s="5">
        <f>(F74*TRUNC(3+(15-3)*(TRUNC(MOD((A74*1103515245 +12345)/ 65536, 32768),0)/32768),0))+D74+(D74/10*F74)</f>
        <v>378</v>
      </c>
      <c r="F74" s="5">
        <v>2</v>
      </c>
      <c r="G74" s="5" t="s">
        <v>970</v>
      </c>
      <c r="H74" s="5" t="s">
        <v>1024</v>
      </c>
      <c r="I74" s="5"/>
      <c r="J74" s="5"/>
      <c r="K74" s="50"/>
      <c r="L74" s="103">
        <v>166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1:28" ht="13.2">
      <c r="A75" s="3">
        <f>IF(ISBLANK(B75),,A74+1)</f>
        <v>74</v>
      </c>
      <c r="B75" s="50" t="s">
        <v>1297</v>
      </c>
      <c r="C75" s="5" t="s">
        <v>994</v>
      </c>
      <c r="D75" s="5">
        <f>IF(C75="common",100,IF(C75="Uncommon",300,IF(C75="Rare",700,IF(C75="very rare",1100,IF(C75="Legendary",2000,0)))))</f>
        <v>300</v>
      </c>
      <c r="E75" s="5">
        <f>(F75*TRUNC(3+(15-3)*(TRUNC(MOD((A75*1103515245 +12345)/ 65536, 32768),0)/32768),0))+D75+(D75/10*F75)</f>
        <v>366</v>
      </c>
      <c r="F75" s="5">
        <v>2</v>
      </c>
      <c r="G75" s="5" t="s">
        <v>970</v>
      </c>
      <c r="H75" s="5" t="s">
        <v>1024</v>
      </c>
      <c r="I75" s="5"/>
      <c r="J75" s="5"/>
      <c r="K75" s="50"/>
      <c r="L75" s="103">
        <v>166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1:28" ht="13.2">
      <c r="A76" s="3">
        <f>IF(ISBLANK(B76),,A75+1)</f>
        <v>75</v>
      </c>
      <c r="B76" s="50" t="s">
        <v>1296</v>
      </c>
      <c r="C76" s="5" t="s">
        <v>1001</v>
      </c>
      <c r="D76" s="5">
        <f>IF(C76="common",100,IF(C76="Uncommon",300,IF(C76="Rare",700,IF(C76="very rare",1100,IF(C76="Legendary",2000,0)))))</f>
        <v>1100</v>
      </c>
      <c r="E76" s="5">
        <f>(F76*TRUNC(3+(15-3)*(TRUNC(MOD((A76*1103515245 +12345)/ 65536, 32768),0)/32768),0))+D76+(D76/10*F76)</f>
        <v>1576</v>
      </c>
      <c r="F76" s="5">
        <v>4</v>
      </c>
      <c r="G76" s="5" t="s">
        <v>1072</v>
      </c>
      <c r="H76" s="5" t="s">
        <v>1174</v>
      </c>
      <c r="I76" s="5"/>
      <c r="J76" s="5"/>
      <c r="K76" s="50"/>
      <c r="L76" s="103">
        <v>167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1:28" ht="13.2">
      <c r="A77" s="3">
        <f>IF(ISBLANK(B77),,A76+1)</f>
        <v>76</v>
      </c>
      <c r="B77" s="50" t="s">
        <v>1295</v>
      </c>
      <c r="C77" s="5" t="s">
        <v>1001</v>
      </c>
      <c r="D77" s="5">
        <f>IF(C77="common",100,IF(C77="Uncommon",300,IF(C77="Rare",700,IF(C77="very rare",1100,IF(C77="Legendary",2000,0)))))</f>
        <v>1100</v>
      </c>
      <c r="E77" s="5">
        <f>(F77*TRUNC(3+(15-3)*(TRUNC(MOD((A77*1103515245 +12345)/ 65536, 32768),0)/32768),0))+D77+(D77/10*F77)</f>
        <v>1552</v>
      </c>
      <c r="F77" s="5">
        <v>4</v>
      </c>
      <c r="G77" s="5" t="s">
        <v>968</v>
      </c>
      <c r="H77" s="5" t="s">
        <v>979</v>
      </c>
      <c r="I77" s="5" t="s">
        <v>963</v>
      </c>
      <c r="J77" s="5"/>
      <c r="K77" s="50" t="s">
        <v>978</v>
      </c>
      <c r="L77" s="103">
        <v>167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 ht="13.2">
      <c r="A78" s="3">
        <f>IF(ISBLANK(B78),,A77+1)</f>
        <v>77</v>
      </c>
      <c r="B78" s="50" t="s">
        <v>1294</v>
      </c>
      <c r="C78" s="5" t="s">
        <v>1001</v>
      </c>
      <c r="D78" s="5">
        <f>IF(C78="common",100,IF(C78="Uncommon",300,IF(C78="Rare",700,IF(C78="very rare",1100,IF(C78="Legendary",2000,0)))))</f>
        <v>1100</v>
      </c>
      <c r="E78" s="5">
        <f>(F78*TRUNC(3+(15-3)*(TRUNC(MOD((A78*1103515245 +12345)/ 65536, 32768),0)/32768),0))+D78+(D78/10*F78)</f>
        <v>1576</v>
      </c>
      <c r="F78" s="5">
        <v>4</v>
      </c>
      <c r="G78" s="5" t="s">
        <v>970</v>
      </c>
      <c r="H78" s="5"/>
      <c r="I78" s="5"/>
      <c r="J78" s="5"/>
      <c r="K78" s="50"/>
      <c r="L78" s="103">
        <v>167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1:28" ht="13.2">
      <c r="A79" s="3">
        <f>IF(ISBLANK(B79),,A78+1)</f>
        <v>78</v>
      </c>
      <c r="B79" s="50" t="s">
        <v>1293</v>
      </c>
      <c r="C79" s="5" t="s">
        <v>997</v>
      </c>
      <c r="D79" s="5">
        <f>IF(C79="common",100,IF(C79="Uncommon",300,IF(C79="Rare",700,IF(C79="very rare",1100,IF(C79="Legendary",2000,0)))))</f>
        <v>2000</v>
      </c>
      <c r="E79" s="5">
        <f>(F79*TRUNC(3+(15-3)*(TRUNC(MOD((A79*1103515245 +12345)/ 65536, 32768),0)/32768),0))+D79+(D79/10*F79)</f>
        <v>3015</v>
      </c>
      <c r="F79" s="5">
        <v>5</v>
      </c>
      <c r="G79" s="5" t="s">
        <v>1072</v>
      </c>
      <c r="H79" s="5" t="s">
        <v>1292</v>
      </c>
      <c r="I79" s="5" t="s">
        <v>963</v>
      </c>
      <c r="J79" s="5"/>
      <c r="K79" s="50"/>
      <c r="L79" s="103">
        <v>167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 ht="13.2">
      <c r="A80" s="3">
        <f>IF(ISBLANK(B80),,A79+1)</f>
        <v>79</v>
      </c>
      <c r="B80" s="50" t="s">
        <v>1291</v>
      </c>
      <c r="C80" s="5" t="s">
        <v>994</v>
      </c>
      <c r="D80" s="5">
        <f>IF(C80="common",100,IF(C80="Uncommon",300,IF(C80="Rare",700,IF(C80="very rare",1100,IF(C80="Legendary",2000,0)))))</f>
        <v>300</v>
      </c>
      <c r="E80" s="5">
        <f>(F80*TRUNC(3+(15-3)*(TRUNC(MOD((A80*1103515245 +12345)/ 65536, 32768),0)/32768),0))+D80+(D80/10*F80)</f>
        <v>380</v>
      </c>
      <c r="F80" s="5">
        <v>2</v>
      </c>
      <c r="G80" s="5" t="s">
        <v>970</v>
      </c>
      <c r="H80" s="5" t="s">
        <v>1024</v>
      </c>
      <c r="I80" s="5"/>
      <c r="J80" s="5"/>
      <c r="K80" s="50"/>
      <c r="L80" s="103">
        <v>167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1:28" ht="13.2">
      <c r="A81" s="3">
        <f>IF(ISBLANK(B81),,A80+1)</f>
        <v>80</v>
      </c>
      <c r="B81" s="50" t="s">
        <v>1290</v>
      </c>
      <c r="C81" s="5" t="s">
        <v>991</v>
      </c>
      <c r="D81" s="5">
        <f>IF(C81="common",100,IF(C81="Uncommon",300,IF(C81="Rare",700,IF(C81="very rare",1100,IF(C81="Legendary",2000,0)))))</f>
        <v>700</v>
      </c>
      <c r="E81" s="5">
        <f>(F81*TRUNC(3+(15-3)*(TRUNC(MOD((A81*1103515245 +12345)/ 65536, 32768),0)/32768),0))+D81+(D81/10*F81)</f>
        <v>922</v>
      </c>
      <c r="F81" s="5">
        <v>3</v>
      </c>
      <c r="G81" s="5" t="s">
        <v>1145</v>
      </c>
      <c r="H81" s="5"/>
      <c r="I81" s="5"/>
      <c r="J81" s="5"/>
      <c r="K81" s="50"/>
      <c r="L81" s="103">
        <v>168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1:28" ht="13.2">
      <c r="A82" s="3">
        <f>IF(ISBLANK(B82),,A81+1)</f>
        <v>81</v>
      </c>
      <c r="B82" s="50" t="s">
        <v>1289</v>
      </c>
      <c r="C82" s="5" t="s">
        <v>991</v>
      </c>
      <c r="D82" s="5">
        <f>IF(C82="common",100,IF(C82="Uncommon",300,IF(C82="Rare",700,IF(C82="very rare",1100,IF(C82="Legendary",2000,0)))))</f>
        <v>700</v>
      </c>
      <c r="E82" s="5">
        <f>(F82*TRUNC(3+(15-3)*(TRUNC(MOD((A82*1103515245 +12345)/ 65536, 32768),0)/32768),0))+D82+(D82/10*F82)</f>
        <v>940</v>
      </c>
      <c r="F82" s="5">
        <v>3</v>
      </c>
      <c r="G82" s="5" t="s">
        <v>1072</v>
      </c>
      <c r="H82" s="5" t="s">
        <v>1288</v>
      </c>
      <c r="I82" s="5"/>
      <c r="J82" s="5"/>
      <c r="K82" s="50"/>
      <c r="L82" s="103">
        <v>168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spans="1:28" ht="13.2">
      <c r="A83" s="3">
        <f>IF(ISBLANK(B83),,A82+1)</f>
        <v>82</v>
      </c>
      <c r="B83" s="50" t="s">
        <v>1287</v>
      </c>
      <c r="C83" s="5" t="s">
        <v>994</v>
      </c>
      <c r="D83" s="5">
        <f>IF(C83="common",100,IF(C83="Uncommon",300,IF(C83="Rare",700,IF(C83="very rare",1100,IF(C83="Legendary",2000,0)))))</f>
        <v>300</v>
      </c>
      <c r="E83" s="5">
        <f>(F83*TRUNC(3+(15-3)*(TRUNC(MOD((A83*1103515245 +12345)/ 65536, 32768),0)/32768),0))+D83+(D83/10*F83)</f>
        <v>368</v>
      </c>
      <c r="F83" s="5">
        <v>2</v>
      </c>
      <c r="G83" s="5" t="s">
        <v>970</v>
      </c>
      <c r="H83" s="5"/>
      <c r="I83" s="5"/>
      <c r="J83" s="5"/>
      <c r="K83" s="50"/>
      <c r="L83" s="103">
        <v>168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1:28" ht="13.2">
      <c r="A84" s="3">
        <f>IF(ISBLANK(B84),,A83+1)</f>
        <v>83</v>
      </c>
      <c r="B84" s="50" t="s">
        <v>1286</v>
      </c>
      <c r="C84" s="5" t="s">
        <v>994</v>
      </c>
      <c r="D84" s="5">
        <f>IF(C84="common",100,IF(C84="Uncommon",300,IF(C84="Rare",700,IF(C84="very rare",1100,IF(C84="Legendary",2000,0)))))</f>
        <v>300</v>
      </c>
      <c r="E84" s="5">
        <f>(F84*TRUNC(3+(15-3)*(TRUNC(MOD((A84*1103515245 +12345)/ 65536, 32768),0)/32768),0))+D84+(D84/10*F84)</f>
        <v>380</v>
      </c>
      <c r="F84" s="5">
        <v>2</v>
      </c>
      <c r="G84" s="5" t="s">
        <v>970</v>
      </c>
      <c r="H84" s="5" t="s">
        <v>1217</v>
      </c>
      <c r="I84" s="5" t="s">
        <v>963</v>
      </c>
      <c r="J84" s="5"/>
      <c r="K84" s="50"/>
      <c r="L84" s="103">
        <v>168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spans="1:28" ht="13.2">
      <c r="A85" s="3">
        <f>IF(ISBLANK(B85),,A84+1)</f>
        <v>84</v>
      </c>
      <c r="B85" s="50" t="s">
        <v>1285</v>
      </c>
      <c r="C85" s="5" t="s">
        <v>994</v>
      </c>
      <c r="D85" s="5">
        <f>IF(C85="common",100,IF(C85="Uncommon",300,IF(C85="Rare",700,IF(C85="very rare",1100,IF(C85="Legendary",2000,0)))))</f>
        <v>300</v>
      </c>
      <c r="E85" s="5">
        <f>(F85*TRUNC(3+(15-3)*(TRUNC(MOD((A85*1103515245 +12345)/ 65536, 32768),0)/32768),0))+D85+(D85/10*F85)</f>
        <v>368</v>
      </c>
      <c r="F85" s="5">
        <v>2</v>
      </c>
      <c r="G85" s="5" t="s">
        <v>970</v>
      </c>
      <c r="H85" s="5" t="s">
        <v>1217</v>
      </c>
      <c r="I85" s="5"/>
      <c r="J85" s="5"/>
      <c r="K85" s="50"/>
      <c r="L85" s="103">
        <v>168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spans="1:28" ht="13.2">
      <c r="A86" s="3">
        <f>IF(ISBLANK(B86),,A85+1)</f>
        <v>85</v>
      </c>
      <c r="B86" s="50" t="s">
        <v>1284</v>
      </c>
      <c r="C86" s="5" t="s">
        <v>994</v>
      </c>
      <c r="D86" s="5">
        <f>IF(C86="common",100,IF(C86="Uncommon",300,IF(C86="Rare",700,IF(C86="very rare",1100,IF(C86="Legendary",2000,0)))))</f>
        <v>300</v>
      </c>
      <c r="E86" s="5">
        <f>(F86*TRUNC(3+(15-3)*(TRUNC(MOD((A86*1103515245 +12345)/ 65536, 32768),0)/32768),0))+D86+(D86/10*F86)</f>
        <v>382</v>
      </c>
      <c r="F86" s="5">
        <v>2</v>
      </c>
      <c r="G86" s="5" t="s">
        <v>970</v>
      </c>
      <c r="H86" s="5" t="s">
        <v>1217</v>
      </c>
      <c r="I86" s="5" t="s">
        <v>963</v>
      </c>
      <c r="J86" s="5"/>
      <c r="K86" s="50"/>
      <c r="L86" s="103">
        <v>168</v>
      </c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spans="1:28" ht="13.2">
      <c r="A87" s="3">
        <f>IF(ISBLANK(B87),,A86+1)</f>
        <v>86</v>
      </c>
      <c r="B87" s="50" t="s">
        <v>1283</v>
      </c>
      <c r="C87" s="5" t="s">
        <v>991</v>
      </c>
      <c r="D87" s="5">
        <f>IF(C87="common",100,IF(C87="Uncommon",300,IF(C87="Rare",700,IF(C87="very rare",1100,IF(C87="Legendary",2000,0)))))</f>
        <v>700</v>
      </c>
      <c r="E87" s="5">
        <f>(F87*TRUNC(3+(15-3)*(TRUNC(MOD((A87*1103515245 +12345)/ 65536, 32768),0)/32768),0))+D87+(D87/10*F87)</f>
        <v>925</v>
      </c>
      <c r="F87" s="5">
        <v>3</v>
      </c>
      <c r="G87" s="5" t="s">
        <v>970</v>
      </c>
      <c r="H87" s="5"/>
      <c r="I87" s="5"/>
      <c r="J87" s="5"/>
      <c r="K87" s="50"/>
      <c r="L87" s="103">
        <v>169</v>
      </c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spans="1:28" ht="13.2">
      <c r="A88" s="3">
        <f>IF(ISBLANK(B88),,A87+1)</f>
        <v>87</v>
      </c>
      <c r="B88" s="50" t="s">
        <v>1282</v>
      </c>
      <c r="C88" s="5" t="s">
        <v>991</v>
      </c>
      <c r="D88" s="5">
        <f>IF(C88="common",100,IF(C88="Uncommon",300,IF(C88="Rare",700,IF(C88="very rare",1100,IF(C88="Legendary",2000,0)))))</f>
        <v>700</v>
      </c>
      <c r="E88" s="5">
        <f>(F88*TRUNC(3+(15-3)*(TRUNC(MOD((A88*1103515245 +12345)/ 65536, 32768),0)/32768),0))+D88+(D88/10*F88)</f>
        <v>943</v>
      </c>
      <c r="F88" s="5">
        <v>3</v>
      </c>
      <c r="G88" s="5" t="s">
        <v>970</v>
      </c>
      <c r="H88" s="5"/>
      <c r="I88" s="5"/>
      <c r="J88" s="5"/>
      <c r="K88" s="50"/>
      <c r="L88" s="103">
        <v>169</v>
      </c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spans="1:28" ht="13.2">
      <c r="A89" s="3">
        <f>IF(ISBLANK(B89),,A88+1)</f>
        <v>88</v>
      </c>
      <c r="B89" s="50" t="s">
        <v>1281</v>
      </c>
      <c r="C89" s="5" t="s">
        <v>991</v>
      </c>
      <c r="D89" s="5">
        <f>IF(C89="common",100,IF(C89="Uncommon",300,IF(C89="Rare",700,IF(C89="very rare",1100,IF(C89="Legendary",2000,0)))))</f>
        <v>700</v>
      </c>
      <c r="E89" s="5">
        <f>(F89*TRUNC(3+(15-3)*(TRUNC(MOD((A89*1103515245 +12345)/ 65536, 32768),0)/32768),0))+D89+(D89/10*F89)</f>
        <v>925</v>
      </c>
      <c r="F89" s="5">
        <v>3</v>
      </c>
      <c r="G89" s="5" t="s">
        <v>970</v>
      </c>
      <c r="H89" s="5"/>
      <c r="I89" s="5"/>
      <c r="J89" s="5"/>
      <c r="K89" s="50"/>
      <c r="L89" s="103">
        <v>169</v>
      </c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spans="1:28" ht="13.2">
      <c r="A90" s="3">
        <f>IF(ISBLANK(B90),,A89+1)</f>
        <v>89</v>
      </c>
      <c r="B90" s="50" t="s">
        <v>1280</v>
      </c>
      <c r="C90" s="5" t="s">
        <v>991</v>
      </c>
      <c r="D90" s="5">
        <f>IF(C90="common",100,IF(C90="Uncommon",300,IF(C90="Rare",700,IF(C90="very rare",1100,IF(C90="Legendary",2000,0)))))</f>
        <v>700</v>
      </c>
      <c r="E90" s="5">
        <f>(F90*TRUNC(3+(15-3)*(TRUNC(MOD((A90*1103515245 +12345)/ 65536, 32768),0)/32768),0))+D90+(D90/10*F90)</f>
        <v>943</v>
      </c>
      <c r="F90" s="5">
        <v>3</v>
      </c>
      <c r="G90" s="5" t="s">
        <v>970</v>
      </c>
      <c r="H90" s="5"/>
      <c r="I90" s="5"/>
      <c r="J90" s="5"/>
      <c r="K90" s="50"/>
      <c r="L90" s="103">
        <v>169</v>
      </c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28" ht="13.2">
      <c r="A91" s="3">
        <f>IF(ISBLANK(B91),,A90+1)</f>
        <v>90</v>
      </c>
      <c r="B91" s="50" t="s">
        <v>1279</v>
      </c>
      <c r="C91" s="5" t="s">
        <v>991</v>
      </c>
      <c r="D91" s="5">
        <f>IF(C91="common",100,IF(C91="Uncommon",300,IF(C91="Rare",700,IF(C91="very rare",1100,IF(C91="Legendary",2000,0)))))</f>
        <v>700</v>
      </c>
      <c r="E91" s="5">
        <f>(F91*TRUNC(3+(15-3)*(TRUNC(MOD((A91*1103515245 +12345)/ 65536, 32768),0)/32768),0))+D91+(D91/10*F91)</f>
        <v>925</v>
      </c>
      <c r="F91" s="5">
        <v>3</v>
      </c>
      <c r="G91" s="5" t="s">
        <v>970</v>
      </c>
      <c r="H91" s="5"/>
      <c r="I91" s="5"/>
      <c r="J91" s="5"/>
      <c r="K91" s="50"/>
      <c r="L91" s="103">
        <v>169</v>
      </c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28" ht="13.2">
      <c r="A92" s="3">
        <f>IF(ISBLANK(B92),,A91+1)</f>
        <v>91</v>
      </c>
      <c r="B92" s="50" t="s">
        <v>1278</v>
      </c>
      <c r="C92" s="5" t="s">
        <v>1001</v>
      </c>
      <c r="D92" s="5">
        <f>IF(C92="common",100,IF(C92="Uncommon",300,IF(C92="Rare",700,IF(C92="very rare",1100,IF(C92="Legendary",2000,0)))))</f>
        <v>1100</v>
      </c>
      <c r="E92" s="5">
        <f>(F92*TRUNC(3+(15-3)*(TRUNC(MOD((A92*1103515245 +12345)/ 65536, 32768),0)/32768),0))+D92+(D92/10*F92)</f>
        <v>1588</v>
      </c>
      <c r="F92" s="5">
        <v>4</v>
      </c>
      <c r="G92" s="5" t="s">
        <v>970</v>
      </c>
      <c r="H92" s="5"/>
      <c r="I92" s="5"/>
      <c r="J92" s="5"/>
      <c r="K92" s="50"/>
      <c r="L92" s="103">
        <v>169</v>
      </c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28" ht="13.2">
      <c r="A93" s="3">
        <f>IF(ISBLANK(B93),,A92+1)</f>
        <v>92</v>
      </c>
      <c r="B93" s="50" t="s">
        <v>1277</v>
      </c>
      <c r="C93" s="5" t="s">
        <v>991</v>
      </c>
      <c r="D93" s="5">
        <f>IF(C93="common",100,IF(C93="Uncommon",300,IF(C93="Rare",700,IF(C93="very rare",1100,IF(C93="Legendary",2000,0)))))</f>
        <v>700</v>
      </c>
      <c r="E93" s="5">
        <f>(F93*TRUNC(3+(15-3)*(TRUNC(MOD((A93*1103515245 +12345)/ 65536, 32768),0)/32768),0))+D93+(D93/10*F93)</f>
        <v>928</v>
      </c>
      <c r="F93" s="5">
        <v>3</v>
      </c>
      <c r="G93" s="5" t="s">
        <v>970</v>
      </c>
      <c r="H93" s="5"/>
      <c r="I93" s="5"/>
      <c r="J93" s="5"/>
      <c r="K93" s="50"/>
      <c r="L93" s="103">
        <v>169</v>
      </c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28" ht="13.2">
      <c r="A94" s="3">
        <f>IF(ISBLANK(B94),,A93+1)</f>
        <v>93</v>
      </c>
      <c r="B94" s="50" t="s">
        <v>1276</v>
      </c>
      <c r="C94" s="5" t="s">
        <v>991</v>
      </c>
      <c r="D94" s="5">
        <f>IF(C94="common",100,IF(C94="Uncommon",300,IF(C94="Rare",700,IF(C94="very rare",1100,IF(C94="Legendary",2000,0)))))</f>
        <v>700</v>
      </c>
      <c r="E94" s="5">
        <f>(F94*TRUNC(3+(15-3)*(TRUNC(MOD((A94*1103515245 +12345)/ 65536, 32768),0)/32768),0))+D94+(D94/10*F94)</f>
        <v>946</v>
      </c>
      <c r="F94" s="5">
        <v>3</v>
      </c>
      <c r="G94" s="5" t="s">
        <v>970</v>
      </c>
      <c r="H94" s="5"/>
      <c r="I94" s="5"/>
      <c r="J94" s="5"/>
      <c r="K94" s="50"/>
      <c r="L94" s="103">
        <v>169</v>
      </c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28" ht="13.2">
      <c r="A95" s="3">
        <f>IF(ISBLANK(B95),,A94+1)</f>
        <v>94</v>
      </c>
      <c r="B95" s="50" t="s">
        <v>1275</v>
      </c>
      <c r="C95" s="5" t="s">
        <v>994</v>
      </c>
      <c r="D95" s="5">
        <f>IF(C95="common",100,IF(C95="Uncommon",300,IF(C95="Rare",700,IF(C95="very rare",1100,IF(C95="Legendary",2000,0)))))</f>
        <v>300</v>
      </c>
      <c r="E95" s="5">
        <f>(F95*TRUNC(3+(15-3)*(TRUNC(MOD((A95*1103515245 +12345)/ 65536, 32768),0)/32768),0))+D95+(D95/10*F95)</f>
        <v>372</v>
      </c>
      <c r="F95" s="5">
        <v>2</v>
      </c>
      <c r="G95" s="5" t="s">
        <v>970</v>
      </c>
      <c r="H95" s="5"/>
      <c r="I95" s="5"/>
      <c r="J95" s="5"/>
      <c r="K95" s="50"/>
      <c r="L95" s="103">
        <v>169</v>
      </c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spans="1:28" ht="13.2">
      <c r="A96" s="3">
        <f>IF(ISBLANK(B96),,A95+1)</f>
        <v>95</v>
      </c>
      <c r="B96" s="50" t="s">
        <v>1274</v>
      </c>
      <c r="C96" s="5" t="s">
        <v>991</v>
      </c>
      <c r="D96" s="5">
        <f>IF(C96="common",100,IF(C96="Uncommon",300,IF(C96="Rare",700,IF(C96="very rare",1100,IF(C96="Legendary",2000,0)))))</f>
        <v>700</v>
      </c>
      <c r="E96" s="5">
        <f>(F96*TRUNC(3+(15-3)*(TRUNC(MOD((A96*1103515245 +12345)/ 65536, 32768),0)/32768),0))+D96+(D96/10*F96)</f>
        <v>946</v>
      </c>
      <c r="F96" s="5">
        <v>3</v>
      </c>
      <c r="G96" s="5" t="s">
        <v>968</v>
      </c>
      <c r="H96" s="5" t="s">
        <v>1039</v>
      </c>
      <c r="I96" s="5" t="s">
        <v>963</v>
      </c>
      <c r="J96" s="5"/>
      <c r="K96" s="50"/>
      <c r="L96" s="103">
        <v>170</v>
      </c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spans="1:28" ht="13.2">
      <c r="A97" s="3">
        <f>IF(ISBLANK(B97),,A96+1)</f>
        <v>96</v>
      </c>
      <c r="B97" s="50" t="s">
        <v>1273</v>
      </c>
      <c r="C97" s="5" t="s">
        <v>991</v>
      </c>
      <c r="D97" s="5">
        <f>IF(C97="common",100,IF(C97="Uncommon",300,IF(C97="Rare",700,IF(C97="very rare",1100,IF(C97="Legendary",2000,0)))))</f>
        <v>700</v>
      </c>
      <c r="E97" s="5">
        <f>(F97*TRUNC(3+(15-3)*(TRUNC(MOD((A97*1103515245 +12345)/ 65536, 32768),0)/32768),0))+D97+(D97/10*F97)</f>
        <v>928</v>
      </c>
      <c r="F97" s="5">
        <v>3</v>
      </c>
      <c r="G97" s="5" t="s">
        <v>970</v>
      </c>
      <c r="H97" s="5"/>
      <c r="I97" s="5"/>
      <c r="J97" s="5"/>
      <c r="K97" s="50"/>
      <c r="L97" s="103">
        <v>170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spans="1:28" ht="13.2">
      <c r="A98" s="3">
        <f>IF(ISBLANK(B98),,A97+1)</f>
        <v>97</v>
      </c>
      <c r="B98" s="50" t="s">
        <v>1272</v>
      </c>
      <c r="C98" s="5" t="s">
        <v>1001</v>
      </c>
      <c r="D98" s="5">
        <f>IF(C98="common",100,IF(C98="Uncommon",300,IF(C98="Rare",700,IF(C98="very rare",1100,IF(C98="Legendary",2000,0)))))</f>
        <v>1100</v>
      </c>
      <c r="E98" s="5">
        <f>(F98*TRUNC(3+(15-3)*(TRUNC(MOD((A98*1103515245 +12345)/ 65536, 32768),0)/32768),0))+D98+(D98/10*F98)</f>
        <v>1592</v>
      </c>
      <c r="F98" s="5">
        <v>4</v>
      </c>
      <c r="G98" s="5" t="s">
        <v>968</v>
      </c>
      <c r="H98" s="5" t="s">
        <v>1039</v>
      </c>
      <c r="I98" s="5" t="s">
        <v>963</v>
      </c>
      <c r="J98" s="5"/>
      <c r="K98" s="50"/>
      <c r="L98" s="103">
        <v>171</v>
      </c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28" ht="13.2">
      <c r="A99" s="3">
        <f>IF(ISBLANK(B99),,A98+1)</f>
        <v>98</v>
      </c>
      <c r="B99" s="50" t="s">
        <v>1271</v>
      </c>
      <c r="C99" s="5" t="s">
        <v>994</v>
      </c>
      <c r="D99" s="5">
        <f>IF(C99="common",100,IF(C99="Uncommon",300,IF(C99="Rare",700,IF(C99="very rare",1100,IF(C99="Legendary",2000,0)))))</f>
        <v>300</v>
      </c>
      <c r="E99" s="5">
        <f>(F99*TRUNC(3+(15-3)*(TRUNC(MOD((A99*1103515245 +12345)/ 65536, 32768),0)/32768),0))+D99+(D99/10*F99)</f>
        <v>374</v>
      </c>
      <c r="F99" s="5">
        <v>2</v>
      </c>
      <c r="G99" s="5" t="s">
        <v>970</v>
      </c>
      <c r="H99" s="5" t="s">
        <v>1261</v>
      </c>
      <c r="I99" s="5" t="s">
        <v>963</v>
      </c>
      <c r="J99" s="5"/>
      <c r="K99" s="50"/>
      <c r="L99" s="103">
        <v>171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spans="1:28" ht="13.2">
      <c r="A100" s="3">
        <f>IF(ISBLANK(B100),,A99+1)</f>
        <v>99</v>
      </c>
      <c r="B100" s="50" t="s">
        <v>1270</v>
      </c>
      <c r="C100" s="5" t="s">
        <v>994</v>
      </c>
      <c r="D100" s="5">
        <f>IF(C100="common",100,IF(C100="Uncommon",300,IF(C100="Rare",700,IF(C100="very rare",1100,IF(C100="Legendary",2000,0)))))</f>
        <v>300</v>
      </c>
      <c r="E100" s="5">
        <f>(F100*TRUNC(3+(15-3)*(TRUNC(MOD((A100*1103515245 +12345)/ 65536, 32768),0)/32768),0))+D100+(D100/10*F100)</f>
        <v>386</v>
      </c>
      <c r="F100" s="5">
        <v>2</v>
      </c>
      <c r="G100" s="5" t="s">
        <v>970</v>
      </c>
      <c r="H100" s="5" t="s">
        <v>1024</v>
      </c>
      <c r="I100" s="5"/>
      <c r="J100" s="5"/>
      <c r="K100" s="50"/>
      <c r="L100" s="103">
        <v>171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1:28" ht="13.2">
      <c r="A101" s="3">
        <f>IF(ISBLANK(B101),,A100+1)</f>
        <v>100</v>
      </c>
      <c r="B101" s="50" t="s">
        <v>1269</v>
      </c>
      <c r="C101" s="5" t="s">
        <v>991</v>
      </c>
      <c r="D101" s="5">
        <f>IF(C101="common",100,IF(C101="Uncommon",300,IF(C101="Rare",700,IF(C101="very rare",1100,IF(C101="Legendary",2000,0)))))</f>
        <v>700</v>
      </c>
      <c r="E101" s="5">
        <f>(F101*TRUNC(3+(15-3)*(TRUNC(MOD((A101*1103515245 +12345)/ 65536, 32768),0)/32768),0))+D101+(D101/10*F101)</f>
        <v>931</v>
      </c>
      <c r="F101" s="5">
        <v>3</v>
      </c>
      <c r="G101" s="5" t="s">
        <v>970</v>
      </c>
      <c r="H101" s="5"/>
      <c r="I101" s="5" t="s">
        <v>963</v>
      </c>
      <c r="J101" s="5"/>
      <c r="K101" s="50"/>
      <c r="L101" s="103">
        <v>172</v>
      </c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28" ht="13.2">
      <c r="A102" s="3">
        <f>IF(ISBLANK(B102),,A101+1)</f>
        <v>101</v>
      </c>
      <c r="B102" s="50" t="s">
        <v>1268</v>
      </c>
      <c r="C102" s="5" t="s">
        <v>991</v>
      </c>
      <c r="D102" s="5">
        <f>IF(C102="common",100,IF(C102="Uncommon",300,IF(C102="Rare",700,IF(C102="very rare",1100,IF(C102="Legendary",2000,0)))))</f>
        <v>700</v>
      </c>
      <c r="E102" s="5">
        <f>(F102*TRUNC(3+(15-3)*(TRUNC(MOD((A102*1103515245 +12345)/ 65536, 32768),0)/32768),0))+D102+(D102/10*F102)</f>
        <v>949</v>
      </c>
      <c r="F102" s="5">
        <v>3</v>
      </c>
      <c r="G102" s="5" t="s">
        <v>968</v>
      </c>
      <c r="H102" s="5" t="s">
        <v>1267</v>
      </c>
      <c r="I102" s="5"/>
      <c r="J102" s="5"/>
      <c r="K102" s="50"/>
      <c r="L102" s="103">
        <v>172</v>
      </c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28" ht="13.2">
      <c r="A103" s="3">
        <f>IF(ISBLANK(B103),,A102+1)</f>
        <v>102</v>
      </c>
      <c r="B103" s="50" t="s">
        <v>1266</v>
      </c>
      <c r="C103" s="5" t="s">
        <v>991</v>
      </c>
      <c r="D103" s="5">
        <f>IF(C103="common",100,IF(C103="Uncommon",300,IF(C103="Rare",700,IF(C103="very rare",1100,IF(C103="Legendary",2000,0)))))</f>
        <v>700</v>
      </c>
      <c r="E103" s="5">
        <f>(F103*TRUNC(3+(15-3)*(TRUNC(MOD((A103*1103515245 +12345)/ 65536, 32768),0)/32768),0))+D103+(D103/10*F103)</f>
        <v>931</v>
      </c>
      <c r="F103" s="5">
        <v>3</v>
      </c>
      <c r="G103" s="5" t="s">
        <v>1072</v>
      </c>
      <c r="H103" s="5" t="s">
        <v>1265</v>
      </c>
      <c r="I103" s="5"/>
      <c r="J103" s="5"/>
      <c r="K103" s="50"/>
      <c r="L103" s="103">
        <v>172</v>
      </c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1:28" ht="13.2">
      <c r="A104" s="3">
        <f>IF(ISBLANK(B104),,A103+1)</f>
        <v>103</v>
      </c>
      <c r="B104" s="50" t="s">
        <v>1264</v>
      </c>
      <c r="C104" s="5" t="s">
        <v>994</v>
      </c>
      <c r="D104" s="5">
        <f>IF(C104="common",100,IF(C104="Uncommon",300,IF(C104="Rare",700,IF(C104="very rare",1100,IF(C104="Legendary",2000,0)))))</f>
        <v>300</v>
      </c>
      <c r="E104" s="5">
        <f>(F104*TRUNC(3+(15-3)*(TRUNC(MOD((A104*1103515245 +12345)/ 65536, 32768),0)/32768),0))+D104+(D104/10*F104)</f>
        <v>388</v>
      </c>
      <c r="F104" s="5">
        <v>2</v>
      </c>
      <c r="G104" s="5" t="s">
        <v>970</v>
      </c>
      <c r="H104" s="5" t="s">
        <v>1261</v>
      </c>
      <c r="I104" s="5" t="s">
        <v>963</v>
      </c>
      <c r="J104" s="5"/>
      <c r="K104" s="50"/>
      <c r="L104" s="103">
        <v>172</v>
      </c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1:28" ht="13.2">
      <c r="A105" s="3">
        <f>IF(ISBLANK(B105),,A104+1)</f>
        <v>104</v>
      </c>
      <c r="B105" s="50" t="s">
        <v>1263</v>
      </c>
      <c r="C105" s="5" t="s">
        <v>994</v>
      </c>
      <c r="D105" s="5">
        <f>IF(C105="common",100,IF(C105="Uncommon",300,IF(C105="Rare",700,IF(C105="very rare",1100,IF(C105="Legendary",2000,0)))))</f>
        <v>300</v>
      </c>
      <c r="E105" s="5">
        <f>(F105*TRUNC(3+(15-3)*(TRUNC(MOD((A105*1103515245 +12345)/ 65536, 32768),0)/32768),0))+D105+(D105/10*F105)</f>
        <v>376</v>
      </c>
      <c r="F105" s="5">
        <v>2</v>
      </c>
      <c r="G105" s="5" t="s">
        <v>970</v>
      </c>
      <c r="H105" s="5" t="s">
        <v>1261</v>
      </c>
      <c r="I105" s="5" t="s">
        <v>963</v>
      </c>
      <c r="J105" s="5"/>
      <c r="K105" s="50"/>
      <c r="L105" s="103">
        <v>172</v>
      </c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1:28" ht="13.2">
      <c r="A106" s="3">
        <f>IF(ISBLANK(B106),,A105+1)</f>
        <v>105</v>
      </c>
      <c r="B106" s="50" t="s">
        <v>1262</v>
      </c>
      <c r="C106" s="5" t="s">
        <v>994</v>
      </c>
      <c r="D106" s="5">
        <f>IF(C106="common",100,IF(C106="Uncommon",300,IF(C106="Rare",700,IF(C106="very rare",1100,IF(C106="Legendary",2000,0)))))</f>
        <v>300</v>
      </c>
      <c r="E106" s="5">
        <f>(F106*TRUNC(3+(15-3)*(TRUNC(MOD((A106*1103515245 +12345)/ 65536, 32768),0)/32768),0))+D106+(D106/10*F106)</f>
        <v>388</v>
      </c>
      <c r="F106" s="5">
        <v>2</v>
      </c>
      <c r="G106" s="5" t="s">
        <v>970</v>
      </c>
      <c r="H106" s="5" t="s">
        <v>1261</v>
      </c>
      <c r="I106" s="5"/>
      <c r="J106" s="5"/>
      <c r="K106" s="50"/>
      <c r="L106" s="103">
        <v>172</v>
      </c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1:28" ht="13.2">
      <c r="A107" s="3">
        <f>IF(ISBLANK(B107),,A106+1)</f>
        <v>106</v>
      </c>
      <c r="B107" s="50" t="s">
        <v>1260</v>
      </c>
      <c r="C107" s="5" t="s">
        <v>994</v>
      </c>
      <c r="D107" s="5">
        <f>IF(C107="common",100,IF(C107="Uncommon",300,IF(C107="Rare",700,IF(C107="very rare",1100,IF(C107="Legendary",2000,0)))))</f>
        <v>300</v>
      </c>
      <c r="E107" s="5">
        <f>(F107*TRUNC(3+(15-3)*(TRUNC(MOD((A107*1103515245 +12345)/ 65536, 32768),0)/32768),0))+D107+(D107/10*F107)</f>
        <v>376</v>
      </c>
      <c r="F107" s="5">
        <v>2</v>
      </c>
      <c r="G107" s="5" t="s">
        <v>970</v>
      </c>
      <c r="H107" s="5" t="s">
        <v>1217</v>
      </c>
      <c r="I107" s="5"/>
      <c r="J107" s="5"/>
      <c r="K107" s="50"/>
      <c r="L107" s="103">
        <v>172</v>
      </c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1:28" ht="13.2">
      <c r="A108" s="3">
        <f>IF(ISBLANK(B108),,A107+1)</f>
        <v>107</v>
      </c>
      <c r="B108" s="50" t="s">
        <v>1259</v>
      </c>
      <c r="C108" s="5" t="s">
        <v>997</v>
      </c>
      <c r="D108" s="5">
        <f>IF(C108="common",100,IF(C108="Uncommon",300,IF(C108="Rare",700,IF(C108="very rare",1100,IF(C108="Legendary",2000,0)))))</f>
        <v>2000</v>
      </c>
      <c r="E108" s="5">
        <f>(F108*TRUNC(3+(15-3)*(TRUNC(MOD((A108*1103515245 +12345)/ 65536, 32768),0)/32768),0))+D108+(D108/10*F108)</f>
        <v>3070</v>
      </c>
      <c r="F108" s="5">
        <v>5</v>
      </c>
      <c r="G108" s="5" t="s">
        <v>968</v>
      </c>
      <c r="H108" s="5" t="s">
        <v>1258</v>
      </c>
      <c r="I108" s="5" t="s">
        <v>1257</v>
      </c>
      <c r="J108" s="5"/>
      <c r="K108" s="50"/>
      <c r="L108" s="103">
        <v>173</v>
      </c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1:28" ht="13.2">
      <c r="A109" s="3">
        <f>IF(ISBLANK(B109),,A108+1)</f>
        <v>108</v>
      </c>
      <c r="B109" s="50" t="s">
        <v>1256</v>
      </c>
      <c r="C109" s="5" t="s">
        <v>994</v>
      </c>
      <c r="D109" s="5">
        <f>IF(C109="common",100,IF(C109="Uncommon",300,IF(C109="Rare",700,IF(C109="very rare",1100,IF(C109="Legendary",2000,0)))))</f>
        <v>300</v>
      </c>
      <c r="E109" s="5">
        <f>(F109*TRUNC(3+(15-3)*(TRUNC(MOD((A109*1103515245 +12345)/ 65536, 32768),0)/32768),0))+D109+(D109/10*F109)</f>
        <v>376</v>
      </c>
      <c r="F109" s="5">
        <v>2</v>
      </c>
      <c r="G109" s="5" t="s">
        <v>970</v>
      </c>
      <c r="H109" s="5" t="s">
        <v>1217</v>
      </c>
      <c r="I109" s="5" t="s">
        <v>963</v>
      </c>
      <c r="J109" s="5"/>
      <c r="K109" s="50"/>
      <c r="L109" s="103">
        <v>173</v>
      </c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1:28" ht="13.2">
      <c r="A110" s="3">
        <f>IF(ISBLANK(B110),,A109+1)</f>
        <v>109</v>
      </c>
      <c r="B110" s="50" t="s">
        <v>1255</v>
      </c>
      <c r="C110" s="5" t="s">
        <v>994</v>
      </c>
      <c r="D110" s="5">
        <f>IF(C110="common",100,IF(C110="Uncommon",300,IF(C110="Rare",700,IF(C110="very rare",1100,IF(C110="Legendary",2000,0)))))</f>
        <v>300</v>
      </c>
      <c r="E110" s="5">
        <f>(F110*TRUNC(3+(15-3)*(TRUNC(MOD((A110*1103515245 +12345)/ 65536, 32768),0)/32768),0))+D110+(D110/10*F110)</f>
        <v>366</v>
      </c>
      <c r="F110" s="5">
        <v>2</v>
      </c>
      <c r="G110" s="5" t="s">
        <v>970</v>
      </c>
      <c r="H110" s="5" t="s">
        <v>1217</v>
      </c>
      <c r="I110" s="5" t="s">
        <v>963</v>
      </c>
      <c r="J110" s="5"/>
      <c r="K110" s="50"/>
      <c r="L110" s="103">
        <v>173</v>
      </c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1:28" ht="13.2">
      <c r="A111" s="3">
        <f>IF(ISBLANK(B111),,A110+1)</f>
        <v>110</v>
      </c>
      <c r="B111" s="50" t="s">
        <v>1254</v>
      </c>
      <c r="C111" s="5" t="s">
        <v>1001</v>
      </c>
      <c r="D111" s="5">
        <f>IF(C111="common",100,IF(C111="Uncommon",300,IF(C111="Rare",700,IF(C111="very rare",1100,IF(C111="Legendary",2000,0)))))</f>
        <v>1100</v>
      </c>
      <c r="E111" s="5">
        <f>(F111*TRUNC(3+(15-3)*(TRUNC(MOD((A111*1103515245 +12345)/ 65536, 32768),0)/32768),0))+D111+(D111/10*F111)</f>
        <v>1576</v>
      </c>
      <c r="F111" s="5">
        <v>4</v>
      </c>
      <c r="G111" s="5" t="s">
        <v>970</v>
      </c>
      <c r="H111" s="5" t="s">
        <v>1217</v>
      </c>
      <c r="I111" s="5" t="s">
        <v>963</v>
      </c>
      <c r="J111" s="5"/>
      <c r="K111" s="50"/>
      <c r="L111" s="103">
        <v>173</v>
      </c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1:28" ht="13.2">
      <c r="A112" s="3">
        <f>IF(ISBLANK(B112),,A111+1)</f>
        <v>111</v>
      </c>
      <c r="B112" s="50" t="s">
        <v>1253</v>
      </c>
      <c r="C112" s="5" t="s">
        <v>994</v>
      </c>
      <c r="D112" s="5">
        <f>IF(C112="common",100,IF(C112="Uncommon",300,IF(C112="Rare",700,IF(C112="very rare",1100,IF(C112="Legendary",2000,0)))))</f>
        <v>300</v>
      </c>
      <c r="E112" s="5">
        <f>(F112*TRUNC(3+(15-3)*(TRUNC(MOD((A112*1103515245 +12345)/ 65536, 32768),0)/32768),0))+D112+(D112/10*F112)</f>
        <v>366</v>
      </c>
      <c r="F112" s="5">
        <v>2</v>
      </c>
      <c r="G112" s="5" t="s">
        <v>970</v>
      </c>
      <c r="H112" s="5" t="s">
        <v>1217</v>
      </c>
      <c r="I112" s="5"/>
      <c r="J112" s="5"/>
      <c r="K112" s="50"/>
      <c r="L112" s="103">
        <v>173</v>
      </c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1:28" ht="13.2">
      <c r="A113" s="3">
        <f>IF(ISBLANK(B113),,A112+1)</f>
        <v>112</v>
      </c>
      <c r="B113" s="50" t="s">
        <v>1252</v>
      </c>
      <c r="C113" s="5" t="s">
        <v>994</v>
      </c>
      <c r="D113" s="5">
        <f>IF(C113="common",100,IF(C113="Uncommon",300,IF(C113="Rare",700,IF(C113="very rare",1100,IF(C113="Legendary",2000,0)))))</f>
        <v>300</v>
      </c>
      <c r="E113" s="5">
        <f>(F113*TRUNC(3+(15-3)*(TRUNC(MOD((A113*1103515245 +12345)/ 65536, 32768),0)/32768),0))+D113+(D113/10*F113)</f>
        <v>378</v>
      </c>
      <c r="F113" s="5">
        <v>2</v>
      </c>
      <c r="G113" s="5" t="s">
        <v>970</v>
      </c>
      <c r="H113" s="5" t="s">
        <v>1217</v>
      </c>
      <c r="I113" s="5" t="s">
        <v>963</v>
      </c>
      <c r="J113" s="5"/>
      <c r="K113" s="50"/>
      <c r="L113" s="103">
        <v>174</v>
      </c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1:28" ht="13.2">
      <c r="A114" s="3">
        <f>IF(ISBLANK(B114),,A113+1)</f>
        <v>113</v>
      </c>
      <c r="B114" s="50" t="s">
        <v>1251</v>
      </c>
      <c r="C114" s="5" t="s">
        <v>991</v>
      </c>
      <c r="D114" s="5">
        <f>IF(C114="common",100,IF(C114="Uncommon",300,IF(C114="Rare",700,IF(C114="very rare",1100,IF(C114="Legendary",2000,0)))))</f>
        <v>700</v>
      </c>
      <c r="E114" s="5">
        <f>(F114*TRUNC(3+(15-3)*(TRUNC(MOD((A114*1103515245 +12345)/ 65536, 32768),0)/32768),0))+D114+(D114/10*F114)</f>
        <v>919</v>
      </c>
      <c r="F114" s="5">
        <v>3</v>
      </c>
      <c r="G114" s="5" t="s">
        <v>970</v>
      </c>
      <c r="H114" s="5" t="s">
        <v>1217</v>
      </c>
      <c r="I114" s="5" t="s">
        <v>963</v>
      </c>
      <c r="J114" s="5"/>
      <c r="K114" s="50"/>
      <c r="L114" s="103">
        <v>174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1:28" ht="13.2">
      <c r="A115" s="3">
        <f>IF(ISBLANK(B115),,A114+1)</f>
        <v>114</v>
      </c>
      <c r="B115" s="50" t="s">
        <v>1250</v>
      </c>
      <c r="C115" s="5" t="s">
        <v>991</v>
      </c>
      <c r="D115" s="5">
        <f>IF(C115="common",100,IF(C115="Uncommon",300,IF(C115="Rare",700,IF(C115="very rare",1100,IF(C115="Legendary",2000,0)))))</f>
        <v>700</v>
      </c>
      <c r="E115" s="5">
        <f>(F115*TRUNC(3+(15-3)*(TRUNC(MOD((A115*1103515245 +12345)/ 65536, 32768),0)/32768),0))+D115+(D115/10*F115)</f>
        <v>937</v>
      </c>
      <c r="F115" s="5">
        <v>3</v>
      </c>
      <c r="G115" s="5" t="s">
        <v>970</v>
      </c>
      <c r="H115" s="5"/>
      <c r="I115" s="5"/>
      <c r="J115" s="5"/>
      <c r="K115" s="50"/>
      <c r="L115" s="103">
        <v>174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1:28" ht="13.2">
      <c r="A116" s="3">
        <f>IF(ISBLANK(B116),,A115+1)</f>
        <v>115</v>
      </c>
      <c r="B116" s="50" t="s">
        <v>1249</v>
      </c>
      <c r="C116" s="5" t="s">
        <v>997</v>
      </c>
      <c r="D116" s="5">
        <f>IF(C116="common",100,IF(C116="Uncommon",300,IF(C116="Rare",700,IF(C116="very rare",1100,IF(C116="Legendary",2000,0)))))</f>
        <v>2000</v>
      </c>
      <c r="E116" s="5">
        <f>(F116*TRUNC(3+(15-3)*(TRUNC(MOD((A116*1103515245 +12345)/ 65536, 32768),0)/32768),0))+D116+(D116/10*F116)</f>
        <v>3020</v>
      </c>
      <c r="F116" s="5">
        <v>5</v>
      </c>
      <c r="G116" s="5" t="s">
        <v>968</v>
      </c>
      <c r="H116" s="5" t="s">
        <v>1039</v>
      </c>
      <c r="I116" s="5" t="s">
        <v>963</v>
      </c>
      <c r="J116" s="5"/>
      <c r="K116" s="50" t="s">
        <v>1248</v>
      </c>
      <c r="L116" s="103">
        <v>174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1:28" ht="13.2">
      <c r="A117" s="3">
        <f>IF(ISBLANK(B117),,A116+1)</f>
        <v>116</v>
      </c>
      <c r="B117" s="50" t="s">
        <v>1247</v>
      </c>
      <c r="C117" s="5" t="s">
        <v>991</v>
      </c>
      <c r="D117" s="5">
        <f>IF(C117="common",100,IF(C117="Uncommon",300,IF(C117="Rare",700,IF(C117="very rare",1100,IF(C117="Legendary",2000,0)))))</f>
        <v>700</v>
      </c>
      <c r="E117" s="5">
        <f>(F117*TRUNC(3+(15-3)*(TRUNC(MOD((A117*1103515245 +12345)/ 65536, 32768),0)/32768),0))+D117+(D117/10*F117)</f>
        <v>940</v>
      </c>
      <c r="F117" s="5">
        <v>3</v>
      </c>
      <c r="G117" s="5" t="s">
        <v>970</v>
      </c>
      <c r="H117" s="5"/>
      <c r="I117" s="5"/>
      <c r="J117" s="5"/>
      <c r="K117" s="50"/>
      <c r="L117" s="103">
        <v>174</v>
      </c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1:28" ht="13.2">
      <c r="A118" s="3">
        <f>IF(ISBLANK(B118),,A117+1)</f>
        <v>117</v>
      </c>
      <c r="B118" s="50" t="s">
        <v>1246</v>
      </c>
      <c r="C118" s="5" t="s">
        <v>1001</v>
      </c>
      <c r="D118" s="5">
        <f>IF(C118="common",100,IF(C118="Uncommon",300,IF(C118="Rare",700,IF(C118="very rare",1100,IF(C118="Legendary",2000,0)))))</f>
        <v>1100</v>
      </c>
      <c r="E118" s="5">
        <f>(F118*TRUNC(3+(15-3)*(TRUNC(MOD((A118*1103515245 +12345)/ 65536, 32768),0)/32768),0))+D118+(D118/10*F118)</f>
        <v>1556</v>
      </c>
      <c r="F118" s="5">
        <v>4</v>
      </c>
      <c r="G118" s="5" t="s">
        <v>970</v>
      </c>
      <c r="H118" s="5"/>
      <c r="I118" s="5"/>
      <c r="J118" s="5"/>
      <c r="K118" s="50"/>
      <c r="L118" s="103">
        <v>175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1:28" ht="13.2">
      <c r="A119" s="3">
        <f>IF(ISBLANK(B119),,A118+1)</f>
        <v>118</v>
      </c>
      <c r="B119" s="50" t="s">
        <v>1245</v>
      </c>
      <c r="C119" s="5" t="s">
        <v>997</v>
      </c>
      <c r="D119" s="5">
        <f>IF(C119="common",100,IF(C119="Uncommon",300,IF(C119="Rare",700,IF(C119="very rare",1100,IF(C119="Legendary",2000,0)))))</f>
        <v>2000</v>
      </c>
      <c r="E119" s="5">
        <f>(F119*TRUNC(3+(15-3)*(TRUNC(MOD((A119*1103515245 +12345)/ 65536, 32768),0)/32768),0))+D119+(D119/10*F119)</f>
        <v>3050</v>
      </c>
      <c r="F119" s="5">
        <v>5</v>
      </c>
      <c r="G119" s="5" t="s">
        <v>970</v>
      </c>
      <c r="H119" s="5"/>
      <c r="I119" s="5"/>
      <c r="J119" s="5"/>
      <c r="K119" s="50"/>
      <c r="L119" s="103">
        <v>175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1:28" ht="13.2">
      <c r="A120" s="3">
        <f>IF(ISBLANK(B120),,A119+1)</f>
        <v>119</v>
      </c>
      <c r="B120" s="50" t="s">
        <v>1244</v>
      </c>
      <c r="C120" s="5" t="s">
        <v>991</v>
      </c>
      <c r="D120" s="5">
        <f>IF(C120="common",100,IF(C120="Uncommon",300,IF(C120="Rare",700,IF(C120="very rare",1100,IF(C120="Legendary",2000,0)))))</f>
        <v>700</v>
      </c>
      <c r="E120" s="5">
        <f>(F120*TRUNC(3+(15-3)*(TRUNC(MOD((A120*1103515245 +12345)/ 65536, 32768),0)/32768),0))+D120+(D120/10*F120)</f>
        <v>922</v>
      </c>
      <c r="F120" s="5">
        <v>3</v>
      </c>
      <c r="G120" s="5" t="s">
        <v>970</v>
      </c>
      <c r="H120" s="5"/>
      <c r="I120" s="5"/>
      <c r="J120" s="5"/>
      <c r="K120" s="50"/>
      <c r="L120" s="103">
        <v>175</v>
      </c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1:28" ht="13.2">
      <c r="A121" s="3">
        <f>IF(ISBLANK(B121),,A120+1)</f>
        <v>120</v>
      </c>
      <c r="B121" s="50" t="s">
        <v>1243</v>
      </c>
      <c r="C121" s="5" t="s">
        <v>1001</v>
      </c>
      <c r="D121" s="5">
        <f>IF(C121="common",100,IF(C121="Uncommon",300,IF(C121="Rare",700,IF(C121="very rare",1100,IF(C121="Legendary",2000,0)))))</f>
        <v>1100</v>
      </c>
      <c r="E121" s="5">
        <f>(F121*TRUNC(3+(15-3)*(TRUNC(MOD((A121*1103515245 +12345)/ 65536, 32768),0)/32768),0))+D121+(D121/10*F121)</f>
        <v>1580</v>
      </c>
      <c r="F121" s="5">
        <v>4</v>
      </c>
      <c r="G121" s="5" t="s">
        <v>970</v>
      </c>
      <c r="H121" s="5" t="s">
        <v>1099</v>
      </c>
      <c r="I121" s="5"/>
      <c r="J121" s="5"/>
      <c r="K121" s="50"/>
      <c r="L121" s="103">
        <v>175</v>
      </c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1:28" ht="13.2">
      <c r="A122" s="3">
        <f>IF(ISBLANK(B122),,A121+1)</f>
        <v>121</v>
      </c>
      <c r="B122" s="50" t="s">
        <v>1242</v>
      </c>
      <c r="C122" s="5" t="s">
        <v>991</v>
      </c>
      <c r="D122" s="5">
        <f>IF(C122="common",100,IF(C122="Uncommon",300,IF(C122="Rare",700,IF(C122="very rare",1100,IF(C122="Legendary",2000,0)))))</f>
        <v>700</v>
      </c>
      <c r="E122" s="5">
        <f>(F122*TRUNC(3+(15-3)*(TRUNC(MOD((A122*1103515245 +12345)/ 65536, 32768),0)/32768),0))+D122+(D122/10*F122)</f>
        <v>925</v>
      </c>
      <c r="F122" s="5">
        <v>3</v>
      </c>
      <c r="G122" s="5" t="s">
        <v>970</v>
      </c>
      <c r="H122" s="5" t="s">
        <v>1099</v>
      </c>
      <c r="I122" s="5"/>
      <c r="J122" s="5"/>
      <c r="K122" s="50"/>
      <c r="L122" s="103">
        <v>175</v>
      </c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1:28" ht="13.2">
      <c r="A123" s="3">
        <f>IF(ISBLANK(B123),,A122+1)</f>
        <v>122</v>
      </c>
      <c r="B123" s="50" t="s">
        <v>1241</v>
      </c>
      <c r="C123" s="5" t="s">
        <v>994</v>
      </c>
      <c r="D123" s="5">
        <f>IF(C123="common",100,IF(C123="Uncommon",300,IF(C123="Rare",700,IF(C123="very rare",1100,IF(C123="Legendary",2000,0)))))</f>
        <v>300</v>
      </c>
      <c r="E123" s="5">
        <f>(F123*TRUNC(3+(15-3)*(TRUNC(MOD((A123*1103515245 +12345)/ 65536, 32768),0)/32768),0))+D123+(D123/10*F123)</f>
        <v>382</v>
      </c>
      <c r="F123" s="5">
        <v>2</v>
      </c>
      <c r="G123" s="5" t="s">
        <v>1033</v>
      </c>
      <c r="H123" s="5"/>
      <c r="I123" s="5"/>
      <c r="J123" s="5"/>
      <c r="K123" s="50"/>
      <c r="L123" s="103">
        <v>175</v>
      </c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1:28" ht="13.2">
      <c r="A124" s="3">
        <f>IF(ISBLANK(B124),,A123+1)</f>
        <v>123</v>
      </c>
      <c r="B124" s="50" t="s">
        <v>1240</v>
      </c>
      <c r="C124" s="5" t="s">
        <v>1001</v>
      </c>
      <c r="D124" s="5">
        <f>IF(C124="common",100,IF(C124="Uncommon",300,IF(C124="Rare",700,IF(C124="very rare",1100,IF(C124="Legendary",2000,0)))))</f>
        <v>1100</v>
      </c>
      <c r="E124" s="5">
        <f>(F124*TRUNC(3+(15-3)*(TRUNC(MOD((A124*1103515245 +12345)/ 65536, 32768),0)/32768),0))+D124+(D124/10*F124)</f>
        <v>1560</v>
      </c>
      <c r="F124" s="5">
        <v>4</v>
      </c>
      <c r="G124" s="5" t="s">
        <v>970</v>
      </c>
      <c r="H124" s="5" t="s">
        <v>1233</v>
      </c>
      <c r="I124" s="5" t="s">
        <v>963</v>
      </c>
      <c r="J124" s="5"/>
      <c r="K124" s="50" t="s">
        <v>1232</v>
      </c>
      <c r="L124" s="103">
        <v>176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1:28" ht="13.2">
      <c r="A125" s="3">
        <f>IF(ISBLANK(B125),,A124+1)</f>
        <v>124</v>
      </c>
      <c r="B125" s="50" t="s">
        <v>1239</v>
      </c>
      <c r="C125" s="5" t="s">
        <v>991</v>
      </c>
      <c r="D125" s="5">
        <f>IF(C125="common",100,IF(C125="Uncommon",300,IF(C125="Rare",700,IF(C125="very rare",1100,IF(C125="Legendary",2000,0)))))</f>
        <v>700</v>
      </c>
      <c r="E125" s="5">
        <f>(F125*TRUNC(3+(15-3)*(TRUNC(MOD((A125*1103515245 +12345)/ 65536, 32768),0)/32768),0))+D125+(D125/10*F125)</f>
        <v>943</v>
      </c>
      <c r="F125" s="5">
        <v>3</v>
      </c>
      <c r="G125" s="5" t="s">
        <v>970</v>
      </c>
      <c r="H125" s="5" t="s">
        <v>1233</v>
      </c>
      <c r="I125" s="5" t="s">
        <v>963</v>
      </c>
      <c r="J125" s="5"/>
      <c r="K125" s="50" t="s">
        <v>1232</v>
      </c>
      <c r="L125" s="103">
        <v>176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1:28" ht="13.2">
      <c r="A126" s="3">
        <f>IF(ISBLANK(B126),,A125+1)</f>
        <v>125</v>
      </c>
      <c r="B126" s="50" t="s">
        <v>1238</v>
      </c>
      <c r="C126" s="5" t="s">
        <v>991</v>
      </c>
      <c r="D126" s="5">
        <f>IF(C126="common",100,IF(C126="Uncommon",300,IF(C126="Rare",700,IF(C126="very rare",1100,IF(C126="Legendary",2000,0)))))</f>
        <v>700</v>
      </c>
      <c r="E126" s="5">
        <f>(F126*TRUNC(3+(15-3)*(TRUNC(MOD((A126*1103515245 +12345)/ 65536, 32768),0)/32768),0))+D126+(D126/10*F126)</f>
        <v>925</v>
      </c>
      <c r="F126" s="5">
        <v>3</v>
      </c>
      <c r="G126" s="5" t="s">
        <v>970</v>
      </c>
      <c r="H126" s="5" t="s">
        <v>1233</v>
      </c>
      <c r="I126" s="5" t="s">
        <v>963</v>
      </c>
      <c r="J126" s="5"/>
      <c r="K126" s="50" t="s">
        <v>1232</v>
      </c>
      <c r="L126" s="103">
        <v>176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1:28" ht="13.2">
      <c r="A127" s="3">
        <f>IF(ISBLANK(B127),,A126+1)</f>
        <v>126</v>
      </c>
      <c r="B127" s="50" t="s">
        <v>1237</v>
      </c>
      <c r="C127" s="5" t="s">
        <v>994</v>
      </c>
      <c r="D127" s="5">
        <f>IF(C127="common",100,IF(C127="Uncommon",300,IF(C127="Rare",700,IF(C127="very rare",1100,IF(C127="Legendary",2000,0)))))</f>
        <v>300</v>
      </c>
      <c r="E127" s="5">
        <f>(F127*TRUNC(3+(15-3)*(TRUNC(MOD((A127*1103515245 +12345)/ 65536, 32768),0)/32768),0))+D127+(D127/10*F127)</f>
        <v>382</v>
      </c>
      <c r="F127" s="5">
        <v>2</v>
      </c>
      <c r="G127" s="5" t="s">
        <v>970</v>
      </c>
      <c r="H127" s="5" t="s">
        <v>1233</v>
      </c>
      <c r="I127" s="5" t="s">
        <v>963</v>
      </c>
      <c r="J127" s="5"/>
      <c r="K127" s="50" t="s">
        <v>1232</v>
      </c>
      <c r="L127" s="103">
        <v>176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1:28" ht="13.2">
      <c r="A128" s="3">
        <f>IF(ISBLANK(B128),,A127+1)</f>
        <v>127</v>
      </c>
      <c r="B128" s="50" t="s">
        <v>1236</v>
      </c>
      <c r="C128" s="5" t="s">
        <v>994</v>
      </c>
      <c r="D128" s="5">
        <f>IF(C128="common",100,IF(C128="Uncommon",300,IF(C128="Rare",700,IF(C128="very rare",1100,IF(C128="Legendary",2000,0)))))</f>
        <v>300</v>
      </c>
      <c r="E128" s="5">
        <f>(F128*TRUNC(3+(15-3)*(TRUNC(MOD((A128*1103515245 +12345)/ 65536, 32768),0)/32768),0))+D128+(D128/10*F128)</f>
        <v>372</v>
      </c>
      <c r="F128" s="5">
        <v>2</v>
      </c>
      <c r="G128" s="5" t="s">
        <v>970</v>
      </c>
      <c r="H128" s="5" t="s">
        <v>1233</v>
      </c>
      <c r="I128" s="5" t="s">
        <v>963</v>
      </c>
      <c r="J128" s="5"/>
      <c r="K128" s="50" t="s">
        <v>1232</v>
      </c>
      <c r="L128" s="103">
        <v>176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1:28" ht="13.2">
      <c r="A129" s="3">
        <f>IF(ISBLANK(B129),,A128+1)</f>
        <v>128</v>
      </c>
      <c r="B129" s="50" t="s">
        <v>1235</v>
      </c>
      <c r="C129" s="5" t="s">
        <v>994</v>
      </c>
      <c r="D129" s="5">
        <f>IF(C129="common",100,IF(C129="Uncommon",300,IF(C129="Rare",700,IF(C129="very rare",1100,IF(C129="Legendary",2000,0)))))</f>
        <v>300</v>
      </c>
      <c r="E129" s="5">
        <f>(F129*TRUNC(3+(15-3)*(TRUNC(MOD((A129*1103515245 +12345)/ 65536, 32768),0)/32768),0))+D129+(D129/10*F129)</f>
        <v>384</v>
      </c>
      <c r="F129" s="5">
        <v>2</v>
      </c>
      <c r="G129" s="5" t="s">
        <v>970</v>
      </c>
      <c r="H129" s="5" t="s">
        <v>1233</v>
      </c>
      <c r="I129" s="5" t="s">
        <v>963</v>
      </c>
      <c r="J129" s="5"/>
      <c r="K129" s="50" t="s">
        <v>1232</v>
      </c>
      <c r="L129" s="103">
        <v>176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1:28" ht="13.2">
      <c r="A130" s="3">
        <f>IF(ISBLANK(B130),,A129+1)</f>
        <v>129</v>
      </c>
      <c r="B130" s="50" t="s">
        <v>1234</v>
      </c>
      <c r="C130" s="5" t="s">
        <v>997</v>
      </c>
      <c r="D130" s="5">
        <f>IF(C130="common",100,IF(C130="Uncommon",300,IF(C130="Rare",700,IF(C130="very rare",1100,IF(C130="Legendary",2000,0)))))</f>
        <v>2000</v>
      </c>
      <c r="E130" s="5">
        <f>(F130*TRUNC(3+(15-3)*(TRUNC(MOD((A130*1103515245 +12345)/ 65536, 32768),0)/32768),0))+D130+(D130/10*F130)</f>
        <v>3030</v>
      </c>
      <c r="F130" s="5">
        <v>5</v>
      </c>
      <c r="G130" s="5" t="s">
        <v>970</v>
      </c>
      <c r="H130" s="5" t="s">
        <v>1233</v>
      </c>
      <c r="I130" s="5" t="s">
        <v>963</v>
      </c>
      <c r="J130" s="5"/>
      <c r="K130" s="50" t="s">
        <v>1232</v>
      </c>
      <c r="L130" s="103">
        <v>176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1:28" ht="13.2">
      <c r="A131" s="3">
        <f>IF(ISBLANK(B131),,A130+1)</f>
        <v>130</v>
      </c>
      <c r="B131" s="50" t="s">
        <v>1231</v>
      </c>
      <c r="C131" s="5" t="s">
        <v>1001</v>
      </c>
      <c r="D131" s="5">
        <f>IF(C131="common",100,IF(C131="Uncommon",300,IF(C131="Rare",700,IF(C131="very rare",1100,IF(C131="Legendary",2000,0)))))</f>
        <v>1100</v>
      </c>
      <c r="E131" s="5">
        <f>(F131*TRUNC(3+(15-3)*(TRUNC(MOD((A131*1103515245 +12345)/ 65536, 32768),0)/32768),0))+D131+(D131/10*F131)</f>
        <v>1588</v>
      </c>
      <c r="F131" s="5">
        <v>4</v>
      </c>
      <c r="G131" s="5" t="s">
        <v>970</v>
      </c>
      <c r="H131" s="5" t="s">
        <v>1217</v>
      </c>
      <c r="I131" s="5" t="s">
        <v>963</v>
      </c>
      <c r="J131" s="5"/>
      <c r="K131" s="50"/>
      <c r="L131" s="103">
        <v>176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1:28" ht="13.2">
      <c r="A132" s="3">
        <f>IF(ISBLANK(B132),,A131+1)</f>
        <v>131</v>
      </c>
      <c r="B132" s="50" t="s">
        <v>1230</v>
      </c>
      <c r="C132" s="5" t="s">
        <v>1001</v>
      </c>
      <c r="D132" s="5">
        <f>IF(C132="common",100,IF(C132="Uncommon",300,IF(C132="Rare",700,IF(C132="very rare",1100,IF(C132="Legendary",2000,0)))))</f>
        <v>1100</v>
      </c>
      <c r="E132" s="5">
        <f>(F132*TRUNC(3+(15-3)*(TRUNC(MOD((A132*1103515245 +12345)/ 65536, 32768),0)/32768),0))+D132+(D132/10*F132)</f>
        <v>1564</v>
      </c>
      <c r="F132" s="5">
        <v>4</v>
      </c>
      <c r="G132" s="5" t="s">
        <v>970</v>
      </c>
      <c r="H132" s="5" t="s">
        <v>1217</v>
      </c>
      <c r="I132" s="5" t="s">
        <v>963</v>
      </c>
      <c r="J132" s="5"/>
      <c r="K132" s="50"/>
      <c r="L132" s="103">
        <v>176</v>
      </c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1:28" ht="13.2">
      <c r="A133" s="3">
        <f>IF(ISBLANK(B133),,A132+1)</f>
        <v>132</v>
      </c>
      <c r="B133" s="50" t="s">
        <v>1229</v>
      </c>
      <c r="C133" s="5" t="s">
        <v>991</v>
      </c>
      <c r="D133" s="5">
        <f>IF(C133="common",100,IF(C133="Uncommon",300,IF(C133="Rare",700,IF(C133="very rare",1100,IF(C133="Legendary",2000,0)))))</f>
        <v>700</v>
      </c>
      <c r="E133" s="5">
        <f>(F133*TRUNC(3+(15-3)*(TRUNC(MOD((A133*1103515245 +12345)/ 65536, 32768),0)/32768),0))+D133+(D133/10*F133)</f>
        <v>946</v>
      </c>
      <c r="F133" s="5">
        <v>3</v>
      </c>
      <c r="G133" s="5" t="s">
        <v>970</v>
      </c>
      <c r="H133" s="5" t="s">
        <v>1217</v>
      </c>
      <c r="I133" s="5" t="s">
        <v>963</v>
      </c>
      <c r="J133" s="5"/>
      <c r="K133" s="50"/>
      <c r="L133" s="103">
        <v>176</v>
      </c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1:28" ht="13.2">
      <c r="A134" s="3">
        <f>IF(ISBLANK(B134),,A133+1)</f>
        <v>133</v>
      </c>
      <c r="B134" s="50" t="s">
        <v>1228</v>
      </c>
      <c r="C134" s="5" t="s">
        <v>1001</v>
      </c>
      <c r="D134" s="5">
        <f>IF(C134="common",100,IF(C134="Uncommon",300,IF(C134="Rare",700,IF(C134="very rare",1100,IF(C134="Legendary",2000,0)))))</f>
        <v>1100</v>
      </c>
      <c r="E134" s="5">
        <f>(F134*TRUNC(3+(15-3)*(TRUNC(MOD((A134*1103515245 +12345)/ 65536, 32768),0)/32768),0))+D134+(D134/10*F134)</f>
        <v>1568</v>
      </c>
      <c r="F134" s="5">
        <v>4</v>
      </c>
      <c r="G134" s="5" t="s">
        <v>970</v>
      </c>
      <c r="H134" s="5" t="s">
        <v>1217</v>
      </c>
      <c r="I134" s="5" t="s">
        <v>963</v>
      </c>
      <c r="J134" s="5"/>
      <c r="K134" s="50"/>
      <c r="L134" s="103">
        <v>176</v>
      </c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1:28" ht="13.2">
      <c r="A135" s="3">
        <f>IF(ISBLANK(B135),,A134+1)</f>
        <v>134</v>
      </c>
      <c r="B135" s="50" t="s">
        <v>1227</v>
      </c>
      <c r="C135" s="5" t="s">
        <v>997</v>
      </c>
      <c r="D135" s="5">
        <f>IF(C135="common",100,IF(C135="Uncommon",300,IF(C135="Rare",700,IF(C135="very rare",1100,IF(C135="Legendary",2000,0)))))</f>
        <v>2000</v>
      </c>
      <c r="E135" s="5">
        <f>(F135*TRUNC(3+(15-3)*(TRUNC(MOD((A135*1103515245 +12345)/ 65536, 32768),0)/32768),0))+D135+(D135/10*F135)</f>
        <v>3065</v>
      </c>
      <c r="F135" s="5">
        <v>5</v>
      </c>
      <c r="G135" s="5" t="s">
        <v>970</v>
      </c>
      <c r="H135" s="5" t="s">
        <v>1217</v>
      </c>
      <c r="I135" s="5" t="s">
        <v>963</v>
      </c>
      <c r="J135" s="5"/>
      <c r="K135" s="50"/>
      <c r="L135" s="103">
        <v>176</v>
      </c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1:28" ht="13.2">
      <c r="A136" s="3">
        <f>IF(ISBLANK(B136),,A135+1)</f>
        <v>135</v>
      </c>
      <c r="B136" s="50" t="s">
        <v>1226</v>
      </c>
      <c r="C136" s="5" t="s">
        <v>1001</v>
      </c>
      <c r="D136" s="5">
        <f>IF(C136="common",100,IF(C136="Uncommon",300,IF(C136="Rare",700,IF(C136="very rare",1100,IF(C136="Legendary",2000,0)))))</f>
        <v>1100</v>
      </c>
      <c r="E136" s="5">
        <f>(F136*TRUNC(3+(15-3)*(TRUNC(MOD((A136*1103515245 +12345)/ 65536, 32768),0)/32768),0))+D136+(D136/10*F136)</f>
        <v>1568</v>
      </c>
      <c r="F136" s="5">
        <v>4</v>
      </c>
      <c r="G136" s="5" t="s">
        <v>970</v>
      </c>
      <c r="H136" s="5" t="s">
        <v>1217</v>
      </c>
      <c r="I136" s="5" t="s">
        <v>963</v>
      </c>
      <c r="J136" s="5"/>
      <c r="K136" s="50"/>
      <c r="L136" s="103">
        <v>176</v>
      </c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1:28" ht="13.2">
      <c r="A137" s="3">
        <f>IF(ISBLANK(B137),,A136+1)</f>
        <v>136</v>
      </c>
      <c r="B137" s="50" t="s">
        <v>1225</v>
      </c>
      <c r="C137" s="5" t="s">
        <v>1001</v>
      </c>
      <c r="D137" s="5">
        <f>IF(C137="common",100,IF(C137="Uncommon",300,IF(C137="Rare",700,IF(C137="very rare",1100,IF(C137="Legendary",2000,0)))))</f>
        <v>1100</v>
      </c>
      <c r="E137" s="5">
        <f>(F137*TRUNC(3+(15-3)*(TRUNC(MOD((A137*1103515245 +12345)/ 65536, 32768),0)/32768),0))+D137+(D137/10*F137)</f>
        <v>1592</v>
      </c>
      <c r="F137" s="5">
        <v>4</v>
      </c>
      <c r="G137" s="5" t="s">
        <v>970</v>
      </c>
      <c r="H137" s="5" t="s">
        <v>1217</v>
      </c>
      <c r="I137" s="5" t="s">
        <v>963</v>
      </c>
      <c r="J137" s="5"/>
      <c r="K137" s="50"/>
      <c r="L137" s="103">
        <v>176</v>
      </c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1:28" ht="13.2">
      <c r="A138" s="3">
        <f>IF(ISBLANK(B138),,A137+1)</f>
        <v>137</v>
      </c>
      <c r="B138" s="50" t="s">
        <v>1224</v>
      </c>
      <c r="C138" s="5" t="s">
        <v>1001</v>
      </c>
      <c r="D138" s="5">
        <f>IF(C138="common",100,IF(C138="Uncommon",300,IF(C138="Rare",700,IF(C138="very rare",1100,IF(C138="Legendary",2000,0)))))</f>
        <v>1100</v>
      </c>
      <c r="E138" s="5">
        <f>(F138*TRUNC(3+(15-3)*(TRUNC(MOD((A138*1103515245 +12345)/ 65536, 32768),0)/32768),0))+D138+(D138/10*F138)</f>
        <v>1568</v>
      </c>
      <c r="F138" s="5">
        <v>4</v>
      </c>
      <c r="G138" s="5" t="s">
        <v>970</v>
      </c>
      <c r="H138" s="5" t="s">
        <v>1217</v>
      </c>
      <c r="I138" s="5" t="s">
        <v>963</v>
      </c>
      <c r="J138" s="5"/>
      <c r="K138" s="50"/>
      <c r="L138" s="103">
        <v>176</v>
      </c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28" ht="13.2">
      <c r="A139" s="3">
        <f>IF(ISBLANK(B139),,A138+1)</f>
        <v>138</v>
      </c>
      <c r="B139" s="50" t="s">
        <v>1223</v>
      </c>
      <c r="C139" s="5" t="s">
        <v>997</v>
      </c>
      <c r="D139" s="5">
        <f>IF(C139="common",100,IF(C139="Uncommon",300,IF(C139="Rare",700,IF(C139="very rare",1100,IF(C139="Legendary",2000,0)))))</f>
        <v>2000</v>
      </c>
      <c r="E139" s="5">
        <f>(F139*TRUNC(3+(15-3)*(TRUNC(MOD((A139*1103515245 +12345)/ 65536, 32768),0)/32768),0))+D139+(D139/10*F139)</f>
        <v>3065</v>
      </c>
      <c r="F139" s="5">
        <v>5</v>
      </c>
      <c r="G139" s="5" t="s">
        <v>970</v>
      </c>
      <c r="H139" s="5" t="s">
        <v>1217</v>
      </c>
      <c r="I139" s="5" t="s">
        <v>963</v>
      </c>
      <c r="J139" s="5"/>
      <c r="K139" s="50"/>
      <c r="L139" s="103">
        <v>176</v>
      </c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28" ht="13.2">
      <c r="A140" s="3">
        <f>IF(ISBLANK(B140),,A139+1)</f>
        <v>139</v>
      </c>
      <c r="B140" s="50" t="s">
        <v>1222</v>
      </c>
      <c r="C140" s="5" t="s">
        <v>991</v>
      </c>
      <c r="D140" s="5">
        <f>IF(C140="common",100,IF(C140="Uncommon",300,IF(C140="Rare",700,IF(C140="very rare",1100,IF(C140="Legendary",2000,0)))))</f>
        <v>700</v>
      </c>
      <c r="E140" s="5">
        <f>(F140*TRUNC(3+(15-3)*(TRUNC(MOD((A140*1103515245 +12345)/ 65536, 32768),0)/32768),0))+D140+(D140/10*F140)</f>
        <v>934</v>
      </c>
      <c r="F140" s="5">
        <v>3</v>
      </c>
      <c r="G140" s="5" t="s">
        <v>970</v>
      </c>
      <c r="H140" s="5" t="s">
        <v>1217</v>
      </c>
      <c r="I140" s="5" t="s">
        <v>963</v>
      </c>
      <c r="J140" s="5"/>
      <c r="K140" s="50"/>
      <c r="L140" s="103">
        <v>176</v>
      </c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28" ht="13.2">
      <c r="A141" s="3">
        <f>IF(ISBLANK(B141),,A140+1)</f>
        <v>140</v>
      </c>
      <c r="B141" s="50" t="s">
        <v>1221</v>
      </c>
      <c r="C141" s="5" t="s">
        <v>997</v>
      </c>
      <c r="D141" s="5">
        <f>IF(C141="common",100,IF(C141="Uncommon",300,IF(C141="Rare",700,IF(C141="very rare",1100,IF(C141="Legendary",2000,0)))))</f>
        <v>2000</v>
      </c>
      <c r="E141" s="5">
        <f>(F141*TRUNC(3+(15-3)*(TRUNC(MOD((A141*1103515245 +12345)/ 65536, 32768),0)/32768),0))+D141+(D141/10*F141)</f>
        <v>3070</v>
      </c>
      <c r="F141" s="5">
        <v>5</v>
      </c>
      <c r="G141" s="5" t="s">
        <v>970</v>
      </c>
      <c r="H141" s="5" t="s">
        <v>1217</v>
      </c>
      <c r="I141" s="5" t="s">
        <v>963</v>
      </c>
      <c r="J141" s="5"/>
      <c r="K141" s="50"/>
      <c r="L141" s="103">
        <v>176</v>
      </c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28" ht="13.2">
      <c r="A142" s="3">
        <f>IF(ISBLANK(B142),,A141+1)</f>
        <v>141</v>
      </c>
      <c r="B142" s="50" t="s">
        <v>1220</v>
      </c>
      <c r="C142" s="5" t="s">
        <v>991</v>
      </c>
      <c r="D142" s="5">
        <f>IF(C142="common",100,IF(C142="Uncommon",300,IF(C142="Rare",700,IF(C142="very rare",1100,IF(C142="Legendary",2000,0)))))</f>
        <v>700</v>
      </c>
      <c r="E142" s="5">
        <f>(F142*TRUNC(3+(15-3)*(TRUNC(MOD((A142*1103515245 +12345)/ 65536, 32768),0)/32768),0))+D142+(D142/10*F142)</f>
        <v>934</v>
      </c>
      <c r="F142" s="5">
        <v>3</v>
      </c>
      <c r="G142" s="5" t="s">
        <v>970</v>
      </c>
      <c r="H142" s="5" t="s">
        <v>1217</v>
      </c>
      <c r="I142" s="5" t="s">
        <v>963</v>
      </c>
      <c r="J142" s="5"/>
      <c r="K142" s="50"/>
      <c r="L142" s="103">
        <v>176</v>
      </c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28" ht="13.2">
      <c r="A143" s="3">
        <f>IF(ISBLANK(B143),,A142+1)</f>
        <v>142</v>
      </c>
      <c r="B143" s="50" t="s">
        <v>1219</v>
      </c>
      <c r="C143" s="5" t="s">
        <v>1001</v>
      </c>
      <c r="D143" s="5">
        <f>IF(C143="common",100,IF(C143="Uncommon",300,IF(C143="Rare",700,IF(C143="very rare",1100,IF(C143="Legendary",2000,0)))))</f>
        <v>1100</v>
      </c>
      <c r="E143" s="5">
        <f>(F143*TRUNC(3+(15-3)*(TRUNC(MOD((A143*1103515245 +12345)/ 65536, 32768),0)/32768),0))+D143+(D143/10*F143)</f>
        <v>1596</v>
      </c>
      <c r="F143" s="5">
        <v>4</v>
      </c>
      <c r="G143" s="5" t="s">
        <v>970</v>
      </c>
      <c r="H143" s="5" t="s">
        <v>1217</v>
      </c>
      <c r="I143" s="5" t="s">
        <v>963</v>
      </c>
      <c r="J143" s="5"/>
      <c r="K143" s="50"/>
      <c r="L143" s="103">
        <v>176</v>
      </c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28" ht="13.2">
      <c r="A144" s="3">
        <f>IF(ISBLANK(B144),,A143+1)</f>
        <v>143</v>
      </c>
      <c r="B144" s="50" t="s">
        <v>1218</v>
      </c>
      <c r="C144" s="5" t="s">
        <v>991</v>
      </c>
      <c r="D144" s="5">
        <f>IF(C144="common",100,IF(C144="Uncommon",300,IF(C144="Rare",700,IF(C144="very rare",1100,IF(C144="Legendary",2000,0)))))</f>
        <v>700</v>
      </c>
      <c r="E144" s="5">
        <f>(F144*TRUNC(3+(15-3)*(TRUNC(MOD((A144*1103515245 +12345)/ 65536, 32768),0)/32768),0))+D144+(D144/10*F144)</f>
        <v>934</v>
      </c>
      <c r="F144" s="5">
        <v>3</v>
      </c>
      <c r="G144" s="5" t="s">
        <v>970</v>
      </c>
      <c r="H144" s="5" t="s">
        <v>1217</v>
      </c>
      <c r="I144" s="5" t="s">
        <v>963</v>
      </c>
      <c r="J144" s="5"/>
      <c r="K144" s="50"/>
      <c r="L144" s="103">
        <v>176</v>
      </c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 ht="13.2">
      <c r="A145" s="3">
        <f>IF(ISBLANK(B145),,A144+1)</f>
        <v>144</v>
      </c>
      <c r="B145" s="50" t="s">
        <v>1216</v>
      </c>
      <c r="C145" s="5" t="s">
        <v>991</v>
      </c>
      <c r="D145" s="5">
        <f>IF(C145="common",100,IF(C145="Uncommon",300,IF(C145="Rare",700,IF(C145="very rare",1100,IF(C145="Legendary",2000,0)))))</f>
        <v>700</v>
      </c>
      <c r="E145" s="5">
        <f>(F145*TRUNC(3+(15-3)*(TRUNC(MOD((A145*1103515245 +12345)/ 65536, 32768),0)/32768),0))+D145+(D145/10*F145)</f>
        <v>952</v>
      </c>
      <c r="F145" s="5">
        <v>3</v>
      </c>
      <c r="G145" s="5" t="s">
        <v>970</v>
      </c>
      <c r="H145" s="5"/>
      <c r="I145" s="5"/>
      <c r="J145" s="5"/>
      <c r="K145" s="50"/>
      <c r="L145" s="103">
        <v>177</v>
      </c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3.2">
      <c r="A146" s="3">
        <f>IF(ISBLANK(B146),,A145+1)</f>
        <v>145</v>
      </c>
      <c r="B146" s="50" t="s">
        <v>1215</v>
      </c>
      <c r="C146" s="5" t="s">
        <v>997</v>
      </c>
      <c r="D146" s="5">
        <f>IF(C146="common",100,IF(C146="Uncommon",300,IF(C146="Rare",700,IF(C146="very rare",1100,IF(C146="Legendary",2000,0)))))</f>
        <v>2000</v>
      </c>
      <c r="E146" s="5">
        <f>(F146*TRUNC(3+(15-3)*(TRUNC(MOD((A146*1103515245 +12345)/ 65536, 32768),0)/32768),0))+D146+(D146/10*F146)</f>
        <v>3045</v>
      </c>
      <c r="F146" s="5">
        <v>5</v>
      </c>
      <c r="G146" s="5" t="s">
        <v>970</v>
      </c>
      <c r="H146" s="5"/>
      <c r="I146" s="5"/>
      <c r="J146" s="5"/>
      <c r="K146" s="50"/>
      <c r="L146" s="103">
        <v>178</v>
      </c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3.2">
      <c r="A147" s="3">
        <f>IF(ISBLANK(B147),,A146+1)</f>
        <v>146</v>
      </c>
      <c r="B147" s="50" t="s">
        <v>1214</v>
      </c>
      <c r="C147" s="5" t="s">
        <v>994</v>
      </c>
      <c r="D147" s="5">
        <f>IF(C147="common",100,IF(C147="Uncommon",300,IF(C147="Rare",700,IF(C147="very rare",1100,IF(C147="Legendary",2000,0)))))</f>
        <v>300</v>
      </c>
      <c r="E147" s="5">
        <f>(F147*TRUNC(3+(15-3)*(TRUNC(MOD((A147*1103515245 +12345)/ 65536, 32768),0)/32768),0))+D147+(D147/10*F147)</f>
        <v>366</v>
      </c>
      <c r="F147" s="5">
        <v>2</v>
      </c>
      <c r="G147" s="5" t="s">
        <v>968</v>
      </c>
      <c r="H147" s="5" t="s">
        <v>1213</v>
      </c>
      <c r="I147" s="5"/>
      <c r="J147" s="5"/>
      <c r="K147" s="50"/>
      <c r="L147" s="103">
        <v>178</v>
      </c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3.2">
      <c r="A148" s="3">
        <f>IF(ISBLANK(B148),,A147+1)</f>
        <v>147</v>
      </c>
      <c r="B148" s="50" t="s">
        <v>1212</v>
      </c>
      <c r="C148" s="5" t="s">
        <v>994</v>
      </c>
      <c r="D148" s="5">
        <f>IF(C148="common",100,IF(C148="Uncommon",300,IF(C148="Rare",700,IF(C148="very rare",1100,IF(C148="Legendary",2000,0)))))</f>
        <v>300</v>
      </c>
      <c r="E148" s="5">
        <f>(F148*TRUNC(3+(15-3)*(TRUNC(MOD((A148*1103515245 +12345)/ 65536, 32768),0)/32768),0))+D148+(D148/10*F148)</f>
        <v>378</v>
      </c>
      <c r="F148" s="5">
        <v>2</v>
      </c>
      <c r="G148" s="5" t="s">
        <v>970</v>
      </c>
      <c r="H148" s="5" t="s">
        <v>1024</v>
      </c>
      <c r="I148" s="5"/>
      <c r="J148" s="5"/>
      <c r="K148" s="50"/>
      <c r="L148" s="103">
        <v>179</v>
      </c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3.2">
      <c r="A149" s="3">
        <f>IF(ISBLANK(B149),,A148+1)</f>
        <v>148</v>
      </c>
      <c r="B149" s="50" t="s">
        <v>1211</v>
      </c>
      <c r="C149" s="5" t="s">
        <v>994</v>
      </c>
      <c r="D149" s="5">
        <f>IF(C149="common",100,IF(C149="Uncommon",300,IF(C149="Rare",700,IF(C149="very rare",1100,IF(C149="Legendary",2000,0)))))</f>
        <v>300</v>
      </c>
      <c r="E149" s="5">
        <f>(F149*TRUNC(3+(15-3)*(TRUNC(MOD((A149*1103515245 +12345)/ 65536, 32768),0)/32768),0))+D149+(D149/10*F149)</f>
        <v>366</v>
      </c>
      <c r="F149" s="5">
        <v>2</v>
      </c>
      <c r="G149" s="5" t="s">
        <v>970</v>
      </c>
      <c r="H149" s="5"/>
      <c r="I149" s="5"/>
      <c r="J149" s="5"/>
      <c r="K149" s="50"/>
      <c r="L149" s="103">
        <v>179</v>
      </c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3.2">
      <c r="A150" s="3">
        <f>IF(ISBLANK(B150),,A149+1)</f>
        <v>149</v>
      </c>
      <c r="B150" s="50" t="s">
        <v>1210</v>
      </c>
      <c r="C150" s="5" t="s">
        <v>997</v>
      </c>
      <c r="D150" s="5">
        <f>IF(C150="common",100,IF(C150="Uncommon",300,IF(C150="Rare",700,IF(C150="very rare",1100,IF(C150="Legendary",2000,0)))))</f>
        <v>2000</v>
      </c>
      <c r="E150" s="5">
        <f>(F150*TRUNC(3+(15-3)*(TRUNC(MOD((A150*1103515245 +12345)/ 65536, 32768),0)/32768),0))+D150+(D150/10*F150)</f>
        <v>3045</v>
      </c>
      <c r="F150" s="5">
        <v>5</v>
      </c>
      <c r="G150" s="5" t="s">
        <v>968</v>
      </c>
      <c r="H150" s="5" t="s">
        <v>1039</v>
      </c>
      <c r="I150" s="5" t="s">
        <v>963</v>
      </c>
      <c r="J150" s="5"/>
      <c r="K150" s="50"/>
      <c r="L150" s="103">
        <v>179</v>
      </c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3.2">
      <c r="A151" s="3">
        <f>IF(ISBLANK(B151),,A150+1)</f>
        <v>150</v>
      </c>
      <c r="B151" s="50" t="s">
        <v>1209</v>
      </c>
      <c r="C151" s="5" t="s">
        <v>991</v>
      </c>
      <c r="D151" s="5">
        <f>IF(C151="common",100,IF(C151="Uncommon",300,IF(C151="Rare",700,IF(C151="very rare",1100,IF(C151="Legendary",2000,0)))))</f>
        <v>700</v>
      </c>
      <c r="E151" s="5">
        <f>(F151*TRUNC(3+(15-3)*(TRUNC(MOD((A151*1103515245 +12345)/ 65536, 32768),0)/32768),0))+D151+(D151/10*F151)</f>
        <v>919</v>
      </c>
      <c r="F151" s="5">
        <v>3</v>
      </c>
      <c r="G151" s="5" t="s">
        <v>968</v>
      </c>
      <c r="H151" s="5" t="s">
        <v>1206</v>
      </c>
      <c r="I151" s="5" t="s">
        <v>963</v>
      </c>
      <c r="J151" s="5"/>
      <c r="K151" s="50"/>
      <c r="L151" s="103">
        <v>179</v>
      </c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 ht="13.2">
      <c r="A152" s="3">
        <f>IF(ISBLANK(B152),,A151+1)</f>
        <v>151</v>
      </c>
      <c r="B152" s="50" t="s">
        <v>1208</v>
      </c>
      <c r="C152" s="5" t="s">
        <v>991</v>
      </c>
      <c r="D152" s="5">
        <f>IF(C152="common",100,IF(C152="Uncommon",300,IF(C152="Rare",700,IF(C152="very rare",1100,IF(C152="Legendary",2000,0)))))</f>
        <v>700</v>
      </c>
      <c r="E152" s="5">
        <f>(F152*TRUNC(3+(15-3)*(TRUNC(MOD((A152*1103515245 +12345)/ 65536, 32768),0)/32768),0))+D152+(D152/10*F152)</f>
        <v>940</v>
      </c>
      <c r="F152" s="5">
        <v>3</v>
      </c>
      <c r="G152" s="5" t="s">
        <v>968</v>
      </c>
      <c r="H152" s="5" t="s">
        <v>1206</v>
      </c>
      <c r="I152" s="5"/>
      <c r="J152" s="5"/>
      <c r="K152" s="50"/>
      <c r="L152" s="103">
        <v>179</v>
      </c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1:28" ht="13.2">
      <c r="A153" s="3">
        <f>IF(ISBLANK(B153),,A152+1)</f>
        <v>152</v>
      </c>
      <c r="B153" s="50" t="s">
        <v>1207</v>
      </c>
      <c r="C153" s="5" t="s">
        <v>991</v>
      </c>
      <c r="D153" s="5">
        <f>IF(C153="common",100,IF(C153="Uncommon",300,IF(C153="Rare",700,IF(C153="very rare",1100,IF(C153="Legendary",2000,0)))))</f>
        <v>700</v>
      </c>
      <c r="E153" s="5">
        <f>(F153*TRUNC(3+(15-3)*(TRUNC(MOD((A153*1103515245 +12345)/ 65536, 32768),0)/32768),0))+D153+(D153/10*F153)</f>
        <v>922</v>
      </c>
      <c r="F153" s="5">
        <v>3</v>
      </c>
      <c r="G153" s="5" t="s">
        <v>968</v>
      </c>
      <c r="H153" s="5" t="s">
        <v>1206</v>
      </c>
      <c r="I153" s="5" t="s">
        <v>963</v>
      </c>
      <c r="J153" s="5"/>
      <c r="K153" s="50"/>
      <c r="L153" s="103">
        <v>180</v>
      </c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1:28" ht="13.2">
      <c r="A154" s="3">
        <f>IF(ISBLANK(B154),,A153+1)</f>
        <v>153</v>
      </c>
      <c r="B154" s="50" t="s">
        <v>1205</v>
      </c>
      <c r="C154" s="5" t="s">
        <v>991</v>
      </c>
      <c r="D154" s="5">
        <f>IF(C154="common",100,IF(C154="Uncommon",300,IF(C154="Rare",700,IF(C154="very rare",1100,IF(C154="Legendary",2000,0)))))</f>
        <v>700</v>
      </c>
      <c r="E154" s="5">
        <f>(F154*TRUNC(3+(15-3)*(TRUNC(MOD((A154*1103515245 +12345)/ 65536, 32768),0)/32768),0))+D154+(D154/10*F154)</f>
        <v>940</v>
      </c>
      <c r="F154" s="5">
        <v>3</v>
      </c>
      <c r="G154" s="5" t="s">
        <v>970</v>
      </c>
      <c r="H154" s="5" t="s">
        <v>990</v>
      </c>
      <c r="I154" s="5" t="s">
        <v>963</v>
      </c>
      <c r="J154" s="5"/>
      <c r="K154" s="50"/>
      <c r="L154" s="103">
        <v>180</v>
      </c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1:28" ht="13.2">
      <c r="A155" s="3">
        <f>IF(ISBLANK(B155),,A154+1)</f>
        <v>154</v>
      </c>
      <c r="B155" s="50" t="s">
        <v>1204</v>
      </c>
      <c r="C155" s="5" t="s">
        <v>1001</v>
      </c>
      <c r="D155" s="5">
        <f>IF(C155="common",100,IF(C155="Uncommon",300,IF(C155="Rare",700,IF(C155="very rare",1100,IF(C155="Legendary",2000,0)))))</f>
        <v>1100</v>
      </c>
      <c r="E155" s="5">
        <f>(F155*TRUNC(3+(15-3)*(TRUNC(MOD((A155*1103515245 +12345)/ 65536, 32768),0)/32768),0))+D155+(D155/10*F155)</f>
        <v>1556</v>
      </c>
      <c r="F155" s="5">
        <v>4</v>
      </c>
      <c r="G155" s="5" t="s">
        <v>970</v>
      </c>
      <c r="H155" s="5" t="s">
        <v>1027</v>
      </c>
      <c r="I155" s="5"/>
      <c r="J155" s="5"/>
      <c r="K155" s="50"/>
      <c r="L155" s="103">
        <v>180</v>
      </c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1:28" ht="13.2">
      <c r="A156" s="3">
        <f>IF(ISBLANK(B156),,A155+1)</f>
        <v>155</v>
      </c>
      <c r="B156" s="50" t="s">
        <v>1203</v>
      </c>
      <c r="C156" s="5" t="s">
        <v>1001</v>
      </c>
      <c r="D156" s="5">
        <f>IF(C156="common",100,IF(C156="Uncommon",300,IF(C156="Rare",700,IF(C156="very rare",1100,IF(C156="Legendary",2000,0)))))</f>
        <v>1100</v>
      </c>
      <c r="E156" s="5">
        <f>(F156*TRUNC(3+(15-3)*(TRUNC(MOD((A156*1103515245 +12345)/ 65536, 32768),0)/32768),0))+D156+(D156/10*F156)</f>
        <v>1580</v>
      </c>
      <c r="F156" s="5">
        <v>4</v>
      </c>
      <c r="G156" s="5" t="s">
        <v>970</v>
      </c>
      <c r="H156" s="5" t="s">
        <v>1027</v>
      </c>
      <c r="I156" s="5"/>
      <c r="J156" s="5"/>
      <c r="K156" s="50"/>
      <c r="L156" s="103">
        <v>180</v>
      </c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1:28" ht="13.2">
      <c r="A157" s="3">
        <f>IF(ISBLANK(B157),,A156+1)</f>
        <v>156</v>
      </c>
      <c r="B157" s="50" t="s">
        <v>1202</v>
      </c>
      <c r="C157" s="5" t="s">
        <v>1001</v>
      </c>
      <c r="D157" s="5">
        <f>IF(C157="common",100,IF(C157="Uncommon",300,IF(C157="Rare",700,IF(C157="very rare",1100,IF(C157="Legendary",2000,0)))))</f>
        <v>1100</v>
      </c>
      <c r="E157" s="5">
        <f>(F157*TRUNC(3+(15-3)*(TRUNC(MOD((A157*1103515245 +12345)/ 65536, 32768),0)/32768),0))+D157+(D157/10*F157)</f>
        <v>1556</v>
      </c>
      <c r="F157" s="5">
        <v>4</v>
      </c>
      <c r="G157" s="5" t="s">
        <v>970</v>
      </c>
      <c r="H157" s="5" t="s">
        <v>1027</v>
      </c>
      <c r="I157" s="5"/>
      <c r="J157" s="5"/>
      <c r="K157" s="50"/>
      <c r="L157" s="103">
        <v>180</v>
      </c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1:28" ht="13.2">
      <c r="A158" s="3">
        <f>IF(ISBLANK(B158),,A157+1)</f>
        <v>157</v>
      </c>
      <c r="B158" s="50" t="s">
        <v>1201</v>
      </c>
      <c r="C158" s="5" t="s">
        <v>1001</v>
      </c>
      <c r="D158" s="5">
        <f>IF(C158="common",100,IF(C158="Uncommon",300,IF(C158="Rare",700,IF(C158="very rare",1100,IF(C158="Legendary",2000,0)))))</f>
        <v>1100</v>
      </c>
      <c r="E158" s="5">
        <f>(F158*TRUNC(3+(15-3)*(TRUNC(MOD((A158*1103515245 +12345)/ 65536, 32768),0)/32768),0))+D158+(D158/10*F158)</f>
        <v>1584</v>
      </c>
      <c r="F158" s="5">
        <v>4</v>
      </c>
      <c r="G158" s="5" t="s">
        <v>970</v>
      </c>
      <c r="H158" s="5" t="s">
        <v>1027</v>
      </c>
      <c r="I158" s="5"/>
      <c r="J158" s="5"/>
      <c r="K158" s="50"/>
      <c r="L158" s="103">
        <v>181</v>
      </c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1:28" ht="13.2">
      <c r="A159" s="3">
        <f>IF(ISBLANK(B159),,A158+1)</f>
        <v>158</v>
      </c>
      <c r="B159" s="50" t="s">
        <v>1200</v>
      </c>
      <c r="C159" s="5" t="s">
        <v>994</v>
      </c>
      <c r="D159" s="5">
        <f>IF(C159="common",100,IF(C159="Uncommon",300,IF(C159="Rare",700,IF(C159="very rare",1100,IF(C159="Legendary",2000,0)))))</f>
        <v>300</v>
      </c>
      <c r="E159" s="5">
        <f>(F159*TRUNC(3+(15-3)*(TRUNC(MOD((A159*1103515245 +12345)/ 65536, 32768),0)/32768),0))+D159+(D159/10*F159)</f>
        <v>370</v>
      </c>
      <c r="F159" s="5">
        <v>2</v>
      </c>
      <c r="G159" s="5" t="s">
        <v>1072</v>
      </c>
      <c r="H159" s="5" t="s">
        <v>1199</v>
      </c>
      <c r="I159" s="5"/>
      <c r="J159" s="5"/>
      <c r="K159" s="50"/>
      <c r="L159" s="103">
        <v>181</v>
      </c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1:28" ht="13.2">
      <c r="A160" s="3">
        <f>IF(ISBLANK(B160),,A159+1)</f>
        <v>159</v>
      </c>
      <c r="B160" s="50" t="s">
        <v>1198</v>
      </c>
      <c r="C160" s="5" t="s">
        <v>994</v>
      </c>
      <c r="D160" s="5">
        <f>IF(C160="common",100,IF(C160="Uncommon",300,IF(C160="Rare",700,IF(C160="very rare",1100,IF(C160="Legendary",2000,0)))))</f>
        <v>300</v>
      </c>
      <c r="E160" s="5">
        <f>(F160*TRUNC(3+(15-3)*(TRUNC(MOD((A160*1103515245 +12345)/ 65536, 32768),0)/32768),0))+D160+(D160/10*F160)</f>
        <v>382</v>
      </c>
      <c r="F160" s="5">
        <v>2</v>
      </c>
      <c r="G160" s="5" t="s">
        <v>970</v>
      </c>
      <c r="H160" s="5" t="s">
        <v>1179</v>
      </c>
      <c r="I160" s="5" t="s">
        <v>963</v>
      </c>
      <c r="J160" s="5"/>
      <c r="K160" s="50"/>
      <c r="L160" s="103">
        <v>181</v>
      </c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1:28" ht="13.2">
      <c r="A161" s="3">
        <f>IF(ISBLANK(B161),,A160+1)</f>
        <v>160</v>
      </c>
      <c r="B161" s="50" t="s">
        <v>1197</v>
      </c>
      <c r="C161" s="5" t="s">
        <v>1001</v>
      </c>
      <c r="D161" s="5">
        <f>IF(C161="common",100,IF(C161="Uncommon",300,IF(C161="Rare",700,IF(C161="very rare",1100,IF(C161="Legendary",2000,0)))))</f>
        <v>1100</v>
      </c>
      <c r="E161" s="5">
        <f>(F161*TRUNC(3+(15-3)*(TRUNC(MOD((A161*1103515245 +12345)/ 65536, 32768),0)/32768),0))+D161+(D161/10*F161)</f>
        <v>1560</v>
      </c>
      <c r="F161" s="5">
        <v>4</v>
      </c>
      <c r="G161" s="5" t="s">
        <v>970</v>
      </c>
      <c r="H161" s="5"/>
      <c r="I161" s="5"/>
      <c r="J161" s="5"/>
      <c r="K161" s="50"/>
      <c r="L161" s="103">
        <v>181</v>
      </c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1:28" ht="13.2">
      <c r="A162" s="3">
        <f>IF(ISBLANK(B162),,A161+1)</f>
        <v>161</v>
      </c>
      <c r="B162" s="50" t="s">
        <v>1196</v>
      </c>
      <c r="C162" s="5" t="s">
        <v>994</v>
      </c>
      <c r="D162" s="5">
        <f>IF(C162="common",100,IF(C162="Uncommon",300,IF(C162="Rare",700,IF(C162="very rare",1100,IF(C162="Legendary",2000,0)))))</f>
        <v>300</v>
      </c>
      <c r="E162" s="5">
        <f>(F162*TRUNC(3+(15-3)*(TRUNC(MOD((A162*1103515245 +12345)/ 65536, 32768),0)/32768),0))+D162+(D162/10*F162)</f>
        <v>382</v>
      </c>
      <c r="F162" s="5">
        <v>2</v>
      </c>
      <c r="G162" s="5" t="s">
        <v>1072</v>
      </c>
      <c r="H162" s="5" t="s">
        <v>1195</v>
      </c>
      <c r="I162" s="5"/>
      <c r="J162" s="5"/>
      <c r="K162" s="50"/>
      <c r="L162" s="103">
        <v>182</v>
      </c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1:28" ht="13.2">
      <c r="A163" s="3">
        <f>IF(ISBLANK(B163),,A162+1)</f>
        <v>162</v>
      </c>
      <c r="B163" s="50" t="s">
        <v>1194</v>
      </c>
      <c r="C163" s="5" t="s">
        <v>994</v>
      </c>
      <c r="D163" s="5">
        <f>IF(C163="common",100,IF(C163="Uncommon",300,IF(C163="Rare",700,IF(C163="very rare",1100,IF(C163="Legendary",2000,0)))))</f>
        <v>300</v>
      </c>
      <c r="E163" s="5">
        <f>(F163*TRUNC(3+(15-3)*(TRUNC(MOD((A163*1103515245 +12345)/ 65536, 32768),0)/32768),0))+D163+(D163/10*F163)</f>
        <v>370</v>
      </c>
      <c r="F163" s="5">
        <v>2</v>
      </c>
      <c r="G163" s="5" t="s">
        <v>970</v>
      </c>
      <c r="H163" s="5" t="s">
        <v>1179</v>
      </c>
      <c r="I163" s="5" t="s">
        <v>963</v>
      </c>
      <c r="J163" s="5"/>
      <c r="K163" s="50"/>
      <c r="L163" s="103">
        <v>182</v>
      </c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1:28" ht="13.2">
      <c r="A164" s="3">
        <f>IF(ISBLANK(B164),,A163+1)</f>
        <v>163</v>
      </c>
      <c r="B164" s="50" t="s">
        <v>1193</v>
      </c>
      <c r="C164" s="5" t="s">
        <v>991</v>
      </c>
      <c r="D164" s="5">
        <f>IF(C164="common",100,IF(C164="Uncommon",300,IF(C164="Rare",700,IF(C164="very rare",1100,IF(C164="Legendary",2000,0)))))</f>
        <v>700</v>
      </c>
      <c r="E164" s="5">
        <f>(F164*TRUNC(3+(15-3)*(TRUNC(MOD((A164*1103515245 +12345)/ 65536, 32768),0)/32768),0))+D164+(D164/10*F164)</f>
        <v>946</v>
      </c>
      <c r="F164" s="5">
        <v>3</v>
      </c>
      <c r="G164" s="5" t="s">
        <v>970</v>
      </c>
      <c r="H164" s="5" t="s">
        <v>1024</v>
      </c>
      <c r="I164" s="5"/>
      <c r="J164" s="5"/>
      <c r="K164" s="50"/>
      <c r="L164" s="103">
        <v>182</v>
      </c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1:28" ht="13.2">
      <c r="A165" s="3">
        <f>IF(ISBLANK(B165),,A164+1)</f>
        <v>164</v>
      </c>
      <c r="B165" s="50" t="s">
        <v>1192</v>
      </c>
      <c r="C165" s="5" t="s">
        <v>991</v>
      </c>
      <c r="D165" s="5">
        <f>IF(C165="common",100,IF(C165="Uncommon",300,IF(C165="Rare",700,IF(C165="very rare",1100,IF(C165="Legendary",2000,0)))))</f>
        <v>700</v>
      </c>
      <c r="E165" s="5">
        <f>(F165*TRUNC(3+(15-3)*(TRUNC(MOD((A165*1103515245 +12345)/ 65536, 32768),0)/32768),0))+D165+(D165/10*F165)</f>
        <v>928</v>
      </c>
      <c r="F165" s="5">
        <v>3</v>
      </c>
      <c r="G165" s="5" t="s">
        <v>970</v>
      </c>
      <c r="H165" s="5" t="s">
        <v>1179</v>
      </c>
      <c r="I165" s="5" t="s">
        <v>963</v>
      </c>
      <c r="J165" s="5"/>
      <c r="K165" s="50" t="s">
        <v>1191</v>
      </c>
      <c r="L165" s="103">
        <v>182</v>
      </c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1:28" ht="13.2">
      <c r="A166" s="3">
        <f>IF(ISBLANK(B166),,A165+1)</f>
        <v>165</v>
      </c>
      <c r="B166" s="50" t="s">
        <v>1190</v>
      </c>
      <c r="C166" s="5" t="s">
        <v>1001</v>
      </c>
      <c r="D166" s="5">
        <f>IF(C166="common",100,IF(C166="Uncommon",300,IF(C166="Rare",700,IF(C166="very rare",1100,IF(C166="Legendary",2000,0)))))</f>
        <v>1100</v>
      </c>
      <c r="E166" s="5">
        <f>(F166*TRUNC(3+(15-3)*(TRUNC(MOD((A166*1103515245 +12345)/ 65536, 32768),0)/32768),0))+D166+(D166/10*F166)</f>
        <v>1588</v>
      </c>
      <c r="F166" s="5">
        <v>4</v>
      </c>
      <c r="G166" s="5" t="s">
        <v>968</v>
      </c>
      <c r="H166" s="5" t="s">
        <v>1039</v>
      </c>
      <c r="I166" s="5" t="s">
        <v>963</v>
      </c>
      <c r="J166" s="5"/>
      <c r="K166" s="50"/>
      <c r="L166" s="103">
        <v>183</v>
      </c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1:28" ht="13.2">
      <c r="A167" s="3">
        <f>IF(ISBLANK(B167),,A166+1)</f>
        <v>166</v>
      </c>
      <c r="B167" s="50" t="s">
        <v>1189</v>
      </c>
      <c r="C167" s="5" t="s">
        <v>1001</v>
      </c>
      <c r="D167" s="5">
        <f>IF(C167="common",100,IF(C167="Uncommon",300,IF(C167="Rare",700,IF(C167="very rare",1100,IF(C167="Legendary",2000,0)))))</f>
        <v>1100</v>
      </c>
      <c r="E167" s="5">
        <f>(F167*TRUNC(3+(15-3)*(TRUNC(MOD((A167*1103515245 +12345)/ 65536, 32768),0)/32768),0))+D167+(D167/10*F167)</f>
        <v>1564</v>
      </c>
      <c r="F167" s="5">
        <v>4</v>
      </c>
      <c r="G167" s="5" t="s">
        <v>970</v>
      </c>
      <c r="H167" s="5" t="s">
        <v>1024</v>
      </c>
      <c r="I167" s="5"/>
      <c r="J167" s="5"/>
      <c r="K167" s="50"/>
      <c r="L167" s="103">
        <v>183</v>
      </c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1:28" ht="13.2">
      <c r="A168" s="3">
        <f>IF(ISBLANK(B168),,A167+1)</f>
        <v>167</v>
      </c>
      <c r="B168" s="50" t="s">
        <v>1188</v>
      </c>
      <c r="C168" s="5" t="s">
        <v>1001</v>
      </c>
      <c r="D168" s="5">
        <f>IF(C168="common",100,IF(C168="Uncommon",300,IF(C168="Rare",700,IF(C168="very rare",1100,IF(C168="Legendary",2000,0)))))</f>
        <v>1100</v>
      </c>
      <c r="E168" s="5">
        <f>(F168*TRUNC(3+(15-3)*(TRUNC(MOD((A168*1103515245 +12345)/ 65536, 32768),0)/32768),0))+D168+(D168/10*F168)</f>
        <v>1588</v>
      </c>
      <c r="F168" s="5">
        <v>4</v>
      </c>
      <c r="G168" s="5" t="s">
        <v>968</v>
      </c>
      <c r="H168" s="5" t="s">
        <v>1187</v>
      </c>
      <c r="I168" s="5" t="s">
        <v>963</v>
      </c>
      <c r="J168" s="5"/>
      <c r="K168" s="50"/>
      <c r="L168" s="103">
        <v>183</v>
      </c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1:28" ht="13.2">
      <c r="A169" s="3">
        <f>IF(ISBLANK(B169),,A168+1)</f>
        <v>168</v>
      </c>
      <c r="B169" s="50" t="s">
        <v>1186</v>
      </c>
      <c r="C169" s="5" t="s">
        <v>991</v>
      </c>
      <c r="D169" s="5">
        <f>IF(C169="common",100,IF(C169="Uncommon",300,IF(C169="Rare",700,IF(C169="very rare",1100,IF(C169="Legendary",2000,0)))))</f>
        <v>700</v>
      </c>
      <c r="E169" s="5">
        <f>(F169*TRUNC(3+(15-3)*(TRUNC(MOD((A169*1103515245 +12345)/ 65536, 32768),0)/32768),0))+D169+(D169/10*F169)</f>
        <v>928</v>
      </c>
      <c r="F169" s="5">
        <v>3</v>
      </c>
      <c r="G169" s="5" t="s">
        <v>1145</v>
      </c>
      <c r="H169" s="5"/>
      <c r="I169" s="5"/>
      <c r="J169" s="5"/>
      <c r="K169" s="50"/>
      <c r="L169" s="103">
        <v>183</v>
      </c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1:28" ht="13.2">
      <c r="A170" s="3">
        <f>IF(ISBLANK(B170),,A169+1)</f>
        <v>169</v>
      </c>
      <c r="B170" s="50" t="s">
        <v>1185</v>
      </c>
      <c r="C170" s="5" t="s">
        <v>1001</v>
      </c>
      <c r="D170" s="5">
        <f>IF(C170="common",100,IF(C170="Uncommon",300,IF(C170="Rare",700,IF(C170="very rare",1100,IF(C170="Legendary",2000,0)))))</f>
        <v>1100</v>
      </c>
      <c r="E170" s="5">
        <f>(F170*TRUNC(3+(15-3)*(TRUNC(MOD((A170*1103515245 +12345)/ 65536, 32768),0)/32768),0))+D170+(D170/10*F170)</f>
        <v>1592</v>
      </c>
      <c r="F170" s="5">
        <v>4</v>
      </c>
      <c r="G170" s="5" t="s">
        <v>1145</v>
      </c>
      <c r="H170" s="5"/>
      <c r="I170" s="5"/>
      <c r="J170" s="5"/>
      <c r="K170" s="50"/>
      <c r="L170" s="103">
        <v>184</v>
      </c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1:28" ht="13.2">
      <c r="A171" s="3">
        <f>IF(ISBLANK(B171),,A170+1)</f>
        <v>170</v>
      </c>
      <c r="B171" s="50" t="s">
        <v>1184</v>
      </c>
      <c r="C171" s="5" t="s">
        <v>994</v>
      </c>
      <c r="D171" s="5">
        <f>IF(C171="common",100,IF(C171="Uncommon",300,IF(C171="Rare",700,IF(C171="very rare",1100,IF(C171="Legendary",2000,0)))))</f>
        <v>300</v>
      </c>
      <c r="E171" s="5">
        <f>(F171*TRUNC(3+(15-3)*(TRUNC(MOD((A171*1103515245 +12345)/ 65536, 32768),0)/32768),0))+D171+(D171/10*F171)</f>
        <v>374</v>
      </c>
      <c r="F171" s="5">
        <v>2</v>
      </c>
      <c r="G171" s="5" t="s">
        <v>1145</v>
      </c>
      <c r="H171" s="5"/>
      <c r="I171" s="5"/>
      <c r="J171" s="5"/>
      <c r="K171" s="50"/>
      <c r="L171" s="103">
        <v>184</v>
      </c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1:28" ht="13.2">
      <c r="A172" s="3">
        <f>IF(ISBLANK(B172),,A171+1)</f>
        <v>171</v>
      </c>
      <c r="B172" s="50" t="s">
        <v>1183</v>
      </c>
      <c r="C172" s="5" t="s">
        <v>994</v>
      </c>
      <c r="D172" s="5">
        <f>IF(C172="common",100,IF(C172="Uncommon",300,IF(C172="Rare",700,IF(C172="very rare",1100,IF(C172="Legendary",2000,0)))))</f>
        <v>300</v>
      </c>
      <c r="E172" s="5">
        <f>(F172*TRUNC(3+(15-3)*(TRUNC(MOD((A172*1103515245 +12345)/ 65536, 32768),0)/32768),0))+D172+(D172/10*F172)</f>
        <v>386</v>
      </c>
      <c r="F172" s="5">
        <v>2</v>
      </c>
      <c r="G172" s="5" t="s">
        <v>970</v>
      </c>
      <c r="H172" s="5"/>
      <c r="I172" s="5" t="s">
        <v>963</v>
      </c>
      <c r="J172" s="5"/>
      <c r="K172" s="50" t="s">
        <v>1005</v>
      </c>
      <c r="L172" s="103">
        <v>184</v>
      </c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1:28" ht="13.2">
      <c r="A173" s="3">
        <f>IF(ISBLANK(B173),,A172+1)</f>
        <v>172</v>
      </c>
      <c r="B173" s="50" t="s">
        <v>1182</v>
      </c>
      <c r="C173" s="5" t="s">
        <v>994</v>
      </c>
      <c r="D173" s="5">
        <f>IF(C173="common",100,IF(C173="Uncommon",300,IF(C173="Rare",700,IF(C173="very rare",1100,IF(C173="Legendary",2000,0)))))</f>
        <v>300</v>
      </c>
      <c r="E173" s="5">
        <f>(F173*TRUNC(3+(15-3)*(TRUNC(MOD((A173*1103515245 +12345)/ 65536, 32768),0)/32768),0))+D173+(D173/10*F173)</f>
        <v>374</v>
      </c>
      <c r="F173" s="5">
        <v>2</v>
      </c>
      <c r="G173" s="5" t="s">
        <v>970</v>
      </c>
      <c r="H173" s="5" t="s">
        <v>1179</v>
      </c>
      <c r="I173" s="5"/>
      <c r="J173" s="5"/>
      <c r="K173" s="50"/>
      <c r="L173" s="103">
        <v>184</v>
      </c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1:28" ht="13.2">
      <c r="A174" s="3">
        <f>IF(ISBLANK(B174),,A173+1)</f>
        <v>173</v>
      </c>
      <c r="B174" s="50" t="s">
        <v>1181</v>
      </c>
      <c r="C174" s="5" t="s">
        <v>991</v>
      </c>
      <c r="D174" s="5">
        <f>IF(C174="common",100,IF(C174="Uncommon",300,IF(C174="Rare",700,IF(C174="very rare",1100,IF(C174="Legendary",2000,0)))))</f>
        <v>700</v>
      </c>
      <c r="E174" s="5">
        <f>(F174*TRUNC(3+(15-3)*(TRUNC(MOD((A174*1103515245 +12345)/ 65536, 32768),0)/32768),0))+D174+(D174/10*F174)</f>
        <v>949</v>
      </c>
      <c r="F174" s="5">
        <v>3</v>
      </c>
      <c r="G174" s="5" t="s">
        <v>970</v>
      </c>
      <c r="H174" s="5" t="s">
        <v>1179</v>
      </c>
      <c r="I174" s="5"/>
      <c r="J174" s="5"/>
      <c r="K174" s="50"/>
      <c r="L174" s="103">
        <v>184</v>
      </c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1:28" ht="13.2">
      <c r="A175" s="3">
        <f>IF(ISBLANK(B175),,A174+1)</f>
        <v>174</v>
      </c>
      <c r="B175" s="50" t="s">
        <v>1180</v>
      </c>
      <c r="C175" s="5" t="s">
        <v>994</v>
      </c>
      <c r="D175" s="5">
        <f>IF(C175="common",100,IF(C175="Uncommon",300,IF(C175="Rare",700,IF(C175="very rare",1100,IF(C175="Legendary",2000,0)))))</f>
        <v>300</v>
      </c>
      <c r="E175" s="5">
        <f>(F175*TRUNC(3+(15-3)*(TRUNC(MOD((A175*1103515245 +12345)/ 65536, 32768),0)/32768),0))+D175+(D175/10*F175)</f>
        <v>374</v>
      </c>
      <c r="F175" s="5">
        <v>2</v>
      </c>
      <c r="G175" s="5" t="s">
        <v>970</v>
      </c>
      <c r="H175" s="5" t="s">
        <v>1179</v>
      </c>
      <c r="I175" s="5" t="s">
        <v>963</v>
      </c>
      <c r="J175" s="5"/>
      <c r="K175" s="50"/>
      <c r="L175" s="103">
        <v>184</v>
      </c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1:28" ht="13.2">
      <c r="A176" s="3">
        <f>IF(ISBLANK(B176),,A175+1)</f>
        <v>175</v>
      </c>
      <c r="B176" s="50" t="s">
        <v>1178</v>
      </c>
      <c r="C176" s="5" t="s">
        <v>994</v>
      </c>
      <c r="D176" s="5">
        <f>IF(C176="common",100,IF(C176="Uncommon",300,IF(C176="Rare",700,IF(C176="very rare",1100,IF(C176="Legendary",2000,0)))))</f>
        <v>300</v>
      </c>
      <c r="E176" s="5">
        <f>(F176*TRUNC(3+(15-3)*(TRUNC(MOD((A176*1103515245 +12345)/ 65536, 32768),0)/32768),0))+D176+(D176/10*F176)</f>
        <v>388</v>
      </c>
      <c r="F176" s="5">
        <v>2</v>
      </c>
      <c r="G176" s="5" t="s">
        <v>1145</v>
      </c>
      <c r="H176" s="5"/>
      <c r="I176" s="5"/>
      <c r="J176" s="5"/>
      <c r="K176" s="50"/>
      <c r="L176" s="103">
        <v>184</v>
      </c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1:28" ht="13.2">
      <c r="A177" s="3">
        <f>IF(ISBLANK(B177),,A176+1)</f>
        <v>176</v>
      </c>
      <c r="B177" s="50" t="s">
        <v>1177</v>
      </c>
      <c r="C177" s="5" t="s">
        <v>994</v>
      </c>
      <c r="D177" s="5">
        <f>IF(C177="common",100,IF(C177="Uncommon",300,IF(C177="Rare",700,IF(C177="very rare",1100,IF(C177="Legendary",2000,0)))))</f>
        <v>300</v>
      </c>
      <c r="E177" s="5">
        <f>(F177*TRUNC(3+(15-3)*(TRUNC(MOD((A177*1103515245 +12345)/ 65536, 32768),0)/32768),0))+D177+(D177/10*F177)</f>
        <v>376</v>
      </c>
      <c r="F177" s="5">
        <v>2</v>
      </c>
      <c r="G177" s="5" t="s">
        <v>970</v>
      </c>
      <c r="H177" s="5"/>
      <c r="I177" s="5"/>
      <c r="J177" s="5"/>
      <c r="K177" s="50"/>
      <c r="L177" s="103">
        <v>185</v>
      </c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1:28" ht="13.2">
      <c r="A178" s="3">
        <f>IF(ISBLANK(B178),,A177+1)</f>
        <v>177</v>
      </c>
      <c r="B178" s="50" t="s">
        <v>1176</v>
      </c>
      <c r="C178" s="5" t="s">
        <v>994</v>
      </c>
      <c r="D178" s="5">
        <f>IF(C178="common",100,IF(C178="Uncommon",300,IF(C178="Rare",700,IF(C178="very rare",1100,IF(C178="Legendary",2000,0)))))</f>
        <v>300</v>
      </c>
      <c r="E178" s="5">
        <f>(F178*TRUNC(3+(15-3)*(TRUNC(MOD((A178*1103515245 +12345)/ 65536, 32768),0)/32768),0))+D178+(D178/10*F178)</f>
        <v>388</v>
      </c>
      <c r="F178" s="5">
        <v>2</v>
      </c>
      <c r="G178" s="5" t="s">
        <v>970</v>
      </c>
      <c r="H178" s="5"/>
      <c r="I178" s="5" t="s">
        <v>963</v>
      </c>
      <c r="J178" s="5"/>
      <c r="K178" s="50"/>
      <c r="L178" s="103">
        <v>185</v>
      </c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1:28" ht="13.2">
      <c r="A179" s="3">
        <f>IF(ISBLANK(B179),,A178+1)</f>
        <v>178</v>
      </c>
      <c r="B179" s="50" t="s">
        <v>1175</v>
      </c>
      <c r="C179" s="5" t="s">
        <v>997</v>
      </c>
      <c r="D179" s="5">
        <f>IF(C179="common",100,IF(C179="Uncommon",300,IF(C179="Rare",700,IF(C179="very rare",1100,IF(C179="Legendary",2000,0)))))</f>
        <v>2000</v>
      </c>
      <c r="E179" s="5">
        <f>(F179*TRUNC(3+(15-3)*(TRUNC(MOD((A179*1103515245 +12345)/ 65536, 32768),0)/32768),0))+D179+(D179/10*F179)</f>
        <v>3040</v>
      </c>
      <c r="F179" s="5">
        <v>5</v>
      </c>
      <c r="G179" s="5" t="s">
        <v>1072</v>
      </c>
      <c r="H179" s="5" t="s">
        <v>1174</v>
      </c>
      <c r="I179" s="5" t="s">
        <v>963</v>
      </c>
      <c r="J179" s="5"/>
      <c r="K179" s="50"/>
      <c r="L179" s="103">
        <v>185</v>
      </c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1:28" ht="13.2">
      <c r="A180" s="3">
        <f>IF(ISBLANK(B180),,A179+1)</f>
        <v>179</v>
      </c>
      <c r="B180" s="50" t="s">
        <v>1173</v>
      </c>
      <c r="C180" s="5" t="s">
        <v>991</v>
      </c>
      <c r="D180" s="5">
        <f>IF(C180="common",100,IF(C180="Uncommon",300,IF(C180="Rare",700,IF(C180="very rare",1100,IF(C180="Legendary",2000,0)))))</f>
        <v>700</v>
      </c>
      <c r="E180" s="5">
        <f>(F180*TRUNC(3+(15-3)*(TRUNC(MOD((A180*1103515245 +12345)/ 65536, 32768),0)/32768),0))+D180+(D180/10*F180)</f>
        <v>952</v>
      </c>
      <c r="F180" s="5">
        <v>3</v>
      </c>
      <c r="G180" s="5" t="s">
        <v>970</v>
      </c>
      <c r="H180" s="5"/>
      <c r="I180" s="5"/>
      <c r="J180" s="5"/>
      <c r="K180" s="50"/>
      <c r="L180" s="103">
        <v>185</v>
      </c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1:28" ht="13.2">
      <c r="A181" s="3">
        <f>IF(ISBLANK(B181),,A180+1)</f>
        <v>180</v>
      </c>
      <c r="B181" s="50" t="s">
        <v>1172</v>
      </c>
      <c r="C181" s="5" t="s">
        <v>994</v>
      </c>
      <c r="D181" s="5">
        <f>IF(C181="common",100,IF(C181="Uncommon",300,IF(C181="Rare",700,IF(C181="very rare",1100,IF(C181="Legendary",2000,0)))))</f>
        <v>300</v>
      </c>
      <c r="E181" s="5">
        <f>(F181*TRUNC(3+(15-3)*(TRUNC(MOD((A181*1103515245 +12345)/ 65536, 32768),0)/32768),0))+D181+(D181/10*F181)</f>
        <v>376</v>
      </c>
      <c r="F181" s="5">
        <v>2</v>
      </c>
      <c r="G181" s="5" t="s">
        <v>1145</v>
      </c>
      <c r="H181" s="5"/>
      <c r="I181" s="5"/>
      <c r="J181" s="5"/>
      <c r="K181" s="50"/>
      <c r="L181" s="103">
        <v>187</v>
      </c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1:28" ht="13.2">
      <c r="A182" s="3">
        <f>IF(ISBLANK(B182),,A181+1)</f>
        <v>181</v>
      </c>
      <c r="B182" s="50" t="s">
        <v>1171</v>
      </c>
      <c r="C182" s="5" t="s">
        <v>991</v>
      </c>
      <c r="D182" s="5">
        <f>IF(C182="common",100,IF(C182="Uncommon",300,IF(C182="Rare",700,IF(C182="very rare",1100,IF(C182="Legendary",2000,0)))))</f>
        <v>700</v>
      </c>
      <c r="E182" s="5">
        <f>(F182*TRUNC(3+(15-3)*(TRUNC(MOD((A182*1103515245 +12345)/ 65536, 32768),0)/32768),0))+D182+(D182/10*F182)</f>
        <v>919</v>
      </c>
      <c r="F182" s="5">
        <v>3</v>
      </c>
      <c r="G182" s="5" t="s">
        <v>1145</v>
      </c>
      <c r="H182" s="5"/>
      <c r="I182" s="5"/>
      <c r="J182" s="5"/>
      <c r="K182" s="50"/>
      <c r="L182" s="103">
        <v>187</v>
      </c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1:28" ht="13.2">
      <c r="A183" s="3">
        <f>IF(ISBLANK(B183),,A182+1)</f>
        <v>182</v>
      </c>
      <c r="B183" s="50" t="s">
        <v>1170</v>
      </c>
      <c r="C183" s="5" t="s">
        <v>1075</v>
      </c>
      <c r="D183" s="5">
        <f>IF(C183="common",100,IF(C183="Uncommon",300,IF(C183="Rare",700,IF(C183="very rare",1100,IF(C183="Legendary",2000,0)))))</f>
        <v>100</v>
      </c>
      <c r="E183" s="5">
        <f>(F183*TRUNC(3+(15-3)*(TRUNC(MOD((A183*1103515245 +12345)/ 65536, 32768),0)/32768),0))+D183+(D183/10*F183)</f>
        <v>119</v>
      </c>
      <c r="F183" s="5">
        <v>1</v>
      </c>
      <c r="G183" s="5" t="s">
        <v>1145</v>
      </c>
      <c r="H183" s="5"/>
      <c r="I183" s="5"/>
      <c r="J183" s="5"/>
      <c r="K183" s="50"/>
      <c r="L183" s="103">
        <v>187</v>
      </c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1:28" ht="13.2">
      <c r="A184" s="3">
        <f>IF(ISBLANK(B184),,A183+1)</f>
        <v>183</v>
      </c>
      <c r="B184" s="50" t="s">
        <v>1169</v>
      </c>
      <c r="C184" s="5" t="s">
        <v>991</v>
      </c>
      <c r="D184" s="5">
        <f>IF(C184="common",100,IF(C184="Uncommon",300,IF(C184="Rare",700,IF(C184="very rare",1100,IF(C184="Legendary",2000,0)))))</f>
        <v>700</v>
      </c>
      <c r="E184" s="5">
        <f>(F184*TRUNC(3+(15-3)*(TRUNC(MOD((A184*1103515245 +12345)/ 65536, 32768),0)/32768),0))+D184+(D184/10*F184)</f>
        <v>919</v>
      </c>
      <c r="F184" s="5">
        <v>3</v>
      </c>
      <c r="G184" s="5" t="s">
        <v>1145</v>
      </c>
      <c r="H184" s="5"/>
      <c r="I184" s="5"/>
      <c r="J184" s="5"/>
      <c r="K184" s="50"/>
      <c r="L184" s="103">
        <v>187</v>
      </c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1:28" ht="13.2">
      <c r="A185" s="3">
        <f>IF(ISBLANK(B185),,A184+1)</f>
        <v>184</v>
      </c>
      <c r="B185" s="50" t="s">
        <v>1168</v>
      </c>
      <c r="C185" s="5" t="s">
        <v>994</v>
      </c>
      <c r="D185" s="5">
        <f>IF(C185="common",100,IF(C185="Uncommon",300,IF(C185="Rare",700,IF(C185="very rare",1100,IF(C185="Legendary",2000,0)))))</f>
        <v>300</v>
      </c>
      <c r="E185" s="5">
        <f>(F185*TRUNC(3+(15-3)*(TRUNC(MOD((A185*1103515245 +12345)/ 65536, 32768),0)/32768),0))+D185+(D185/10*F185)</f>
        <v>378</v>
      </c>
      <c r="F185" s="5">
        <v>2</v>
      </c>
      <c r="G185" s="5" t="s">
        <v>1145</v>
      </c>
      <c r="H185" s="5"/>
      <c r="I185" s="5"/>
      <c r="J185" s="5"/>
      <c r="K185" s="50"/>
      <c r="L185" s="103">
        <v>187</v>
      </c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1:28" ht="13.2">
      <c r="A186" s="3">
        <f>IF(ISBLANK(B186),,A185+1)</f>
        <v>185</v>
      </c>
      <c r="B186" s="50" t="s">
        <v>1167</v>
      </c>
      <c r="C186" s="5" t="s">
        <v>1001</v>
      </c>
      <c r="D186" s="5">
        <f>IF(C186="common",100,IF(C186="Uncommon",300,IF(C186="Rare",700,IF(C186="very rare",1100,IF(C186="Legendary",2000,0)))))</f>
        <v>1100</v>
      </c>
      <c r="E186" s="5">
        <f>(F186*TRUNC(3+(15-3)*(TRUNC(MOD((A186*1103515245 +12345)/ 65536, 32768),0)/32768),0))+D186+(D186/10*F186)</f>
        <v>1552</v>
      </c>
      <c r="F186" s="5">
        <v>4</v>
      </c>
      <c r="G186" s="5" t="s">
        <v>1145</v>
      </c>
      <c r="H186" s="5"/>
      <c r="I186" s="5"/>
      <c r="J186" s="5"/>
      <c r="K186" s="50"/>
      <c r="L186" s="103">
        <v>187</v>
      </c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1:28" ht="13.2">
      <c r="A187" s="3">
        <f>IF(ISBLANK(B187),,A186+1)</f>
        <v>186</v>
      </c>
      <c r="B187" s="50" t="s">
        <v>1166</v>
      </c>
      <c r="C187" s="5" t="s">
        <v>991</v>
      </c>
      <c r="D187" s="5">
        <f>IF(C187="common",100,IF(C187="Uncommon",300,IF(C187="Rare",700,IF(C187="very rare",1100,IF(C187="Legendary",2000,0)))))</f>
        <v>700</v>
      </c>
      <c r="E187" s="5">
        <f>(F187*TRUNC(3+(15-3)*(TRUNC(MOD((A187*1103515245 +12345)/ 65536, 32768),0)/32768),0))+D187+(D187/10*F187)</f>
        <v>937</v>
      </c>
      <c r="F187" s="5">
        <v>3</v>
      </c>
      <c r="G187" s="5" t="s">
        <v>1145</v>
      </c>
      <c r="H187" s="5"/>
      <c r="I187" s="5"/>
      <c r="J187" s="5"/>
      <c r="K187" s="50"/>
      <c r="L187" s="103">
        <v>187</v>
      </c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1:28" ht="13.2">
      <c r="A188" s="3">
        <f>IF(ISBLANK(B188),,A187+1)</f>
        <v>187</v>
      </c>
      <c r="B188" s="50" t="s">
        <v>1165</v>
      </c>
      <c r="C188" s="5" t="s">
        <v>1001</v>
      </c>
      <c r="D188" s="5">
        <f>IF(C188="common",100,IF(C188="Uncommon",300,IF(C188="Rare",700,IF(C188="very rare",1100,IF(C188="Legendary",2000,0)))))</f>
        <v>1100</v>
      </c>
      <c r="E188" s="5">
        <f>(F188*TRUNC(3+(15-3)*(TRUNC(MOD((A188*1103515245 +12345)/ 65536, 32768),0)/32768),0))+D188+(D188/10*F188)</f>
        <v>1556</v>
      </c>
      <c r="F188" s="5">
        <v>4</v>
      </c>
      <c r="G188" s="5" t="s">
        <v>1145</v>
      </c>
      <c r="H188" s="5"/>
      <c r="I188" s="5"/>
      <c r="J188" s="5"/>
      <c r="K188" s="50"/>
      <c r="L188" s="103">
        <v>187</v>
      </c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1:28" ht="13.2">
      <c r="A189" s="3">
        <f>IF(ISBLANK(B189),,A188+1)</f>
        <v>188</v>
      </c>
      <c r="B189" s="50" t="s">
        <v>1164</v>
      </c>
      <c r="C189" s="5" t="s">
        <v>991</v>
      </c>
      <c r="D189" s="5">
        <f>IF(C189="common",100,IF(C189="Uncommon",300,IF(C189="Rare",700,IF(C189="very rare",1100,IF(C189="Legendary",2000,0)))))</f>
        <v>700</v>
      </c>
      <c r="E189" s="5">
        <f>(F189*TRUNC(3+(15-3)*(TRUNC(MOD((A189*1103515245 +12345)/ 65536, 32768),0)/32768),0))+D189+(D189/10*F189)</f>
        <v>940</v>
      </c>
      <c r="F189" s="5">
        <v>3</v>
      </c>
      <c r="G189" s="5" t="s">
        <v>1145</v>
      </c>
      <c r="H189" s="5"/>
      <c r="I189" s="5"/>
      <c r="J189" s="5"/>
      <c r="K189" s="50"/>
      <c r="L189" s="103">
        <v>187</v>
      </c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1:28" ht="13.2">
      <c r="A190" s="3">
        <f>IF(ISBLANK(B190),,A189+1)</f>
        <v>189</v>
      </c>
      <c r="B190" s="50" t="s">
        <v>1163</v>
      </c>
      <c r="C190" s="5" t="s">
        <v>991</v>
      </c>
      <c r="D190" s="5">
        <f>IF(C190="common",100,IF(C190="Uncommon",300,IF(C190="Rare",700,IF(C190="very rare",1100,IF(C190="Legendary",2000,0)))))</f>
        <v>700</v>
      </c>
      <c r="E190" s="5">
        <f>(F190*TRUNC(3+(15-3)*(TRUNC(MOD((A190*1103515245 +12345)/ 65536, 32768),0)/32768),0))+D190+(D190/10*F190)</f>
        <v>922</v>
      </c>
      <c r="F190" s="5">
        <v>3</v>
      </c>
      <c r="G190" s="5" t="s">
        <v>1145</v>
      </c>
      <c r="H190" s="5"/>
      <c r="I190" s="5"/>
      <c r="J190" s="5"/>
      <c r="K190" s="50"/>
      <c r="L190" s="103">
        <v>187</v>
      </c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1:28" ht="13.2">
      <c r="A191" s="3">
        <f>IF(ISBLANK(B191),,A190+1)</f>
        <v>190</v>
      </c>
      <c r="B191" s="50" t="s">
        <v>1162</v>
      </c>
      <c r="C191" s="5" t="s">
        <v>994</v>
      </c>
      <c r="D191" s="5">
        <f>IF(C191="common",100,IF(C191="Uncommon",300,IF(C191="Rare",700,IF(C191="very rare",1100,IF(C191="Legendary",2000,0)))))</f>
        <v>300</v>
      </c>
      <c r="E191" s="5">
        <f>(F191*TRUNC(3+(15-3)*(TRUNC(MOD((A191*1103515245 +12345)/ 65536, 32768),0)/32768),0))+D191+(D191/10*F191)</f>
        <v>380</v>
      </c>
      <c r="F191" s="5">
        <v>2</v>
      </c>
      <c r="G191" s="5" t="s">
        <v>1145</v>
      </c>
      <c r="H191" s="5"/>
      <c r="I191" s="5"/>
      <c r="J191" s="5"/>
      <c r="K191" s="50"/>
      <c r="L191" s="103">
        <v>187</v>
      </c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1:28" ht="13.2">
      <c r="A192" s="3">
        <f>IF(ISBLANK(B192),,A191+1)</f>
        <v>191</v>
      </c>
      <c r="B192" s="50" t="s">
        <v>1161</v>
      </c>
      <c r="C192" s="5" t="s">
        <v>997</v>
      </c>
      <c r="D192" s="5">
        <f>IF(C192="common",100,IF(C192="Uncommon",300,IF(C192="Rare",700,IF(C192="very rare",1100,IF(C192="Legendary",2000,0)))))</f>
        <v>2000</v>
      </c>
      <c r="E192" s="5">
        <f>(F192*TRUNC(3+(15-3)*(TRUNC(MOD((A192*1103515245 +12345)/ 65536, 32768),0)/32768),0))+D192+(D192/10*F192)</f>
        <v>3020</v>
      </c>
      <c r="F192" s="5">
        <v>5</v>
      </c>
      <c r="G192" s="5" t="s">
        <v>1145</v>
      </c>
      <c r="H192" s="5"/>
      <c r="I192" s="5"/>
      <c r="J192" s="5"/>
      <c r="K192" s="50"/>
      <c r="L192" s="103">
        <v>187</v>
      </c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1:28" ht="13.2">
      <c r="A193" s="3">
        <f>IF(ISBLANK(B193),,A192+1)</f>
        <v>192</v>
      </c>
      <c r="B193" s="50" t="s">
        <v>1160</v>
      </c>
      <c r="C193" s="5" t="s">
        <v>994</v>
      </c>
      <c r="D193" s="5">
        <f>IF(C193="common",100,IF(C193="Uncommon",300,IF(C193="Rare",700,IF(C193="very rare",1100,IF(C193="Legendary",2000,0)))))</f>
        <v>300</v>
      </c>
      <c r="E193" s="5">
        <f>(F193*TRUNC(3+(15-3)*(TRUNC(MOD((A193*1103515245 +12345)/ 65536, 32768),0)/32768),0))+D193+(D193/10*F193)</f>
        <v>380</v>
      </c>
      <c r="F193" s="5">
        <v>2</v>
      </c>
      <c r="G193" s="5" t="s">
        <v>1145</v>
      </c>
      <c r="H193" s="5"/>
      <c r="I193" s="5"/>
      <c r="J193" s="5"/>
      <c r="K193" s="50"/>
      <c r="L193" s="103">
        <v>187</v>
      </c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1:28" ht="13.2">
      <c r="A194" s="3">
        <f>IF(ISBLANK(B194),,A193+1)</f>
        <v>193</v>
      </c>
      <c r="B194" s="50" t="s">
        <v>1159</v>
      </c>
      <c r="C194" s="5" t="s">
        <v>994</v>
      </c>
      <c r="D194" s="5">
        <f>IF(C194="common",100,IF(C194="Uncommon",300,IF(C194="Rare",700,IF(C194="very rare",1100,IF(C194="Legendary",2000,0)))))</f>
        <v>300</v>
      </c>
      <c r="E194" s="5">
        <f>(F194*TRUNC(3+(15-3)*(TRUNC(MOD((A194*1103515245 +12345)/ 65536, 32768),0)/32768),0))+D194+(D194/10*F194)</f>
        <v>370</v>
      </c>
      <c r="F194" s="5">
        <v>2</v>
      </c>
      <c r="G194" s="5" t="s">
        <v>1145</v>
      </c>
      <c r="H194" s="5"/>
      <c r="I194" s="5"/>
      <c r="J194" s="5"/>
      <c r="K194" s="50"/>
      <c r="L194" s="103">
        <v>187</v>
      </c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1:28" ht="13.2">
      <c r="A195" s="3">
        <f>IF(ISBLANK(B195),,A194+1)</f>
        <v>194</v>
      </c>
      <c r="B195" s="50" t="s">
        <v>1158</v>
      </c>
      <c r="C195" s="5" t="s">
        <v>1075</v>
      </c>
      <c r="D195" s="5">
        <f>IF(C195="common",100,IF(C195="Uncommon",300,IF(C195="Rare",700,IF(C195="very rare",1100,IF(C195="Legendary",2000,0)))))</f>
        <v>100</v>
      </c>
      <c r="E195" s="5">
        <f>(F195*TRUNC(3+(15-3)*(TRUNC(MOD((A195*1103515245 +12345)/ 65536, 32768),0)/32768),0))+D195+(D195/10*F195)</f>
        <v>121</v>
      </c>
      <c r="F195" s="5">
        <v>1</v>
      </c>
      <c r="G195" s="5" t="s">
        <v>1145</v>
      </c>
      <c r="H195" s="5"/>
      <c r="I195" s="5"/>
      <c r="J195" s="5"/>
      <c r="K195" s="50"/>
      <c r="L195" s="103">
        <v>187</v>
      </c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1:28" ht="13.2">
      <c r="A196" s="3">
        <f>IF(ISBLANK(B196),,A195+1)</f>
        <v>195</v>
      </c>
      <c r="B196" s="50" t="s">
        <v>1157</v>
      </c>
      <c r="C196" s="5" t="s">
        <v>991</v>
      </c>
      <c r="D196" s="5">
        <f>IF(C196="common",100,IF(C196="Uncommon",300,IF(C196="Rare",700,IF(C196="very rare",1100,IF(C196="Legendary",2000,0)))))</f>
        <v>700</v>
      </c>
      <c r="E196" s="5">
        <f>(F196*TRUNC(3+(15-3)*(TRUNC(MOD((A196*1103515245 +12345)/ 65536, 32768),0)/32768),0))+D196+(D196/10*F196)</f>
        <v>925</v>
      </c>
      <c r="F196" s="5">
        <v>3</v>
      </c>
      <c r="G196" s="5" t="s">
        <v>1145</v>
      </c>
      <c r="H196" s="5"/>
      <c r="I196" s="5"/>
      <c r="J196" s="5"/>
      <c r="K196" s="50"/>
      <c r="L196" s="103">
        <v>187</v>
      </c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1:28" ht="13.2">
      <c r="A197" s="3">
        <f>IF(ISBLANK(B197),,A196+1)</f>
        <v>196</v>
      </c>
      <c r="B197" s="50" t="s">
        <v>1156</v>
      </c>
      <c r="C197" s="5" t="s">
        <v>1001</v>
      </c>
      <c r="D197" s="5">
        <f>IF(C197="common",100,IF(C197="Uncommon",300,IF(C197="Rare",700,IF(C197="very rare",1100,IF(C197="Legendary",2000,0)))))</f>
        <v>1100</v>
      </c>
      <c r="E197" s="5">
        <f>(F197*TRUNC(3+(15-3)*(TRUNC(MOD((A197*1103515245 +12345)/ 65536, 32768),0)/32768),0))+D197+(D197/10*F197)</f>
        <v>1584</v>
      </c>
      <c r="F197" s="5">
        <v>4</v>
      </c>
      <c r="G197" s="5" t="s">
        <v>1145</v>
      </c>
      <c r="H197" s="5"/>
      <c r="I197" s="5"/>
      <c r="J197" s="5"/>
      <c r="K197" s="50"/>
      <c r="L197" s="103">
        <v>187</v>
      </c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1:28" ht="13.2">
      <c r="A198" s="3">
        <f>IF(ISBLANK(B198),,A197+1)</f>
        <v>197</v>
      </c>
      <c r="B198" s="50" t="s">
        <v>1155</v>
      </c>
      <c r="C198" s="5" t="s">
        <v>991</v>
      </c>
      <c r="D198" s="5">
        <f>IF(C198="common",100,IF(C198="Uncommon",300,IF(C198="Rare",700,IF(C198="very rare",1100,IF(C198="Legendary",2000,0)))))</f>
        <v>700</v>
      </c>
      <c r="E198" s="5">
        <f>(F198*TRUNC(3+(15-3)*(TRUNC(MOD((A198*1103515245 +12345)/ 65536, 32768),0)/32768),0))+D198+(D198/10*F198)</f>
        <v>925</v>
      </c>
      <c r="F198" s="5">
        <v>3</v>
      </c>
      <c r="G198" s="5" t="s">
        <v>1145</v>
      </c>
      <c r="H198" s="5"/>
      <c r="I198" s="5"/>
      <c r="J198" s="5"/>
      <c r="K198" s="50"/>
      <c r="L198" s="103">
        <v>188</v>
      </c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1:28" ht="13.2">
      <c r="A199" s="3">
        <f>IF(ISBLANK(B199),,A198+1)</f>
        <v>198</v>
      </c>
      <c r="B199" s="50" t="s">
        <v>1154</v>
      </c>
      <c r="C199" s="5" t="s">
        <v>1001</v>
      </c>
      <c r="D199" s="5">
        <f>IF(C199="common",100,IF(C199="Uncommon",300,IF(C199="Rare",700,IF(C199="very rare",1100,IF(C199="Legendary",2000,0)))))</f>
        <v>1100</v>
      </c>
      <c r="E199" s="5">
        <f>(F199*TRUNC(3+(15-3)*(TRUNC(MOD((A199*1103515245 +12345)/ 65536, 32768),0)/32768),0))+D199+(D199/10*F199)</f>
        <v>1584</v>
      </c>
      <c r="F199" s="5">
        <v>4</v>
      </c>
      <c r="G199" s="5" t="s">
        <v>1145</v>
      </c>
      <c r="H199" s="5"/>
      <c r="I199" s="5"/>
      <c r="J199" s="5"/>
      <c r="K199" s="50"/>
      <c r="L199" s="103">
        <v>188</v>
      </c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1:28" ht="13.2">
      <c r="A200" s="3">
        <f>IF(ISBLANK(B200),,A199+1)</f>
        <v>199</v>
      </c>
      <c r="B200" s="50" t="s">
        <v>1153</v>
      </c>
      <c r="C200" s="5" t="s">
        <v>991</v>
      </c>
      <c r="D200" s="5">
        <f>IF(C200="common",100,IF(C200="Uncommon",300,IF(C200="Rare",700,IF(C200="very rare",1100,IF(C200="Legendary",2000,0)))))</f>
        <v>700</v>
      </c>
      <c r="E200" s="5">
        <f>(F200*TRUNC(3+(15-3)*(TRUNC(MOD((A200*1103515245 +12345)/ 65536, 32768),0)/32768),0))+D200+(D200/10*F200)</f>
        <v>928</v>
      </c>
      <c r="F200" s="5">
        <v>3</v>
      </c>
      <c r="G200" s="5" t="s">
        <v>1145</v>
      </c>
      <c r="H200" s="5"/>
      <c r="I200" s="5"/>
      <c r="J200" s="5"/>
      <c r="K200" s="50"/>
      <c r="L200" s="103">
        <v>188</v>
      </c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1:28" ht="13.2">
      <c r="A201" s="3">
        <f>IF(ISBLANK(B201),,A200+1)</f>
        <v>200</v>
      </c>
      <c r="B201" s="50" t="s">
        <v>1152</v>
      </c>
      <c r="C201" s="5" t="s">
        <v>1001</v>
      </c>
      <c r="D201" s="5">
        <f>IF(C201="common",100,IF(C201="Uncommon",300,IF(C201="Rare",700,IF(C201="very rare",1100,IF(C201="Legendary",2000,0)))))</f>
        <v>1100</v>
      </c>
      <c r="E201" s="5">
        <f>(F201*TRUNC(3+(15-3)*(TRUNC(MOD((A201*1103515245 +12345)/ 65536, 32768),0)/32768),0))+D201+(D201/10*F201)</f>
        <v>1588</v>
      </c>
      <c r="F201" s="5">
        <v>4</v>
      </c>
      <c r="G201" s="5" t="s">
        <v>1145</v>
      </c>
      <c r="H201" s="5"/>
      <c r="I201" s="5"/>
      <c r="J201" s="5"/>
      <c r="K201" s="50"/>
      <c r="L201" s="103">
        <v>188</v>
      </c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1:28" ht="13.2">
      <c r="A202" s="3">
        <f>IF(ISBLANK(B202),,A201+1)</f>
        <v>201</v>
      </c>
      <c r="B202" s="50" t="s">
        <v>1151</v>
      </c>
      <c r="C202" s="5" t="s">
        <v>991</v>
      </c>
      <c r="D202" s="5">
        <f>IF(C202="common",100,IF(C202="Uncommon",300,IF(C202="Rare",700,IF(C202="very rare",1100,IF(C202="Legendary",2000,0)))))</f>
        <v>700</v>
      </c>
      <c r="E202" s="5">
        <f>(F202*TRUNC(3+(15-3)*(TRUNC(MOD((A202*1103515245 +12345)/ 65536, 32768),0)/32768),0))+D202+(D202/10*F202)</f>
        <v>928</v>
      </c>
      <c r="F202" s="5">
        <v>3</v>
      </c>
      <c r="G202" s="5" t="s">
        <v>1145</v>
      </c>
      <c r="H202" s="5"/>
      <c r="I202" s="5"/>
      <c r="J202" s="5"/>
      <c r="K202" s="50"/>
      <c r="L202" s="103">
        <v>188</v>
      </c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1:28" ht="13.2">
      <c r="A203" s="3">
        <f>IF(ISBLANK(B203),,A202+1)</f>
        <v>202</v>
      </c>
      <c r="B203" s="50" t="s">
        <v>1150</v>
      </c>
      <c r="C203" s="5" t="s">
        <v>994</v>
      </c>
      <c r="D203" s="5">
        <f>IF(C203="common",100,IF(C203="Uncommon",300,IF(C203="Rare",700,IF(C203="very rare",1100,IF(C203="Legendary",2000,0)))))</f>
        <v>300</v>
      </c>
      <c r="E203" s="5">
        <f>(F203*TRUNC(3+(15-3)*(TRUNC(MOD((A203*1103515245 +12345)/ 65536, 32768),0)/32768),0))+D203+(D203/10*F203)</f>
        <v>384</v>
      </c>
      <c r="F203" s="5">
        <v>2</v>
      </c>
      <c r="G203" s="5" t="s">
        <v>1145</v>
      </c>
      <c r="H203" s="5"/>
      <c r="I203" s="5"/>
      <c r="J203" s="5"/>
      <c r="K203" s="50"/>
      <c r="L203" s="103">
        <v>188</v>
      </c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1:28" ht="13.2">
      <c r="A204" s="3">
        <f>IF(ISBLANK(B204),,A203+1)</f>
        <v>203</v>
      </c>
      <c r="B204" s="50" t="s">
        <v>1149</v>
      </c>
      <c r="C204" s="5" t="s">
        <v>994</v>
      </c>
      <c r="D204" s="5">
        <f>IF(C204="common",100,IF(C204="Uncommon",300,IF(C204="Rare",700,IF(C204="very rare",1100,IF(C204="Legendary",2000,0)))))</f>
        <v>300</v>
      </c>
      <c r="E204" s="5">
        <f>(F204*TRUNC(3+(15-3)*(TRUNC(MOD((A204*1103515245 +12345)/ 65536, 32768),0)/32768),0))+D204+(D204/10*F204)</f>
        <v>372</v>
      </c>
      <c r="F204" s="5">
        <v>2</v>
      </c>
      <c r="G204" s="5" t="s">
        <v>1145</v>
      </c>
      <c r="H204" s="5"/>
      <c r="I204" s="5"/>
      <c r="J204" s="5"/>
      <c r="K204" s="50"/>
      <c r="L204" s="103">
        <v>188</v>
      </c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1:28" ht="13.2">
      <c r="A205" s="3">
        <f>IF(ISBLANK(B205),,A204+1)</f>
        <v>204</v>
      </c>
      <c r="B205" s="50" t="s">
        <v>1148</v>
      </c>
      <c r="C205" s="5" t="s">
        <v>1001</v>
      </c>
      <c r="D205" s="5">
        <f>IF(C205="common",100,IF(C205="Uncommon",300,IF(C205="Rare",700,IF(C205="very rare",1100,IF(C205="Legendary",2000,0)))))</f>
        <v>1100</v>
      </c>
      <c r="E205" s="5">
        <f>(F205*TRUNC(3+(15-3)*(TRUNC(MOD((A205*1103515245 +12345)/ 65536, 32768),0)/32768),0))+D205+(D205/10*F205)</f>
        <v>1588</v>
      </c>
      <c r="F205" s="5">
        <v>4</v>
      </c>
      <c r="G205" s="5" t="s">
        <v>1145</v>
      </c>
      <c r="H205" s="5"/>
      <c r="I205" s="5"/>
      <c r="J205" s="5"/>
      <c r="K205" s="50"/>
      <c r="L205" s="103">
        <v>188</v>
      </c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1:28" ht="13.2">
      <c r="A206" s="3">
        <f>IF(ISBLANK(B206),,A205+1)</f>
        <v>205</v>
      </c>
      <c r="B206" s="50" t="s">
        <v>1147</v>
      </c>
      <c r="C206" s="5" t="s">
        <v>1001</v>
      </c>
      <c r="D206" s="5">
        <f>IF(C206="common",100,IF(C206="Uncommon",300,IF(C206="Rare",700,IF(C206="very rare",1100,IF(C206="Legendary",2000,0)))))</f>
        <v>1100</v>
      </c>
      <c r="E206" s="5">
        <f>(F206*TRUNC(3+(15-3)*(TRUNC(MOD((A206*1103515245 +12345)/ 65536, 32768),0)/32768),0))+D206+(D206/10*F206)</f>
        <v>1568</v>
      </c>
      <c r="F206" s="5">
        <v>4</v>
      </c>
      <c r="G206" s="5" t="s">
        <v>1145</v>
      </c>
      <c r="H206" s="5"/>
      <c r="I206" s="5"/>
      <c r="J206" s="5"/>
      <c r="K206" s="50"/>
      <c r="L206" s="103">
        <v>188</v>
      </c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1:28" ht="13.2">
      <c r="A207" s="3">
        <f>IF(ISBLANK(B207),,A206+1)</f>
        <v>206</v>
      </c>
      <c r="B207" s="50" t="s">
        <v>1146</v>
      </c>
      <c r="C207" s="5" t="s">
        <v>994</v>
      </c>
      <c r="D207" s="5">
        <f>IF(C207="common",100,IF(C207="Uncommon",300,IF(C207="Rare",700,IF(C207="very rare",1100,IF(C207="Legendary",2000,0)))))</f>
        <v>300</v>
      </c>
      <c r="E207" s="5">
        <f>(F207*TRUNC(3+(15-3)*(TRUNC(MOD((A207*1103515245 +12345)/ 65536, 32768),0)/32768),0))+D207+(D207/10*F207)</f>
        <v>386</v>
      </c>
      <c r="F207" s="5">
        <v>2</v>
      </c>
      <c r="G207" s="5" t="s">
        <v>1145</v>
      </c>
      <c r="H207" s="5"/>
      <c r="I207" s="5"/>
      <c r="J207" s="5"/>
      <c r="K207" s="50"/>
      <c r="L207" s="103">
        <v>188</v>
      </c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1:28" ht="13.2">
      <c r="A208" s="3">
        <f>IF(ISBLANK(B208),,A207+1)</f>
        <v>207</v>
      </c>
      <c r="B208" s="50" t="s">
        <v>1144</v>
      </c>
      <c r="C208" s="5" t="s">
        <v>991</v>
      </c>
      <c r="D208" s="5">
        <f>IF(C208="common",100,IF(C208="Uncommon",300,IF(C208="Rare",700,IF(C208="very rare",1100,IF(C208="Legendary",2000,0)))))</f>
        <v>700</v>
      </c>
      <c r="E208" s="5">
        <f>(F208*TRUNC(3+(15-3)*(TRUNC(MOD((A208*1103515245 +12345)/ 65536, 32768),0)/32768),0))+D208+(D208/10*F208)</f>
        <v>931</v>
      </c>
      <c r="F208" s="5">
        <v>3</v>
      </c>
      <c r="G208" s="5" t="s">
        <v>970</v>
      </c>
      <c r="H208" s="5" t="s">
        <v>1024</v>
      </c>
      <c r="I208" s="5"/>
      <c r="J208" s="5"/>
      <c r="K208" s="50"/>
      <c r="L208" s="103">
        <v>188</v>
      </c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2">
      <c r="A209" s="3">
        <f>IF(ISBLANK(B209),,A208+1)</f>
        <v>208</v>
      </c>
      <c r="B209" s="50" t="s">
        <v>1143</v>
      </c>
      <c r="C209" s="5" t="s">
        <v>994</v>
      </c>
      <c r="D209" s="5">
        <f>IF(C209="common",100,IF(C209="Uncommon",300,IF(C209="Rare",700,IF(C209="very rare",1100,IF(C209="Legendary",2000,0)))))</f>
        <v>300</v>
      </c>
      <c r="E209" s="5">
        <f>(F209*TRUNC(3+(15-3)*(TRUNC(MOD((A209*1103515245 +12345)/ 65536, 32768),0)/32768),0))+D209+(D209/10*F209)</f>
        <v>386</v>
      </c>
      <c r="F209" s="5">
        <v>2</v>
      </c>
      <c r="G209" s="5" t="s">
        <v>970</v>
      </c>
      <c r="H209" s="5"/>
      <c r="I209" s="5"/>
      <c r="J209" s="5"/>
      <c r="K209" s="50"/>
      <c r="L209" s="103">
        <v>189</v>
      </c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1:28" ht="13.2">
      <c r="A210" s="3">
        <f>IF(ISBLANK(B210),,A209+1)</f>
        <v>209</v>
      </c>
      <c r="B210" s="50" t="s">
        <v>1142</v>
      </c>
      <c r="C210" s="5" t="s">
        <v>991</v>
      </c>
      <c r="D210" s="5">
        <f>IF(C210="common",100,IF(C210="Uncommon",300,IF(C210="Rare",700,IF(C210="very rare",1100,IF(C210="Legendary",2000,0)))))</f>
        <v>700</v>
      </c>
      <c r="E210" s="5">
        <f>(F210*TRUNC(3+(15-3)*(TRUNC(MOD((A210*1103515245 +12345)/ 65536, 32768),0)/32768),0))+D210+(D210/10*F210)</f>
        <v>931</v>
      </c>
      <c r="F210" s="5">
        <v>3</v>
      </c>
      <c r="G210" s="5" t="s">
        <v>1119</v>
      </c>
      <c r="H210" s="5"/>
      <c r="I210" s="5"/>
      <c r="J210" s="5"/>
      <c r="K210" s="50"/>
      <c r="L210" s="103">
        <v>189</v>
      </c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1:28" ht="13.2">
      <c r="A211" s="3">
        <f>IF(ISBLANK(B211),,A210+1)</f>
        <v>210</v>
      </c>
      <c r="B211" s="50" t="s">
        <v>1141</v>
      </c>
      <c r="C211" s="5" t="s">
        <v>997</v>
      </c>
      <c r="D211" s="5">
        <f>IF(C211="common",100,IF(C211="Uncommon",300,IF(C211="Rare",700,IF(C211="very rare",1100,IF(C211="Legendary",2000,0)))))</f>
        <v>2000</v>
      </c>
      <c r="E211" s="5">
        <f>(F211*TRUNC(3+(15-3)*(TRUNC(MOD((A211*1103515245 +12345)/ 65536, 32768),0)/32768),0))+D211+(D211/10*F211)</f>
        <v>3065</v>
      </c>
      <c r="F211" s="5">
        <v>5</v>
      </c>
      <c r="G211" s="5" t="s">
        <v>1119</v>
      </c>
      <c r="H211" s="5"/>
      <c r="I211" s="5" t="s">
        <v>963</v>
      </c>
      <c r="J211" s="5"/>
      <c r="K211" s="50"/>
      <c r="L211" s="103">
        <v>190</v>
      </c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1:28" ht="13.2">
      <c r="A212" s="3">
        <f>IF(ISBLANK(B212),,A211+1)</f>
        <v>211</v>
      </c>
      <c r="B212" s="50" t="s">
        <v>1140</v>
      </c>
      <c r="C212" s="5" t="s">
        <v>997</v>
      </c>
      <c r="D212" s="5">
        <f>IF(C212="common",100,IF(C212="Uncommon",300,IF(C212="Rare",700,IF(C212="very rare",1100,IF(C212="Legendary",2000,0)))))</f>
        <v>2000</v>
      </c>
      <c r="E212" s="5">
        <f>(F212*TRUNC(3+(15-3)*(TRUNC(MOD((A212*1103515245 +12345)/ 65536, 32768),0)/32768),0))+D212+(D212/10*F212)</f>
        <v>3040</v>
      </c>
      <c r="F212" s="5">
        <v>5</v>
      </c>
      <c r="G212" s="5" t="s">
        <v>1119</v>
      </c>
      <c r="H212" s="5"/>
      <c r="I212" s="5" t="s">
        <v>963</v>
      </c>
      <c r="J212" s="5"/>
      <c r="K212" s="50"/>
      <c r="L212" s="103">
        <v>190</v>
      </c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1:28" ht="13.2">
      <c r="A213" s="3">
        <f>IF(ISBLANK(B213),,A212+1)</f>
        <v>212</v>
      </c>
      <c r="B213" s="50" t="s">
        <v>1139</v>
      </c>
      <c r="C213" s="5" t="s">
        <v>991</v>
      </c>
      <c r="D213" s="5">
        <f>IF(C213="common",100,IF(C213="Uncommon",300,IF(C213="Rare",700,IF(C213="very rare",1100,IF(C213="Legendary",2000,0)))))</f>
        <v>700</v>
      </c>
      <c r="E213" s="5">
        <f>(F213*TRUNC(3+(15-3)*(TRUNC(MOD((A213*1103515245 +12345)/ 65536, 32768),0)/32768),0))+D213+(D213/10*F213)</f>
        <v>952</v>
      </c>
      <c r="F213" s="5">
        <v>3</v>
      </c>
      <c r="G213" s="5" t="s">
        <v>1119</v>
      </c>
      <c r="H213" s="5"/>
      <c r="I213" s="5" t="s">
        <v>963</v>
      </c>
      <c r="J213" s="5"/>
      <c r="K213" s="50"/>
      <c r="L213" s="103">
        <v>191</v>
      </c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1:28" ht="13.2">
      <c r="A214" s="3">
        <f>IF(ISBLANK(B214),,A213+1)</f>
        <v>213</v>
      </c>
      <c r="B214" s="50" t="s">
        <v>1138</v>
      </c>
      <c r="C214" s="5" t="s">
        <v>991</v>
      </c>
      <c r="D214" s="5">
        <f>IF(C214="common",100,IF(C214="Uncommon",300,IF(C214="Rare",700,IF(C214="very rare",1100,IF(C214="Legendary",2000,0)))))</f>
        <v>700</v>
      </c>
      <c r="E214" s="5">
        <f>(F214*TRUNC(3+(15-3)*(TRUNC(MOD((A214*1103515245 +12345)/ 65536, 32768),0)/32768),0))+D214+(D214/10*F214)</f>
        <v>934</v>
      </c>
      <c r="F214" s="5">
        <v>3</v>
      </c>
      <c r="G214" s="5" t="s">
        <v>1119</v>
      </c>
      <c r="H214" s="5"/>
      <c r="I214" s="5" t="s">
        <v>963</v>
      </c>
      <c r="J214" s="5"/>
      <c r="K214" s="50"/>
      <c r="L214" s="103">
        <v>191</v>
      </c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1:28" ht="13.2">
      <c r="A215" s="3">
        <f>IF(ISBLANK(B215),,A214+1)</f>
        <v>214</v>
      </c>
      <c r="B215" s="50" t="s">
        <v>1137</v>
      </c>
      <c r="C215" s="5" t="s">
        <v>991</v>
      </c>
      <c r="D215" s="5">
        <f>IF(C215="common",100,IF(C215="Uncommon",300,IF(C215="Rare",700,IF(C215="very rare",1100,IF(C215="Legendary",2000,0)))))</f>
        <v>700</v>
      </c>
      <c r="E215" s="5">
        <f>(F215*TRUNC(3+(15-3)*(TRUNC(MOD((A215*1103515245 +12345)/ 65536, 32768),0)/32768),0))+D215+(D215/10*F215)</f>
        <v>952</v>
      </c>
      <c r="F215" s="5">
        <v>3</v>
      </c>
      <c r="G215" s="5" t="s">
        <v>1119</v>
      </c>
      <c r="H215" s="5"/>
      <c r="I215" s="5" t="s">
        <v>963</v>
      </c>
      <c r="J215" s="5"/>
      <c r="K215" s="50"/>
      <c r="L215" s="103">
        <v>191</v>
      </c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1:28" ht="13.2">
      <c r="A216" s="3">
        <f>IF(ISBLANK(B216),,A215+1)</f>
        <v>215</v>
      </c>
      <c r="B216" s="50" t="s">
        <v>1136</v>
      </c>
      <c r="C216" s="5" t="s">
        <v>997</v>
      </c>
      <c r="D216" s="5">
        <f>IF(C216="common",100,IF(C216="Uncommon",300,IF(C216="Rare",700,IF(C216="very rare",1100,IF(C216="Legendary",2000,0)))))</f>
        <v>2000</v>
      </c>
      <c r="E216" s="5">
        <f>(F216*TRUNC(3+(15-3)*(TRUNC(MOD((A216*1103515245 +12345)/ 65536, 32768),0)/32768),0))+D216+(D216/10*F216)</f>
        <v>3040</v>
      </c>
      <c r="F216" s="5">
        <v>5</v>
      </c>
      <c r="G216" s="5" t="s">
        <v>1119</v>
      </c>
      <c r="H216" s="5"/>
      <c r="I216" s="5" t="s">
        <v>963</v>
      </c>
      <c r="J216" s="5"/>
      <c r="K216" s="50"/>
      <c r="L216" s="103">
        <v>191</v>
      </c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1:28" ht="13.2">
      <c r="A217" s="3">
        <f>IF(ISBLANK(B217),,A216+1)</f>
        <v>216</v>
      </c>
      <c r="B217" s="50" t="s">
        <v>1135</v>
      </c>
      <c r="C217" s="5" t="s">
        <v>994</v>
      </c>
      <c r="D217" s="5">
        <f>IF(C217="common",100,IF(C217="Uncommon",300,IF(C217="Rare",700,IF(C217="very rare",1100,IF(C217="Legendary",2000,0)))))</f>
        <v>300</v>
      </c>
      <c r="E217" s="5">
        <f>(F217*TRUNC(3+(15-3)*(TRUNC(MOD((A217*1103515245 +12345)/ 65536, 32768),0)/32768),0))+D217+(D217/10*F217)</f>
        <v>388</v>
      </c>
      <c r="F217" s="5">
        <v>2</v>
      </c>
      <c r="G217" s="5" t="s">
        <v>1119</v>
      </c>
      <c r="H217" s="5"/>
      <c r="I217" s="5" t="s">
        <v>963</v>
      </c>
      <c r="J217" s="5"/>
      <c r="K217" s="50"/>
      <c r="L217" s="103">
        <v>191</v>
      </c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1:28" ht="13.2">
      <c r="A218" s="3">
        <f>IF(ISBLANK(B218),,A217+1)</f>
        <v>217</v>
      </c>
      <c r="B218" s="50" t="s">
        <v>1134</v>
      </c>
      <c r="C218" s="5" t="s">
        <v>994</v>
      </c>
      <c r="D218" s="5">
        <f>IF(C218="common",100,IF(C218="Uncommon",300,IF(C218="Rare",700,IF(C218="very rare",1100,IF(C218="Legendary",2000,0)))))</f>
        <v>300</v>
      </c>
      <c r="E218" s="5">
        <f>(F218*TRUNC(3+(15-3)*(TRUNC(MOD((A218*1103515245 +12345)/ 65536, 32768),0)/32768),0))+D218+(D218/10*F218)</f>
        <v>378</v>
      </c>
      <c r="F218" s="5">
        <v>2</v>
      </c>
      <c r="G218" s="5" t="s">
        <v>1119</v>
      </c>
      <c r="H218" s="5"/>
      <c r="I218" s="5" t="s">
        <v>963</v>
      </c>
      <c r="J218" s="5"/>
      <c r="K218" s="50"/>
      <c r="L218" s="103">
        <v>191</v>
      </c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1:28" ht="13.2">
      <c r="A219" s="3">
        <f>IF(ISBLANK(B219),,A218+1)</f>
        <v>218</v>
      </c>
      <c r="B219" s="50" t="s">
        <v>1133</v>
      </c>
      <c r="C219" s="5" t="s">
        <v>991</v>
      </c>
      <c r="D219" s="5">
        <f>IF(C219="common",100,IF(C219="Uncommon",300,IF(C219="Rare",700,IF(C219="very rare",1100,IF(C219="Legendary",2000,0)))))</f>
        <v>700</v>
      </c>
      <c r="E219" s="5">
        <f>(F219*TRUNC(3+(15-3)*(TRUNC(MOD((A219*1103515245 +12345)/ 65536, 32768),0)/32768),0))+D219+(D219/10*F219)</f>
        <v>919</v>
      </c>
      <c r="F219" s="5">
        <v>3</v>
      </c>
      <c r="G219" s="5" t="s">
        <v>1119</v>
      </c>
      <c r="H219" s="5"/>
      <c r="I219" s="5" t="s">
        <v>963</v>
      </c>
      <c r="J219" s="5"/>
      <c r="K219" s="50"/>
      <c r="L219" s="103">
        <v>191</v>
      </c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1:28" ht="13.2">
      <c r="A220" s="3">
        <f>IF(ISBLANK(B220),,A219+1)</f>
        <v>219</v>
      </c>
      <c r="B220" s="50" t="s">
        <v>1132</v>
      </c>
      <c r="C220" s="5" t="s">
        <v>1001</v>
      </c>
      <c r="D220" s="5">
        <f>IF(C220="common",100,IF(C220="Uncommon",300,IF(C220="Rare",700,IF(C220="very rare",1100,IF(C220="Legendary",2000,0)))))</f>
        <v>1100</v>
      </c>
      <c r="E220" s="5">
        <f>(F220*TRUNC(3+(15-3)*(TRUNC(MOD((A220*1103515245 +12345)/ 65536, 32768),0)/32768),0))+D220+(D220/10*F220)</f>
        <v>1576</v>
      </c>
      <c r="F220" s="5">
        <v>4</v>
      </c>
      <c r="G220" s="5" t="s">
        <v>1119</v>
      </c>
      <c r="H220" s="5"/>
      <c r="I220" s="5" t="s">
        <v>963</v>
      </c>
      <c r="J220" s="5"/>
      <c r="K220" s="50"/>
      <c r="L220" s="103">
        <v>191</v>
      </c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1:28" ht="13.2">
      <c r="A221" s="3">
        <f>IF(ISBLANK(B221),,A220+1)</f>
        <v>220</v>
      </c>
      <c r="B221" s="50" t="s">
        <v>1131</v>
      </c>
      <c r="C221" s="5" t="s">
        <v>991</v>
      </c>
      <c r="D221" s="5">
        <f>IF(C221="common",100,IF(C221="Uncommon",300,IF(C221="Rare",700,IF(C221="very rare",1100,IF(C221="Legendary",2000,0)))))</f>
        <v>700</v>
      </c>
      <c r="E221" s="5">
        <f>(F221*TRUNC(3+(15-3)*(TRUNC(MOD((A221*1103515245 +12345)/ 65536, 32768),0)/32768),0))+D221+(D221/10*F221)</f>
        <v>919</v>
      </c>
      <c r="F221" s="5">
        <v>3</v>
      </c>
      <c r="G221" s="5" t="s">
        <v>1119</v>
      </c>
      <c r="H221" s="5"/>
      <c r="I221" s="5" t="s">
        <v>963</v>
      </c>
      <c r="J221" s="5"/>
      <c r="K221" s="50"/>
      <c r="L221" s="103">
        <v>192</v>
      </c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1:28" ht="13.2">
      <c r="A222" s="3">
        <f>IF(ISBLANK(B222),,A221+1)</f>
        <v>221</v>
      </c>
      <c r="B222" s="50" t="s">
        <v>1130</v>
      </c>
      <c r="C222" s="5" t="s">
        <v>1001</v>
      </c>
      <c r="D222" s="5">
        <f>IF(C222="common",100,IF(C222="Uncommon",300,IF(C222="Rare",700,IF(C222="very rare",1100,IF(C222="Legendary",2000,0)))))</f>
        <v>1100</v>
      </c>
      <c r="E222" s="5">
        <f>(F222*TRUNC(3+(15-3)*(TRUNC(MOD((A222*1103515245 +12345)/ 65536, 32768),0)/32768),0))+D222+(D222/10*F222)</f>
        <v>1576</v>
      </c>
      <c r="F222" s="5">
        <v>4</v>
      </c>
      <c r="G222" s="5" t="s">
        <v>1119</v>
      </c>
      <c r="H222" s="5"/>
      <c r="I222" s="5" t="s">
        <v>963</v>
      </c>
      <c r="J222" s="5"/>
      <c r="K222" s="50" t="s">
        <v>1129</v>
      </c>
      <c r="L222" s="103">
        <v>192</v>
      </c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1:28" ht="13.2">
      <c r="A223" s="3">
        <f>IF(ISBLANK(B223),,A222+1)</f>
        <v>222</v>
      </c>
      <c r="B223" s="50" t="s">
        <v>1128</v>
      </c>
      <c r="C223" s="5" t="s">
        <v>991</v>
      </c>
      <c r="D223" s="5">
        <f>IF(C223="common",100,IF(C223="Uncommon",300,IF(C223="Rare",700,IF(C223="very rare",1100,IF(C223="Legendary",2000,0)))))</f>
        <v>700</v>
      </c>
      <c r="E223" s="5">
        <f>(F223*TRUNC(3+(15-3)*(TRUNC(MOD((A223*1103515245 +12345)/ 65536, 32768),0)/32768),0))+D223+(D223/10*F223)</f>
        <v>919</v>
      </c>
      <c r="F223" s="5">
        <v>3</v>
      </c>
      <c r="G223" s="5" t="s">
        <v>1119</v>
      </c>
      <c r="H223" s="5"/>
      <c r="I223" s="5" t="s">
        <v>963</v>
      </c>
      <c r="J223" s="5"/>
      <c r="K223" s="50"/>
      <c r="L223" s="103">
        <v>192</v>
      </c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1:28" ht="13.2">
      <c r="A224" s="3">
        <f>IF(ISBLANK(B224),,A223+1)</f>
        <v>223</v>
      </c>
      <c r="B224" s="50" t="s">
        <v>1127</v>
      </c>
      <c r="C224" s="5" t="s">
        <v>997</v>
      </c>
      <c r="D224" s="5">
        <f>IF(C224="common",100,IF(C224="Uncommon",300,IF(C224="Rare",700,IF(C224="very rare",1100,IF(C224="Legendary",2000,0)))))</f>
        <v>2000</v>
      </c>
      <c r="E224" s="5">
        <f>(F224*TRUNC(3+(15-3)*(TRUNC(MOD((A224*1103515245 +12345)/ 65536, 32768),0)/32768),0))+D224+(D224/10*F224)</f>
        <v>3050</v>
      </c>
      <c r="F224" s="5">
        <v>5</v>
      </c>
      <c r="G224" s="5" t="s">
        <v>1119</v>
      </c>
      <c r="H224" s="5"/>
      <c r="I224" s="5" t="s">
        <v>963</v>
      </c>
      <c r="J224" s="5"/>
      <c r="K224" s="50"/>
      <c r="L224" s="103">
        <v>193</v>
      </c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1:28" ht="13.2">
      <c r="A225" s="3">
        <f>IF(ISBLANK(B225),,A224+1)</f>
        <v>224</v>
      </c>
      <c r="B225" s="50" t="s">
        <v>1126</v>
      </c>
      <c r="C225" s="5" t="s">
        <v>994</v>
      </c>
      <c r="D225" s="5">
        <f>IF(C225="common",100,IF(C225="Uncommon",300,IF(C225="Rare",700,IF(C225="very rare",1100,IF(C225="Legendary",2000,0)))))</f>
        <v>300</v>
      </c>
      <c r="E225" s="5">
        <f>(F225*TRUNC(3+(15-3)*(TRUNC(MOD((A225*1103515245 +12345)/ 65536, 32768),0)/32768),0))+D225+(D225/10*F225)</f>
        <v>368</v>
      </c>
      <c r="F225" s="5">
        <v>2</v>
      </c>
      <c r="G225" s="5" t="s">
        <v>1119</v>
      </c>
      <c r="H225" s="5"/>
      <c r="I225" s="5"/>
      <c r="J225" s="5"/>
      <c r="K225" s="50"/>
      <c r="L225" s="103">
        <v>193</v>
      </c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1:28" ht="13.2">
      <c r="A226" s="3">
        <f>IF(ISBLANK(B226),,A225+1)</f>
        <v>225</v>
      </c>
      <c r="B226" s="50" t="s">
        <v>1125</v>
      </c>
      <c r="C226" s="5" t="s">
        <v>1001</v>
      </c>
      <c r="D226" s="5">
        <f>IF(C226="common",100,IF(C226="Uncommon",300,IF(C226="Rare",700,IF(C226="very rare",1100,IF(C226="Legendary",2000,0)))))</f>
        <v>1100</v>
      </c>
      <c r="E226" s="5">
        <f>(F226*TRUNC(3+(15-3)*(TRUNC(MOD((A226*1103515245 +12345)/ 65536, 32768),0)/32768),0))+D226+(D226/10*F226)</f>
        <v>1580</v>
      </c>
      <c r="F226" s="5">
        <v>4</v>
      </c>
      <c r="G226" s="5" t="s">
        <v>1119</v>
      </c>
      <c r="H226" s="5"/>
      <c r="I226" s="5" t="s">
        <v>963</v>
      </c>
      <c r="J226" s="5"/>
      <c r="K226" s="50"/>
      <c r="L226" s="103">
        <v>193</v>
      </c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1:28" ht="13.2">
      <c r="A227" s="3">
        <f>IF(ISBLANK(B227),,A226+1)</f>
        <v>226</v>
      </c>
      <c r="B227" s="50" t="s">
        <v>1124</v>
      </c>
      <c r="C227" s="5" t="s">
        <v>991</v>
      </c>
      <c r="D227" s="5">
        <f>IF(C227="common",100,IF(C227="Uncommon",300,IF(C227="Rare",700,IF(C227="very rare",1100,IF(C227="Legendary",2000,0)))))</f>
        <v>700</v>
      </c>
      <c r="E227" s="5">
        <f>(F227*TRUNC(3+(15-3)*(TRUNC(MOD((A227*1103515245 +12345)/ 65536, 32768),0)/32768),0))+D227+(D227/10*F227)</f>
        <v>922</v>
      </c>
      <c r="F227" s="5">
        <v>3</v>
      </c>
      <c r="G227" s="5" t="s">
        <v>1119</v>
      </c>
      <c r="H227" s="5"/>
      <c r="I227" s="5" t="s">
        <v>963</v>
      </c>
      <c r="J227" s="5"/>
      <c r="K227" s="50"/>
      <c r="L227" s="103">
        <v>193</v>
      </c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1:28" ht="13.2">
      <c r="A228" s="3">
        <f>IF(ISBLANK(B228),,A227+1)</f>
        <v>227</v>
      </c>
      <c r="B228" s="50" t="s">
        <v>1123</v>
      </c>
      <c r="C228" s="5" t="s">
        <v>997</v>
      </c>
      <c r="D228" s="5">
        <f>IF(C228="common",100,IF(C228="Uncommon",300,IF(C228="Rare",700,IF(C228="very rare",1100,IF(C228="Legendary",2000,0)))))</f>
        <v>2000</v>
      </c>
      <c r="E228" s="5">
        <f>(F228*TRUNC(3+(15-3)*(TRUNC(MOD((A228*1103515245 +12345)/ 65536, 32768),0)/32768),0))+D228+(D228/10*F228)</f>
        <v>3050</v>
      </c>
      <c r="F228" s="5">
        <v>5</v>
      </c>
      <c r="G228" s="5" t="s">
        <v>1119</v>
      </c>
      <c r="H228" s="5"/>
      <c r="I228" s="5"/>
      <c r="J228" s="5"/>
      <c r="K228" s="50"/>
      <c r="L228" s="103">
        <v>193</v>
      </c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1:28" ht="13.2">
      <c r="A229" s="3">
        <f>IF(ISBLANK(B229),,A228+1)</f>
        <v>228</v>
      </c>
      <c r="B229" s="50" t="s">
        <v>1122</v>
      </c>
      <c r="C229" s="5" t="s">
        <v>994</v>
      </c>
      <c r="D229" s="5">
        <f>IF(C229="common",100,IF(C229="Uncommon",300,IF(C229="Rare",700,IF(C229="very rare",1100,IF(C229="Legendary",2000,0)))))</f>
        <v>300</v>
      </c>
      <c r="E229" s="5">
        <f>(F229*TRUNC(3+(15-3)*(TRUNC(MOD((A229*1103515245 +12345)/ 65536, 32768),0)/32768),0))+D229+(D229/10*F229)</f>
        <v>368</v>
      </c>
      <c r="F229" s="5">
        <v>2</v>
      </c>
      <c r="G229" s="5" t="s">
        <v>1119</v>
      </c>
      <c r="H229" s="5"/>
      <c r="I229" s="5" t="s">
        <v>963</v>
      </c>
      <c r="J229" s="5"/>
      <c r="K229" s="50"/>
      <c r="L229" s="103">
        <v>193</v>
      </c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1:28" ht="13.2">
      <c r="A230" s="3">
        <f>IF(ISBLANK(B230),,A229+1)</f>
        <v>229</v>
      </c>
      <c r="B230" s="50" t="s">
        <v>1121</v>
      </c>
      <c r="C230" s="5" t="s">
        <v>994</v>
      </c>
      <c r="D230" s="5">
        <f>IF(C230="common",100,IF(C230="Uncommon",300,IF(C230="Rare",700,IF(C230="very rare",1100,IF(C230="Legendary",2000,0)))))</f>
        <v>300</v>
      </c>
      <c r="E230" s="5">
        <f>(F230*TRUNC(3+(15-3)*(TRUNC(MOD((A230*1103515245 +12345)/ 65536, 32768),0)/32768),0))+D230+(D230/10*F230)</f>
        <v>382</v>
      </c>
      <c r="F230" s="5">
        <v>2</v>
      </c>
      <c r="G230" s="5" t="s">
        <v>1119</v>
      </c>
      <c r="H230" s="5"/>
      <c r="I230" s="5"/>
      <c r="J230" s="5"/>
      <c r="K230" s="50"/>
      <c r="L230" s="103">
        <v>193</v>
      </c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1:28" ht="13.2">
      <c r="A231" s="3">
        <f>IF(ISBLANK(B231),,A230+1)</f>
        <v>230</v>
      </c>
      <c r="B231" s="50" t="s">
        <v>1120</v>
      </c>
      <c r="C231" s="5" t="s">
        <v>991</v>
      </c>
      <c r="D231" s="5">
        <f>IF(C231="common",100,IF(C231="Uncommon",300,IF(C231="Rare",700,IF(C231="very rare",1100,IF(C231="Legendary",2000,0)))))</f>
        <v>700</v>
      </c>
      <c r="E231" s="5">
        <f>(F231*TRUNC(3+(15-3)*(TRUNC(MOD((A231*1103515245 +12345)/ 65536, 32768),0)/32768),0))+D231+(D231/10*F231)</f>
        <v>925</v>
      </c>
      <c r="F231" s="5">
        <v>3</v>
      </c>
      <c r="G231" s="5" t="s">
        <v>1119</v>
      </c>
      <c r="H231" s="5"/>
      <c r="I231" s="5" t="s">
        <v>963</v>
      </c>
      <c r="J231" s="5"/>
      <c r="K231" s="50"/>
      <c r="L231" s="103">
        <v>193</v>
      </c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1:28" ht="13.2">
      <c r="A232" s="3">
        <f>IF(ISBLANK(B232),,A231+1)</f>
        <v>231</v>
      </c>
      <c r="B232" s="50" t="s">
        <v>1118</v>
      </c>
      <c r="C232" s="5" t="s">
        <v>991</v>
      </c>
      <c r="D232" s="5">
        <f>IF(C232="common",100,IF(C232="Uncommon",300,IF(C232="Rare",700,IF(C232="very rare",1100,IF(C232="Legendary",2000,0)))))</f>
        <v>700</v>
      </c>
      <c r="E232" s="5">
        <f>(F232*TRUNC(3+(15-3)*(TRUNC(MOD((A232*1103515245 +12345)/ 65536, 32768),0)/32768),0))+D232+(D232/10*F232)</f>
        <v>943</v>
      </c>
      <c r="F232" s="5">
        <v>3</v>
      </c>
      <c r="G232" s="5" t="s">
        <v>970</v>
      </c>
      <c r="H232" s="5" t="s">
        <v>1113</v>
      </c>
      <c r="I232" s="5" t="s">
        <v>963</v>
      </c>
      <c r="J232" s="5"/>
      <c r="K232" s="50"/>
      <c r="L232" s="103">
        <v>193</v>
      </c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1:28" ht="13.2">
      <c r="A233" s="3">
        <f>IF(ISBLANK(B233),,A232+1)</f>
        <v>232</v>
      </c>
      <c r="B233" s="50" t="s">
        <v>1117</v>
      </c>
      <c r="C233" s="5" t="s">
        <v>1001</v>
      </c>
      <c r="D233" s="5">
        <f>IF(C233="common",100,IF(C233="Uncommon",300,IF(C233="Rare",700,IF(C233="very rare",1100,IF(C233="Legendary",2000,0)))))</f>
        <v>1100</v>
      </c>
      <c r="E233" s="5">
        <f>(F233*TRUNC(3+(15-3)*(TRUNC(MOD((A233*1103515245 +12345)/ 65536, 32768),0)/32768),0))+D233+(D233/10*F233)</f>
        <v>1560</v>
      </c>
      <c r="F233" s="5">
        <v>4</v>
      </c>
      <c r="G233" s="5" t="s">
        <v>970</v>
      </c>
      <c r="H233" s="5" t="s">
        <v>1113</v>
      </c>
      <c r="I233" s="5" t="s">
        <v>963</v>
      </c>
      <c r="J233" s="5"/>
      <c r="K233" s="50"/>
      <c r="L233" s="103">
        <v>194</v>
      </c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1:28" ht="13.2">
      <c r="A234" s="3">
        <f>IF(ISBLANK(B234),,A233+1)</f>
        <v>233</v>
      </c>
      <c r="B234" s="50" t="s">
        <v>1116</v>
      </c>
      <c r="C234" s="5" t="s">
        <v>1001</v>
      </c>
      <c r="D234" s="5">
        <f>IF(C234="common",100,IF(C234="Uncommon",300,IF(C234="Rare",700,IF(C234="very rare",1100,IF(C234="Legendary",2000,0)))))</f>
        <v>1100</v>
      </c>
      <c r="E234" s="5">
        <f>(F234*TRUNC(3+(15-3)*(TRUNC(MOD((A234*1103515245 +12345)/ 65536, 32768),0)/32768),0))+D234+(D234/10*F234)</f>
        <v>1584</v>
      </c>
      <c r="F234" s="5">
        <v>4</v>
      </c>
      <c r="G234" s="5" t="s">
        <v>970</v>
      </c>
      <c r="H234" s="5" t="s">
        <v>1113</v>
      </c>
      <c r="I234" s="5" t="s">
        <v>963</v>
      </c>
      <c r="J234" s="5"/>
      <c r="K234" s="50"/>
      <c r="L234" s="103">
        <v>194</v>
      </c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1:28" ht="13.2">
      <c r="A235" s="3">
        <f>IF(ISBLANK(B235),,A234+1)</f>
        <v>234</v>
      </c>
      <c r="B235" s="50" t="s">
        <v>1115</v>
      </c>
      <c r="C235" s="5" t="s">
        <v>997</v>
      </c>
      <c r="D235" s="5">
        <f>IF(C235="common",100,IF(C235="Uncommon",300,IF(C235="Rare",700,IF(C235="very rare",1100,IF(C235="Legendary",2000,0)))))</f>
        <v>2000</v>
      </c>
      <c r="E235" s="5">
        <f>(F235*TRUNC(3+(15-3)*(TRUNC(MOD((A235*1103515245 +12345)/ 65536, 32768),0)/32768),0))+D235+(D235/10*F235)</f>
        <v>3025</v>
      </c>
      <c r="F235" s="5">
        <v>5</v>
      </c>
      <c r="G235" s="5" t="s">
        <v>970</v>
      </c>
      <c r="H235" s="5" t="s">
        <v>1113</v>
      </c>
      <c r="I235" s="5" t="s">
        <v>963</v>
      </c>
      <c r="J235" s="5"/>
      <c r="K235" s="50"/>
      <c r="L235" s="103">
        <v>194</v>
      </c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1:28" ht="13.2">
      <c r="A236" s="3">
        <f>IF(ISBLANK(B236),,A235+1)</f>
        <v>235</v>
      </c>
      <c r="B236" s="50" t="s">
        <v>1114</v>
      </c>
      <c r="C236" s="5" t="s">
        <v>994</v>
      </c>
      <c r="D236" s="5">
        <f>IF(C236="common",100,IF(C236="Uncommon",300,IF(C236="Rare",700,IF(C236="very rare",1100,IF(C236="Legendary",2000,0)))))</f>
        <v>300</v>
      </c>
      <c r="E236" s="5">
        <f>(F236*TRUNC(3+(15-3)*(TRUNC(MOD((A236*1103515245 +12345)/ 65536, 32768),0)/32768),0))+D236+(D236/10*F236)</f>
        <v>384</v>
      </c>
      <c r="F236" s="5">
        <v>2</v>
      </c>
      <c r="G236" s="5" t="s">
        <v>970</v>
      </c>
      <c r="H236" s="5" t="s">
        <v>1113</v>
      </c>
      <c r="I236" s="5"/>
      <c r="J236" s="5"/>
      <c r="K236" s="50"/>
      <c r="L236" s="103">
        <v>195</v>
      </c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1:28" ht="13.2">
      <c r="A237" s="3">
        <f>IF(ISBLANK(B237),,A236+1)</f>
        <v>236</v>
      </c>
      <c r="B237" s="50" t="s">
        <v>1112</v>
      </c>
      <c r="C237" s="5" t="s">
        <v>1001</v>
      </c>
      <c r="D237" s="5">
        <f>IF(C237="common",100,IF(C237="Uncommon",300,IF(C237="Rare",700,IF(C237="very rare",1100,IF(C237="Legendary",2000,0)))))</f>
        <v>1100</v>
      </c>
      <c r="E237" s="5">
        <f>(F237*TRUNC(3+(15-3)*(TRUNC(MOD((A237*1103515245 +12345)/ 65536, 32768),0)/32768),0))+D237+(D237/10*F237)</f>
        <v>1564</v>
      </c>
      <c r="F237" s="5">
        <v>4</v>
      </c>
      <c r="G237" s="5" t="s">
        <v>1033</v>
      </c>
      <c r="H237" s="5"/>
      <c r="I237" s="5" t="s">
        <v>963</v>
      </c>
      <c r="J237" s="5"/>
      <c r="K237" s="50"/>
      <c r="L237" s="103">
        <v>195</v>
      </c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1:28" ht="13.2">
      <c r="A238" s="3">
        <f>IF(ISBLANK(B238),,A237+1)</f>
        <v>237</v>
      </c>
      <c r="B238" s="50" t="s">
        <v>1111</v>
      </c>
      <c r="C238" s="5" t="s">
        <v>1001</v>
      </c>
      <c r="D238" s="5">
        <f>IF(C238="common",100,IF(C238="Uncommon",300,IF(C238="Rare",700,IF(C238="very rare",1100,IF(C238="Legendary",2000,0)))))</f>
        <v>1100</v>
      </c>
      <c r="E238" s="5">
        <f>(F238*TRUNC(3+(15-3)*(TRUNC(MOD((A238*1103515245 +12345)/ 65536, 32768),0)/32768),0))+D238+(D238/10*F238)</f>
        <v>1588</v>
      </c>
      <c r="F238" s="5">
        <v>4</v>
      </c>
      <c r="G238" s="5" t="s">
        <v>1033</v>
      </c>
      <c r="H238" s="5"/>
      <c r="I238" s="5" t="s">
        <v>963</v>
      </c>
      <c r="J238" s="5"/>
      <c r="K238" s="50"/>
      <c r="L238" s="103">
        <v>196</v>
      </c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1:28" ht="13.2">
      <c r="A239" s="3">
        <f>IF(ISBLANK(B239),,A238+1)</f>
        <v>238</v>
      </c>
      <c r="B239" s="50" t="s">
        <v>1110</v>
      </c>
      <c r="C239" s="5" t="s">
        <v>997</v>
      </c>
      <c r="D239" s="5">
        <f>IF(C239="common",100,IF(C239="Uncommon",300,IF(C239="Rare",700,IF(C239="very rare",1100,IF(C239="Legendary",2000,0)))))</f>
        <v>2000</v>
      </c>
      <c r="E239" s="5">
        <f>(F239*TRUNC(3+(15-3)*(TRUNC(MOD((A239*1103515245 +12345)/ 65536, 32768),0)/32768),0))+D239+(D239/10*F239)</f>
        <v>3030</v>
      </c>
      <c r="F239" s="5">
        <v>5</v>
      </c>
      <c r="G239" s="5" t="s">
        <v>1033</v>
      </c>
      <c r="H239" s="5"/>
      <c r="I239" s="5" t="s">
        <v>963</v>
      </c>
      <c r="J239" s="5"/>
      <c r="K239" s="50"/>
      <c r="L239" s="103">
        <v>196</v>
      </c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1:28" ht="13.2">
      <c r="A240" s="3">
        <f>IF(ISBLANK(B240),,A239+1)</f>
        <v>239</v>
      </c>
      <c r="B240" s="50" t="s">
        <v>1109</v>
      </c>
      <c r="C240" s="5" t="s">
        <v>997</v>
      </c>
      <c r="D240" s="5">
        <f>IF(C240="common",100,IF(C240="Uncommon",300,IF(C240="Rare",700,IF(C240="very rare",1100,IF(C240="Legendary",2000,0)))))</f>
        <v>2000</v>
      </c>
      <c r="E240" s="5">
        <f>(F240*TRUNC(3+(15-3)*(TRUNC(MOD((A240*1103515245 +12345)/ 65536, 32768),0)/32768),0))+D240+(D240/10*F240)</f>
        <v>3060</v>
      </c>
      <c r="F240" s="5">
        <v>5</v>
      </c>
      <c r="G240" s="5" t="s">
        <v>1033</v>
      </c>
      <c r="H240" s="5"/>
      <c r="I240" s="5" t="s">
        <v>963</v>
      </c>
      <c r="J240" s="5"/>
      <c r="K240" s="50" t="s">
        <v>1108</v>
      </c>
      <c r="L240" s="103">
        <v>197</v>
      </c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1:28" ht="13.2">
      <c r="A241" s="3">
        <f>IF(ISBLANK(B241),,A240+1)</f>
        <v>240</v>
      </c>
      <c r="B241" s="50" t="s">
        <v>1107</v>
      </c>
      <c r="C241" s="5" t="s">
        <v>991</v>
      </c>
      <c r="D241" s="5">
        <f>IF(C241="common",100,IF(C241="Uncommon",300,IF(C241="Rare",700,IF(C241="very rare",1100,IF(C241="Legendary",2000,0)))))</f>
        <v>700</v>
      </c>
      <c r="E241" s="5">
        <f>(F241*TRUNC(3+(15-3)*(TRUNC(MOD((A241*1103515245 +12345)/ 65536, 32768),0)/32768),0))+D241+(D241/10*F241)</f>
        <v>928</v>
      </c>
      <c r="F241" s="5">
        <v>3</v>
      </c>
      <c r="G241" s="5" t="s">
        <v>1033</v>
      </c>
      <c r="H241" s="5"/>
      <c r="I241" s="5" t="s">
        <v>963</v>
      </c>
      <c r="J241" s="5"/>
      <c r="K241" s="50"/>
      <c r="L241" s="103">
        <v>197</v>
      </c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1:28" ht="13.2">
      <c r="A242" s="3">
        <f>IF(ISBLANK(B242),,A241+1)</f>
        <v>241</v>
      </c>
      <c r="B242" s="50" t="s">
        <v>1106</v>
      </c>
      <c r="C242" s="5" t="s">
        <v>1001</v>
      </c>
      <c r="D242" s="5">
        <f>IF(C242="common",100,IF(C242="Uncommon",300,IF(C242="Rare",700,IF(C242="very rare",1100,IF(C242="Legendary",2000,0)))))</f>
        <v>1100</v>
      </c>
      <c r="E242" s="5">
        <f>(F242*TRUNC(3+(15-3)*(TRUNC(MOD((A242*1103515245 +12345)/ 65536, 32768),0)/32768),0))+D242+(D242/10*F242)</f>
        <v>1592</v>
      </c>
      <c r="F242" s="5">
        <v>4</v>
      </c>
      <c r="G242" s="5" t="s">
        <v>1033</v>
      </c>
      <c r="H242" s="5"/>
      <c r="I242" s="5"/>
      <c r="J242" s="5"/>
      <c r="K242" s="50"/>
      <c r="L242" s="103">
        <v>197</v>
      </c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1:28" ht="13.2">
      <c r="A243" s="3">
        <f>IF(ISBLANK(B243),,A242+1)</f>
        <v>242</v>
      </c>
      <c r="B243" s="50" t="s">
        <v>1105</v>
      </c>
      <c r="C243" s="5" t="s">
        <v>994</v>
      </c>
      <c r="D243" s="5">
        <f>IF(C243="common",100,IF(C243="Uncommon",300,IF(C243="Rare",700,IF(C243="very rare",1100,IF(C243="Legendary",2000,0)))))</f>
        <v>300</v>
      </c>
      <c r="E243" s="5">
        <f>(F243*TRUNC(3+(15-3)*(TRUNC(MOD((A243*1103515245 +12345)/ 65536, 32768),0)/32768),0))+D243+(D243/10*F243)</f>
        <v>374</v>
      </c>
      <c r="F243" s="5">
        <v>2</v>
      </c>
      <c r="G243" s="5" t="s">
        <v>1033</v>
      </c>
      <c r="H243" s="5"/>
      <c r="I243" s="5" t="s">
        <v>963</v>
      </c>
      <c r="J243" s="5"/>
      <c r="K243" s="50"/>
      <c r="L243" s="103">
        <v>197</v>
      </c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1:28" ht="13.2">
      <c r="A244" s="3">
        <f>IF(ISBLANK(B244),,A243+1)</f>
        <v>243</v>
      </c>
      <c r="B244" s="50" t="s">
        <v>1104</v>
      </c>
      <c r="C244" s="5" t="s">
        <v>991</v>
      </c>
      <c r="D244" s="5">
        <f>IF(C244="common",100,IF(C244="Uncommon",300,IF(C244="Rare",700,IF(C244="very rare",1100,IF(C244="Legendary",2000,0)))))</f>
        <v>700</v>
      </c>
      <c r="E244" s="5">
        <f>(F244*TRUNC(3+(15-3)*(TRUNC(MOD((A244*1103515245 +12345)/ 65536, 32768),0)/32768),0))+D244+(D244/10*F244)</f>
        <v>949</v>
      </c>
      <c r="F244" s="5">
        <v>3</v>
      </c>
      <c r="G244" s="5" t="s">
        <v>1033</v>
      </c>
      <c r="H244" s="5"/>
      <c r="I244" s="5" t="s">
        <v>963</v>
      </c>
      <c r="J244" s="5"/>
      <c r="K244" s="50"/>
      <c r="L244" s="103">
        <v>197</v>
      </c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1:28" ht="13.2">
      <c r="A245" s="3">
        <f>IF(ISBLANK(B245),,A244+1)</f>
        <v>244</v>
      </c>
      <c r="B245" s="50" t="s">
        <v>1103</v>
      </c>
      <c r="C245" s="5" t="s">
        <v>1001</v>
      </c>
      <c r="D245" s="5">
        <f>IF(C245="common",100,IF(C245="Uncommon",300,IF(C245="Rare",700,IF(C245="very rare",1100,IF(C245="Legendary",2000,0)))))</f>
        <v>1100</v>
      </c>
      <c r="E245" s="5">
        <f>(F245*TRUNC(3+(15-3)*(TRUNC(MOD((A245*1103515245 +12345)/ 65536, 32768),0)/32768),0))+D245+(D245/10*F245)</f>
        <v>1568</v>
      </c>
      <c r="F245" s="5">
        <v>4</v>
      </c>
      <c r="G245" s="5" t="s">
        <v>1033</v>
      </c>
      <c r="H245" s="5"/>
      <c r="I245" s="5" t="s">
        <v>963</v>
      </c>
      <c r="J245" s="5"/>
      <c r="K245" s="50"/>
      <c r="L245" s="103">
        <v>197</v>
      </c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1:28" ht="13.2">
      <c r="A246" s="3">
        <f>IF(ISBLANK(B246),,A245+1)</f>
        <v>245</v>
      </c>
      <c r="B246" s="50" t="s">
        <v>1102</v>
      </c>
      <c r="C246" s="5" t="s">
        <v>994</v>
      </c>
      <c r="D246" s="5">
        <f>IF(C246="common",100,IF(C246="Uncommon",300,IF(C246="Rare",700,IF(C246="very rare",1100,IF(C246="Legendary",2000,0)))))</f>
        <v>300</v>
      </c>
      <c r="E246" s="5">
        <f>(F246*TRUNC(3+(15-3)*(TRUNC(MOD((A246*1103515245 +12345)/ 65536, 32768),0)/32768),0))+D246+(D246/10*F246)</f>
        <v>386</v>
      </c>
      <c r="F246" s="5">
        <v>2</v>
      </c>
      <c r="G246" s="5" t="s">
        <v>970</v>
      </c>
      <c r="H246" s="5"/>
      <c r="I246" s="5"/>
      <c r="J246" s="5"/>
      <c r="K246" s="50"/>
      <c r="L246" s="103">
        <v>197</v>
      </c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1:28" ht="13.2">
      <c r="A247" s="3">
        <f>IF(ISBLANK(B247),,A246+1)</f>
        <v>246</v>
      </c>
      <c r="B247" s="50" t="s">
        <v>1101</v>
      </c>
      <c r="C247" s="5" t="s">
        <v>991</v>
      </c>
      <c r="D247" s="5">
        <f>IF(C247="common",100,IF(C247="Uncommon",300,IF(C247="Rare",700,IF(C247="very rare",1100,IF(C247="Legendary",2000,0)))))</f>
        <v>700</v>
      </c>
      <c r="E247" s="5">
        <f>(F247*TRUNC(3+(15-3)*(TRUNC(MOD((A247*1103515245 +12345)/ 65536, 32768),0)/32768),0))+D247+(D247/10*F247)</f>
        <v>931</v>
      </c>
      <c r="F247" s="5">
        <v>3</v>
      </c>
      <c r="G247" s="5" t="s">
        <v>970</v>
      </c>
      <c r="H247" s="5"/>
      <c r="I247" s="5"/>
      <c r="J247" s="5"/>
      <c r="K247" s="50"/>
      <c r="L247" s="103">
        <v>197</v>
      </c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1:28" ht="13.2">
      <c r="A248" s="3">
        <f>IF(ISBLANK(B248),,A247+1)</f>
        <v>247</v>
      </c>
      <c r="B248" s="50" t="s">
        <v>1100</v>
      </c>
      <c r="C248" s="5" t="s">
        <v>994</v>
      </c>
      <c r="D248" s="5">
        <f>IF(C248="common",100,IF(C248="Uncommon",300,IF(C248="Rare",700,IF(C248="very rare",1100,IF(C248="Legendary",2000,0)))))</f>
        <v>300</v>
      </c>
      <c r="E248" s="5">
        <f>(F248*TRUNC(3+(15-3)*(TRUNC(MOD((A248*1103515245 +12345)/ 65536, 32768),0)/32768),0))+D248+(D248/10*F248)</f>
        <v>388</v>
      </c>
      <c r="F248" s="5">
        <v>2</v>
      </c>
      <c r="G248" s="5" t="s">
        <v>970</v>
      </c>
      <c r="H248" s="5" t="s">
        <v>1099</v>
      </c>
      <c r="I248" s="5"/>
      <c r="J248" s="5"/>
      <c r="K248" s="50"/>
      <c r="L248" s="103">
        <v>199</v>
      </c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1:28" ht="13.2">
      <c r="A249" s="3">
        <f>IF(ISBLANK(B249),,A248+1)</f>
        <v>248</v>
      </c>
      <c r="B249" s="50" t="s">
        <v>1098</v>
      </c>
      <c r="C249" s="5" t="s">
        <v>997</v>
      </c>
      <c r="D249" s="5">
        <f>IF(C249="common",100,IF(C249="Uncommon",300,IF(C249="Rare",700,IF(C249="very rare",1100,IF(C249="Legendary",2000,0)))))</f>
        <v>2000</v>
      </c>
      <c r="E249" s="5">
        <f>(F249*TRUNC(3+(15-3)*(TRUNC(MOD((A249*1103515245 +12345)/ 65536, 32768),0)/32768),0))+D249+(D249/10*F249)</f>
        <v>3040</v>
      </c>
      <c r="F249" s="5">
        <v>5</v>
      </c>
      <c r="G249" s="5" t="s">
        <v>970</v>
      </c>
      <c r="H249" s="5" t="s">
        <v>1024</v>
      </c>
      <c r="I249" s="5" t="s">
        <v>963</v>
      </c>
      <c r="J249" s="5"/>
      <c r="K249" s="50"/>
      <c r="L249" s="103">
        <v>199</v>
      </c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1:28" ht="13.2">
      <c r="A250" s="3">
        <f>IF(ISBLANK(B250),,A249+1)</f>
        <v>249</v>
      </c>
      <c r="B250" s="50" t="s">
        <v>1097</v>
      </c>
      <c r="C250" s="5" t="s">
        <v>1001</v>
      </c>
      <c r="D250" s="5">
        <f>IF(C250="common",100,IF(C250="Uncommon",300,IF(C250="Rare",700,IF(C250="very rare",1100,IF(C250="Legendary",2000,0)))))</f>
        <v>1100</v>
      </c>
      <c r="E250" s="5">
        <f>(F250*TRUNC(3+(15-3)*(TRUNC(MOD((A250*1103515245 +12345)/ 65536, 32768),0)/32768),0))+D250+(D250/10*F250)</f>
        <v>1596</v>
      </c>
      <c r="F250" s="5">
        <v>4</v>
      </c>
      <c r="G250" s="5" t="s">
        <v>968</v>
      </c>
      <c r="H250" s="5" t="s">
        <v>1096</v>
      </c>
      <c r="I250" s="5" t="s">
        <v>963</v>
      </c>
      <c r="J250" s="5"/>
      <c r="K250" s="50"/>
      <c r="L250" s="103">
        <v>199</v>
      </c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1:28" ht="13.2">
      <c r="A251" s="3">
        <f>IF(ISBLANK(B251),,A250+1)</f>
        <v>250</v>
      </c>
      <c r="B251" s="50" t="s">
        <v>1095</v>
      </c>
      <c r="C251" s="5" t="s">
        <v>991</v>
      </c>
      <c r="D251" s="5">
        <f>IF(C251="common",100,IF(C251="Uncommon",300,IF(C251="Rare",700,IF(C251="very rare",1100,IF(C251="Legendary",2000,0)))))</f>
        <v>700</v>
      </c>
      <c r="E251" s="5">
        <f>(F251*TRUNC(3+(15-3)*(TRUNC(MOD((A251*1103515245 +12345)/ 65536, 32768),0)/32768),0))+D251+(D251/10*F251)</f>
        <v>934</v>
      </c>
      <c r="F251" s="5">
        <v>3</v>
      </c>
      <c r="G251" s="5" t="s">
        <v>1074</v>
      </c>
      <c r="H251" s="5"/>
      <c r="I251" s="5"/>
      <c r="J251" s="5"/>
      <c r="K251" s="50"/>
      <c r="L251" s="103">
        <v>199</v>
      </c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1:28" ht="13.2">
      <c r="A252" s="3">
        <f>IF(ISBLANK(B252),,A251+1)</f>
        <v>251</v>
      </c>
      <c r="B252" s="50" t="s">
        <v>1094</v>
      </c>
      <c r="C252" s="5" t="s">
        <v>994</v>
      </c>
      <c r="D252" s="5">
        <f>IF(C252="common",100,IF(C252="Uncommon",300,IF(C252="Rare",700,IF(C252="very rare",1100,IF(C252="Legendary",2000,0)))))</f>
        <v>300</v>
      </c>
      <c r="E252" s="5">
        <f>(F252*TRUNC(3+(15-3)*(TRUNC(MOD((A252*1103515245 +12345)/ 65536, 32768),0)/32768),0))+D252+(D252/10*F252)</f>
        <v>388</v>
      </c>
      <c r="F252" s="5">
        <v>2</v>
      </c>
      <c r="G252" s="5" t="s">
        <v>970</v>
      </c>
      <c r="H252" s="5"/>
      <c r="I252" s="5"/>
      <c r="J252" s="5"/>
      <c r="K252" s="50"/>
      <c r="L252" s="103">
        <v>199</v>
      </c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1:28" ht="13.2">
      <c r="A253" s="3">
        <f>IF(ISBLANK(B253),,A252+1)</f>
        <v>252</v>
      </c>
      <c r="B253" s="50" t="s">
        <v>1093</v>
      </c>
      <c r="C253" s="5" t="s">
        <v>994</v>
      </c>
      <c r="D253" s="5">
        <f>IF(C253="common",100,IF(C253="Uncommon",300,IF(C253="Rare",700,IF(C253="very rare",1100,IF(C253="Legendary",2000,0)))))</f>
        <v>300</v>
      </c>
      <c r="E253" s="5">
        <f>(F253*TRUNC(3+(15-3)*(TRUNC(MOD((A253*1103515245 +12345)/ 65536, 32768),0)/32768),0))+D253+(D253/10*F253)</f>
        <v>376</v>
      </c>
      <c r="F253" s="5">
        <v>2</v>
      </c>
      <c r="G253" s="5" t="s">
        <v>1072</v>
      </c>
      <c r="H253" s="5" t="s">
        <v>1071</v>
      </c>
      <c r="I253" s="5"/>
      <c r="J253" s="5"/>
      <c r="K253" s="50"/>
      <c r="L253" s="103">
        <v>199</v>
      </c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1:28" ht="13.2">
      <c r="A254" s="3">
        <f>IF(ISBLANK(B254),,A253+1)</f>
        <v>253</v>
      </c>
      <c r="B254" s="50" t="s">
        <v>1092</v>
      </c>
      <c r="C254" s="5" t="s">
        <v>994</v>
      </c>
      <c r="D254" s="5">
        <f>IF(C254="common",100,IF(C254="Uncommon",300,IF(C254="Rare",700,IF(C254="very rare",1100,IF(C254="Legendary",2000,0)))))</f>
        <v>300</v>
      </c>
      <c r="E254" s="5">
        <f>(F254*TRUNC(3+(15-3)*(TRUNC(MOD((A254*1103515245 +12345)/ 65536, 32768),0)/32768),0))+D254+(D254/10*F254)</f>
        <v>366</v>
      </c>
      <c r="F254" s="5">
        <v>2</v>
      </c>
      <c r="G254" s="5" t="s">
        <v>1072</v>
      </c>
      <c r="H254" s="5" t="s">
        <v>1071</v>
      </c>
      <c r="I254" s="5"/>
      <c r="J254" s="5"/>
      <c r="K254" s="50"/>
      <c r="L254" s="103">
        <v>200</v>
      </c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1:28" ht="13.2">
      <c r="A255" s="3">
        <f>IF(ISBLANK(B255),,A254+1)</f>
        <v>254</v>
      </c>
      <c r="B255" s="50" t="s">
        <v>1091</v>
      </c>
      <c r="C255" s="5" t="s">
        <v>991</v>
      </c>
      <c r="D255" s="5">
        <f>IF(C255="common",100,IF(C255="Uncommon",300,IF(C255="Rare",700,IF(C255="very rare",1100,IF(C255="Legendary",2000,0)))))</f>
        <v>700</v>
      </c>
      <c r="E255" s="5">
        <f>(F255*TRUNC(3+(15-3)*(TRUNC(MOD((A255*1103515245 +12345)/ 65536, 32768),0)/32768),0))+D255+(D255/10*F255)</f>
        <v>937</v>
      </c>
      <c r="F255" s="5">
        <v>3</v>
      </c>
      <c r="G255" s="5" t="s">
        <v>1072</v>
      </c>
      <c r="H255" s="5" t="s">
        <v>1071</v>
      </c>
      <c r="I255" s="5"/>
      <c r="J255" s="5"/>
      <c r="K255" s="50"/>
      <c r="L255" s="103">
        <v>200</v>
      </c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1:28" ht="13.2">
      <c r="A256" s="3">
        <f>IF(ISBLANK(B256),,A255+1)</f>
        <v>255</v>
      </c>
      <c r="B256" s="50" t="s">
        <v>1090</v>
      </c>
      <c r="C256" s="5" t="s">
        <v>1001</v>
      </c>
      <c r="D256" s="5">
        <f>IF(C256="common",100,IF(C256="Uncommon",300,IF(C256="Rare",700,IF(C256="very rare",1100,IF(C256="Legendary",2000,0)))))</f>
        <v>1100</v>
      </c>
      <c r="E256" s="5">
        <f>(F256*TRUNC(3+(15-3)*(TRUNC(MOD((A256*1103515245 +12345)/ 65536, 32768),0)/32768),0))+D256+(D256/10*F256)</f>
        <v>1552</v>
      </c>
      <c r="F256" s="5">
        <v>4</v>
      </c>
      <c r="G256" s="5" t="s">
        <v>1072</v>
      </c>
      <c r="H256" s="5" t="s">
        <v>1071</v>
      </c>
      <c r="I256" s="5"/>
      <c r="J256" s="5"/>
      <c r="K256" s="50"/>
      <c r="L256" s="103">
        <v>200</v>
      </c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1:28" ht="13.2">
      <c r="A257" s="3">
        <f>IF(ISBLANK(B257),,A256+1)</f>
        <v>256</v>
      </c>
      <c r="B257" s="50" t="s">
        <v>1089</v>
      </c>
      <c r="C257" s="5" t="s">
        <v>991</v>
      </c>
      <c r="D257" s="5">
        <f>IF(C257="common",100,IF(C257="Uncommon",300,IF(C257="Rare",700,IF(C257="very rare",1100,IF(C257="Legendary",2000,0)))))</f>
        <v>700</v>
      </c>
      <c r="E257" s="5">
        <f>(F257*TRUNC(3+(15-3)*(TRUNC(MOD((A257*1103515245 +12345)/ 65536, 32768),0)/32768),0))+D257+(D257/10*F257)</f>
        <v>937</v>
      </c>
      <c r="F257" s="5">
        <v>3</v>
      </c>
      <c r="G257" s="5" t="s">
        <v>1072</v>
      </c>
      <c r="H257" s="5" t="s">
        <v>1071</v>
      </c>
      <c r="I257" s="5" t="s">
        <v>963</v>
      </c>
      <c r="J257" s="5" t="s">
        <v>1088</v>
      </c>
      <c r="K257" s="50"/>
      <c r="L257" s="103">
        <v>200</v>
      </c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1:28" ht="13.2">
      <c r="A258" s="3">
        <f>IF(ISBLANK(B258),,A257+1)</f>
        <v>257</v>
      </c>
      <c r="B258" s="50" t="s">
        <v>1087</v>
      </c>
      <c r="C258" s="5" t="s">
        <v>994</v>
      </c>
      <c r="D258" s="5">
        <f>IF(C258="common",100,IF(C258="Uncommon",300,IF(C258="Rare",700,IF(C258="very rare",1100,IF(C258="Legendary",2000,0)))))</f>
        <v>300</v>
      </c>
      <c r="E258" s="5">
        <f>(F258*TRUNC(3+(15-3)*(TRUNC(MOD((A258*1103515245 +12345)/ 65536, 32768),0)/32768),0))+D258+(D258/10*F258)</f>
        <v>366</v>
      </c>
      <c r="F258" s="5">
        <v>2</v>
      </c>
      <c r="G258" s="5" t="s">
        <v>970</v>
      </c>
      <c r="H258" s="5" t="s">
        <v>993</v>
      </c>
      <c r="I258" s="5" t="s">
        <v>963</v>
      </c>
      <c r="J258" s="5"/>
      <c r="K258" s="50"/>
      <c r="L258" s="103">
        <v>200</v>
      </c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1:28" ht="13.2">
      <c r="A259" s="3">
        <f>IF(ISBLANK(B259),,A258+1)</f>
        <v>258</v>
      </c>
      <c r="B259" s="50" t="s">
        <v>1086</v>
      </c>
      <c r="C259" s="5" t="s">
        <v>997</v>
      </c>
      <c r="D259" s="5">
        <f>IF(C259="common",100,IF(C259="Uncommon",300,IF(C259="Rare",700,IF(C259="very rare",1100,IF(C259="Legendary",2000,0)))))</f>
        <v>2000</v>
      </c>
      <c r="E259" s="5">
        <f>(F259*TRUNC(3+(15-3)*(TRUNC(MOD((A259*1103515245 +12345)/ 65536, 32768),0)/32768),0))+D259+(D259/10*F259)</f>
        <v>3045</v>
      </c>
      <c r="F259" s="5">
        <v>5</v>
      </c>
      <c r="G259" s="5" t="s">
        <v>970</v>
      </c>
      <c r="H259" s="5" t="s">
        <v>1024</v>
      </c>
      <c r="I259" s="5"/>
      <c r="J259" s="5"/>
      <c r="K259" s="50"/>
      <c r="L259" s="103">
        <v>200</v>
      </c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1:28" ht="13.2">
      <c r="A260" s="3">
        <f>IF(ISBLANK(B260),,A259+1)</f>
        <v>259</v>
      </c>
      <c r="B260" s="50" t="s">
        <v>1085</v>
      </c>
      <c r="C260" s="5" t="s">
        <v>1075</v>
      </c>
      <c r="D260" s="5">
        <f>IF(C260="common",100,IF(C260="Uncommon",300,IF(C260="Rare",700,IF(C260="very rare",1100,IF(C260="Legendary",2000,0)))))</f>
        <v>100</v>
      </c>
      <c r="E260" s="5">
        <f>(F260*TRUNC(3+(15-3)*(TRUNC(MOD((A260*1103515245 +12345)/ 65536, 32768),0)/32768),0))+D260+(D260/10*F260)</f>
        <v>114</v>
      </c>
      <c r="F260" s="5">
        <v>1</v>
      </c>
      <c r="G260" s="5" t="s">
        <v>1074</v>
      </c>
      <c r="H260" s="5"/>
      <c r="I260" s="5"/>
      <c r="J260" s="5"/>
      <c r="K260" s="50"/>
      <c r="L260" s="103">
        <v>200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1:28" ht="13.2">
      <c r="A261" s="3">
        <f>IF(ISBLANK(B261),,A260+1)</f>
        <v>260</v>
      </c>
      <c r="B261" s="50" t="s">
        <v>1084</v>
      </c>
      <c r="C261" s="5" t="s">
        <v>994</v>
      </c>
      <c r="D261" s="5">
        <f>IF(C261="common",100,IF(C261="Uncommon",300,IF(C261="Rare",700,IF(C261="very rare",1100,IF(C261="Legendary",2000,0)))))</f>
        <v>300</v>
      </c>
      <c r="E261" s="5">
        <f>(F261*TRUNC(3+(15-3)*(TRUNC(MOD((A261*1103515245 +12345)/ 65536, 32768),0)/32768),0))+D261+(D261/10*F261)</f>
        <v>380</v>
      </c>
      <c r="F261" s="5">
        <v>2</v>
      </c>
      <c r="G261" s="5" t="s">
        <v>1074</v>
      </c>
      <c r="H261" s="5"/>
      <c r="I261" s="5"/>
      <c r="J261" s="5"/>
      <c r="K261" s="50"/>
      <c r="L261" s="103">
        <v>200</v>
      </c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1:28" ht="13.2">
      <c r="A262" s="3">
        <f>IF(ISBLANK(B262),,A261+1)</f>
        <v>261</v>
      </c>
      <c r="B262" s="50" t="s">
        <v>1083</v>
      </c>
      <c r="C262" s="5" t="s">
        <v>994</v>
      </c>
      <c r="D262" s="5">
        <f>IF(C262="common",100,IF(C262="Uncommon",300,IF(C262="Rare",700,IF(C262="very rare",1100,IF(C262="Legendary",2000,0)))))</f>
        <v>300</v>
      </c>
      <c r="E262" s="5">
        <f>(F262*TRUNC(3+(15-3)*(TRUNC(MOD((A262*1103515245 +12345)/ 65536, 32768),0)/32768),0))+D262+(D262/10*F262)</f>
        <v>368</v>
      </c>
      <c r="F262" s="5">
        <v>2</v>
      </c>
      <c r="G262" s="5" t="s">
        <v>1074</v>
      </c>
      <c r="H262" s="5"/>
      <c r="I262" s="5"/>
      <c r="J262" s="5"/>
      <c r="K262" s="50"/>
      <c r="L262" s="103">
        <v>200</v>
      </c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1:28" ht="13.2">
      <c r="A263" s="3">
        <f>IF(ISBLANK(B263),,A262+1)</f>
        <v>262</v>
      </c>
      <c r="B263" s="50" t="s">
        <v>1082</v>
      </c>
      <c r="C263" s="5" t="s">
        <v>991</v>
      </c>
      <c r="D263" s="5">
        <f>IF(C263="common",100,IF(C263="Uncommon",300,IF(C263="Rare",700,IF(C263="very rare",1100,IF(C263="Legendary",2000,0)))))</f>
        <v>700</v>
      </c>
      <c r="E263" s="5">
        <f>(F263*TRUNC(3+(15-3)*(TRUNC(MOD((A263*1103515245 +12345)/ 65536, 32768),0)/32768),0))+D263+(D263/10*F263)</f>
        <v>940</v>
      </c>
      <c r="F263" s="5">
        <v>3</v>
      </c>
      <c r="G263" s="5" t="s">
        <v>1074</v>
      </c>
      <c r="H263" s="5"/>
      <c r="I263" s="5"/>
      <c r="J263" s="5"/>
      <c r="K263" s="50"/>
      <c r="L263" s="103">
        <v>200</v>
      </c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1:28" ht="13.2">
      <c r="A264" s="3">
        <f>IF(ISBLANK(B264),,A263+1)</f>
        <v>263</v>
      </c>
      <c r="B264" s="50" t="s">
        <v>1081</v>
      </c>
      <c r="C264" s="5" t="s">
        <v>991</v>
      </c>
      <c r="D264" s="5">
        <f>IF(C264="common",100,IF(C264="Uncommon",300,IF(C264="Rare",700,IF(C264="very rare",1100,IF(C264="Legendary",2000,0)))))</f>
        <v>700</v>
      </c>
      <c r="E264" s="5">
        <f>(F264*TRUNC(3+(15-3)*(TRUNC(MOD((A264*1103515245 +12345)/ 65536, 32768),0)/32768),0))+D264+(D264/10*F264)</f>
        <v>922</v>
      </c>
      <c r="F264" s="5">
        <v>3</v>
      </c>
      <c r="G264" s="5" t="s">
        <v>1074</v>
      </c>
      <c r="H264" s="5"/>
      <c r="I264" s="5"/>
      <c r="J264" s="5"/>
      <c r="K264" s="50"/>
      <c r="L264" s="103">
        <v>200</v>
      </c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1:28" ht="13.2">
      <c r="A265" s="3">
        <f>IF(ISBLANK(B265),,A264+1)</f>
        <v>264</v>
      </c>
      <c r="B265" s="50" t="s">
        <v>1080</v>
      </c>
      <c r="C265" s="5" t="s">
        <v>1001</v>
      </c>
      <c r="D265" s="5">
        <f>IF(C265="common",100,IF(C265="Uncommon",300,IF(C265="Rare",700,IF(C265="very rare",1100,IF(C265="Legendary",2000,0)))))</f>
        <v>1100</v>
      </c>
      <c r="E265" s="5">
        <f>(F265*TRUNC(3+(15-3)*(TRUNC(MOD((A265*1103515245 +12345)/ 65536, 32768),0)/32768),0))+D265+(D265/10*F265)</f>
        <v>1580</v>
      </c>
      <c r="F265" s="5">
        <v>4</v>
      </c>
      <c r="G265" s="5" t="s">
        <v>1074</v>
      </c>
      <c r="H265" s="5"/>
      <c r="I265" s="5"/>
      <c r="J265" s="5"/>
      <c r="K265" s="50"/>
      <c r="L265" s="103">
        <v>200</v>
      </c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1:28" ht="13.2">
      <c r="A266" s="3">
        <f>IF(ISBLANK(B266),,A265+1)</f>
        <v>265</v>
      </c>
      <c r="B266" s="50" t="s">
        <v>1079</v>
      </c>
      <c r="C266" s="5" t="s">
        <v>1001</v>
      </c>
      <c r="D266" s="5">
        <f>IF(C266="common",100,IF(C266="Uncommon",300,IF(C266="Rare",700,IF(C266="very rare",1100,IF(C266="Legendary",2000,0)))))</f>
        <v>1100</v>
      </c>
      <c r="E266" s="5">
        <f>(F266*TRUNC(3+(15-3)*(TRUNC(MOD((A266*1103515245 +12345)/ 65536, 32768),0)/32768),0))+D266+(D266/10*F266)</f>
        <v>1560</v>
      </c>
      <c r="F266" s="5">
        <v>4</v>
      </c>
      <c r="G266" s="5" t="s">
        <v>1074</v>
      </c>
      <c r="H266" s="5"/>
      <c r="I266" s="5"/>
      <c r="J266" s="5"/>
      <c r="K266" s="50"/>
      <c r="L266" s="103">
        <v>200</v>
      </c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1:28" ht="13.2">
      <c r="A267" s="3">
        <f>IF(ISBLANK(B267),,A266+1)</f>
        <v>266</v>
      </c>
      <c r="B267" s="50" t="s">
        <v>1078</v>
      </c>
      <c r="C267" s="5" t="s">
        <v>1001</v>
      </c>
      <c r="D267" s="5">
        <f>IF(C267="common",100,IF(C267="Uncommon",300,IF(C267="Rare",700,IF(C267="very rare",1100,IF(C267="Legendary",2000,0)))))</f>
        <v>1100</v>
      </c>
      <c r="E267" s="5">
        <f>(F267*TRUNC(3+(15-3)*(TRUNC(MOD((A267*1103515245 +12345)/ 65536, 32768),0)/32768),0))+D267+(D267/10*F267)</f>
        <v>1584</v>
      </c>
      <c r="F267" s="5">
        <v>4</v>
      </c>
      <c r="G267" s="5" t="s">
        <v>1074</v>
      </c>
      <c r="H267" s="5"/>
      <c r="I267" s="5"/>
      <c r="J267" s="5"/>
      <c r="K267" s="50"/>
      <c r="L267" s="103">
        <v>200</v>
      </c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1:28" ht="13.2">
      <c r="A268" s="3">
        <f>IF(ISBLANK(B268),,A267+1)</f>
        <v>267</v>
      </c>
      <c r="B268" s="50" t="s">
        <v>1077</v>
      </c>
      <c r="C268" s="5" t="s">
        <v>997</v>
      </c>
      <c r="D268" s="5">
        <f>IF(C268="common",100,IF(C268="Uncommon",300,IF(C268="Rare",700,IF(C268="very rare",1100,IF(C268="Legendary",2000,0)))))</f>
        <v>2000</v>
      </c>
      <c r="E268" s="5">
        <f>(F268*TRUNC(3+(15-3)*(TRUNC(MOD((A268*1103515245 +12345)/ 65536, 32768),0)/32768),0))+D268+(D268/10*F268)</f>
        <v>3025</v>
      </c>
      <c r="F268" s="5">
        <v>5</v>
      </c>
      <c r="G268" s="5" t="s">
        <v>1074</v>
      </c>
      <c r="H268" s="5"/>
      <c r="I268" s="5"/>
      <c r="J268" s="5"/>
      <c r="K268" s="50"/>
      <c r="L268" s="103">
        <v>200</v>
      </c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1:28" ht="13.2">
      <c r="A269" s="3">
        <f>IF(ISBLANK(B269),,A268+1)</f>
        <v>268</v>
      </c>
      <c r="B269" s="50" t="s">
        <v>1076</v>
      </c>
      <c r="C269" s="5" t="s">
        <v>1075</v>
      </c>
      <c r="D269" s="5">
        <f>IF(C269="common",100,IF(C269="Uncommon",300,IF(C269="Rare",700,IF(C269="very rare",1100,IF(C269="Legendary",2000,0)))))</f>
        <v>100</v>
      </c>
      <c r="E269" s="5">
        <f>(F269*TRUNC(3+(15-3)*(TRUNC(MOD((A269*1103515245 +12345)/ 65536, 32768),0)/32768),0))+D269+(D269/10*F269)</f>
        <v>121</v>
      </c>
      <c r="F269" s="5">
        <v>1</v>
      </c>
      <c r="G269" s="5" t="s">
        <v>1074</v>
      </c>
      <c r="H269" s="5"/>
      <c r="I269" s="5"/>
      <c r="J269" s="5"/>
      <c r="K269" s="50"/>
      <c r="L269" s="103">
        <v>200</v>
      </c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1:28" ht="13.2">
      <c r="A270" s="3">
        <f>IF(ISBLANK(B270),,A269+1)</f>
        <v>269</v>
      </c>
      <c r="B270" s="50" t="s">
        <v>1073</v>
      </c>
      <c r="C270" s="5" t="s">
        <v>1001</v>
      </c>
      <c r="D270" s="5">
        <f>IF(C270="common",100,IF(C270="Uncommon",300,IF(C270="Rare",700,IF(C270="very rare",1100,IF(C270="Legendary",2000,0)))))</f>
        <v>1100</v>
      </c>
      <c r="E270" s="5">
        <f>(F270*TRUNC(3+(15-3)*(TRUNC(MOD((A270*1103515245 +12345)/ 65536, 32768),0)/32768),0))+D270+(D270/10*F270)</f>
        <v>1560</v>
      </c>
      <c r="F270" s="5">
        <v>4</v>
      </c>
      <c r="G270" s="5" t="s">
        <v>1072</v>
      </c>
      <c r="H270" s="5" t="s">
        <v>1071</v>
      </c>
      <c r="I270" s="5" t="s">
        <v>963</v>
      </c>
      <c r="J270" s="5"/>
      <c r="K270" s="50"/>
      <c r="L270" s="103">
        <v>201</v>
      </c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1:28" ht="13.2">
      <c r="A271" s="3">
        <f>IF(ISBLANK(B271),,A270+1)</f>
        <v>270</v>
      </c>
      <c r="B271" s="50" t="s">
        <v>1070</v>
      </c>
      <c r="C271" s="5" t="s">
        <v>997</v>
      </c>
      <c r="D271" s="5">
        <f>IF(C271="common",100,IF(C271="Uncommon",300,IF(C271="Rare",700,IF(C271="very rare",1100,IF(C271="Legendary",2000,0)))))</f>
        <v>2000</v>
      </c>
      <c r="E271" s="5">
        <f>(F271*TRUNC(3+(15-3)*(TRUNC(MOD((A271*1103515245 +12345)/ 65536, 32768),0)/32768),0))+D271+(D271/10*F271)</f>
        <v>3055</v>
      </c>
      <c r="F271" s="5">
        <v>5</v>
      </c>
      <c r="G271" s="5" t="s">
        <v>970</v>
      </c>
      <c r="H271" s="5"/>
      <c r="I271" s="5"/>
      <c r="J271" s="5"/>
      <c r="K271" s="50"/>
      <c r="L271" s="103">
        <v>201</v>
      </c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1:28" ht="13.2">
      <c r="A272" s="3">
        <f>IF(ISBLANK(B272),,A271+1)</f>
        <v>271</v>
      </c>
      <c r="B272" s="50" t="s">
        <v>1069</v>
      </c>
      <c r="C272" s="5" t="s">
        <v>991</v>
      </c>
      <c r="D272" s="5">
        <f>IF(C272="common",100,IF(C272="Uncommon",300,IF(C272="Rare",700,IF(C272="very rare",1100,IF(C272="Legendary",2000,0)))))</f>
        <v>700</v>
      </c>
      <c r="E272" s="5">
        <f>(F272*TRUNC(3+(15-3)*(TRUNC(MOD((A272*1103515245 +12345)/ 65536, 32768),0)/32768),0))+D272+(D272/10*F272)</f>
        <v>928</v>
      </c>
      <c r="F272" s="5">
        <v>3</v>
      </c>
      <c r="G272" s="5" t="s">
        <v>1051</v>
      </c>
      <c r="H272" s="5"/>
      <c r="I272" s="5" t="s">
        <v>963</v>
      </c>
      <c r="J272" s="5"/>
      <c r="K272" s="50" t="s">
        <v>1060</v>
      </c>
      <c r="L272" s="103">
        <v>201</v>
      </c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1:28" ht="13.2">
      <c r="A273" s="3">
        <f>IF(ISBLANK(B273),,A272+1)</f>
        <v>272</v>
      </c>
      <c r="B273" s="50" t="s">
        <v>1068</v>
      </c>
      <c r="C273" s="5" t="s">
        <v>1001</v>
      </c>
      <c r="D273" s="5">
        <f>IF(C273="common",100,IF(C273="Uncommon",300,IF(C273="Rare",700,IF(C273="very rare",1100,IF(C273="Legendary",2000,0)))))</f>
        <v>1100</v>
      </c>
      <c r="E273" s="5">
        <f>(F273*TRUNC(3+(15-3)*(TRUNC(MOD((A273*1103515245 +12345)/ 65536, 32768),0)/32768),0))+D273+(D273/10*F273)</f>
        <v>1588</v>
      </c>
      <c r="F273" s="5">
        <v>4</v>
      </c>
      <c r="G273" s="5" t="s">
        <v>1051</v>
      </c>
      <c r="H273" s="5"/>
      <c r="I273" s="5" t="s">
        <v>963</v>
      </c>
      <c r="J273" s="5"/>
      <c r="K273" s="50" t="s">
        <v>1066</v>
      </c>
      <c r="L273" s="103">
        <v>201</v>
      </c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1:28" ht="13.2">
      <c r="A274" s="3">
        <f>IF(ISBLANK(B274),,A273+1)</f>
        <v>273</v>
      </c>
      <c r="B274" s="50" t="s">
        <v>1067</v>
      </c>
      <c r="C274" s="5" t="s">
        <v>1001</v>
      </c>
      <c r="D274" s="5">
        <f>IF(C274="common",100,IF(C274="Uncommon",300,IF(C274="Rare",700,IF(C274="very rare",1100,IF(C274="Legendary",2000,0)))))</f>
        <v>1100</v>
      </c>
      <c r="E274" s="5">
        <f>(F274*TRUNC(3+(15-3)*(TRUNC(MOD((A274*1103515245 +12345)/ 65536, 32768),0)/32768),0))+D274+(D274/10*F274)</f>
        <v>1564</v>
      </c>
      <c r="F274" s="5">
        <v>4</v>
      </c>
      <c r="G274" s="5" t="s">
        <v>1051</v>
      </c>
      <c r="H274" s="5"/>
      <c r="I274" s="5" t="s">
        <v>963</v>
      </c>
      <c r="J274" s="5"/>
      <c r="K274" s="50" t="s">
        <v>1066</v>
      </c>
      <c r="L274" s="103">
        <v>202</v>
      </c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1:28" ht="13.2">
      <c r="A275" s="3">
        <f>IF(ISBLANK(B275),,A274+1)</f>
        <v>274</v>
      </c>
      <c r="B275" s="50" t="s">
        <v>1065</v>
      </c>
      <c r="C275" s="5" t="s">
        <v>991</v>
      </c>
      <c r="D275" s="5">
        <f>IF(C275="common",100,IF(C275="Uncommon",300,IF(C275="Rare",700,IF(C275="very rare",1100,IF(C275="Legendary",2000,0)))))</f>
        <v>700</v>
      </c>
      <c r="E275" s="5">
        <f>(F275*TRUNC(3+(15-3)*(TRUNC(MOD((A275*1103515245 +12345)/ 65536, 32768),0)/32768),0))+D275+(D275/10*F275)</f>
        <v>946</v>
      </c>
      <c r="F275" s="5">
        <v>3</v>
      </c>
      <c r="G275" s="5" t="s">
        <v>1051</v>
      </c>
      <c r="H275" s="5"/>
      <c r="I275" s="5" t="s">
        <v>963</v>
      </c>
      <c r="J275" s="5"/>
      <c r="K275" s="50" t="s">
        <v>1064</v>
      </c>
      <c r="L275" s="103">
        <v>202</v>
      </c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1:28" ht="13.2">
      <c r="A276" s="3">
        <f>IF(ISBLANK(B276),,A275+1)</f>
        <v>275</v>
      </c>
      <c r="B276" s="50" t="s">
        <v>1063</v>
      </c>
      <c r="C276" s="5" t="s">
        <v>1001</v>
      </c>
      <c r="D276" s="5">
        <f>IF(C276="common",100,IF(C276="Uncommon",300,IF(C276="Rare",700,IF(C276="very rare",1100,IF(C276="Legendary",2000,0)))))</f>
        <v>1100</v>
      </c>
      <c r="E276" s="5">
        <f>(F276*TRUNC(3+(15-3)*(TRUNC(MOD((A276*1103515245 +12345)/ 65536, 32768),0)/32768),0))+D276+(D276/10*F276)</f>
        <v>1564</v>
      </c>
      <c r="F276" s="5">
        <v>4</v>
      </c>
      <c r="G276" s="5" t="s">
        <v>1051</v>
      </c>
      <c r="H276" s="5"/>
      <c r="I276" s="5" t="s">
        <v>963</v>
      </c>
      <c r="J276" s="5"/>
      <c r="K276" s="50" t="s">
        <v>1057</v>
      </c>
      <c r="L276" s="103">
        <v>202</v>
      </c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1:28" ht="13.2">
      <c r="A277" s="3">
        <f>IF(ISBLANK(B277),,A276+1)</f>
        <v>276</v>
      </c>
      <c r="B277" s="50" t="s">
        <v>1062</v>
      </c>
      <c r="C277" s="5" t="s">
        <v>1001</v>
      </c>
      <c r="D277" s="5">
        <f>IF(C277="common",100,IF(C277="Uncommon",300,IF(C277="Rare",700,IF(C277="very rare",1100,IF(C277="Legendary",2000,0)))))</f>
        <v>1100</v>
      </c>
      <c r="E277" s="5">
        <f>(F277*TRUNC(3+(15-3)*(TRUNC(MOD((A277*1103515245 +12345)/ 65536, 32768),0)/32768),0))+D277+(D277/10*F277)</f>
        <v>1588</v>
      </c>
      <c r="F277" s="5">
        <v>4</v>
      </c>
      <c r="G277" s="5" t="s">
        <v>1051</v>
      </c>
      <c r="H277" s="5"/>
      <c r="I277" s="5" t="s">
        <v>963</v>
      </c>
      <c r="J277" s="5"/>
      <c r="K277" s="50"/>
      <c r="L277" s="103">
        <v>203</v>
      </c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1:28" ht="13.2">
      <c r="A278" s="3">
        <f>IF(ISBLANK(B278),,A277+1)</f>
        <v>277</v>
      </c>
      <c r="B278" s="50" t="s">
        <v>1061</v>
      </c>
      <c r="C278" s="5" t="s">
        <v>991</v>
      </c>
      <c r="D278" s="5">
        <f>IF(C278="common",100,IF(C278="Uncommon",300,IF(C278="Rare",700,IF(C278="very rare",1100,IF(C278="Legendary",2000,0)))))</f>
        <v>700</v>
      </c>
      <c r="E278" s="5">
        <f>(F278*TRUNC(3+(15-3)*(TRUNC(MOD((A278*1103515245 +12345)/ 65536, 32768),0)/32768),0))+D278+(D278/10*F278)</f>
        <v>931</v>
      </c>
      <c r="F278" s="5">
        <v>3</v>
      </c>
      <c r="G278" s="5" t="s">
        <v>1051</v>
      </c>
      <c r="H278" s="5"/>
      <c r="I278" s="5" t="s">
        <v>963</v>
      </c>
      <c r="J278" s="5"/>
      <c r="K278" s="50" t="s">
        <v>1060</v>
      </c>
      <c r="L278" s="103">
        <v>203</v>
      </c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1:28" ht="13.2">
      <c r="A279" s="3">
        <f>IF(ISBLANK(B279),,A278+1)</f>
        <v>278</v>
      </c>
      <c r="B279" s="50" t="s">
        <v>1059</v>
      </c>
      <c r="C279" s="5" t="s">
        <v>994</v>
      </c>
      <c r="D279" s="5">
        <f>IF(C279="common",100,IF(C279="Uncommon",300,IF(C279="Rare",700,IF(C279="very rare",1100,IF(C279="Legendary",2000,0)))))</f>
        <v>300</v>
      </c>
      <c r="E279" s="5">
        <f>(F279*TRUNC(3+(15-3)*(TRUNC(MOD((A279*1103515245 +12345)/ 65536, 32768),0)/32768),0))+D279+(D279/10*F279)</f>
        <v>386</v>
      </c>
      <c r="F279" s="5">
        <v>2</v>
      </c>
      <c r="G279" s="5" t="s">
        <v>1051</v>
      </c>
      <c r="H279" s="5"/>
      <c r="I279" s="5" t="s">
        <v>963</v>
      </c>
      <c r="J279" s="5"/>
      <c r="K279" s="50" t="s">
        <v>1050</v>
      </c>
      <c r="L279" s="103">
        <v>203</v>
      </c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1:28" ht="13.2">
      <c r="A280" s="3">
        <f>IF(ISBLANK(B280),,A279+1)</f>
        <v>279</v>
      </c>
      <c r="B280" s="50" t="s">
        <v>1058</v>
      </c>
      <c r="C280" s="5" t="s">
        <v>997</v>
      </c>
      <c r="D280" s="5">
        <f>IF(C280="common",100,IF(C280="Uncommon",300,IF(C280="Rare",700,IF(C280="very rare",1100,IF(C280="Legendary",2000,0)))))</f>
        <v>2000</v>
      </c>
      <c r="E280" s="5">
        <f>(F280*TRUNC(3+(15-3)*(TRUNC(MOD((A280*1103515245 +12345)/ 65536, 32768),0)/32768),0))+D280+(D280/10*F280)</f>
        <v>3035</v>
      </c>
      <c r="F280" s="5">
        <v>5</v>
      </c>
      <c r="G280" s="5" t="s">
        <v>1051</v>
      </c>
      <c r="H280" s="5"/>
      <c r="I280" s="5" t="s">
        <v>963</v>
      </c>
      <c r="J280" s="5"/>
      <c r="K280" s="50" t="s">
        <v>1057</v>
      </c>
      <c r="L280" s="103">
        <v>203</v>
      </c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1:28" ht="13.2">
      <c r="A281" s="3">
        <f>IF(ISBLANK(B281),,A280+1)</f>
        <v>280</v>
      </c>
      <c r="B281" s="50" t="s">
        <v>1056</v>
      </c>
      <c r="C281" s="5" t="s">
        <v>994</v>
      </c>
      <c r="D281" s="5">
        <f>IF(C281="common",100,IF(C281="Uncommon",300,IF(C281="Rare",700,IF(C281="very rare",1100,IF(C281="Legendary",2000,0)))))</f>
        <v>300</v>
      </c>
      <c r="E281" s="5">
        <f>(F281*TRUNC(3+(15-3)*(TRUNC(MOD((A281*1103515245 +12345)/ 65536, 32768),0)/32768),0))+D281+(D281/10*F281)</f>
        <v>386</v>
      </c>
      <c r="F281" s="5">
        <v>2</v>
      </c>
      <c r="G281" s="5" t="s">
        <v>1051</v>
      </c>
      <c r="H281" s="5"/>
      <c r="I281" s="5" t="s">
        <v>963</v>
      </c>
      <c r="J281" s="5"/>
      <c r="K281" s="50" t="s">
        <v>1050</v>
      </c>
      <c r="L281" s="103">
        <v>204</v>
      </c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1:28" ht="13.2">
      <c r="A282" s="3">
        <f>IF(ISBLANK(B282),,A281+1)</f>
        <v>281</v>
      </c>
      <c r="B282" s="50" t="s">
        <v>1055</v>
      </c>
      <c r="C282" s="5" t="s">
        <v>991</v>
      </c>
      <c r="D282" s="5">
        <f>IF(C282="common",100,IF(C282="Uncommon",300,IF(C282="Rare",700,IF(C282="very rare",1100,IF(C282="Legendary",2000,0)))))</f>
        <v>700</v>
      </c>
      <c r="E282" s="5">
        <f>(F282*TRUNC(3+(15-3)*(TRUNC(MOD((A282*1103515245 +12345)/ 65536, 32768),0)/32768),0))+D282+(D282/10*F282)</f>
        <v>931</v>
      </c>
      <c r="F282" s="5">
        <v>3</v>
      </c>
      <c r="G282" s="5" t="s">
        <v>1051</v>
      </c>
      <c r="H282" s="5"/>
      <c r="I282" s="5" t="s">
        <v>963</v>
      </c>
      <c r="J282" s="5"/>
      <c r="K282" s="50" t="s">
        <v>1054</v>
      </c>
      <c r="L282" s="103">
        <v>204</v>
      </c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1:28" ht="13.2">
      <c r="A283" s="3">
        <f>IF(ISBLANK(B283),,A282+1)</f>
        <v>282</v>
      </c>
      <c r="B283" s="50" t="s">
        <v>1053</v>
      </c>
      <c r="C283" s="5" t="s">
        <v>1001</v>
      </c>
      <c r="D283" s="5">
        <f>IF(C283="common",100,IF(C283="Uncommon",300,IF(C283="Rare",700,IF(C283="very rare",1100,IF(C283="Legendary",2000,0)))))</f>
        <v>1100</v>
      </c>
      <c r="E283" s="5">
        <f>(F283*TRUNC(3+(15-3)*(TRUNC(MOD((A283*1103515245 +12345)/ 65536, 32768),0)/32768),0))+D283+(D283/10*F283)</f>
        <v>1592</v>
      </c>
      <c r="F283" s="5">
        <v>4</v>
      </c>
      <c r="G283" s="5" t="s">
        <v>1051</v>
      </c>
      <c r="H283" s="5"/>
      <c r="I283" s="5" t="s">
        <v>963</v>
      </c>
      <c r="J283" s="5"/>
      <c r="K283" s="50"/>
      <c r="L283" s="103">
        <v>204</v>
      </c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1:28" ht="13.2">
      <c r="A284" s="3">
        <f>IF(ISBLANK(B284),,A283+1)</f>
        <v>283</v>
      </c>
      <c r="B284" s="50" t="s">
        <v>1052</v>
      </c>
      <c r="C284" s="5" t="s">
        <v>991</v>
      </c>
      <c r="D284" s="5">
        <f>IF(C284="common",100,IF(C284="Uncommon",300,IF(C284="Rare",700,IF(C284="very rare",1100,IF(C284="Legendary",2000,0)))))</f>
        <v>700</v>
      </c>
      <c r="E284" s="5">
        <f>(F284*TRUNC(3+(15-3)*(TRUNC(MOD((A284*1103515245 +12345)/ 65536, 32768),0)/32768),0))+D284+(D284/10*F284)</f>
        <v>934</v>
      </c>
      <c r="F284" s="5">
        <v>3</v>
      </c>
      <c r="G284" s="5" t="s">
        <v>1051</v>
      </c>
      <c r="H284" s="5"/>
      <c r="I284" s="5" t="s">
        <v>963</v>
      </c>
      <c r="J284" s="5"/>
      <c r="K284" s="50" t="s">
        <v>1050</v>
      </c>
      <c r="L284" s="103">
        <v>205</v>
      </c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1:28" ht="13.2">
      <c r="A285" s="3">
        <f>IF(ISBLANK(B285),,A284+1)</f>
        <v>284</v>
      </c>
      <c r="B285" s="50" t="s">
        <v>1049</v>
      </c>
      <c r="C285" s="5" t="s">
        <v>991</v>
      </c>
      <c r="D285" s="5">
        <f>IF(C285="common",100,IF(C285="Uncommon",300,IF(C285="Rare",700,IF(C285="very rare",1100,IF(C285="Legendary",2000,0)))))</f>
        <v>700</v>
      </c>
      <c r="E285" s="5">
        <f>(F285*TRUNC(3+(15-3)*(TRUNC(MOD((A285*1103515245 +12345)/ 65536, 32768),0)/32768),0))+D285+(D285/10*F285)</f>
        <v>952</v>
      </c>
      <c r="F285" s="5">
        <v>3</v>
      </c>
      <c r="G285" s="5" t="s">
        <v>970</v>
      </c>
      <c r="H285" s="5"/>
      <c r="I285" s="5"/>
      <c r="J285" s="5"/>
      <c r="K285" s="50"/>
      <c r="L285" s="103">
        <v>205</v>
      </c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1:28" ht="13.2">
      <c r="A286" s="3">
        <f>IF(ISBLANK(B286),,A285+1)</f>
        <v>285</v>
      </c>
      <c r="B286" s="50" t="s">
        <v>1048</v>
      </c>
      <c r="C286" s="5" t="s">
        <v>994</v>
      </c>
      <c r="D286" s="5">
        <f>IF(C286="common",100,IF(C286="Uncommon",300,IF(C286="Rare",700,IF(C286="very rare",1100,IF(C286="Legendary",2000,0)))))</f>
        <v>300</v>
      </c>
      <c r="E286" s="5">
        <f>(F286*TRUNC(3+(15-3)*(TRUNC(MOD((A286*1103515245 +12345)/ 65536, 32768),0)/32768),0))+D286+(D286/10*F286)</f>
        <v>376</v>
      </c>
      <c r="F286" s="5">
        <v>2</v>
      </c>
      <c r="G286" s="5" t="s">
        <v>970</v>
      </c>
      <c r="H286" s="5"/>
      <c r="I286" s="5" t="s">
        <v>963</v>
      </c>
      <c r="J286" s="5"/>
      <c r="K286" s="50"/>
      <c r="L286" s="103">
        <v>205</v>
      </c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1:28" ht="13.2">
      <c r="A287" s="3">
        <f>IF(ISBLANK(B287),,A286+1)</f>
        <v>286</v>
      </c>
      <c r="B287" s="50" t="s">
        <v>1047</v>
      </c>
      <c r="C287" s="5" t="s">
        <v>991</v>
      </c>
      <c r="D287" s="5">
        <f>IF(C287="common",100,IF(C287="Uncommon",300,IF(C287="Rare",700,IF(C287="very rare",1100,IF(C287="Legendary",2000,0)))))</f>
        <v>700</v>
      </c>
      <c r="E287" s="5">
        <f>(F287*TRUNC(3+(15-3)*(TRUNC(MOD((A287*1103515245 +12345)/ 65536, 32768),0)/32768),0))+D287+(D287/10*F287)</f>
        <v>952</v>
      </c>
      <c r="F287" s="5">
        <v>3</v>
      </c>
      <c r="G287" s="5" t="s">
        <v>968</v>
      </c>
      <c r="H287" s="5" t="s">
        <v>967</v>
      </c>
      <c r="I287" s="5" t="s">
        <v>963</v>
      </c>
      <c r="J287" s="5"/>
      <c r="K287" s="50"/>
      <c r="L287" s="103">
        <v>205</v>
      </c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1:28" ht="13.2">
      <c r="A288" s="3">
        <f>IF(ISBLANK(B288),,A287+1)</f>
        <v>287</v>
      </c>
      <c r="B288" s="50" t="s">
        <v>1046</v>
      </c>
      <c r="C288" s="5" t="s">
        <v>997</v>
      </c>
      <c r="D288" s="5">
        <f>IF(C288="common",100,IF(C288="Uncommon",300,IF(C288="Rare",700,IF(C288="very rare",1100,IF(C288="Legendary",2000,0)))))</f>
        <v>2000</v>
      </c>
      <c r="E288" s="5">
        <f>(F288*TRUNC(3+(15-3)*(TRUNC(MOD((A288*1103515245 +12345)/ 65536, 32768),0)/32768),0))+D288+(D288/10*F288)</f>
        <v>3040</v>
      </c>
      <c r="F288" s="5">
        <v>5</v>
      </c>
      <c r="G288" s="5" t="s">
        <v>968</v>
      </c>
      <c r="H288" s="5" t="s">
        <v>967</v>
      </c>
      <c r="I288" s="5" t="s">
        <v>963</v>
      </c>
      <c r="J288" s="5"/>
      <c r="K288" s="50" t="s">
        <v>1045</v>
      </c>
      <c r="L288" s="103">
        <v>206</v>
      </c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1:28" ht="13.2">
      <c r="A289" s="3">
        <f>IF(ISBLANK(B289),,A288+1)</f>
        <v>288</v>
      </c>
      <c r="B289" s="50" t="s">
        <v>1044</v>
      </c>
      <c r="C289" s="5" t="s">
        <v>991</v>
      </c>
      <c r="D289" s="5">
        <f>IF(C289="common",100,IF(C289="Uncommon",300,IF(C289="Rare",700,IF(C289="very rare",1100,IF(C289="Legendary",2000,0)))))</f>
        <v>700</v>
      </c>
      <c r="E289" s="5">
        <f>(F289*TRUNC(3+(15-3)*(TRUNC(MOD((A289*1103515245 +12345)/ 65536, 32768),0)/32768),0))+D289+(D289/10*F289)</f>
        <v>952</v>
      </c>
      <c r="F289" s="5">
        <v>3</v>
      </c>
      <c r="G289" s="5" t="s">
        <v>968</v>
      </c>
      <c r="H289" s="5" t="s">
        <v>1039</v>
      </c>
      <c r="I289" s="5" t="s">
        <v>963</v>
      </c>
      <c r="J289" s="5"/>
      <c r="K289" s="50"/>
      <c r="L289" s="103">
        <v>206</v>
      </c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1:28" ht="13.2">
      <c r="A290" s="3">
        <f>IF(ISBLANK(B290),,A289+1)</f>
        <v>289</v>
      </c>
      <c r="B290" s="50" t="s">
        <v>1043</v>
      </c>
      <c r="C290" s="5" t="s">
        <v>1001</v>
      </c>
      <c r="D290" s="5">
        <f>IF(C290="common",100,IF(C290="Uncommon",300,IF(C290="Rare",700,IF(C290="very rare",1100,IF(C290="Legendary",2000,0)))))</f>
        <v>1100</v>
      </c>
      <c r="E290" s="5">
        <f>(F290*TRUNC(3+(15-3)*(TRUNC(MOD((A290*1103515245 +12345)/ 65536, 32768),0)/32768),0))+D290+(D290/10*F290)</f>
        <v>1576</v>
      </c>
      <c r="F290" s="5">
        <v>4</v>
      </c>
      <c r="G290" s="5" t="s">
        <v>968</v>
      </c>
      <c r="H290" s="5" t="s">
        <v>1042</v>
      </c>
      <c r="I290" s="5" t="s">
        <v>963</v>
      </c>
      <c r="J290" s="5"/>
      <c r="K290" s="50"/>
      <c r="L290" s="103">
        <v>206</v>
      </c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1:28" ht="13.2">
      <c r="A291" s="3">
        <f>IF(ISBLANK(B291),,A290+1)</f>
        <v>290</v>
      </c>
      <c r="B291" s="50" t="s">
        <v>1041</v>
      </c>
      <c r="C291" s="5" t="s">
        <v>994</v>
      </c>
      <c r="D291" s="5">
        <f>IF(C291="common",100,IF(C291="Uncommon",300,IF(C291="Rare",700,IF(C291="very rare",1100,IF(C291="Legendary",2000,0)))))</f>
        <v>300</v>
      </c>
      <c r="E291" s="5">
        <f>(F291*TRUNC(3+(15-3)*(TRUNC(MOD((A291*1103515245 +12345)/ 65536, 32768),0)/32768),0))+D291+(D291/10*F291)</f>
        <v>366</v>
      </c>
      <c r="F291" s="5">
        <v>2</v>
      </c>
      <c r="G291" s="5" t="s">
        <v>968</v>
      </c>
      <c r="H291" s="5" t="s">
        <v>1039</v>
      </c>
      <c r="I291" s="5" t="s">
        <v>963</v>
      </c>
      <c r="J291" s="5"/>
      <c r="K291" s="50"/>
      <c r="L291" s="103">
        <v>206</v>
      </c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1:28" ht="13.2">
      <c r="A292" s="3">
        <f>IF(ISBLANK(B292),,A291+1)</f>
        <v>291</v>
      </c>
      <c r="B292" s="50" t="s">
        <v>1040</v>
      </c>
      <c r="C292" s="5" t="s">
        <v>991</v>
      </c>
      <c r="D292" s="5">
        <f>IF(C292="common",100,IF(C292="Uncommon",300,IF(C292="Rare",700,IF(C292="very rare",1100,IF(C292="Legendary",2000,0)))))</f>
        <v>700</v>
      </c>
      <c r="E292" s="5">
        <f>(F292*TRUNC(3+(15-3)*(TRUNC(MOD((A292*1103515245 +12345)/ 65536, 32768),0)/32768),0))+D292+(D292/10*F292)</f>
        <v>937</v>
      </c>
      <c r="F292" s="5">
        <v>3</v>
      </c>
      <c r="G292" s="5" t="s">
        <v>968</v>
      </c>
      <c r="H292" s="5" t="s">
        <v>1039</v>
      </c>
      <c r="I292" s="5" t="s">
        <v>963</v>
      </c>
      <c r="J292" s="5"/>
      <c r="K292" s="50"/>
      <c r="L292" s="103">
        <v>207</v>
      </c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1:28" ht="13.2">
      <c r="A293" s="3">
        <f>IF(ISBLANK(B293),,A292+1)</f>
        <v>292</v>
      </c>
      <c r="B293" s="50" t="s">
        <v>1038</v>
      </c>
      <c r="C293" s="5" t="s">
        <v>997</v>
      </c>
      <c r="D293" s="5">
        <f>IF(C293="common",100,IF(C293="Uncommon",300,IF(C293="Rare",700,IF(C293="very rare",1100,IF(C293="Legendary",2000,0)))))</f>
        <v>2000</v>
      </c>
      <c r="E293" s="5">
        <f>(F293*TRUNC(3+(15-3)*(TRUNC(MOD((A293*1103515245 +12345)/ 65536, 32768),0)/32768),0))+D293+(D293/10*F293)</f>
        <v>3015</v>
      </c>
      <c r="F293" s="5">
        <v>5</v>
      </c>
      <c r="G293" s="5" t="s">
        <v>970</v>
      </c>
      <c r="H293" s="5"/>
      <c r="I293" s="5" t="s">
        <v>963</v>
      </c>
      <c r="J293" s="5"/>
      <c r="K293" s="50" t="s">
        <v>974</v>
      </c>
      <c r="L293" s="103">
        <v>207</v>
      </c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1:28" ht="13.2">
      <c r="A294" s="3">
        <f>IF(ISBLANK(B294),,A293+1)</f>
        <v>293</v>
      </c>
      <c r="B294" s="50" t="s">
        <v>1037</v>
      </c>
      <c r="C294" s="5" t="s">
        <v>997</v>
      </c>
      <c r="D294" s="5">
        <f>IF(C294="common",100,IF(C294="Uncommon",300,IF(C294="Rare",700,IF(C294="very rare",1100,IF(C294="Legendary",2000,0)))))</f>
        <v>2000</v>
      </c>
      <c r="E294" s="5">
        <f>(F294*TRUNC(3+(15-3)*(TRUNC(MOD((A294*1103515245 +12345)/ 65536, 32768),0)/32768),0))+D294+(D294/10*F294)</f>
        <v>3045</v>
      </c>
      <c r="F294" s="5">
        <v>5</v>
      </c>
      <c r="G294" s="5" t="s">
        <v>970</v>
      </c>
      <c r="H294" s="5"/>
      <c r="I294" s="5" t="s">
        <v>963</v>
      </c>
      <c r="J294" s="5"/>
      <c r="K294" s="50"/>
      <c r="L294" s="103">
        <v>207</v>
      </c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1:28" ht="13.2">
      <c r="A295" s="3">
        <f>IF(ISBLANK(B295),,A294+1)</f>
        <v>294</v>
      </c>
      <c r="B295" s="50" t="s">
        <v>1036</v>
      </c>
      <c r="C295" s="5" t="s">
        <v>997</v>
      </c>
      <c r="D295" s="5">
        <f>IF(C295="common",100,IF(C295="Uncommon",300,IF(C295="Rare",700,IF(C295="very rare",1100,IF(C295="Legendary",2000,0)))))</f>
        <v>2000</v>
      </c>
      <c r="E295" s="5">
        <f>(F295*TRUNC(3+(15-3)*(TRUNC(MOD((A295*1103515245 +12345)/ 65536, 32768),0)/32768),0))+D295+(D295/10*F295)</f>
        <v>3015</v>
      </c>
      <c r="F295" s="5">
        <v>5</v>
      </c>
      <c r="G295" s="5" t="s">
        <v>970</v>
      </c>
      <c r="H295" s="5"/>
      <c r="I295" s="5" t="s">
        <v>963</v>
      </c>
      <c r="J295" s="5"/>
      <c r="K295" s="50" t="s">
        <v>1035</v>
      </c>
      <c r="L295" s="103">
        <v>207</v>
      </c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1:28" ht="13.2">
      <c r="A296" s="3">
        <f>IF(ISBLANK(B296),,A295+1)</f>
        <v>295</v>
      </c>
      <c r="B296" s="50" t="s">
        <v>1034</v>
      </c>
      <c r="C296" s="5" t="s">
        <v>991</v>
      </c>
      <c r="D296" s="5">
        <f>IF(C296="common",100,IF(C296="Uncommon",300,IF(C296="Rare",700,IF(C296="very rare",1100,IF(C296="Legendary",2000,0)))))</f>
        <v>700</v>
      </c>
      <c r="E296" s="5">
        <f>(F296*TRUNC(3+(15-3)*(TRUNC(MOD((A296*1103515245 +12345)/ 65536, 32768),0)/32768),0))+D296+(D296/10*F296)</f>
        <v>940</v>
      </c>
      <c r="F296" s="5">
        <v>3</v>
      </c>
      <c r="G296" s="5" t="s">
        <v>1033</v>
      </c>
      <c r="H296" s="5"/>
      <c r="I296" s="5" t="s">
        <v>963</v>
      </c>
      <c r="J296" s="5"/>
      <c r="K296" s="50"/>
      <c r="L296" s="103">
        <v>208</v>
      </c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1:28" ht="13.2">
      <c r="A297" s="3">
        <f>IF(ISBLANK(B297),,A296+1)</f>
        <v>296</v>
      </c>
      <c r="B297" s="50" t="s">
        <v>1032</v>
      </c>
      <c r="C297" s="5" t="s">
        <v>1001</v>
      </c>
      <c r="D297" s="5">
        <f>IF(C297="common",100,IF(C297="Uncommon",300,IF(C297="Rare",700,IF(C297="very rare",1100,IF(C297="Legendary",2000,0)))))</f>
        <v>1100</v>
      </c>
      <c r="E297" s="5">
        <f>(F297*TRUNC(3+(15-3)*(TRUNC(MOD((A297*1103515245 +12345)/ 65536, 32768),0)/32768),0))+D297+(D297/10*F297)</f>
        <v>1556</v>
      </c>
      <c r="F297" s="5">
        <v>4</v>
      </c>
      <c r="G297" s="5" t="s">
        <v>970</v>
      </c>
      <c r="H297" s="5" t="s">
        <v>1027</v>
      </c>
      <c r="I297" s="5"/>
      <c r="J297" s="5"/>
      <c r="K297" s="50"/>
      <c r="L297" s="103">
        <v>208</v>
      </c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1:28" ht="13.2">
      <c r="A298" s="3">
        <f>IF(ISBLANK(B298),,A297+1)</f>
        <v>297</v>
      </c>
      <c r="B298" s="50" t="s">
        <v>1031</v>
      </c>
      <c r="C298" s="5" t="s">
        <v>1001</v>
      </c>
      <c r="D298" s="5">
        <f>IF(C298="common",100,IF(C298="Uncommon",300,IF(C298="Rare",700,IF(C298="very rare",1100,IF(C298="Legendary",2000,0)))))</f>
        <v>1100</v>
      </c>
      <c r="E298" s="5">
        <f>(F298*TRUNC(3+(15-3)*(TRUNC(MOD((A298*1103515245 +12345)/ 65536, 32768),0)/32768),0))+D298+(D298/10*F298)</f>
        <v>1580</v>
      </c>
      <c r="F298" s="5">
        <v>4</v>
      </c>
      <c r="G298" s="5" t="s">
        <v>970</v>
      </c>
      <c r="H298" s="5" t="s">
        <v>1027</v>
      </c>
      <c r="I298" s="5"/>
      <c r="J298" s="5"/>
      <c r="K298" s="50"/>
      <c r="L298" s="103">
        <v>208</v>
      </c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1:28" ht="13.2">
      <c r="A299" s="3">
        <f>IF(ISBLANK(B299),,A298+1)</f>
        <v>298</v>
      </c>
      <c r="B299" s="50" t="s">
        <v>1030</v>
      </c>
      <c r="C299" s="5" t="s">
        <v>997</v>
      </c>
      <c r="D299" s="5">
        <f>IF(C299="common",100,IF(C299="Uncommon",300,IF(C299="Rare",700,IF(C299="very rare",1100,IF(C299="Legendary",2000,0)))))</f>
        <v>2000</v>
      </c>
      <c r="E299" s="5">
        <f>(F299*TRUNC(3+(15-3)*(TRUNC(MOD((A299*1103515245 +12345)/ 65536, 32768),0)/32768),0))+D299+(D299/10*F299)</f>
        <v>3020</v>
      </c>
      <c r="F299" s="5">
        <v>5</v>
      </c>
      <c r="G299" s="5" t="s">
        <v>970</v>
      </c>
      <c r="H299" s="5" t="s">
        <v>1027</v>
      </c>
      <c r="I299" s="5" t="s">
        <v>963</v>
      </c>
      <c r="J299" s="5"/>
      <c r="K299" s="50" t="s">
        <v>1029</v>
      </c>
      <c r="L299" s="103">
        <v>208</v>
      </c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1:28" ht="13.2">
      <c r="A300" s="3">
        <f>IF(ISBLANK(B300),,A299+1)</f>
        <v>299</v>
      </c>
      <c r="B300" s="50" t="s">
        <v>1028</v>
      </c>
      <c r="C300" s="5" t="s">
        <v>1001</v>
      </c>
      <c r="D300" s="5">
        <f>IF(C300="common",100,IF(C300="Uncommon",300,IF(C300="Rare",700,IF(C300="very rare",1100,IF(C300="Legendary",2000,0)))))</f>
        <v>1100</v>
      </c>
      <c r="E300" s="5">
        <f>(F300*TRUNC(3+(15-3)*(TRUNC(MOD((A300*1103515245 +12345)/ 65536, 32768),0)/32768),0))+D300+(D300/10*F300)</f>
        <v>1580</v>
      </c>
      <c r="F300" s="5">
        <v>4</v>
      </c>
      <c r="G300" s="5" t="s">
        <v>970</v>
      </c>
      <c r="H300" s="5" t="s">
        <v>1027</v>
      </c>
      <c r="I300" s="5"/>
      <c r="J300" s="5"/>
      <c r="K300" s="50"/>
      <c r="L300" s="103">
        <v>209</v>
      </c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1:28" ht="13.2">
      <c r="A301" s="3">
        <f>IF(ISBLANK(B301),,A300+1)</f>
        <v>300</v>
      </c>
      <c r="B301" s="50" t="s">
        <v>1026</v>
      </c>
      <c r="C301" s="5" t="s">
        <v>994</v>
      </c>
      <c r="D301" s="5">
        <f>IF(C301="common",100,IF(C301="Uncommon",300,IF(C301="Rare",700,IF(C301="very rare",1100,IF(C301="Legendary",2000,0)))))</f>
        <v>300</v>
      </c>
      <c r="E301" s="5">
        <f>(F301*TRUNC(3+(15-3)*(TRUNC(MOD((A301*1103515245 +12345)/ 65536, 32768),0)/32768),0))+D301+(D301/10*F301)</f>
        <v>368</v>
      </c>
      <c r="F301" s="5">
        <v>2</v>
      </c>
      <c r="G301" s="5" t="s">
        <v>968</v>
      </c>
      <c r="H301" s="5" t="s">
        <v>983</v>
      </c>
      <c r="I301" s="5" t="s">
        <v>963</v>
      </c>
      <c r="J301" s="5"/>
      <c r="K301" s="50"/>
      <c r="L301" s="103">
        <v>209</v>
      </c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1:28" ht="13.2">
      <c r="A302" s="3">
        <f>IF(ISBLANK(B302),,A301+1)</f>
        <v>301</v>
      </c>
      <c r="B302" s="50" t="s">
        <v>1025</v>
      </c>
      <c r="C302" s="5" t="s">
        <v>997</v>
      </c>
      <c r="D302" s="5">
        <f>IF(C302="common",100,IF(C302="Uncommon",300,IF(C302="Rare",700,IF(C302="very rare",1100,IF(C302="Legendary",2000,0)))))</f>
        <v>2000</v>
      </c>
      <c r="E302" s="5">
        <f>(F302*TRUNC(3+(15-3)*(TRUNC(MOD((A302*1103515245 +12345)/ 65536, 32768),0)/32768),0))+D302+(D302/10*F302)</f>
        <v>3055</v>
      </c>
      <c r="F302" s="5">
        <v>5</v>
      </c>
      <c r="G302" s="5" t="s">
        <v>970</v>
      </c>
      <c r="H302" s="5" t="s">
        <v>1024</v>
      </c>
      <c r="I302" s="5"/>
      <c r="J302" s="5"/>
      <c r="K302" s="50"/>
      <c r="L302" s="103">
        <v>209</v>
      </c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1:28" ht="13.2">
      <c r="A303" s="3">
        <f>IF(ISBLANK(B303),,A302+1)</f>
        <v>302</v>
      </c>
      <c r="B303" s="50" t="s">
        <v>1023</v>
      </c>
      <c r="C303" s="5" t="s">
        <v>991</v>
      </c>
      <c r="D303" s="5">
        <f>IF(C303="common",100,IF(C303="Uncommon",300,IF(C303="Rare",700,IF(C303="very rare",1100,IF(C303="Legendary",2000,0)))))</f>
        <v>700</v>
      </c>
      <c r="E303" s="5">
        <f>(F303*TRUNC(3+(15-3)*(TRUNC(MOD((A303*1103515245 +12345)/ 65536, 32768),0)/32768),0))+D303+(D303/10*F303)</f>
        <v>925</v>
      </c>
      <c r="F303" s="5">
        <v>3</v>
      </c>
      <c r="G303" s="5" t="s">
        <v>968</v>
      </c>
      <c r="H303" s="5" t="s">
        <v>999</v>
      </c>
      <c r="I303" s="5"/>
      <c r="J303" s="5"/>
      <c r="K303" s="50"/>
      <c r="L303" s="103">
        <v>209</v>
      </c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1:28" ht="13.2">
      <c r="A304" s="3">
        <f>IF(ISBLANK(B304),,A303+1)</f>
        <v>303</v>
      </c>
      <c r="B304" s="50" t="s">
        <v>1022</v>
      </c>
      <c r="C304" s="5" t="s">
        <v>997</v>
      </c>
      <c r="D304" s="5">
        <f>IF(C304="common",100,IF(C304="Uncommon",300,IF(C304="Rare",700,IF(C304="very rare",1100,IF(C304="Legendary",2000,0)))))</f>
        <v>2000</v>
      </c>
      <c r="E304" s="5">
        <f>(F304*TRUNC(3+(15-3)*(TRUNC(MOD((A304*1103515245 +12345)/ 65536, 32768),0)/32768),0))+D304+(D304/10*F304)</f>
        <v>3055</v>
      </c>
      <c r="F304" s="5">
        <v>5</v>
      </c>
      <c r="G304" s="5" t="s">
        <v>968</v>
      </c>
      <c r="H304" s="5" t="s">
        <v>1021</v>
      </c>
      <c r="I304" s="5" t="s">
        <v>963</v>
      </c>
      <c r="J304" s="5"/>
      <c r="K304" s="50"/>
      <c r="L304" s="103">
        <v>209</v>
      </c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1:28" ht="13.2">
      <c r="A305" s="3">
        <f>IF(ISBLANK(B305),,A304+1)</f>
        <v>304</v>
      </c>
      <c r="B305" s="50" t="s">
        <v>1020</v>
      </c>
      <c r="C305" s="5" t="s">
        <v>991</v>
      </c>
      <c r="D305" s="5">
        <f>IF(C305="common",100,IF(C305="Uncommon",300,IF(C305="Rare",700,IF(C305="very rare",1100,IF(C305="Legendary",2000,0)))))</f>
        <v>700</v>
      </c>
      <c r="E305" s="5">
        <f>(F305*TRUNC(3+(15-3)*(TRUNC(MOD((A305*1103515245 +12345)/ 65536, 32768),0)/32768),0))+D305+(D305/10*F305)</f>
        <v>925</v>
      </c>
      <c r="F305" s="5">
        <v>3</v>
      </c>
      <c r="G305" s="5" t="s">
        <v>964</v>
      </c>
      <c r="H305" s="5"/>
      <c r="I305" s="5" t="s">
        <v>963</v>
      </c>
      <c r="J305" s="5"/>
      <c r="K305" s="50" t="s">
        <v>1005</v>
      </c>
      <c r="L305" s="103">
        <v>209</v>
      </c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1:28" ht="13.2">
      <c r="A306" s="3">
        <f>IF(ISBLANK(B306),,A305+1)</f>
        <v>305</v>
      </c>
      <c r="B306" s="50" t="s">
        <v>1019</v>
      </c>
      <c r="C306" s="5" t="s">
        <v>991</v>
      </c>
      <c r="D306" s="5">
        <f>IF(C306="common",100,IF(C306="Uncommon",300,IF(C306="Rare",700,IF(C306="very rare",1100,IF(C306="Legendary",2000,0)))))</f>
        <v>700</v>
      </c>
      <c r="E306" s="5">
        <f>(F306*TRUNC(3+(15-3)*(TRUNC(MOD((A306*1103515245 +12345)/ 65536, 32768),0)/32768),0))+D306+(D306/10*F306)</f>
        <v>943</v>
      </c>
      <c r="F306" s="5">
        <v>3</v>
      </c>
      <c r="G306" s="5" t="s">
        <v>964</v>
      </c>
      <c r="H306" s="5"/>
      <c r="I306" s="5" t="s">
        <v>963</v>
      </c>
      <c r="J306" s="5"/>
      <c r="K306" s="50"/>
      <c r="L306" s="103">
        <v>210</v>
      </c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1:28" ht="13.2">
      <c r="A307" s="3">
        <f>IF(ISBLANK(B307),,A306+1)</f>
        <v>306</v>
      </c>
      <c r="B307" s="50" t="s">
        <v>1018</v>
      </c>
      <c r="C307" s="5" t="s">
        <v>991</v>
      </c>
      <c r="D307" s="5">
        <f>IF(C307="common",100,IF(C307="Uncommon",300,IF(C307="Rare",700,IF(C307="very rare",1100,IF(C307="Legendary",2000,0)))))</f>
        <v>700</v>
      </c>
      <c r="E307" s="5">
        <f>(F307*TRUNC(3+(15-3)*(TRUNC(MOD((A307*1103515245 +12345)/ 65536, 32768),0)/32768),0))+D307+(D307/10*F307)</f>
        <v>925</v>
      </c>
      <c r="F307" s="5">
        <v>3</v>
      </c>
      <c r="G307" s="5" t="s">
        <v>964</v>
      </c>
      <c r="H307" s="5"/>
      <c r="I307" s="5" t="s">
        <v>963</v>
      </c>
      <c r="J307" s="5"/>
      <c r="K307" s="50"/>
      <c r="L307" s="103">
        <v>210</v>
      </c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1:28" ht="13.2">
      <c r="A308" s="3">
        <f>IF(ISBLANK(B308),,A307+1)</f>
        <v>307</v>
      </c>
      <c r="B308" s="50" t="s">
        <v>1017</v>
      </c>
      <c r="C308" s="5" t="s">
        <v>991</v>
      </c>
      <c r="D308" s="5">
        <f>IF(C308="common",100,IF(C308="Uncommon",300,IF(C308="Rare",700,IF(C308="very rare",1100,IF(C308="Legendary",2000,0)))))</f>
        <v>700</v>
      </c>
      <c r="E308" s="5">
        <f>(F308*TRUNC(3+(15-3)*(TRUNC(MOD((A308*1103515245 +12345)/ 65536, 32768),0)/32768),0))+D308+(D308/10*F308)</f>
        <v>946</v>
      </c>
      <c r="F308" s="5">
        <v>3</v>
      </c>
      <c r="G308" s="5" t="s">
        <v>964</v>
      </c>
      <c r="H308" s="5"/>
      <c r="I308" s="5" t="s">
        <v>963</v>
      </c>
      <c r="J308" s="5"/>
      <c r="K308" s="50" t="s">
        <v>1005</v>
      </c>
      <c r="L308" s="103">
        <v>210</v>
      </c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1:28" ht="13.2">
      <c r="A309" s="3">
        <f>IF(ISBLANK(B309),,A308+1)</f>
        <v>308</v>
      </c>
      <c r="B309" s="50" t="s">
        <v>1016</v>
      </c>
      <c r="C309" s="5" t="s">
        <v>991</v>
      </c>
      <c r="D309" s="5">
        <f>IF(C309="common",100,IF(C309="Uncommon",300,IF(C309="Rare",700,IF(C309="very rare",1100,IF(C309="Legendary",2000,0)))))</f>
        <v>700</v>
      </c>
      <c r="E309" s="5">
        <f>(F309*TRUNC(3+(15-3)*(TRUNC(MOD((A309*1103515245 +12345)/ 65536, 32768),0)/32768),0))+D309+(D309/10*F309)</f>
        <v>928</v>
      </c>
      <c r="F309" s="5">
        <v>3</v>
      </c>
      <c r="G309" s="5" t="s">
        <v>964</v>
      </c>
      <c r="H309" s="5"/>
      <c r="I309" s="5" t="s">
        <v>963</v>
      </c>
      <c r="J309" s="5"/>
      <c r="K309" s="50" t="s">
        <v>1005</v>
      </c>
      <c r="L309" s="103">
        <v>211</v>
      </c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1:28" ht="13.2">
      <c r="A310" s="3">
        <f>IF(ISBLANK(B310),,A309+1)</f>
        <v>309</v>
      </c>
      <c r="B310" s="50" t="s">
        <v>1015</v>
      </c>
      <c r="C310" s="5" t="s">
        <v>994</v>
      </c>
      <c r="D310" s="5">
        <f>IF(C310="common",100,IF(C310="Uncommon",300,IF(C310="Rare",700,IF(C310="very rare",1100,IF(C310="Legendary",2000,0)))))</f>
        <v>300</v>
      </c>
      <c r="E310" s="5">
        <f>(F310*TRUNC(3+(15-3)*(TRUNC(MOD((A310*1103515245 +12345)/ 65536, 32768),0)/32768),0))+D310+(D310/10*F310)</f>
        <v>384</v>
      </c>
      <c r="F310" s="5">
        <v>2</v>
      </c>
      <c r="G310" s="5" t="s">
        <v>964</v>
      </c>
      <c r="H310" s="5"/>
      <c r="I310" s="5"/>
      <c r="J310" s="5"/>
      <c r="K310" s="50"/>
      <c r="L310" s="103">
        <v>211</v>
      </c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1:28" ht="13.2">
      <c r="A311" s="3">
        <f>IF(ISBLANK(B311),,A310+1)</f>
        <v>310</v>
      </c>
      <c r="B311" s="50" t="s">
        <v>1014</v>
      </c>
      <c r="C311" s="5" t="s">
        <v>994</v>
      </c>
      <c r="D311" s="5">
        <f>IF(C311="common",100,IF(C311="Uncommon",300,IF(C311="Rare",700,IF(C311="very rare",1100,IF(C311="Legendary",2000,0)))))</f>
        <v>300</v>
      </c>
      <c r="E311" s="5">
        <f>(F311*TRUNC(3+(15-3)*(TRUNC(MOD((A311*1103515245 +12345)/ 65536, 32768),0)/32768),0))+D311+(D311/10*F311)</f>
        <v>372</v>
      </c>
      <c r="F311" s="5">
        <v>2</v>
      </c>
      <c r="G311" s="5" t="s">
        <v>964</v>
      </c>
      <c r="H311" s="5"/>
      <c r="I311" s="5"/>
      <c r="J311" s="5"/>
      <c r="K311" s="50"/>
      <c r="L311" s="103">
        <v>211</v>
      </c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1:28" ht="13.2">
      <c r="A312" s="3">
        <f>IF(ISBLANK(B312),,A311+1)</f>
        <v>311</v>
      </c>
      <c r="B312" s="50" t="s">
        <v>1013</v>
      </c>
      <c r="C312" s="5" t="s">
        <v>991</v>
      </c>
      <c r="D312" s="5">
        <f>IF(C312="common",100,IF(C312="Uncommon",300,IF(C312="Rare",700,IF(C312="very rare",1100,IF(C312="Legendary",2000,0)))))</f>
        <v>700</v>
      </c>
      <c r="E312" s="5">
        <f>(F312*TRUNC(3+(15-3)*(TRUNC(MOD((A312*1103515245 +12345)/ 65536, 32768),0)/32768),0))+D312+(D312/10*F312)</f>
        <v>946</v>
      </c>
      <c r="F312" s="5">
        <v>3</v>
      </c>
      <c r="G312" s="5" t="s">
        <v>964</v>
      </c>
      <c r="H312" s="5"/>
      <c r="I312" s="5" t="s">
        <v>963</v>
      </c>
      <c r="J312" s="5"/>
      <c r="K312" s="50" t="s">
        <v>1005</v>
      </c>
      <c r="L312" s="103">
        <v>211</v>
      </c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1:28" ht="13.2">
      <c r="A313" s="3">
        <f>IF(ISBLANK(B313),,A312+1)</f>
        <v>312</v>
      </c>
      <c r="B313" s="50" t="s">
        <v>1012</v>
      </c>
      <c r="C313" s="5" t="s">
        <v>1001</v>
      </c>
      <c r="D313" s="5">
        <f>IF(C313="common",100,IF(C313="Uncommon",300,IF(C313="Rare",700,IF(C313="very rare",1100,IF(C313="Legendary",2000,0)))))</f>
        <v>1100</v>
      </c>
      <c r="E313" s="5">
        <f>(F313*TRUNC(3+(15-3)*(TRUNC(MOD((A313*1103515245 +12345)/ 65536, 32768),0)/32768),0))+D313+(D313/10*F313)</f>
        <v>1564</v>
      </c>
      <c r="F313" s="5">
        <v>4</v>
      </c>
      <c r="G313" s="5" t="s">
        <v>964</v>
      </c>
      <c r="H313" s="5"/>
      <c r="I313" s="5" t="s">
        <v>963</v>
      </c>
      <c r="J313" s="5"/>
      <c r="K313" s="50" t="s">
        <v>1005</v>
      </c>
      <c r="L313" s="103">
        <v>211</v>
      </c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1:28" ht="13.2">
      <c r="A314" s="3">
        <f>IF(ISBLANK(B314),,A313+1)</f>
        <v>313</v>
      </c>
      <c r="B314" s="50" t="s">
        <v>1011</v>
      </c>
      <c r="C314" s="5" t="s">
        <v>994</v>
      </c>
      <c r="D314" s="5">
        <f>IF(C314="common",100,IF(C314="Uncommon",300,IF(C314="Rare",700,IF(C314="very rare",1100,IF(C314="Legendary",2000,0)))))</f>
        <v>300</v>
      </c>
      <c r="E314" s="5">
        <f>(F314*TRUNC(3+(15-3)*(TRUNC(MOD((A314*1103515245 +12345)/ 65536, 32768),0)/32768),0))+D314+(D314/10*F314)</f>
        <v>386</v>
      </c>
      <c r="F314" s="5">
        <v>2</v>
      </c>
      <c r="G314" s="5" t="s">
        <v>964</v>
      </c>
      <c r="H314" s="5"/>
      <c r="I314" s="5"/>
      <c r="J314" s="5"/>
      <c r="K314" s="50"/>
      <c r="L314" s="103">
        <v>211</v>
      </c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1:28" ht="13.2">
      <c r="A315" s="3">
        <f>IF(ISBLANK(B315),,A314+1)</f>
        <v>314</v>
      </c>
      <c r="B315" s="50" t="s">
        <v>1010</v>
      </c>
      <c r="C315" s="5" t="s">
        <v>994</v>
      </c>
      <c r="D315" s="5">
        <f>IF(C315="common",100,IF(C315="Uncommon",300,IF(C315="Rare",700,IF(C315="very rare",1100,IF(C315="Legendary",2000,0)))))</f>
        <v>300</v>
      </c>
      <c r="E315" s="5">
        <f>(F315*TRUNC(3+(15-3)*(TRUNC(MOD((A315*1103515245 +12345)/ 65536, 32768),0)/32768),0))+D315+(D315/10*F315)</f>
        <v>374</v>
      </c>
      <c r="F315" s="5">
        <v>2</v>
      </c>
      <c r="G315" s="5" t="s">
        <v>964</v>
      </c>
      <c r="H315" s="5"/>
      <c r="I315" s="5" t="s">
        <v>963</v>
      </c>
      <c r="J315" s="5"/>
      <c r="K315" s="50" t="s">
        <v>1005</v>
      </c>
      <c r="L315" s="103">
        <v>212</v>
      </c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1:28" ht="13.2">
      <c r="A316" s="3">
        <f>IF(ISBLANK(B316),,A315+1)</f>
        <v>315</v>
      </c>
      <c r="B316" s="50" t="s">
        <v>1009</v>
      </c>
      <c r="C316" s="5" t="s">
        <v>991</v>
      </c>
      <c r="D316" s="5">
        <f>IF(C316="common",100,IF(C316="Uncommon",300,IF(C316="Rare",700,IF(C316="very rare",1100,IF(C316="Legendary",2000,0)))))</f>
        <v>700</v>
      </c>
      <c r="E316" s="5">
        <f>(F316*TRUNC(3+(15-3)*(TRUNC(MOD((A316*1103515245 +12345)/ 65536, 32768),0)/32768),0))+D316+(D316/10*F316)</f>
        <v>949</v>
      </c>
      <c r="F316" s="5">
        <v>3</v>
      </c>
      <c r="G316" s="5" t="s">
        <v>964</v>
      </c>
      <c r="H316" s="5"/>
      <c r="I316" s="5" t="s">
        <v>963</v>
      </c>
      <c r="J316" s="5"/>
      <c r="K316" s="50" t="s">
        <v>1005</v>
      </c>
      <c r="L316" s="103">
        <v>212</v>
      </c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1:28" ht="13.2">
      <c r="A317" s="3">
        <f>IF(ISBLANK(B317),,A316+1)</f>
        <v>316</v>
      </c>
      <c r="B317" s="50" t="s">
        <v>1008</v>
      </c>
      <c r="C317" s="5" t="s">
        <v>1001</v>
      </c>
      <c r="D317" s="5">
        <f>IF(C317="common",100,IF(C317="Uncommon",300,IF(C317="Rare",700,IF(C317="very rare",1100,IF(C317="Legendary",2000,0)))))</f>
        <v>1100</v>
      </c>
      <c r="E317" s="5">
        <f>(F317*TRUNC(3+(15-3)*(TRUNC(MOD((A317*1103515245 +12345)/ 65536, 32768),0)/32768),0))+D317+(D317/10*F317)</f>
        <v>1568</v>
      </c>
      <c r="F317" s="5">
        <v>4</v>
      </c>
      <c r="G317" s="5" t="s">
        <v>964</v>
      </c>
      <c r="H317" s="5"/>
      <c r="I317" s="5" t="s">
        <v>963</v>
      </c>
      <c r="J317" s="5"/>
      <c r="K317" s="50" t="s">
        <v>1005</v>
      </c>
      <c r="L317" s="103">
        <v>212</v>
      </c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1:28" ht="13.2">
      <c r="A318" s="3">
        <f>IF(ISBLANK(B318),,A317+1)</f>
        <v>317</v>
      </c>
      <c r="B318" s="50" t="s">
        <v>1007</v>
      </c>
      <c r="C318" s="5" t="s">
        <v>994</v>
      </c>
      <c r="D318" s="5">
        <f>IF(C318="common",100,IF(C318="Uncommon",300,IF(C318="Rare",700,IF(C318="very rare",1100,IF(C318="Legendary",2000,0)))))</f>
        <v>300</v>
      </c>
      <c r="E318" s="5">
        <f>(F318*TRUNC(3+(15-3)*(TRUNC(MOD((A318*1103515245 +12345)/ 65536, 32768),0)/32768),0))+D318+(D318/10*F318)</f>
        <v>386</v>
      </c>
      <c r="F318" s="5">
        <v>2</v>
      </c>
      <c r="G318" s="5" t="s">
        <v>964</v>
      </c>
      <c r="H318" s="5"/>
      <c r="I318" s="5" t="s">
        <v>963</v>
      </c>
      <c r="J318" s="5"/>
      <c r="K318" s="50" t="s">
        <v>1005</v>
      </c>
      <c r="L318" s="103">
        <v>212</v>
      </c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1:28" ht="13.2">
      <c r="A319" s="3">
        <f>IF(ISBLANK(B319),,A318+1)</f>
        <v>318</v>
      </c>
      <c r="B319" s="50" t="s">
        <v>1006</v>
      </c>
      <c r="C319" s="5" t="s">
        <v>991</v>
      </c>
      <c r="D319" s="5">
        <f>IF(C319="common",100,IF(C319="Uncommon",300,IF(C319="Rare",700,IF(C319="very rare",1100,IF(C319="Legendary",2000,0)))))</f>
        <v>700</v>
      </c>
      <c r="E319" s="5">
        <f>(F319*TRUNC(3+(15-3)*(TRUNC(MOD((A319*1103515245 +12345)/ 65536, 32768),0)/32768),0))+D319+(D319/10*F319)</f>
        <v>931</v>
      </c>
      <c r="F319" s="5">
        <v>3</v>
      </c>
      <c r="G319" s="5" t="s">
        <v>964</v>
      </c>
      <c r="H319" s="5"/>
      <c r="I319" s="5" t="s">
        <v>963</v>
      </c>
      <c r="J319" s="5"/>
      <c r="K319" s="50" t="s">
        <v>1005</v>
      </c>
      <c r="L319" s="103">
        <v>212</v>
      </c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1:28" ht="13.2">
      <c r="A320" s="3">
        <f>IF(ISBLANK(B320),,A319+1)</f>
        <v>319</v>
      </c>
      <c r="B320" s="50" t="s">
        <v>1004</v>
      </c>
      <c r="C320" s="5" t="s">
        <v>994</v>
      </c>
      <c r="D320" s="5">
        <f>IF(C320="common",100,IF(C320="Uncommon",300,IF(C320="Rare",700,IF(C320="very rare",1100,IF(C320="Legendary",2000,0)))))</f>
        <v>300</v>
      </c>
      <c r="E320" s="5">
        <f>(F320*TRUNC(3+(15-3)*(TRUNC(MOD((A320*1103515245 +12345)/ 65536, 32768),0)/32768),0))+D320+(D320/10*F320)</f>
        <v>388</v>
      </c>
      <c r="F320" s="5">
        <v>2</v>
      </c>
      <c r="G320" s="5" t="s">
        <v>968</v>
      </c>
      <c r="H320" s="5" t="s">
        <v>999</v>
      </c>
      <c r="I320" s="5"/>
      <c r="J320" s="5"/>
      <c r="K320" s="50"/>
      <c r="L320" s="103">
        <v>213</v>
      </c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1:28" ht="13.2">
      <c r="A321" s="3">
        <f>IF(ISBLANK(B321),,A320+1)</f>
        <v>320</v>
      </c>
      <c r="B321" s="50" t="s">
        <v>1003</v>
      </c>
      <c r="C321" s="5" t="s">
        <v>991</v>
      </c>
      <c r="D321" s="5">
        <f>IF(C321="common",100,IF(C321="Uncommon",300,IF(C321="Rare",700,IF(C321="very rare",1100,IF(C321="Legendary",2000,0)))))</f>
        <v>700</v>
      </c>
      <c r="E321" s="5">
        <f>(F321*TRUNC(3+(15-3)*(TRUNC(MOD((A321*1103515245 +12345)/ 65536, 32768),0)/32768),0))+D321+(D321/10*F321)</f>
        <v>934</v>
      </c>
      <c r="F321" s="5">
        <v>3</v>
      </c>
      <c r="G321" s="5" t="s">
        <v>968</v>
      </c>
      <c r="H321" s="5" t="s">
        <v>999</v>
      </c>
      <c r="I321" s="5"/>
      <c r="J321" s="5"/>
      <c r="K321" s="50"/>
      <c r="L321" s="103">
        <v>213</v>
      </c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1:28" ht="13.2">
      <c r="A322" s="3">
        <f>IF(ISBLANK(B322),,A321+1)</f>
        <v>321</v>
      </c>
      <c r="B322" s="50" t="s">
        <v>1002</v>
      </c>
      <c r="C322" s="5" t="s">
        <v>1001</v>
      </c>
      <c r="D322" s="5">
        <f>IF(C322="common",100,IF(C322="Uncommon",300,IF(C322="Rare",700,IF(C322="very rare",1100,IF(C322="Legendary",2000,0)))))</f>
        <v>1100</v>
      </c>
      <c r="E322" s="5">
        <f>(F322*TRUNC(3+(15-3)*(TRUNC(MOD((A322*1103515245 +12345)/ 65536, 32768),0)/32768),0))+D322+(D322/10*F322)</f>
        <v>1596</v>
      </c>
      <c r="F322" s="5">
        <v>4</v>
      </c>
      <c r="G322" s="5" t="s">
        <v>968</v>
      </c>
      <c r="H322" s="5" t="s">
        <v>999</v>
      </c>
      <c r="I322" s="5"/>
      <c r="J322" s="5"/>
      <c r="K322" s="50"/>
      <c r="L322" s="103">
        <v>213</v>
      </c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1:28" ht="13.2">
      <c r="A323" s="3">
        <f>IF(ISBLANK(B323),,A322+1)</f>
        <v>322</v>
      </c>
      <c r="B323" s="50" t="s">
        <v>1000</v>
      </c>
      <c r="C323" s="5" t="s">
        <v>994</v>
      </c>
      <c r="D323" s="5">
        <f>IF(C323="common",100,IF(C323="Uncommon",300,IF(C323="Rare",700,IF(C323="very rare",1100,IF(C323="Legendary",2000,0)))))</f>
        <v>300</v>
      </c>
      <c r="E323" s="5">
        <f>(F323*TRUNC(3+(15-3)*(TRUNC(MOD((A323*1103515245 +12345)/ 65536, 32768),0)/32768),0))+D323+(D323/10*F323)</f>
        <v>376</v>
      </c>
      <c r="F323" s="5">
        <v>2</v>
      </c>
      <c r="G323" s="5" t="s">
        <v>968</v>
      </c>
      <c r="H323" s="5" t="s">
        <v>999</v>
      </c>
      <c r="I323" s="5" t="s">
        <v>963</v>
      </c>
      <c r="J323" s="5"/>
      <c r="K323" s="50"/>
      <c r="L323" s="103">
        <v>213</v>
      </c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1:28" ht="13.2">
      <c r="A324" s="3">
        <f>IF(ISBLANK(B324),,A323+1)</f>
        <v>323</v>
      </c>
      <c r="B324" s="50" t="s">
        <v>998</v>
      </c>
      <c r="C324" s="5" t="s">
        <v>997</v>
      </c>
      <c r="D324" s="5">
        <f>IF(C324="common",100,IF(C324="Uncommon",300,IF(C324="Rare",700,IF(C324="very rare",1100,IF(C324="Legendary",2000,0)))))</f>
        <v>2000</v>
      </c>
      <c r="E324" s="5">
        <f>(F324*TRUNC(3+(15-3)*(TRUNC(MOD((A324*1103515245 +12345)/ 65536, 32768),0)/32768),0))+D324+(D324/10*F324)</f>
        <v>3070</v>
      </c>
      <c r="F324" s="5">
        <v>5</v>
      </c>
      <c r="G324" s="5" t="s">
        <v>970</v>
      </c>
      <c r="H324" s="5"/>
      <c r="I324" s="5"/>
      <c r="J324" s="5"/>
      <c r="K324" s="50"/>
      <c r="L324" s="103">
        <v>213</v>
      </c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1:28" ht="13.2">
      <c r="A325" s="3">
        <f>IF(ISBLANK(B325),,A324+1)</f>
        <v>324</v>
      </c>
      <c r="B325" s="50" t="s">
        <v>996</v>
      </c>
      <c r="C325" s="5" t="s">
        <v>994</v>
      </c>
      <c r="D325" s="5">
        <f>IF(C325="common",100,IF(C325="Uncommon",300,IF(C325="Rare",700,IF(C325="very rare",1100,IF(C325="Legendary",2000,0)))))</f>
        <v>300</v>
      </c>
      <c r="E325" s="5">
        <f>(F325*TRUNC(3+(15-3)*(TRUNC(MOD((A325*1103515245 +12345)/ 65536, 32768),0)/32768),0))+D325+(D325/10*F325)</f>
        <v>376</v>
      </c>
      <c r="F325" s="5">
        <v>2</v>
      </c>
      <c r="G325" s="5" t="s">
        <v>970</v>
      </c>
      <c r="H325" s="5"/>
      <c r="I325" s="5"/>
      <c r="J325" s="5"/>
      <c r="K325" s="50"/>
      <c r="L325" s="103">
        <v>213</v>
      </c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1:28" ht="13.2">
      <c r="A326" s="3">
        <f>IF(ISBLANK(B326),,A325+1)</f>
        <v>325</v>
      </c>
      <c r="B326" s="50" t="s">
        <v>995</v>
      </c>
      <c r="C326" s="5" t="s">
        <v>994</v>
      </c>
      <c r="D326" s="5">
        <f>IF(C326="common",100,IF(C326="Uncommon",300,IF(C326="Rare",700,IF(C326="very rare",1100,IF(C326="Legendary",2000,0)))))</f>
        <v>300</v>
      </c>
      <c r="E326" s="5">
        <f>(F326*TRUNC(3+(15-3)*(TRUNC(MOD((A326*1103515245 +12345)/ 65536, 32768),0)/32768),0))+D326+(D326/10*F326)</f>
        <v>366</v>
      </c>
      <c r="F326" s="5">
        <v>2</v>
      </c>
      <c r="G326" s="5" t="s">
        <v>970</v>
      </c>
      <c r="H326" s="5" t="s">
        <v>993</v>
      </c>
      <c r="I326" s="5" t="s">
        <v>963</v>
      </c>
      <c r="J326" s="5"/>
      <c r="K326" s="50"/>
      <c r="L326" s="103">
        <v>214</v>
      </c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1:28" ht="13.2">
      <c r="A327" s="3">
        <f>IF(ISBLANK(B327),,A326+1)</f>
        <v>326</v>
      </c>
      <c r="B327" s="50" t="s">
        <v>992</v>
      </c>
      <c r="C327" s="5" t="s">
        <v>991</v>
      </c>
      <c r="D327" s="5">
        <f>IF(C327="common",100,IF(C327="Uncommon",300,IF(C327="Rare",700,IF(C327="very rare",1100,IF(C327="Legendary",2000,0)))))</f>
        <v>700</v>
      </c>
      <c r="E327" s="5">
        <f>(F327*TRUNC(3+(15-3)*(TRUNC(MOD((A327*1103515245 +12345)/ 65536, 32768),0)/32768),0))+D327+(D327/10*F327)</f>
        <v>937</v>
      </c>
      <c r="F327" s="5">
        <v>3</v>
      </c>
      <c r="G327" s="5" t="s">
        <v>970</v>
      </c>
      <c r="H327" s="5" t="s">
        <v>990</v>
      </c>
      <c r="I327" s="5" t="s">
        <v>963</v>
      </c>
      <c r="J327" s="5"/>
      <c r="K327" s="50"/>
      <c r="L327" s="103">
        <v>214</v>
      </c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1:28" ht="13.2">
      <c r="A328" s="3">
        <f>IF(ISBLANK(B328),,A327+1)</f>
        <v>327</v>
      </c>
      <c r="B328" s="50" t="s">
        <v>989</v>
      </c>
      <c r="C328" s="5" t="s">
        <v>980</v>
      </c>
      <c r="D328" s="5">
        <f>IF(C328="common",100,IF(C328="Uncommon",300,IF(C328="Rare",700,IF(C328="very rare",1100,IF(C328="Legendary",2000,0)))))</f>
        <v>0</v>
      </c>
      <c r="E328" s="5">
        <f>(F328*TRUNC(3+(15-3)*(TRUNC(MOD((A328*1103515245 +12345)/ 65536, 32768),0)/32768),0))+D328+(D328/10*F328)</f>
        <v>18</v>
      </c>
      <c r="F328" s="5">
        <v>6</v>
      </c>
      <c r="G328" s="5" t="s">
        <v>968</v>
      </c>
      <c r="H328" s="5" t="s">
        <v>988</v>
      </c>
      <c r="I328" s="5" t="s">
        <v>963</v>
      </c>
      <c r="J328" s="5"/>
      <c r="K328" s="50" t="s">
        <v>987</v>
      </c>
      <c r="L328" s="103">
        <v>216</v>
      </c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1:28" ht="13.2">
      <c r="A329" s="3">
        <f>IF(ISBLANK(B329),,A328+1)</f>
        <v>328</v>
      </c>
      <c r="B329" s="50" t="s">
        <v>986</v>
      </c>
      <c r="C329" s="5" t="s">
        <v>980</v>
      </c>
      <c r="D329" s="5">
        <f>IF(C329="common",100,IF(C329="Uncommon",300,IF(C329="Rare",700,IF(C329="very rare",1100,IF(C329="Legendary",2000,0)))))</f>
        <v>0</v>
      </c>
      <c r="E329" s="5">
        <f>(F329*TRUNC(3+(15-3)*(TRUNC(MOD((A329*1103515245 +12345)/ 65536, 32768),0)/32768),0))+D329+(D329/10*F329)</f>
        <v>54</v>
      </c>
      <c r="F329" s="5">
        <v>6</v>
      </c>
      <c r="G329" s="5" t="s">
        <v>968</v>
      </c>
      <c r="H329" s="5" t="s">
        <v>967</v>
      </c>
      <c r="I329" s="5" t="s">
        <v>963</v>
      </c>
      <c r="J329" s="5"/>
      <c r="K329" s="50" t="s">
        <v>985</v>
      </c>
      <c r="L329" s="103">
        <v>217</v>
      </c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1:28" ht="13.2">
      <c r="A330" s="3">
        <f>IF(ISBLANK(B330),,A329+1)</f>
        <v>329</v>
      </c>
      <c r="B330" s="50" t="s">
        <v>984</v>
      </c>
      <c r="C330" s="5" t="s">
        <v>980</v>
      </c>
      <c r="D330" s="5">
        <f>IF(C330="common",100,IF(C330="Uncommon",300,IF(C330="Rare",700,IF(C330="very rare",1100,IF(C330="Legendary",2000,0)))))</f>
        <v>0</v>
      </c>
      <c r="E330" s="5">
        <f>(F330*TRUNC(3+(15-3)*(TRUNC(MOD((A330*1103515245 +12345)/ 65536, 32768),0)/32768),0))+D330+(D330/10*F330)</f>
        <v>18</v>
      </c>
      <c r="F330" s="5">
        <v>6</v>
      </c>
      <c r="G330" s="5" t="s">
        <v>968</v>
      </c>
      <c r="H330" s="5" t="s">
        <v>983</v>
      </c>
      <c r="I330" s="5" t="s">
        <v>963</v>
      </c>
      <c r="J330" s="5"/>
      <c r="K330" s="50" t="s">
        <v>982</v>
      </c>
      <c r="L330" s="103">
        <v>218</v>
      </c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1:28" ht="13.2">
      <c r="A331" s="3">
        <f>IF(ISBLANK(B331),,A330+1)</f>
        <v>330</v>
      </c>
      <c r="B331" s="50" t="s">
        <v>981</v>
      </c>
      <c r="C331" s="5" t="s">
        <v>980</v>
      </c>
      <c r="D331" s="5">
        <f>IF(C331="common",100,IF(C331="Uncommon",300,IF(C331="Rare",700,IF(C331="very rare",1100,IF(C331="Legendary",2000,0)))))</f>
        <v>0</v>
      </c>
      <c r="E331" s="5">
        <f>(F331*TRUNC(3+(15-3)*(TRUNC(MOD((A331*1103515245 +12345)/ 65536, 32768),0)/32768),0))+D331+(D331/10*F331)</f>
        <v>54</v>
      </c>
      <c r="F331" s="5">
        <v>6</v>
      </c>
      <c r="G331" s="5" t="s">
        <v>968</v>
      </c>
      <c r="H331" s="5" t="s">
        <v>979</v>
      </c>
      <c r="I331" s="5" t="s">
        <v>963</v>
      </c>
      <c r="J331" s="5"/>
      <c r="K331" s="50" t="s">
        <v>978</v>
      </c>
      <c r="L331" s="103">
        <v>218</v>
      </c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1:28" ht="13.2">
      <c r="A332" s="3">
        <f>IF(ISBLANK(B332),,A331+1)</f>
        <v>331</v>
      </c>
      <c r="B332" s="50" t="s">
        <v>977</v>
      </c>
      <c r="C332" s="5" t="s">
        <v>965</v>
      </c>
      <c r="D332" s="5">
        <f>IF(C332="common",100,IF(C332="Uncommon",300,IF(C332="Rare",700,IF(C332="very rare",1100,IF(C332="Legendary",2000,0)))))</f>
        <v>0</v>
      </c>
      <c r="E332" s="5">
        <f>(F332*TRUNC(3+(15-3)*(TRUNC(MOD((A332*1103515245 +12345)/ 65536, 32768),0)/32768),0))+D332+(D332/10*F332)</f>
        <v>28</v>
      </c>
      <c r="F332" s="5">
        <v>7</v>
      </c>
      <c r="G332" s="5" t="s">
        <v>968</v>
      </c>
      <c r="H332" s="5" t="s">
        <v>976</v>
      </c>
      <c r="I332" s="5" t="s">
        <v>963</v>
      </c>
      <c r="J332" s="5"/>
      <c r="K332" s="50"/>
      <c r="L332" s="103">
        <v>221</v>
      </c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1:28" ht="13.2">
      <c r="A333" s="3">
        <f>IF(ISBLANK(B333),,A332+1)</f>
        <v>332</v>
      </c>
      <c r="B333" s="50" t="s">
        <v>975</v>
      </c>
      <c r="C333" s="5" t="s">
        <v>965</v>
      </c>
      <c r="D333" s="5">
        <f>IF(C333="common",100,IF(C333="Uncommon",300,IF(C333="Rare",700,IF(C333="very rare",1100,IF(C333="Legendary",2000,0)))))</f>
        <v>0</v>
      </c>
      <c r="E333" s="5">
        <f>(F333*TRUNC(3+(15-3)*(TRUNC(MOD((A333*1103515245 +12345)/ 65536, 32768),0)/32768),0))+D333+(D333/10*F333)</f>
        <v>70</v>
      </c>
      <c r="F333" s="5">
        <v>7</v>
      </c>
      <c r="G333" s="5" t="s">
        <v>970</v>
      </c>
      <c r="H333" s="5"/>
      <c r="I333" s="5" t="s">
        <v>963</v>
      </c>
      <c r="J333" s="5"/>
      <c r="K333" s="50" t="s">
        <v>974</v>
      </c>
      <c r="L333" s="103">
        <v>222</v>
      </c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1:28" ht="13.2">
      <c r="A334" s="3">
        <f>IF(ISBLANK(B334),,A333+1)</f>
        <v>333</v>
      </c>
      <c r="B334" s="50" t="s">
        <v>973</v>
      </c>
      <c r="C334" s="5" t="s">
        <v>965</v>
      </c>
      <c r="D334" s="5">
        <f>IF(C334="common",100,IF(C334="Uncommon",300,IF(C334="Rare",700,IF(C334="very rare",1100,IF(C334="Legendary",2000,0)))))</f>
        <v>0</v>
      </c>
      <c r="E334" s="5">
        <f>(F334*TRUNC(3+(15-3)*(TRUNC(MOD((A334*1103515245 +12345)/ 65536, 32768),0)/32768),0))+D334+(D334/10*F334)</f>
        <v>28</v>
      </c>
      <c r="F334" s="5">
        <v>7</v>
      </c>
      <c r="G334" s="5" t="s">
        <v>970</v>
      </c>
      <c r="H334" s="5"/>
      <c r="I334" s="5" t="s">
        <v>963</v>
      </c>
      <c r="J334" s="5"/>
      <c r="K334" s="50"/>
      <c r="L334" s="103">
        <v>222</v>
      </c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1:28" ht="13.2">
      <c r="A335" s="3">
        <f>IF(ISBLANK(B335),,A334+1)</f>
        <v>334</v>
      </c>
      <c r="B335" s="50" t="s">
        <v>972</v>
      </c>
      <c r="C335" s="5" t="s">
        <v>965</v>
      </c>
      <c r="D335" s="5">
        <f>IF(C335="common",100,IF(C335="Uncommon",300,IF(C335="Rare",700,IF(C335="very rare",1100,IF(C335="Legendary",2000,0)))))</f>
        <v>0</v>
      </c>
      <c r="E335" s="5">
        <f>(F335*TRUNC(3+(15-3)*(TRUNC(MOD((A335*1103515245 +12345)/ 65536, 32768),0)/32768),0))+D335+(D335/10*F335)</f>
        <v>70</v>
      </c>
      <c r="F335" s="5">
        <v>7</v>
      </c>
      <c r="G335" s="5" t="s">
        <v>970</v>
      </c>
      <c r="H335" s="5"/>
      <c r="I335" s="5" t="s">
        <v>963</v>
      </c>
      <c r="J335" s="5"/>
      <c r="K335" s="50"/>
      <c r="L335" s="103">
        <v>224</v>
      </c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1:28" ht="13.2">
      <c r="A336" s="3">
        <f>IF(ISBLANK(B336),,A335+1)</f>
        <v>335</v>
      </c>
      <c r="B336" s="50" t="s">
        <v>971</v>
      </c>
      <c r="C336" s="5" t="s">
        <v>965</v>
      </c>
      <c r="D336" s="5">
        <f>IF(C336="common",100,IF(C336="Uncommon",300,IF(C336="Rare",700,IF(C336="very rare",1100,IF(C336="Legendary",2000,0)))))</f>
        <v>0</v>
      </c>
      <c r="E336" s="5">
        <f>(F336*TRUNC(3+(15-3)*(TRUNC(MOD((A336*1103515245 +12345)/ 65536, 32768),0)/32768),0))+D336+(D336/10*F336)</f>
        <v>28</v>
      </c>
      <c r="F336" s="5">
        <v>7</v>
      </c>
      <c r="G336" s="5" t="s">
        <v>970</v>
      </c>
      <c r="H336" s="5"/>
      <c r="I336" s="5" t="s">
        <v>963</v>
      </c>
      <c r="J336" s="5"/>
      <c r="K336" s="50"/>
      <c r="L336" s="103">
        <v>225</v>
      </c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1:28" ht="13.2">
      <c r="A337" s="3">
        <f>IF(ISBLANK(B337),,A336+1)</f>
        <v>336</v>
      </c>
      <c r="B337" s="50" t="s">
        <v>969</v>
      </c>
      <c r="C337" s="5" t="s">
        <v>965</v>
      </c>
      <c r="D337" s="5">
        <f>IF(C337="common",100,IF(C337="Uncommon",300,IF(C337="Rare",700,IF(C337="very rare",1100,IF(C337="Legendary",2000,0)))))</f>
        <v>0</v>
      </c>
      <c r="E337" s="5">
        <f>(F337*TRUNC(3+(15-3)*(TRUNC(MOD((A337*1103515245 +12345)/ 65536, 32768),0)/32768),0))+D337+(D337/10*F337)</f>
        <v>70</v>
      </c>
      <c r="F337" s="5">
        <v>7</v>
      </c>
      <c r="G337" s="5" t="s">
        <v>968</v>
      </c>
      <c r="H337" s="5" t="s">
        <v>967</v>
      </c>
      <c r="I337" s="5" t="s">
        <v>963</v>
      </c>
      <c r="J337" s="5"/>
      <c r="K337" s="50"/>
      <c r="L337" s="103">
        <v>226</v>
      </c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1:28" ht="13.2">
      <c r="A338" s="3">
        <f>IF(ISBLANK(B338),,A337+1)</f>
        <v>337</v>
      </c>
      <c r="B338" s="50" t="s">
        <v>966</v>
      </c>
      <c r="C338" s="5" t="s">
        <v>965</v>
      </c>
      <c r="D338" s="5">
        <f>IF(C338="common",100,IF(C338="Uncommon",300,IF(C338="Rare",700,IF(C338="very rare",1100,IF(C338="Legendary",2000,0)))))</f>
        <v>0</v>
      </c>
      <c r="E338" s="5">
        <f>(F338*TRUNC(3+(15-3)*(TRUNC(MOD((A338*1103515245 +12345)/ 65536, 32768),0)/32768),0))+D338+(D338/10*F338)</f>
        <v>35</v>
      </c>
      <c r="F338" s="5">
        <v>7</v>
      </c>
      <c r="G338" s="5" t="s">
        <v>964</v>
      </c>
      <c r="H338" s="5"/>
      <c r="I338" s="5" t="s">
        <v>963</v>
      </c>
      <c r="J338" s="5"/>
      <c r="K338" s="50"/>
      <c r="L338" s="103">
        <v>227</v>
      </c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1:28" ht="13.2">
      <c r="A339" s="3">
        <f>IF(ISBLANK(B339),,A338+1)</f>
        <v>0</v>
      </c>
      <c r="B339" s="50"/>
      <c r="C339" s="5"/>
      <c r="D339" s="5">
        <f>IF(C339="common",100,IF(C339="Uncommon",300,IF(C339="Rare",700,IF(C339="very rare",1100,IF(C339="Legendary",2000,0)))))</f>
        <v>0</v>
      </c>
      <c r="E339" s="5">
        <f>(F339*TRUNC(3+(15-3)*(TRUNC(MOD((A339*1103515245 +12345)/ 65536, 32768),0)/32768),0))+D339+(D339/10*F339)</f>
        <v>0</v>
      </c>
      <c r="F339" s="5"/>
      <c r="G339" s="5"/>
      <c r="H339" s="5"/>
      <c r="I339" s="5"/>
      <c r="J339" s="5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1:28" ht="13.2">
      <c r="A340" s="3">
        <f>IF(ISBLANK(B340),,A339+1)</f>
        <v>0</v>
      </c>
      <c r="B340" s="50"/>
      <c r="C340" s="5"/>
      <c r="D340" s="5">
        <f>IF(C340="common",100,IF(C340="Uncommon",300,IF(C340="Rare",700,IF(C340="very rare",1100,IF(C340="Legendary",2000,0)))))</f>
        <v>0</v>
      </c>
      <c r="E340" s="5">
        <f>(F340*TRUNC(3+(15-3)*(TRUNC(MOD((A340*1103515245 +12345)/ 65536, 32768),0)/32768),0))+D340+(D340/10*F340)</f>
        <v>0</v>
      </c>
      <c r="F340" s="5"/>
      <c r="G340" s="5"/>
      <c r="H340" s="5"/>
      <c r="I340" s="5"/>
      <c r="J340" s="5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1:28" ht="13.2">
      <c r="A341" s="3">
        <f>IF(ISBLANK(B341),,A340+1)</f>
        <v>0</v>
      </c>
      <c r="B341" s="50"/>
      <c r="C341" s="5"/>
      <c r="D341" s="5">
        <f>IF(C341="common",100,IF(C341="Uncommon",300,IF(C341="Rare",700,IF(C341="very rare",1100,IF(C341="Legendary",2000,0)))))</f>
        <v>0</v>
      </c>
      <c r="E341" s="5">
        <f>(F341*TRUNC(3+(15-3)*(TRUNC(MOD((A341*1103515245 +12345)/ 65536, 32768),0)/32768),0))+D341+(D341/10*F341)</f>
        <v>0</v>
      </c>
      <c r="F341" s="5"/>
      <c r="G341" s="5"/>
      <c r="H341" s="5"/>
      <c r="I341" s="5"/>
      <c r="J341" s="5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1:28" ht="13.2">
      <c r="A342" s="3">
        <f>IF(ISBLANK(B342),,A341+1)</f>
        <v>0</v>
      </c>
      <c r="B342" s="50"/>
      <c r="C342" s="5"/>
      <c r="D342" s="5">
        <f>IF(C342="common",100,IF(C342="Uncommon",300,IF(C342="Rare",700,IF(C342="very rare",1100,IF(C342="Legendary",2000,0)))))</f>
        <v>0</v>
      </c>
      <c r="E342" s="5">
        <f>(F342*TRUNC(3+(15-3)*(TRUNC(MOD((A342*1103515245 +12345)/ 65536, 32768),0)/32768),0))+D342+(D342/10*F342)</f>
        <v>0</v>
      </c>
      <c r="F342" s="5"/>
      <c r="G342" s="5"/>
      <c r="H342" s="5"/>
      <c r="I342" s="5"/>
      <c r="J342" s="5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1:28" ht="13.2">
      <c r="A343" s="3">
        <f>IF(ISBLANK(B343),,A342+1)</f>
        <v>0</v>
      </c>
      <c r="B343" s="50"/>
      <c r="C343" s="5"/>
      <c r="D343" s="5">
        <f>IF(C343="common",100,IF(C343="Uncommon",300,IF(C343="Rare",700,IF(C343="very rare",1100,IF(C343="Legendary",2000,0)))))</f>
        <v>0</v>
      </c>
      <c r="E343" s="5">
        <f>(F343*TRUNC(3+(15-3)*(TRUNC(MOD((A343*1103515245 +12345)/ 65536, 32768),0)/32768),0))+D343+(D343/10*F343)</f>
        <v>0</v>
      </c>
      <c r="F343" s="5"/>
      <c r="G343" s="5"/>
      <c r="H343" s="5"/>
      <c r="I343" s="5"/>
      <c r="J343" s="5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1:28" ht="13.2">
      <c r="A344" s="3">
        <f>IF(ISBLANK(B344),,A343+1)</f>
        <v>0</v>
      </c>
      <c r="B344" s="50"/>
      <c r="C344" s="5"/>
      <c r="D344" s="5">
        <f>IF(C344="common",100,IF(C344="Uncommon",300,IF(C344="Rare",700,IF(C344="very rare",1100,IF(C344="Legendary",2000,0)))))</f>
        <v>0</v>
      </c>
      <c r="E344" s="5">
        <f>(F344*TRUNC(3+(15-3)*(TRUNC(MOD((A344*1103515245 +12345)/ 65536, 32768),0)/32768),0))+D344+(D344/10*F344)</f>
        <v>0</v>
      </c>
      <c r="F344" s="5"/>
      <c r="G344" s="5"/>
      <c r="H344" s="5"/>
      <c r="I344" s="5"/>
      <c r="J344" s="5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1:28" ht="13.2">
      <c r="A345" s="3">
        <f>IF(ISBLANK(B345),,A344+1)</f>
        <v>0</v>
      </c>
      <c r="B345" s="50"/>
      <c r="C345" s="5"/>
      <c r="D345" s="5">
        <f>IF(C345="common",100,IF(C345="Uncommon",300,IF(C345="Rare",700,IF(C345="very rare",1100,IF(C345="Legendary",2000,0)))))</f>
        <v>0</v>
      </c>
      <c r="E345" s="5">
        <f>(F345*TRUNC(3+(15-3)*(TRUNC(MOD((A345*1103515245 +12345)/ 65536, 32768),0)/32768),0))+D345+(D345/10*F345)</f>
        <v>0</v>
      </c>
      <c r="F345" s="5"/>
      <c r="G345" s="5"/>
      <c r="H345" s="5"/>
      <c r="I345" s="5"/>
      <c r="J345" s="5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1:28" ht="13.2">
      <c r="A346" s="3">
        <f>IF(ISBLANK(B346),,A345+1)</f>
        <v>0</v>
      </c>
      <c r="B346" s="50"/>
      <c r="C346" s="5"/>
      <c r="D346" s="5">
        <f>IF(C346="common",100,IF(C346="Uncommon",300,IF(C346="Rare",700,IF(C346="very rare",1100,IF(C346="Legendary",2000,0)))))</f>
        <v>0</v>
      </c>
      <c r="E346" s="5">
        <f>(F346*TRUNC(3+(15-3)*(TRUNC(MOD((A346*1103515245 +12345)/ 65536, 32768),0)/32768),0))+D346+(D346/10*F346)</f>
        <v>0</v>
      </c>
      <c r="F346" s="5"/>
      <c r="G346" s="5"/>
      <c r="H346" s="5"/>
      <c r="I346" s="5"/>
      <c r="J346" s="5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1:28" ht="13.2">
      <c r="A347" s="3">
        <f>IF(ISBLANK(B347),,A346+1)</f>
        <v>0</v>
      </c>
      <c r="B347" s="50"/>
      <c r="C347" s="5"/>
      <c r="D347" s="5">
        <f>IF(C347="common",100,IF(C347="Uncommon",300,IF(C347="Rare",700,IF(C347="very rare",1100,IF(C347="Legendary",2000,0)))))</f>
        <v>0</v>
      </c>
      <c r="E347" s="5">
        <f>(F347*TRUNC(3+(15-3)*(TRUNC(MOD((A347*1103515245 +12345)/ 65536, 32768),0)/32768),0))+D347+(D347/10*F347)</f>
        <v>0</v>
      </c>
      <c r="F347" s="5"/>
      <c r="G347" s="5"/>
      <c r="H347" s="5"/>
      <c r="I347" s="5"/>
      <c r="J347" s="5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1:28" ht="13.2">
      <c r="A348" s="3">
        <f>IF(ISBLANK(B348),,A347+1)</f>
        <v>0</v>
      </c>
      <c r="B348" s="50"/>
      <c r="C348" s="5"/>
      <c r="D348" s="5">
        <f>IF(C348="common",100,IF(C348="Uncommon",300,IF(C348="Rare",700,IF(C348="very rare",1100,IF(C348="Legendary",2000,0)))))</f>
        <v>0</v>
      </c>
      <c r="E348" s="5">
        <f>(F348*TRUNC(3+(15-3)*(TRUNC(MOD((A348*1103515245 +12345)/ 65536, 32768),0)/32768),0))+D348+(D348/10*F348)</f>
        <v>0</v>
      </c>
      <c r="F348" s="5"/>
      <c r="G348" s="5"/>
      <c r="H348" s="5"/>
      <c r="I348" s="5"/>
      <c r="J348" s="5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1:28" ht="13.2">
      <c r="A349" s="3">
        <f>IF(ISBLANK(B349),,A348+1)</f>
        <v>0</v>
      </c>
      <c r="B349" s="50"/>
      <c r="C349" s="5"/>
      <c r="D349" s="5">
        <f>IF(C349="common",100,IF(C349="Uncommon",300,IF(C349="Rare",700,IF(C349="very rare",1100,IF(C349="Legendary",2000,0)))))</f>
        <v>0</v>
      </c>
      <c r="E349" s="5">
        <f>(F349*TRUNC(3+(15-3)*(TRUNC(MOD((A349*1103515245 +12345)/ 65536, 32768),0)/32768),0))+D349+(D349/10*F349)</f>
        <v>0</v>
      </c>
      <c r="F349" s="5"/>
      <c r="G349" s="5"/>
      <c r="H349" s="5"/>
      <c r="I349" s="5"/>
      <c r="J349" s="5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1:28" ht="13.2">
      <c r="A350" s="3">
        <f>IF(ISBLANK(B350),,A349+1)</f>
        <v>0</v>
      </c>
      <c r="B350" s="50"/>
      <c r="C350" s="5"/>
      <c r="D350" s="5">
        <f>IF(C350="common",100,IF(C350="Uncommon",300,IF(C350="Rare",700,IF(C350="very rare",1100,IF(C350="Legendary",2000,0)))))</f>
        <v>0</v>
      </c>
      <c r="E350" s="5">
        <f>(F350*TRUNC(3+(15-3)*(TRUNC(MOD((A350*1103515245 +12345)/ 65536, 32768),0)/32768),0))+D350+(D350/10*F350)</f>
        <v>0</v>
      </c>
      <c r="F350" s="5"/>
      <c r="G350" s="5"/>
      <c r="H350" s="5"/>
      <c r="I350" s="5"/>
      <c r="J350" s="5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1:28" ht="13.2">
      <c r="A351" s="3">
        <f>IF(ISBLANK(B351),,A350+1)</f>
        <v>0</v>
      </c>
      <c r="B351" s="50"/>
      <c r="C351" s="5"/>
      <c r="D351" s="5">
        <f>IF(C351="common",100,IF(C351="Uncommon",300,IF(C351="Rare",700,IF(C351="very rare",1100,IF(C351="Legendary",2000,0)))))</f>
        <v>0</v>
      </c>
      <c r="E351" s="5">
        <f>(F351*TRUNC(3+(15-3)*(TRUNC(MOD((A351*1103515245 +12345)/ 65536, 32768),0)/32768),0))+D351+(D351/10*F351)</f>
        <v>0</v>
      </c>
      <c r="F351" s="5"/>
      <c r="G351" s="5"/>
      <c r="H351" s="5"/>
      <c r="I351" s="5"/>
      <c r="J351" s="5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1:28" ht="13.2">
      <c r="A352" s="3">
        <f>IF(ISBLANK(B352),,A351+1)</f>
        <v>0</v>
      </c>
      <c r="B352" s="50"/>
      <c r="C352" s="5"/>
      <c r="D352" s="5">
        <f>IF(C352="common",100,IF(C352="Uncommon",300,IF(C352="Rare",700,IF(C352="very rare",1100,IF(C352="Legendary",2000,0)))))</f>
        <v>0</v>
      </c>
      <c r="E352" s="5">
        <f>(F352*TRUNC(3+(15-3)*(TRUNC(MOD((A352*1103515245 +12345)/ 65536, 32768),0)/32768),0))+D352+(D352/10*F352)</f>
        <v>0</v>
      </c>
      <c r="F352" s="5"/>
      <c r="G352" s="5"/>
      <c r="H352" s="5"/>
      <c r="I352" s="5"/>
      <c r="J352" s="5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1:28" ht="13.2">
      <c r="A353" s="3">
        <f>IF(ISBLANK(B353),,A352+1)</f>
        <v>0</v>
      </c>
      <c r="B353" s="50"/>
      <c r="C353" s="5"/>
      <c r="D353" s="5">
        <f>IF(C353="common",100,IF(C353="Uncommon",300,IF(C353="Rare",700,IF(C353="very rare",1100,IF(C353="Legendary",2000,0)))))</f>
        <v>0</v>
      </c>
      <c r="E353" s="5">
        <f>(F353*TRUNC(3+(15-3)*(TRUNC(MOD((A353*1103515245 +12345)/ 65536, 32768),0)/32768),0))+D353+(D353/10*F353)</f>
        <v>0</v>
      </c>
      <c r="F353" s="5"/>
      <c r="G353" s="5"/>
      <c r="H353" s="5"/>
      <c r="I353" s="5"/>
      <c r="J353" s="5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1:28" ht="13.2">
      <c r="A354" s="3">
        <f>IF(ISBLANK(B354),,A353+1)</f>
        <v>0</v>
      </c>
      <c r="B354" s="50"/>
      <c r="C354" s="5"/>
      <c r="D354" s="5">
        <f>IF(C354="common",100,IF(C354="Uncommon",300,IF(C354="Rare",700,IF(C354="very rare",1100,IF(C354="Legendary",2000,0)))))</f>
        <v>0</v>
      </c>
      <c r="E354" s="5">
        <f>(F354*TRUNC(3+(15-3)*(TRUNC(MOD((A354*1103515245 +12345)/ 65536, 32768),0)/32768),0))+D354+(D354/10*F354)</f>
        <v>0</v>
      </c>
      <c r="F354" s="5"/>
      <c r="G354" s="5"/>
      <c r="H354" s="5"/>
      <c r="I354" s="5"/>
      <c r="J354" s="5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1:28" ht="13.2">
      <c r="A355" s="3">
        <f>IF(ISBLANK(B355),,A354+1)</f>
        <v>0</v>
      </c>
      <c r="B355" s="50"/>
      <c r="C355" s="5"/>
      <c r="D355" s="5">
        <f>IF(C355="common",100,IF(C355="Uncommon",300,IF(C355="Rare",700,IF(C355="very rare",1100,IF(C355="Legendary",2000,0)))))</f>
        <v>0</v>
      </c>
      <c r="E355" s="5">
        <f>(F355*TRUNC(3+(15-3)*(TRUNC(MOD((A355*1103515245 +12345)/ 65536, 32768),0)/32768),0))+D355+(D355/10*F355)</f>
        <v>0</v>
      </c>
      <c r="F355" s="5"/>
      <c r="G355" s="5"/>
      <c r="H355" s="5"/>
      <c r="I355" s="5"/>
      <c r="J355" s="5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1:28" ht="13.2">
      <c r="A356" s="3">
        <f>IF(ISBLANK(B356),,A355+1)</f>
        <v>0</v>
      </c>
      <c r="B356" s="50"/>
      <c r="C356" s="5"/>
      <c r="D356" s="5">
        <f>IF(C356="common",100,IF(C356="Uncommon",300,IF(C356="Rare",700,IF(C356="very rare",1100,IF(C356="Legendary",2000,0)))))</f>
        <v>0</v>
      </c>
      <c r="E356" s="5">
        <f>(F356*TRUNC(3+(15-3)*(TRUNC(MOD((A356*1103515245 +12345)/ 65536, 32768),0)/32768),0))+D356+(D356/10*F356)</f>
        <v>0</v>
      </c>
      <c r="F356" s="5"/>
      <c r="G356" s="5"/>
      <c r="H356" s="5"/>
      <c r="I356" s="5"/>
      <c r="J356" s="5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1:28" ht="13.2">
      <c r="A357" s="3">
        <f>IF(ISBLANK(B357),,A356+1)</f>
        <v>0</v>
      </c>
      <c r="B357" s="50"/>
      <c r="C357" s="5"/>
      <c r="D357" s="5">
        <f>IF(C357="common",100,IF(C357="Uncommon",300,IF(C357="Rare",700,IF(C357="very rare",1100,IF(C357="Legendary",2000,0)))))</f>
        <v>0</v>
      </c>
      <c r="E357" s="5">
        <f>(F357*TRUNC(3+(15-3)*(TRUNC(MOD((A357*1103515245 +12345)/ 65536, 32768),0)/32768),0))+D357+(D357/10*F357)</f>
        <v>0</v>
      </c>
      <c r="F357" s="5"/>
      <c r="G357" s="5"/>
      <c r="H357" s="5"/>
      <c r="I357" s="5"/>
      <c r="J357" s="5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1:28" ht="13.2">
      <c r="A358" s="3">
        <f>IF(ISBLANK(B358),,A357+1)</f>
        <v>0</v>
      </c>
      <c r="B358" s="50"/>
      <c r="C358" s="5"/>
      <c r="D358" s="5">
        <f>IF(C358="common",100,IF(C358="Uncommon",300,IF(C358="Rare",700,IF(C358="very rare",1100,IF(C358="Legendary",2000,0)))))</f>
        <v>0</v>
      </c>
      <c r="E358" s="5">
        <f>(F358*TRUNC(3+(15-3)*(TRUNC(MOD((A358*1103515245 +12345)/ 65536, 32768),0)/32768),0))+D358+(D358/10*F358)</f>
        <v>0</v>
      </c>
      <c r="F358" s="5"/>
      <c r="G358" s="5"/>
      <c r="H358" s="5"/>
      <c r="I358" s="5"/>
      <c r="J358" s="5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1:28" ht="13.2">
      <c r="A359" s="3">
        <f>IF(ISBLANK(B359),,A358+1)</f>
        <v>0</v>
      </c>
      <c r="B359" s="50"/>
      <c r="C359" s="5"/>
      <c r="D359" s="5">
        <f>IF(C359="common",100,IF(C359="Uncommon",300,IF(C359="Rare",700,IF(C359="very rare",1100,IF(C359="Legendary",2000,0)))))</f>
        <v>0</v>
      </c>
      <c r="E359" s="5">
        <f>(F359*TRUNC(3+(15-3)*(TRUNC(MOD((A359*1103515245 +12345)/ 65536, 32768),0)/32768),0))+D359+(D359/10*F359)</f>
        <v>0</v>
      </c>
      <c r="F359" s="5"/>
      <c r="G359" s="5"/>
      <c r="H359" s="5"/>
      <c r="I359" s="5"/>
      <c r="J359" s="5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1:28" ht="13.2">
      <c r="A360" s="3">
        <f>IF(ISBLANK(B360),,A359+1)</f>
        <v>0</v>
      </c>
      <c r="B360" s="50"/>
      <c r="C360" s="5"/>
      <c r="D360" s="5">
        <f>IF(C360="common",100,IF(C360="Uncommon",300,IF(C360="Rare",700,IF(C360="very rare",1100,IF(C360="Legendary",2000,0)))))</f>
        <v>0</v>
      </c>
      <c r="E360" s="5">
        <f>(F360*TRUNC(3+(15-3)*(TRUNC(MOD((A360*1103515245 +12345)/ 65536, 32768),0)/32768),0))+D360+(D360/10*F360)</f>
        <v>0</v>
      </c>
      <c r="F360" s="5"/>
      <c r="G360" s="5"/>
      <c r="H360" s="5"/>
      <c r="I360" s="5"/>
      <c r="J360" s="5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1:28" ht="13.2">
      <c r="A361" s="3">
        <f>IF(ISBLANK(B361),,A360+1)</f>
        <v>0</v>
      </c>
      <c r="B361" s="50"/>
      <c r="C361" s="5"/>
      <c r="D361" s="5">
        <f>IF(C361="common",100,IF(C361="Uncommon",300,IF(C361="Rare",700,IF(C361="very rare",1100,IF(C361="Legendary",2000,0)))))</f>
        <v>0</v>
      </c>
      <c r="E361" s="5">
        <f>(F361*TRUNC(3+(15-3)*(TRUNC(MOD((A361*1103515245 +12345)/ 65536, 32768),0)/32768),0))+D361+(D361/10*F361)</f>
        <v>0</v>
      </c>
      <c r="F361" s="5"/>
      <c r="G361" s="5"/>
      <c r="H361" s="5"/>
      <c r="I361" s="5"/>
      <c r="J361" s="5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1:28" ht="13.2">
      <c r="A362" s="3">
        <f>IF(ISBLANK(B362),,A361+1)</f>
        <v>0</v>
      </c>
      <c r="B362" s="50"/>
      <c r="C362" s="5"/>
      <c r="D362" s="5">
        <f>IF(C362="common",100,IF(C362="Uncommon",300,IF(C362="Rare",700,IF(C362="very rare",1100,IF(C362="Legendary",2000,0)))))</f>
        <v>0</v>
      </c>
      <c r="E362" s="5">
        <f>(F362*TRUNC(3+(15-3)*(TRUNC(MOD((A362*1103515245 +12345)/ 65536, 32768),0)/32768),0))+D362+(D362/10*F362)</f>
        <v>0</v>
      </c>
      <c r="F362" s="5"/>
      <c r="G362" s="5"/>
      <c r="H362" s="5"/>
      <c r="I362" s="5"/>
      <c r="J362" s="5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1:28" ht="13.2">
      <c r="A363" s="3">
        <f>IF(ISBLANK(B363),,A362+1)</f>
        <v>0</v>
      </c>
      <c r="B363" s="50"/>
      <c r="C363" s="5"/>
      <c r="D363" s="5">
        <f>IF(C363="common",100,IF(C363="Uncommon",300,IF(C363="Rare",700,IF(C363="very rare",1100,IF(C363="Legendary",2000,0)))))</f>
        <v>0</v>
      </c>
      <c r="E363" s="5">
        <f>(F363*TRUNC(3+(15-3)*(TRUNC(MOD((A363*1103515245 +12345)/ 65536, 32768),0)/32768),0))+D363+(D363/10*F363)</f>
        <v>0</v>
      </c>
      <c r="F363" s="5"/>
      <c r="G363" s="5"/>
      <c r="H363" s="5"/>
      <c r="I363" s="5"/>
      <c r="J363" s="5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1:28" ht="13.2">
      <c r="A364" s="3">
        <f>IF(ISBLANK(B364),,A363+1)</f>
        <v>0</v>
      </c>
      <c r="B364" s="50"/>
      <c r="C364" s="5"/>
      <c r="D364" s="5">
        <f>IF(C364="common",100,IF(C364="Uncommon",300,IF(C364="Rare",700,IF(C364="very rare",1100,IF(C364="Legendary",2000,0)))))</f>
        <v>0</v>
      </c>
      <c r="E364" s="5">
        <f>(F364*TRUNC(3+(15-3)*(TRUNC(MOD((A364*1103515245 +12345)/ 65536, 32768),0)/32768),0))+D364+(D364/10*F364)</f>
        <v>0</v>
      </c>
      <c r="F364" s="5"/>
      <c r="G364" s="5"/>
      <c r="H364" s="5"/>
      <c r="I364" s="5"/>
      <c r="J364" s="5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1:28" ht="13.2">
      <c r="A365" s="3">
        <f>IF(ISBLANK(B365),,A364+1)</f>
        <v>0</v>
      </c>
      <c r="B365" s="50"/>
      <c r="C365" s="5"/>
      <c r="D365" s="5">
        <f>IF(C365="common",100,IF(C365="Uncommon",300,IF(C365="Rare",700,IF(C365="very rare",1100,IF(C365="Legendary",2000,0)))))</f>
        <v>0</v>
      </c>
      <c r="E365" s="5">
        <f>(F365*TRUNC(3+(15-3)*(TRUNC(MOD((A365*1103515245 +12345)/ 65536, 32768),0)/32768),0))+D365+(D365/10*F365)</f>
        <v>0</v>
      </c>
      <c r="F365" s="5"/>
      <c r="G365" s="5"/>
      <c r="H365" s="5"/>
      <c r="I365" s="5"/>
      <c r="J365" s="5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1:28" ht="13.2">
      <c r="A366" s="3">
        <f>IF(ISBLANK(B366),,A365+1)</f>
        <v>0</v>
      </c>
      <c r="B366" s="50"/>
      <c r="C366" s="5"/>
      <c r="D366" s="5">
        <f>IF(C366="common",100,IF(C366="Uncommon",300,IF(C366="Rare",700,IF(C366="very rare",1100,IF(C366="Legendary",2000,0)))))</f>
        <v>0</v>
      </c>
      <c r="E366" s="5">
        <f>(F366*TRUNC(3+(15-3)*(TRUNC(MOD((A366*1103515245 +12345)/ 65536, 32768),0)/32768),0))+D366+(D366/10*F366)</f>
        <v>0</v>
      </c>
      <c r="F366" s="5"/>
      <c r="G366" s="5"/>
      <c r="H366" s="5"/>
      <c r="I366" s="5"/>
      <c r="J366" s="5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1:28" ht="13.2">
      <c r="A367" s="3">
        <f>IF(ISBLANK(B367),,A366+1)</f>
        <v>0</v>
      </c>
      <c r="B367" s="50"/>
      <c r="C367" s="5"/>
      <c r="D367" s="5">
        <f>IF(C367="common",100,IF(C367="Uncommon",300,IF(C367="Rare",700,IF(C367="very rare",1100,IF(C367="Legendary",2000,0)))))</f>
        <v>0</v>
      </c>
      <c r="E367" s="5">
        <f>(F367*TRUNC(3+(15-3)*(TRUNC(MOD((A367*1103515245 +12345)/ 65536, 32768),0)/32768),0))+D367+(D367/10*F367)</f>
        <v>0</v>
      </c>
      <c r="F367" s="5"/>
      <c r="G367" s="5"/>
      <c r="H367" s="5"/>
      <c r="I367" s="5"/>
      <c r="J367" s="5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1:28" ht="13.2">
      <c r="A368" s="3">
        <f>IF(ISBLANK(B368),,A367+1)</f>
        <v>0</v>
      </c>
      <c r="B368" s="50"/>
      <c r="C368" s="5"/>
      <c r="D368" s="5">
        <f>IF(C368="common",100,IF(C368="Uncommon",300,IF(C368="Rare",700,IF(C368="very rare",1100,IF(C368="Legendary",2000,0)))))</f>
        <v>0</v>
      </c>
      <c r="E368" s="5">
        <f>(F368*TRUNC(3+(15-3)*(TRUNC(MOD((A368*1103515245 +12345)/ 65536, 32768),0)/32768),0))+D368+(D368/10*F368)</f>
        <v>0</v>
      </c>
      <c r="F368" s="5"/>
      <c r="G368" s="5"/>
      <c r="H368" s="5"/>
      <c r="I368" s="5"/>
      <c r="J368" s="5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1:28" ht="13.2">
      <c r="A369" s="3">
        <f>IF(ISBLANK(B369),,A368+1)</f>
        <v>0</v>
      </c>
      <c r="B369" s="50"/>
      <c r="C369" s="5"/>
      <c r="D369" s="5">
        <f>IF(C369="common",100,IF(C369="Uncommon",300,IF(C369="Rare",700,IF(C369="very rare",1100,IF(C369="Legendary",2000,0)))))</f>
        <v>0</v>
      </c>
      <c r="E369" s="5">
        <f>(F369*TRUNC(3+(15-3)*(TRUNC(MOD((A369*1103515245 +12345)/ 65536, 32768),0)/32768),0))+D369+(D369/10*F369)</f>
        <v>0</v>
      </c>
      <c r="F369" s="5"/>
      <c r="G369" s="5"/>
      <c r="H369" s="5"/>
      <c r="I369" s="5"/>
      <c r="J369" s="5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1:28" ht="13.2">
      <c r="A370" s="3">
        <f>IF(ISBLANK(B370),,A369+1)</f>
        <v>0</v>
      </c>
      <c r="B370" s="50"/>
      <c r="C370" s="5"/>
      <c r="D370" s="5">
        <f>IF(C370="common",100,IF(C370="Uncommon",300,IF(C370="Rare",700,IF(C370="very rare",1100,IF(C370="Legendary",2000,0)))))</f>
        <v>0</v>
      </c>
      <c r="E370" s="5">
        <f>(F370*TRUNC(3+(15-3)*(TRUNC(MOD((A370*1103515245 +12345)/ 65536, 32768),0)/32768),0))+D370+(D370/10*F370)</f>
        <v>0</v>
      </c>
      <c r="F370" s="5"/>
      <c r="G370" s="5"/>
      <c r="H370" s="5"/>
      <c r="I370" s="5"/>
      <c r="J370" s="5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1:28" ht="13.2">
      <c r="A371" s="3">
        <f>IF(ISBLANK(B371),,A370+1)</f>
        <v>0</v>
      </c>
      <c r="B371" s="50"/>
      <c r="C371" s="5"/>
      <c r="D371" s="5">
        <f>IF(C371="common",100,IF(C371="Uncommon",300,IF(C371="Rare",700,IF(C371="very rare",1100,IF(C371="Legendary",2000,0)))))</f>
        <v>0</v>
      </c>
      <c r="E371" s="5">
        <f>(F371*TRUNC(3+(15-3)*(TRUNC(MOD((A371*1103515245 +12345)/ 65536, 32768),0)/32768),0))+D371+(D371/10*F371)</f>
        <v>0</v>
      </c>
      <c r="F371" s="5"/>
      <c r="G371" s="5"/>
      <c r="H371" s="5"/>
      <c r="I371" s="5"/>
      <c r="J371" s="5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1:28" ht="13.2">
      <c r="A372" s="3">
        <f>IF(ISBLANK(B372),,A371+1)</f>
        <v>0</v>
      </c>
      <c r="B372" s="50"/>
      <c r="C372" s="5"/>
      <c r="D372" s="5">
        <f>IF(C372="common",100,IF(C372="Uncommon",300,IF(C372="Rare",700,IF(C372="very rare",1100,IF(C372="Legendary",2000,0)))))</f>
        <v>0</v>
      </c>
      <c r="E372" s="5">
        <f>(F372*TRUNC(3+(15-3)*(TRUNC(MOD((A372*1103515245 +12345)/ 65536, 32768),0)/32768),0))+D372+(D372/10*F372)</f>
        <v>0</v>
      </c>
      <c r="F372" s="5"/>
      <c r="G372" s="5"/>
      <c r="H372" s="5"/>
      <c r="I372" s="5"/>
      <c r="J372" s="5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1:28" ht="13.2">
      <c r="A373" s="3">
        <f>IF(ISBLANK(B373),,A372+1)</f>
        <v>0</v>
      </c>
      <c r="B373" s="50"/>
      <c r="C373" s="5"/>
      <c r="D373" s="5">
        <f>IF(C373="common",100,IF(C373="Uncommon",300,IF(C373="Rare",700,IF(C373="very rare",1100,IF(C373="Legendary",2000,0)))))</f>
        <v>0</v>
      </c>
      <c r="E373" s="5">
        <f>(F373*TRUNC(3+(15-3)*(TRUNC(MOD((A373*1103515245 +12345)/ 65536, 32768),0)/32768),0))+D373+(D373/10*F373)</f>
        <v>0</v>
      </c>
      <c r="F373" s="5"/>
      <c r="G373" s="5"/>
      <c r="H373" s="5"/>
      <c r="I373" s="5"/>
      <c r="J373" s="5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1:28" ht="13.2">
      <c r="A374" s="3">
        <f>IF(ISBLANK(B374),,A373+1)</f>
        <v>0</v>
      </c>
      <c r="B374" s="50"/>
      <c r="C374" s="5"/>
      <c r="D374" s="5">
        <f>IF(C374="common",100,IF(C374="Uncommon",300,IF(C374="Rare",700,IF(C374="very rare",1100,IF(C374="Legendary",2000,0)))))</f>
        <v>0</v>
      </c>
      <c r="E374" s="5">
        <f>(F374*TRUNC(3+(15-3)*(TRUNC(MOD((A374*1103515245 +12345)/ 65536, 32768),0)/32768),0))+D374+(D374/10*F374)</f>
        <v>0</v>
      </c>
      <c r="F374" s="5"/>
      <c r="G374" s="5"/>
      <c r="H374" s="5"/>
      <c r="I374" s="5"/>
      <c r="J374" s="5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1:28" ht="13.2">
      <c r="A375" s="3">
        <f>IF(ISBLANK(B375),,A374+1)</f>
        <v>0</v>
      </c>
      <c r="B375" s="50"/>
      <c r="C375" s="5"/>
      <c r="D375" s="5">
        <f>IF(C375="common",100,IF(C375="Uncommon",300,IF(C375="Rare",700,IF(C375="very rare",1100,IF(C375="Legendary",2000,0)))))</f>
        <v>0</v>
      </c>
      <c r="E375" s="5">
        <f>(F375*TRUNC(3+(15-3)*(TRUNC(MOD((A375*1103515245 +12345)/ 65536, 32768),0)/32768),0))+D375+(D375/10*F375)</f>
        <v>0</v>
      </c>
      <c r="F375" s="5"/>
      <c r="G375" s="5"/>
      <c r="H375" s="5"/>
      <c r="I375" s="5"/>
      <c r="J375" s="5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1:28" ht="13.2">
      <c r="A376" s="3">
        <f>IF(ISBLANK(B376),,A375+1)</f>
        <v>0</v>
      </c>
      <c r="B376" s="50"/>
      <c r="C376" s="5"/>
      <c r="D376" s="5">
        <f>IF(C376="common",100,IF(C376="Uncommon",300,IF(C376="Rare",700,IF(C376="very rare",1100,IF(C376="Legendary",2000,0)))))</f>
        <v>0</v>
      </c>
      <c r="E376" s="5">
        <f>(F376*TRUNC(3+(15-3)*(TRUNC(MOD((A376*1103515245 +12345)/ 65536, 32768),0)/32768),0))+D376+(D376/10*F376)</f>
        <v>0</v>
      </c>
      <c r="F376" s="5"/>
      <c r="G376" s="5"/>
      <c r="H376" s="5"/>
      <c r="I376" s="5"/>
      <c r="J376" s="5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1:28" ht="13.2">
      <c r="A377" s="3">
        <f>IF(ISBLANK(B377),,A376+1)</f>
        <v>0</v>
      </c>
      <c r="B377" s="50"/>
      <c r="C377" s="5"/>
      <c r="D377" s="5">
        <f>IF(C377="common",100,IF(C377="Uncommon",300,IF(C377="Rare",700,IF(C377="very rare",1100,IF(C377="Legendary",2000,0)))))</f>
        <v>0</v>
      </c>
      <c r="E377" s="5">
        <f>(F377*TRUNC(3+(15-3)*(TRUNC(MOD((A377*1103515245 +12345)/ 65536, 32768),0)/32768),0))+D377+(D377/10*F377)</f>
        <v>0</v>
      </c>
      <c r="F377" s="5"/>
      <c r="G377" s="5"/>
      <c r="H377" s="5"/>
      <c r="I377" s="5"/>
      <c r="J377" s="5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1:28" ht="13.2">
      <c r="A378" s="3">
        <f>IF(ISBLANK(B378),,A377+1)</f>
        <v>0</v>
      </c>
      <c r="B378" s="50"/>
      <c r="C378" s="5"/>
      <c r="D378" s="5">
        <f>IF(C378="common",100,IF(C378="Uncommon",300,IF(C378="Rare",700,IF(C378="very rare",1100,IF(C378="Legendary",2000,0)))))</f>
        <v>0</v>
      </c>
      <c r="E378" s="5">
        <f>(F378*TRUNC(3+(15-3)*(TRUNC(MOD((A378*1103515245 +12345)/ 65536, 32768),0)/32768),0))+D378+(D378/10*F378)</f>
        <v>0</v>
      </c>
      <c r="F378" s="5"/>
      <c r="G378" s="5"/>
      <c r="H378" s="5"/>
      <c r="I378" s="5"/>
      <c r="J378" s="5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1:28" ht="13.2">
      <c r="A379" s="3">
        <f>IF(ISBLANK(B379),,A378+1)</f>
        <v>0</v>
      </c>
      <c r="B379" s="50"/>
      <c r="C379" s="5"/>
      <c r="D379" s="5">
        <f>IF(C379="common",100,IF(C379="Uncommon",300,IF(C379="Rare",700,IF(C379="very rare",1100,IF(C379="Legendary",2000,0)))))</f>
        <v>0</v>
      </c>
      <c r="E379" s="5">
        <f>(F379*TRUNC(3+(15-3)*(TRUNC(MOD((A379*1103515245 +12345)/ 65536, 32768),0)/32768),0))+D379+(D379/10*F379)</f>
        <v>0</v>
      </c>
      <c r="F379" s="5"/>
      <c r="G379" s="5"/>
      <c r="H379" s="5"/>
      <c r="I379" s="5"/>
      <c r="J379" s="5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1:28" ht="13.2">
      <c r="A380" s="3">
        <f>IF(ISBLANK(B380),,A379+1)</f>
        <v>0</v>
      </c>
      <c r="B380" s="50"/>
      <c r="C380" s="5"/>
      <c r="D380" s="5">
        <f>IF(C380="common",100,IF(C380="Uncommon",300,IF(C380="Rare",700,IF(C380="very rare",1100,IF(C380="Legendary",2000,0)))))</f>
        <v>0</v>
      </c>
      <c r="E380" s="5">
        <f>(F380*TRUNC(3+(15-3)*(TRUNC(MOD((A380*1103515245 +12345)/ 65536, 32768),0)/32768),0))+D380+(D380/10*F380)</f>
        <v>0</v>
      </c>
      <c r="F380" s="5"/>
      <c r="G380" s="5"/>
      <c r="H380" s="5"/>
      <c r="I380" s="5"/>
      <c r="J380" s="5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1:28" ht="13.2">
      <c r="A381" s="3">
        <f>IF(ISBLANK(B381),,A380+1)</f>
        <v>0</v>
      </c>
      <c r="B381" s="50"/>
      <c r="C381" s="5"/>
      <c r="D381" s="5">
        <f>IF(C381="common",100,IF(C381="Uncommon",300,IF(C381="Rare",700,IF(C381="very rare",1100,IF(C381="Legendary",2000,0)))))</f>
        <v>0</v>
      </c>
      <c r="E381" s="5">
        <f>(F381*TRUNC(3+(15-3)*(TRUNC(MOD((A381*1103515245 +12345)/ 65536, 32768),0)/32768),0))+D381+(D381/10*F381)</f>
        <v>0</v>
      </c>
      <c r="F381" s="5"/>
      <c r="G381" s="5"/>
      <c r="H381" s="5"/>
      <c r="I381" s="5"/>
      <c r="J381" s="5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1:28" ht="13.2">
      <c r="A382" s="3">
        <f>IF(ISBLANK(B382),,A381+1)</f>
        <v>0</v>
      </c>
      <c r="B382" s="50"/>
      <c r="C382" s="5"/>
      <c r="D382" s="5">
        <f>IF(C382="common",100,IF(C382="Uncommon",300,IF(C382="Rare",700,IF(C382="very rare",1100,IF(C382="Legendary",2000,0)))))</f>
        <v>0</v>
      </c>
      <c r="E382" s="5">
        <f>(F382*TRUNC(3+(15-3)*(TRUNC(MOD((A382*1103515245 +12345)/ 65536, 32768),0)/32768),0))+D382+(D382/10*F382)</f>
        <v>0</v>
      </c>
      <c r="F382" s="5"/>
      <c r="G382" s="5"/>
      <c r="H382" s="5"/>
      <c r="I382" s="5"/>
      <c r="J382" s="5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1:28" ht="13.2">
      <c r="A383" s="3">
        <f>IF(ISBLANK(B383),,A382+1)</f>
        <v>0</v>
      </c>
      <c r="B383" s="50"/>
      <c r="C383" s="5"/>
      <c r="D383" s="5">
        <f>IF(C383="common",100,IF(C383="Uncommon",300,IF(C383="Rare",700,IF(C383="very rare",1100,IF(C383="Legendary",2000,0)))))</f>
        <v>0</v>
      </c>
      <c r="E383" s="5">
        <f>(F383*TRUNC(3+(15-3)*(TRUNC(MOD((A383*1103515245 +12345)/ 65536, 32768),0)/32768),0))+D383+(D383/10*F383)</f>
        <v>0</v>
      </c>
      <c r="F383" s="5"/>
      <c r="G383" s="5"/>
      <c r="H383" s="5"/>
      <c r="I383" s="5"/>
      <c r="J383" s="5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1:28" ht="13.2">
      <c r="A384" s="3">
        <f>IF(ISBLANK(B384),,A383+1)</f>
        <v>0</v>
      </c>
      <c r="B384" s="50"/>
      <c r="C384" s="5"/>
      <c r="D384" s="5">
        <f>IF(C384="common",100,IF(C384="Uncommon",300,IF(C384="Rare",700,IF(C384="very rare",1100,IF(C384="Legendary",2000,0)))))</f>
        <v>0</v>
      </c>
      <c r="E384" s="5">
        <f>(F384*TRUNC(3+(15-3)*(TRUNC(MOD((A384*1103515245 +12345)/ 65536, 32768),0)/32768),0))+D384+(D384/10*F384)</f>
        <v>0</v>
      </c>
      <c r="F384" s="5"/>
      <c r="G384" s="5"/>
      <c r="H384" s="5"/>
      <c r="I384" s="5"/>
      <c r="J384" s="5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1:28" ht="13.2">
      <c r="A385" s="3">
        <f>IF(ISBLANK(B385),,A384+1)</f>
        <v>0</v>
      </c>
      <c r="B385" s="50"/>
      <c r="C385" s="5"/>
      <c r="D385" s="5">
        <f>IF(C385="common",100,IF(C385="Uncommon",300,IF(C385="Rare",700,IF(C385="very rare",1100,IF(C385="Legendary",2000,0)))))</f>
        <v>0</v>
      </c>
      <c r="E385" s="5">
        <f>(F385*TRUNC(3+(15-3)*(TRUNC(MOD((A385*1103515245 +12345)/ 65536, 32768),0)/32768),0))+D385+(D385/10*F385)</f>
        <v>0</v>
      </c>
      <c r="F385" s="5"/>
      <c r="G385" s="5"/>
      <c r="H385" s="5"/>
      <c r="I385" s="5"/>
      <c r="J385" s="5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1:28" ht="13.2">
      <c r="A386" s="3">
        <f>IF(ISBLANK(B386),,A385+1)</f>
        <v>0</v>
      </c>
      <c r="B386" s="50"/>
      <c r="C386" s="5"/>
      <c r="D386" s="5">
        <f>IF(C386="common",100,IF(C386="Uncommon",300,IF(C386="Rare",700,IF(C386="very rare",1100,IF(C386="Legendary",2000,0)))))</f>
        <v>0</v>
      </c>
      <c r="E386" s="5">
        <f>(F386*TRUNC(3+(15-3)*(TRUNC(MOD((A386*1103515245 +12345)/ 65536, 32768),0)/32768),0))+D386+(D386/10*F386)</f>
        <v>0</v>
      </c>
      <c r="F386" s="5"/>
      <c r="G386" s="5"/>
      <c r="H386" s="5"/>
      <c r="I386" s="5"/>
      <c r="J386" s="5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1:28" ht="13.2">
      <c r="A387" s="3">
        <f>IF(ISBLANK(B387),,A386+1)</f>
        <v>0</v>
      </c>
      <c r="B387" s="50"/>
      <c r="C387" s="5"/>
      <c r="D387" s="5">
        <f>IF(C387="common",100,IF(C387="Uncommon",300,IF(C387="Rare",700,IF(C387="very rare",1100,IF(C387="Legendary",2000,0)))))</f>
        <v>0</v>
      </c>
      <c r="E387" s="5">
        <f>(F387*TRUNC(3+(15-3)*(TRUNC(MOD((A387*1103515245 +12345)/ 65536, 32768),0)/32768),0))+D387+(D387/10*F387)</f>
        <v>0</v>
      </c>
      <c r="F387" s="5"/>
      <c r="G387" s="5"/>
      <c r="H387" s="5"/>
      <c r="I387" s="5"/>
      <c r="J387" s="5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1:28" ht="13.2">
      <c r="A388" s="3">
        <f>IF(ISBLANK(B388),,A387+1)</f>
        <v>0</v>
      </c>
      <c r="B388" s="50"/>
      <c r="C388" s="5"/>
      <c r="D388" s="5">
        <f>IF(C388="common",100,IF(C388="Uncommon",300,IF(C388="Rare",700,IF(C388="very rare",1100,IF(C388="Legendary",2000,0)))))</f>
        <v>0</v>
      </c>
      <c r="E388" s="5">
        <f>(F388*TRUNC(3+(15-3)*(TRUNC(MOD((A388*1103515245 +12345)/ 65536, 32768),0)/32768),0))+D388+(D388/10*F388)</f>
        <v>0</v>
      </c>
      <c r="F388" s="5"/>
      <c r="G388" s="5"/>
      <c r="H388" s="5"/>
      <c r="I388" s="5"/>
      <c r="J388" s="5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1:28" ht="13.2">
      <c r="A389" s="3">
        <f>IF(ISBLANK(B389),,A388+1)</f>
        <v>0</v>
      </c>
      <c r="B389" s="50"/>
      <c r="C389" s="5"/>
      <c r="D389" s="5">
        <f>IF(C389="common",100,IF(C389="Uncommon",300,IF(C389="Rare",700,IF(C389="very rare",1100,IF(C389="Legendary",2000,0)))))</f>
        <v>0</v>
      </c>
      <c r="E389" s="5">
        <f>(F389*TRUNC(3+(15-3)*(TRUNC(MOD((A389*1103515245 +12345)/ 65536, 32768),0)/32768),0))+D389+(D389/10*F389)</f>
        <v>0</v>
      </c>
      <c r="F389" s="5"/>
      <c r="G389" s="5"/>
      <c r="H389" s="5"/>
      <c r="I389" s="5"/>
      <c r="J389" s="5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1:28" ht="13.2">
      <c r="A390" s="3">
        <f>IF(ISBLANK(B390),,A389+1)</f>
        <v>0</v>
      </c>
      <c r="B390" s="50"/>
      <c r="C390" s="5"/>
      <c r="D390" s="5">
        <f>IF(C390="common",100,IF(C390="Uncommon",300,IF(C390="Rare",700,IF(C390="very rare",1100,IF(C390="Legendary",2000,0)))))</f>
        <v>0</v>
      </c>
      <c r="E390" s="5">
        <f>(F390*TRUNC(3+(15-3)*(TRUNC(MOD((A390*1103515245 +12345)/ 65536, 32768),0)/32768),0))+D390+(D390/10*F390)</f>
        <v>0</v>
      </c>
      <c r="F390" s="5"/>
      <c r="G390" s="5"/>
      <c r="H390" s="5"/>
      <c r="I390" s="5"/>
      <c r="J390" s="5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1:28" ht="13.2">
      <c r="A391" s="3">
        <f>IF(ISBLANK(B391),,A390+1)</f>
        <v>0</v>
      </c>
      <c r="B391" s="50"/>
      <c r="C391" s="5"/>
      <c r="D391" s="5">
        <f>IF(C391="common",100,IF(C391="Uncommon",300,IF(C391="Rare",700,IF(C391="very rare",1100,IF(C391="Legendary",2000,0)))))</f>
        <v>0</v>
      </c>
      <c r="E391" s="5">
        <f>(F391*TRUNC(3+(15-3)*(TRUNC(MOD((A391*1103515245 +12345)/ 65536, 32768),0)/32768),0))+D391+(D391/10*F391)</f>
        <v>0</v>
      </c>
      <c r="F391" s="5"/>
      <c r="G391" s="5"/>
      <c r="H391" s="5"/>
      <c r="I391" s="5"/>
      <c r="J391" s="5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1:28" ht="13.2">
      <c r="A392" s="3">
        <f>IF(ISBLANK(B392),,A391+1)</f>
        <v>0</v>
      </c>
      <c r="B392" s="50"/>
      <c r="C392" s="5"/>
      <c r="D392" s="5">
        <f>IF(C392="common",100,IF(C392="Uncommon",300,IF(C392="Rare",700,IF(C392="very rare",1100,IF(C392="Legendary",2000,0)))))</f>
        <v>0</v>
      </c>
      <c r="E392" s="5">
        <f>(F392*TRUNC(3+(15-3)*(TRUNC(MOD((A392*1103515245 +12345)/ 65536, 32768),0)/32768),0))+D392+(D392/10*F392)</f>
        <v>0</v>
      </c>
      <c r="F392" s="5"/>
      <c r="G392" s="5"/>
      <c r="H392" s="5"/>
      <c r="I392" s="5"/>
      <c r="J392" s="5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1:28" ht="13.2">
      <c r="A393" s="3">
        <f>IF(ISBLANK(B393),,A392+1)</f>
        <v>0</v>
      </c>
      <c r="B393" s="50"/>
      <c r="C393" s="5"/>
      <c r="D393" s="5">
        <f>IF(C393="common",100,IF(C393="Uncommon",300,IF(C393="Rare",700,IF(C393="very rare",1100,IF(C393="Legendary",2000,0)))))</f>
        <v>0</v>
      </c>
      <c r="E393" s="5">
        <f>(F393*TRUNC(3+(15-3)*(TRUNC(MOD((A393*1103515245 +12345)/ 65536, 32768),0)/32768),0))+D393+(D393/10*F393)</f>
        <v>0</v>
      </c>
      <c r="F393" s="5"/>
      <c r="G393" s="5"/>
      <c r="H393" s="5"/>
      <c r="I393" s="5"/>
      <c r="J393" s="5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1:28" ht="13.2">
      <c r="A394" s="3">
        <f>IF(ISBLANK(B394),,A393+1)</f>
        <v>0</v>
      </c>
      <c r="B394" s="50"/>
      <c r="C394" s="5"/>
      <c r="D394" s="5">
        <f>IF(C394="common",100,IF(C394="Uncommon",300,IF(C394="Rare",700,IF(C394="very rare",1100,IF(C394="Legendary",2000,0)))))</f>
        <v>0</v>
      </c>
      <c r="E394" s="5">
        <f>(F394*TRUNC(3+(15-3)*(TRUNC(MOD((A394*1103515245 +12345)/ 65536, 32768),0)/32768),0))+D394+(D394/10*F394)</f>
        <v>0</v>
      </c>
      <c r="F394" s="5"/>
      <c r="G394" s="5"/>
      <c r="H394" s="5"/>
      <c r="I394" s="5"/>
      <c r="J394" s="5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1:28" ht="13.2">
      <c r="A395" s="3">
        <f>IF(ISBLANK(B395),,A394+1)</f>
        <v>0</v>
      </c>
      <c r="B395" s="50"/>
      <c r="C395" s="5"/>
      <c r="D395" s="5">
        <f>IF(C395="common",100,IF(C395="Uncommon",300,IF(C395="Rare",700,IF(C395="very rare",1100,IF(C395="Legendary",2000,0)))))</f>
        <v>0</v>
      </c>
      <c r="E395" s="5">
        <f>(F395*TRUNC(3+(15-3)*(TRUNC(MOD((A395*1103515245 +12345)/ 65536, 32768),0)/32768),0))+D395+(D395/10*F395)</f>
        <v>0</v>
      </c>
      <c r="F395" s="5"/>
      <c r="G395" s="5"/>
      <c r="H395" s="5"/>
      <c r="I395" s="5"/>
      <c r="J395" s="5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1:28" ht="13.2">
      <c r="A396" s="3">
        <f>IF(ISBLANK(B396),,A395+1)</f>
        <v>0</v>
      </c>
      <c r="B396" s="50"/>
      <c r="C396" s="5"/>
      <c r="D396" s="5">
        <f>IF(C396="common",100,IF(C396="Uncommon",300,IF(C396="Rare",700,IF(C396="very rare",1100,IF(C396="Legendary",2000,0)))))</f>
        <v>0</v>
      </c>
      <c r="E396" s="5">
        <f>(F396*TRUNC(3+(15-3)*(TRUNC(MOD((A396*1103515245 +12345)/ 65536, 32768),0)/32768),0))+D396+(D396/10*F396)</f>
        <v>0</v>
      </c>
      <c r="F396" s="5"/>
      <c r="G396" s="5"/>
      <c r="H396" s="5"/>
      <c r="I396" s="5"/>
      <c r="J396" s="5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1:28" ht="13.2">
      <c r="A397" s="3">
        <f>IF(ISBLANK(B397),,A396+1)</f>
        <v>0</v>
      </c>
      <c r="B397" s="50"/>
      <c r="C397" s="5"/>
      <c r="D397" s="5">
        <f>IF(C397="common",100,IF(C397="Uncommon",300,IF(C397="Rare",700,IF(C397="very rare",1100,IF(C397="Legendary",2000,0)))))</f>
        <v>0</v>
      </c>
      <c r="E397" s="5">
        <f>(F397*TRUNC(3+(15-3)*(TRUNC(MOD((A397*1103515245 +12345)/ 65536, 32768),0)/32768),0))+D397+(D397/10*F397)</f>
        <v>0</v>
      </c>
      <c r="F397" s="5"/>
      <c r="G397" s="5"/>
      <c r="H397" s="5"/>
      <c r="I397" s="5"/>
      <c r="J397" s="5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1:28" ht="13.2">
      <c r="A398" s="3">
        <f>IF(ISBLANK(B398),,A397+1)</f>
        <v>0</v>
      </c>
      <c r="B398" s="50"/>
      <c r="C398" s="5"/>
      <c r="D398" s="5">
        <f>IF(C398="common",100,IF(C398="Uncommon",300,IF(C398="Rare",700,IF(C398="very rare",1100,IF(C398="Legendary",2000,0)))))</f>
        <v>0</v>
      </c>
      <c r="E398" s="5">
        <f>(F398*TRUNC(3+(15-3)*(TRUNC(MOD((A398*1103515245 +12345)/ 65536, 32768),0)/32768),0))+D398+(D398/10*F398)</f>
        <v>0</v>
      </c>
      <c r="F398" s="5"/>
      <c r="G398" s="5"/>
      <c r="H398" s="5"/>
      <c r="I398" s="5"/>
      <c r="J398" s="5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1:28" ht="13.2">
      <c r="A399" s="3">
        <f>IF(ISBLANK(B399),,A398+1)</f>
        <v>0</v>
      </c>
      <c r="B399" s="50"/>
      <c r="C399" s="5"/>
      <c r="D399" s="5">
        <f>IF(C399="common",100,IF(C399="Uncommon",300,IF(C399="Rare",700,IF(C399="very rare",1100,IF(C399="Legendary",2000,0)))))</f>
        <v>0</v>
      </c>
      <c r="E399" s="5">
        <f>(F399*TRUNC(3+(15-3)*(TRUNC(MOD((A399*1103515245 +12345)/ 65536, 32768),0)/32768),0))+D399+(D399/10*F399)</f>
        <v>0</v>
      </c>
      <c r="F399" s="5"/>
      <c r="G399" s="5"/>
      <c r="H399" s="5"/>
      <c r="I399" s="5"/>
      <c r="J399" s="5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1:28" ht="13.2">
      <c r="A400" s="3">
        <f>IF(ISBLANK(B400),,A399+1)</f>
        <v>0</v>
      </c>
      <c r="B400" s="50"/>
      <c r="C400" s="5"/>
      <c r="D400" s="5">
        <f>IF(C400="common",100,IF(C400="Uncommon",300,IF(C400="Rare",700,IF(C400="very rare",1100,IF(C400="Legendary",2000,0)))))</f>
        <v>0</v>
      </c>
      <c r="E400" s="5">
        <f>(F400*TRUNC(3+(15-3)*(TRUNC(MOD((A400*1103515245 +12345)/ 65536, 32768),0)/32768),0))+D400+(D400/10*F400)</f>
        <v>0</v>
      </c>
      <c r="F400" s="5"/>
      <c r="G400" s="5"/>
      <c r="H400" s="5"/>
      <c r="I400" s="5"/>
      <c r="J400" s="5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1:28" ht="13.2">
      <c r="A401" s="3">
        <f>IF(ISBLANK(B401),,A400+1)</f>
        <v>0</v>
      </c>
      <c r="B401" s="50"/>
      <c r="C401" s="5"/>
      <c r="D401" s="5">
        <f>IF(C401="common",100,IF(C401="Uncommon",300,IF(C401="Rare",700,IF(C401="very rare",1100,IF(C401="Legendary",2000,0)))))</f>
        <v>0</v>
      </c>
      <c r="E401" s="5">
        <f>(F401*TRUNC(3+(15-3)*(TRUNC(MOD((A401*1103515245 +12345)/ 65536, 32768),0)/32768),0))+D401+(D401/10*F401)</f>
        <v>0</v>
      </c>
      <c r="F401" s="5"/>
      <c r="G401" s="5"/>
      <c r="H401" s="5"/>
      <c r="I401" s="5"/>
      <c r="J401" s="5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1:28" ht="13.2">
      <c r="A402" s="3">
        <f>IF(ISBLANK(B402),,A401+1)</f>
        <v>0</v>
      </c>
      <c r="B402" s="50"/>
      <c r="C402" s="5"/>
      <c r="D402" s="5">
        <f>IF(C402="common",100,IF(C402="Uncommon",300,IF(C402="Rare",700,IF(C402="very rare",1100,IF(C402="Legendary",2000,0)))))</f>
        <v>0</v>
      </c>
      <c r="E402" s="5">
        <f>(F402*TRUNC(3+(15-3)*(TRUNC(MOD((A402*1103515245 +12345)/ 65536, 32768),0)/32768),0))+D402+(D402/10*F402)</f>
        <v>0</v>
      </c>
      <c r="F402" s="5"/>
      <c r="G402" s="5"/>
      <c r="H402" s="5"/>
      <c r="I402" s="5"/>
      <c r="J402" s="5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1:28" ht="13.2">
      <c r="A403" s="3">
        <f>IF(ISBLANK(B403),,A402+1)</f>
        <v>0</v>
      </c>
      <c r="B403" s="50"/>
      <c r="C403" s="5"/>
      <c r="D403" s="5">
        <f>IF(C403="common",100,IF(C403="Uncommon",300,IF(C403="Rare",700,IF(C403="very rare",1100,IF(C403="Legendary",2000,0)))))</f>
        <v>0</v>
      </c>
      <c r="E403" s="5">
        <f>(F403*TRUNC(3+(15-3)*(TRUNC(MOD((A403*1103515245 +12345)/ 65536, 32768),0)/32768),0))+D403+(D403/10*F403)</f>
        <v>0</v>
      </c>
      <c r="F403" s="5"/>
      <c r="G403" s="5"/>
      <c r="H403" s="5"/>
      <c r="I403" s="5"/>
      <c r="J403" s="5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1:28" ht="13.2">
      <c r="A404" s="3">
        <f>IF(ISBLANK(B404),,A403+1)</f>
        <v>0</v>
      </c>
      <c r="B404" s="50"/>
      <c r="C404" s="5"/>
      <c r="D404" s="5">
        <f>IF(C404="common",100,IF(C404="Uncommon",300,IF(C404="Rare",700,IF(C404="very rare",1100,IF(C404="Legendary",2000,0)))))</f>
        <v>0</v>
      </c>
      <c r="E404" s="5">
        <f>(F404*TRUNC(3+(15-3)*(TRUNC(MOD((A404*1103515245 +12345)/ 65536, 32768),0)/32768),0))+D404+(D404/10*F404)</f>
        <v>0</v>
      </c>
      <c r="F404" s="5"/>
      <c r="G404" s="5"/>
      <c r="H404" s="5"/>
      <c r="I404" s="5"/>
      <c r="J404" s="5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1:28" ht="13.2">
      <c r="A405" s="3">
        <f>IF(ISBLANK(B405),,A404+1)</f>
        <v>0</v>
      </c>
      <c r="B405" s="50"/>
      <c r="C405" s="5"/>
      <c r="D405" s="5">
        <f>IF(C405="common",100,IF(C405="Uncommon",300,IF(C405="Rare",700,IF(C405="very rare",1100,IF(C405="Legendary",2000,0)))))</f>
        <v>0</v>
      </c>
      <c r="E405" s="5">
        <f>(F405*TRUNC(3+(15-3)*(TRUNC(MOD((A405*1103515245 +12345)/ 65536, 32768),0)/32768),0))+D405+(D405/10*F405)</f>
        <v>0</v>
      </c>
      <c r="F405" s="5"/>
      <c r="G405" s="5"/>
      <c r="H405" s="5"/>
      <c r="I405" s="5"/>
      <c r="J405" s="5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1:28" ht="13.2">
      <c r="A406" s="3">
        <f>IF(ISBLANK(B406),,A405+1)</f>
        <v>0</v>
      </c>
      <c r="B406" s="50"/>
      <c r="C406" s="5"/>
      <c r="D406" s="5">
        <f>IF(C406="common",100,IF(C406="Uncommon",300,IF(C406="Rare",700,IF(C406="very rare",1100,IF(C406="Legendary",2000,0)))))</f>
        <v>0</v>
      </c>
      <c r="E406" s="5">
        <f>(F406*TRUNC(3+(15-3)*(TRUNC(MOD((A406*1103515245 +12345)/ 65536, 32768),0)/32768),0))+D406+(D406/10*F406)</f>
        <v>0</v>
      </c>
      <c r="F406" s="5"/>
      <c r="G406" s="5"/>
      <c r="H406" s="5"/>
      <c r="I406" s="5"/>
      <c r="J406" s="5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1:28" ht="13.2">
      <c r="A407" s="3">
        <f>IF(ISBLANK(B407),,A406+1)</f>
        <v>0</v>
      </c>
      <c r="B407" s="50"/>
      <c r="C407" s="5"/>
      <c r="D407" s="5">
        <f>IF(C407="common",100,IF(C407="Uncommon",300,IF(C407="Rare",700,IF(C407="very rare",1100,IF(C407="Legendary",2000,0)))))</f>
        <v>0</v>
      </c>
      <c r="E407" s="5">
        <f>(F407*TRUNC(3+(15-3)*(TRUNC(MOD((A407*1103515245 +12345)/ 65536, 32768),0)/32768),0))+D407+(D407/10*F407)</f>
        <v>0</v>
      </c>
      <c r="F407" s="5"/>
      <c r="G407" s="5"/>
      <c r="H407" s="5"/>
      <c r="I407" s="5"/>
      <c r="J407" s="5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1:28" ht="13.2">
      <c r="A408" s="3">
        <f>IF(ISBLANK(B408),,A407+1)</f>
        <v>0</v>
      </c>
      <c r="B408" s="50"/>
      <c r="C408" s="5"/>
      <c r="D408" s="5">
        <f>IF(C408="common",100,IF(C408="Uncommon",300,IF(C408="Rare",700,IF(C408="very rare",1100,IF(C408="Legendary",2000,0)))))</f>
        <v>0</v>
      </c>
      <c r="E408" s="5">
        <f>(F408*TRUNC(3+(15-3)*(TRUNC(MOD((A408*1103515245 +12345)/ 65536, 32768),0)/32768),0))+D408+(D408/10*F408)</f>
        <v>0</v>
      </c>
      <c r="F408" s="5"/>
      <c r="G408" s="5"/>
      <c r="H408" s="5"/>
      <c r="I408" s="5"/>
      <c r="J408" s="5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1:28" ht="13.2">
      <c r="A409" s="3">
        <f>IF(ISBLANK(B409),,A408+1)</f>
        <v>0</v>
      </c>
      <c r="B409" s="50"/>
      <c r="C409" s="5"/>
      <c r="D409" s="5">
        <f>IF(C409="common",100,IF(C409="Uncommon",300,IF(C409="Rare",700,IF(C409="very rare",1100,IF(C409="Legendary",2000,0)))))</f>
        <v>0</v>
      </c>
      <c r="E409" s="5">
        <f>(F409*TRUNC(3+(15-3)*(TRUNC(MOD((A409*1103515245 +12345)/ 65536, 32768),0)/32768),0))+D409+(D409/10*F409)</f>
        <v>0</v>
      </c>
      <c r="F409" s="5"/>
      <c r="G409" s="5"/>
      <c r="H409" s="5"/>
      <c r="I409" s="5"/>
      <c r="J409" s="5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1:28" ht="13.2">
      <c r="A410" s="3">
        <f>IF(ISBLANK(B410),,A409+1)</f>
        <v>0</v>
      </c>
      <c r="B410" s="50"/>
      <c r="C410" s="5"/>
      <c r="D410" s="5">
        <f>IF(C410="common",100,IF(C410="Uncommon",300,IF(C410="Rare",700,IF(C410="very rare",1100,IF(C410="Legendary",2000,0)))))</f>
        <v>0</v>
      </c>
      <c r="E410" s="5">
        <f>(F410*TRUNC(3+(15-3)*(TRUNC(MOD((A410*1103515245 +12345)/ 65536, 32768),0)/32768),0))+D410+(D410/10*F410)</f>
        <v>0</v>
      </c>
      <c r="F410" s="5"/>
      <c r="G410" s="5"/>
      <c r="H410" s="5"/>
      <c r="I410" s="5"/>
      <c r="J410" s="5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1:28" ht="13.2">
      <c r="A411" s="3">
        <f>IF(ISBLANK(B411),,A410+1)</f>
        <v>0</v>
      </c>
      <c r="B411" s="50"/>
      <c r="C411" s="5"/>
      <c r="D411" s="5">
        <f>IF(C411="common",100,IF(C411="Uncommon",300,IF(C411="Rare",700,IF(C411="very rare",1100,IF(C411="Legendary",2000,0)))))</f>
        <v>0</v>
      </c>
      <c r="E411" s="5">
        <f>(F411*TRUNC(3+(15-3)*(TRUNC(MOD((A411*1103515245 +12345)/ 65536, 32768),0)/32768),0))+D411+(D411/10*F411)</f>
        <v>0</v>
      </c>
      <c r="F411" s="5"/>
      <c r="G411" s="5"/>
      <c r="H411" s="5"/>
      <c r="I411" s="5"/>
      <c r="J411" s="5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1:28" ht="13.2">
      <c r="A412" s="3">
        <f>IF(ISBLANK(B412),,A411+1)</f>
        <v>0</v>
      </c>
      <c r="B412" s="50"/>
      <c r="C412" s="5"/>
      <c r="D412" s="5">
        <f>IF(C412="common",100,IF(C412="Uncommon",300,IF(C412="Rare",700,IF(C412="very rare",1100,IF(C412="Legendary",2000,0)))))</f>
        <v>0</v>
      </c>
      <c r="E412" s="5">
        <f>(F412*TRUNC(3+(15-3)*(TRUNC(MOD((A412*1103515245 +12345)/ 65536, 32768),0)/32768),0))+D412+(D412/10*F412)</f>
        <v>0</v>
      </c>
      <c r="F412" s="5"/>
      <c r="G412" s="5"/>
      <c r="H412" s="5"/>
      <c r="I412" s="5"/>
      <c r="J412" s="5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1:28" ht="13.2">
      <c r="A413" s="3">
        <f>IF(ISBLANK(B413),,A412+1)</f>
        <v>0</v>
      </c>
      <c r="B413" s="50"/>
      <c r="C413" s="5"/>
      <c r="D413" s="5">
        <f>IF(C413="common",100,IF(C413="Uncommon",300,IF(C413="Rare",700,IF(C413="very rare",1100,IF(C413="Legendary",2000,0)))))</f>
        <v>0</v>
      </c>
      <c r="E413" s="5">
        <f>(F413*TRUNC(3+(15-3)*(TRUNC(MOD((A413*1103515245 +12345)/ 65536, 32768),0)/32768),0))+D413+(D413/10*F413)</f>
        <v>0</v>
      </c>
      <c r="F413" s="5"/>
      <c r="G413" s="5"/>
      <c r="H413" s="5"/>
      <c r="I413" s="5"/>
      <c r="J413" s="5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1:28" ht="13.2">
      <c r="A414" s="3">
        <f>IF(ISBLANK(B414),,A413+1)</f>
        <v>0</v>
      </c>
      <c r="B414" s="50"/>
      <c r="C414" s="5"/>
      <c r="D414" s="5">
        <f>IF(C414="common",100,IF(C414="Uncommon",300,IF(C414="Rare",700,IF(C414="very rare",1100,IF(C414="Legendary",2000,0)))))</f>
        <v>0</v>
      </c>
      <c r="E414" s="5">
        <f>(F414*TRUNC(3+(15-3)*(TRUNC(MOD((A414*1103515245 +12345)/ 65536, 32768),0)/32768),0))+D414+(D414/10*F414)</f>
        <v>0</v>
      </c>
      <c r="F414" s="5"/>
      <c r="G414" s="5"/>
      <c r="H414" s="5"/>
      <c r="I414" s="5"/>
      <c r="J414" s="5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1:28" ht="13.2">
      <c r="A415" s="3">
        <f>IF(ISBLANK(B415),,A414+1)</f>
        <v>0</v>
      </c>
      <c r="B415" s="50"/>
      <c r="C415" s="5"/>
      <c r="D415" s="5">
        <f>IF(C415="common",100,IF(C415="Uncommon",300,IF(C415="Rare",700,IF(C415="very rare",1100,IF(C415="Legendary",2000,0)))))</f>
        <v>0</v>
      </c>
      <c r="E415" s="5">
        <f>(F415*TRUNC(3+(15-3)*(TRUNC(MOD((A415*1103515245 +12345)/ 65536, 32768),0)/32768),0))+D415+(D415/10*F415)</f>
        <v>0</v>
      </c>
      <c r="F415" s="5"/>
      <c r="G415" s="5"/>
      <c r="H415" s="5"/>
      <c r="I415" s="5"/>
      <c r="J415" s="5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1:28" ht="13.2">
      <c r="A416" s="3">
        <f>IF(ISBLANK(B416),,A415+1)</f>
        <v>0</v>
      </c>
      <c r="B416" s="50"/>
      <c r="C416" s="5"/>
      <c r="D416" s="5">
        <f>IF(C416="common",100,IF(C416="Uncommon",300,IF(C416="Rare",700,IF(C416="very rare",1100,IF(C416="Legendary",2000,0)))))</f>
        <v>0</v>
      </c>
      <c r="E416" s="5">
        <f>(F416*TRUNC(3+(15-3)*(TRUNC(MOD((A416*1103515245 +12345)/ 65536, 32768),0)/32768),0))+D416+(D416/10*F416)</f>
        <v>0</v>
      </c>
      <c r="F416" s="5"/>
      <c r="G416" s="5"/>
      <c r="H416" s="5"/>
      <c r="I416" s="5"/>
      <c r="J416" s="5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1:28" ht="13.2">
      <c r="A417" s="3">
        <f>IF(ISBLANK(B417),,A416+1)</f>
        <v>0</v>
      </c>
      <c r="B417" s="50"/>
      <c r="C417" s="5"/>
      <c r="D417" s="5">
        <f>IF(C417="common",100,IF(C417="Uncommon",300,IF(C417="Rare",700,IF(C417="very rare",1100,IF(C417="Legendary",2000,0)))))</f>
        <v>0</v>
      </c>
      <c r="E417" s="5">
        <f>(F417*TRUNC(3+(15-3)*(TRUNC(MOD((A417*1103515245 +12345)/ 65536, 32768),0)/32768),0))+D417+(D417/10*F417)</f>
        <v>0</v>
      </c>
      <c r="F417" s="5"/>
      <c r="G417" s="5"/>
      <c r="H417" s="5"/>
      <c r="I417" s="5"/>
      <c r="J417" s="5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1:28" ht="13.2">
      <c r="A418" s="3">
        <f>IF(ISBLANK(B418),,A417+1)</f>
        <v>0</v>
      </c>
      <c r="B418" s="50"/>
      <c r="C418" s="5"/>
      <c r="D418" s="5">
        <f>IF(C418="common",100,IF(C418="Uncommon",300,IF(C418="Rare",700,IF(C418="very rare",1100,IF(C418="Legendary",2000,0)))))</f>
        <v>0</v>
      </c>
      <c r="E418" s="5">
        <f>(F418*TRUNC(3+(15-3)*(TRUNC(MOD((A418*1103515245 +12345)/ 65536, 32768),0)/32768),0))+D418+(D418/10*F418)</f>
        <v>0</v>
      </c>
      <c r="F418" s="5"/>
      <c r="G418" s="5"/>
      <c r="H418" s="5"/>
      <c r="I418" s="5"/>
      <c r="J418" s="5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1:28" ht="13.2">
      <c r="A419" s="3">
        <f>IF(ISBLANK(B419),,A418+1)</f>
        <v>0</v>
      </c>
      <c r="B419" s="50"/>
      <c r="C419" s="5"/>
      <c r="D419" s="5">
        <f>IF(C419="common",100,IF(C419="Uncommon",300,IF(C419="Rare",700,IF(C419="very rare",1100,IF(C419="Legendary",2000,0)))))</f>
        <v>0</v>
      </c>
      <c r="E419" s="5">
        <f>(F419*TRUNC(3+(15-3)*(TRUNC(MOD((A419*1103515245 +12345)/ 65536, 32768),0)/32768),0))+D419+(D419/10*F419)</f>
        <v>0</v>
      </c>
      <c r="F419" s="5"/>
      <c r="G419" s="5"/>
      <c r="H419" s="5"/>
      <c r="I419" s="5"/>
      <c r="J419" s="5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1:28" ht="13.2">
      <c r="A420" s="3">
        <f>IF(ISBLANK(B420),,A419+1)</f>
        <v>0</v>
      </c>
      <c r="B420" s="50"/>
      <c r="C420" s="5"/>
      <c r="D420" s="5">
        <f>IF(C420="common",100,IF(C420="Uncommon",300,IF(C420="Rare",700,IF(C420="very rare",1100,IF(C420="Legendary",2000,0)))))</f>
        <v>0</v>
      </c>
      <c r="E420" s="5">
        <f>(F420*TRUNC(3+(15-3)*(TRUNC(MOD((A420*1103515245 +12345)/ 65536, 32768),0)/32768),0))+D420+(D420/10*F420)</f>
        <v>0</v>
      </c>
      <c r="F420" s="5"/>
      <c r="G420" s="5"/>
      <c r="H420" s="5"/>
      <c r="I420" s="5"/>
      <c r="J420" s="5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1:28" ht="13.2">
      <c r="A421" s="3">
        <f>IF(ISBLANK(B421),,A420+1)</f>
        <v>0</v>
      </c>
      <c r="B421" s="50"/>
      <c r="C421" s="5"/>
      <c r="D421" s="5">
        <f>IF(C421="common",100,IF(C421="Uncommon",300,IF(C421="Rare",700,IF(C421="very rare",1100,IF(C421="Legendary",2000,0)))))</f>
        <v>0</v>
      </c>
      <c r="E421" s="5">
        <f>(F421*TRUNC(3+(15-3)*(TRUNC(MOD((A421*1103515245 +12345)/ 65536, 32768),0)/32768),0))+D421+(D421/10*F421)</f>
        <v>0</v>
      </c>
      <c r="F421" s="5"/>
      <c r="G421" s="5"/>
      <c r="H421" s="5"/>
      <c r="I421" s="5"/>
      <c r="J421" s="5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1:28" ht="13.2">
      <c r="A422" s="3">
        <f>IF(ISBLANK(B422),,A421+1)</f>
        <v>0</v>
      </c>
      <c r="B422" s="50"/>
      <c r="C422" s="5"/>
      <c r="D422" s="5">
        <f>IF(C422="common",100,IF(C422="Uncommon",300,IF(C422="Rare",700,IF(C422="very rare",1100,IF(C422="Legendary",2000,0)))))</f>
        <v>0</v>
      </c>
      <c r="E422" s="5">
        <f>(F422*TRUNC(3+(15-3)*(TRUNC(MOD((A422*1103515245 +12345)/ 65536, 32768),0)/32768),0))+D422+(D422/10*F422)</f>
        <v>0</v>
      </c>
      <c r="F422" s="5"/>
      <c r="G422" s="5"/>
      <c r="H422" s="5"/>
      <c r="I422" s="5"/>
      <c r="J422" s="5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1:28" ht="13.2">
      <c r="A423" s="3">
        <f>IF(ISBLANK(B423),,A422+1)</f>
        <v>0</v>
      </c>
      <c r="B423" s="50"/>
      <c r="C423" s="5"/>
      <c r="D423" s="5">
        <f>IF(C423="common",100,IF(C423="Uncommon",300,IF(C423="Rare",700,IF(C423="very rare",1100,IF(C423="Legendary",2000,0)))))</f>
        <v>0</v>
      </c>
      <c r="E423" s="5">
        <f>(F423*TRUNC(3+(15-3)*(TRUNC(MOD((A423*1103515245 +12345)/ 65536, 32768),0)/32768),0))+D423+(D423/10*F423)</f>
        <v>0</v>
      </c>
      <c r="F423" s="5"/>
      <c r="G423" s="5"/>
      <c r="H423" s="5"/>
      <c r="I423" s="5"/>
      <c r="J423" s="5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1:28" ht="13.2">
      <c r="A424" s="3">
        <f>IF(ISBLANK(B424),,A423+1)</f>
        <v>0</v>
      </c>
      <c r="B424" s="50"/>
      <c r="C424" s="5"/>
      <c r="D424" s="5">
        <f>IF(C424="common",100,IF(C424="Uncommon",300,IF(C424="Rare",700,IF(C424="very rare",1100,IF(C424="Legendary",2000,0)))))</f>
        <v>0</v>
      </c>
      <c r="E424" s="5">
        <f>(F424*TRUNC(3+(15-3)*(TRUNC(MOD((A424*1103515245 +12345)/ 65536, 32768),0)/32768),0))+D424+(D424/10*F424)</f>
        <v>0</v>
      </c>
      <c r="F424" s="5"/>
      <c r="G424" s="5"/>
      <c r="H424" s="5"/>
      <c r="I424" s="5"/>
      <c r="J424" s="5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1:28" ht="13.2">
      <c r="A425" s="3">
        <f>IF(ISBLANK(B425),,A424+1)</f>
        <v>0</v>
      </c>
      <c r="B425" s="50"/>
      <c r="C425" s="5"/>
      <c r="D425" s="5">
        <f>IF(C425="common",100,IF(C425="Uncommon",300,IF(C425="Rare",700,IF(C425="very rare",1100,IF(C425="Legendary",2000,0)))))</f>
        <v>0</v>
      </c>
      <c r="E425" s="5">
        <f>(F425*TRUNC(3+(15-3)*(TRUNC(MOD((A425*1103515245 +12345)/ 65536, 32768),0)/32768),0))+D425+(D425/10*F425)</f>
        <v>0</v>
      </c>
      <c r="F425" s="5"/>
      <c r="G425" s="5"/>
      <c r="H425" s="5"/>
      <c r="I425" s="5"/>
      <c r="J425" s="5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1:28" ht="13.2">
      <c r="A426" s="3">
        <f>IF(ISBLANK(B426),,A425+1)</f>
        <v>0</v>
      </c>
      <c r="B426" s="50"/>
      <c r="C426" s="5"/>
      <c r="D426" s="5">
        <f>IF(C426="common",100,IF(C426="Uncommon",300,IF(C426="Rare",700,IF(C426="very rare",1100,IF(C426="Legendary",2000,0)))))</f>
        <v>0</v>
      </c>
      <c r="E426" s="5">
        <f>(F426*TRUNC(3+(15-3)*(TRUNC(MOD((A426*1103515245 +12345)/ 65536, 32768),0)/32768),0))+D426+(D426/10*F426)</f>
        <v>0</v>
      </c>
      <c r="F426" s="5"/>
      <c r="G426" s="5"/>
      <c r="H426" s="5"/>
      <c r="I426" s="5"/>
      <c r="J426" s="5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1:28" ht="13.2">
      <c r="A427" s="3">
        <f>IF(ISBLANK(B427),,A426+1)</f>
        <v>0</v>
      </c>
      <c r="B427" s="50"/>
      <c r="C427" s="5"/>
      <c r="D427" s="5">
        <f>IF(C427="common",100,IF(C427="Uncommon",300,IF(C427="Rare",700,IF(C427="very rare",1100,IF(C427="Legendary",2000,0)))))</f>
        <v>0</v>
      </c>
      <c r="E427" s="5">
        <f>(F427*TRUNC(3+(15-3)*(TRUNC(MOD((A427*1103515245 +12345)/ 65536, 32768),0)/32768),0))+D427+(D427/10*F427)</f>
        <v>0</v>
      </c>
      <c r="F427" s="5"/>
      <c r="G427" s="5"/>
      <c r="H427" s="5"/>
      <c r="I427" s="5"/>
      <c r="J427" s="5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1:28" ht="13.2">
      <c r="A428" s="3">
        <f>IF(ISBLANK(B428),,A427+1)</f>
        <v>0</v>
      </c>
      <c r="B428" s="50"/>
      <c r="C428" s="5"/>
      <c r="D428" s="5">
        <f>IF(C428="common",100,IF(C428="Uncommon",300,IF(C428="Rare",700,IF(C428="very rare",1100,IF(C428="Legendary",2000,0)))))</f>
        <v>0</v>
      </c>
      <c r="E428" s="5">
        <f>(F428*TRUNC(3+(15-3)*(TRUNC(MOD((A428*1103515245 +12345)/ 65536, 32768),0)/32768),0))+D428+(D428/10*F428)</f>
        <v>0</v>
      </c>
      <c r="F428" s="5"/>
      <c r="G428" s="5"/>
      <c r="H428" s="5"/>
      <c r="I428" s="5"/>
      <c r="J428" s="5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1:28" ht="13.2">
      <c r="A429" s="3">
        <f>IF(ISBLANK(B429),,A428+1)</f>
        <v>0</v>
      </c>
      <c r="B429" s="50"/>
      <c r="C429" s="5"/>
      <c r="D429" s="5">
        <f>IF(C429="common",100,IF(C429="Uncommon",300,IF(C429="Rare",700,IF(C429="very rare",1100,IF(C429="Legendary",2000,0)))))</f>
        <v>0</v>
      </c>
      <c r="E429" s="5">
        <f>(F429*TRUNC(3+(15-3)*(TRUNC(MOD((A429*1103515245 +12345)/ 65536, 32768),0)/32768),0))+D429+(D429/10*F429)</f>
        <v>0</v>
      </c>
      <c r="F429" s="5"/>
      <c r="G429" s="5"/>
      <c r="H429" s="5"/>
      <c r="I429" s="5"/>
      <c r="J429" s="5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1:28" ht="13.2">
      <c r="A430" s="3">
        <f>IF(ISBLANK(B430),,A429+1)</f>
        <v>0</v>
      </c>
      <c r="B430" s="50"/>
      <c r="C430" s="5"/>
      <c r="D430" s="5">
        <f>IF(C430="common",100,IF(C430="Uncommon",300,IF(C430="Rare",700,IF(C430="very rare",1100,IF(C430="Legendary",2000,0)))))</f>
        <v>0</v>
      </c>
      <c r="E430" s="5">
        <f>(F430*TRUNC(3+(15-3)*(TRUNC(MOD((A430*1103515245 +12345)/ 65536, 32768),0)/32768),0))+D430+(D430/10*F430)</f>
        <v>0</v>
      </c>
      <c r="F430" s="5"/>
      <c r="G430" s="5"/>
      <c r="H430" s="5"/>
      <c r="I430" s="5"/>
      <c r="J430" s="5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1:28" ht="13.2">
      <c r="A431" s="3">
        <f>IF(ISBLANK(B431),,A430+1)</f>
        <v>0</v>
      </c>
      <c r="B431" s="50"/>
      <c r="C431" s="5"/>
      <c r="D431" s="5">
        <f>IF(C431="common",100,IF(C431="Uncommon",300,IF(C431="Rare",700,IF(C431="very rare",1100,IF(C431="Legendary",2000,0)))))</f>
        <v>0</v>
      </c>
      <c r="E431" s="5">
        <f>(F431*TRUNC(3+(15-3)*(TRUNC(MOD((A431*1103515245 +12345)/ 65536, 32768),0)/32768),0))+D431+(D431/10*F431)</f>
        <v>0</v>
      </c>
      <c r="F431" s="5"/>
      <c r="G431" s="5"/>
      <c r="H431" s="5"/>
      <c r="I431" s="5"/>
      <c r="J431" s="5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1:28" ht="13.2">
      <c r="A432" s="3">
        <f>IF(ISBLANK(B432),,A431+1)</f>
        <v>0</v>
      </c>
      <c r="B432" s="50"/>
      <c r="C432" s="5"/>
      <c r="D432" s="5">
        <f>IF(C432="common",100,IF(C432="Uncommon",300,IF(C432="Rare",700,IF(C432="very rare",1100,IF(C432="Legendary",2000,0)))))</f>
        <v>0</v>
      </c>
      <c r="E432" s="5">
        <f>(F432*TRUNC(3+(15-3)*(TRUNC(MOD((A432*1103515245 +12345)/ 65536, 32768),0)/32768),0))+D432+(D432/10*F432)</f>
        <v>0</v>
      </c>
      <c r="F432" s="5"/>
      <c r="G432" s="5"/>
      <c r="H432" s="5"/>
      <c r="I432" s="5"/>
      <c r="J432" s="5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1:28" ht="13.2">
      <c r="A433" s="3">
        <f>IF(ISBLANK(B433),,A432+1)</f>
        <v>0</v>
      </c>
      <c r="B433" s="50"/>
      <c r="C433" s="5"/>
      <c r="D433" s="5">
        <f>IF(C433="common",100,IF(C433="Uncommon",300,IF(C433="Rare",700,IF(C433="very rare",1100,IF(C433="Legendary",2000,0)))))</f>
        <v>0</v>
      </c>
      <c r="E433" s="5">
        <f>(F433*TRUNC(3+(15-3)*(TRUNC(MOD((A433*1103515245 +12345)/ 65536, 32768),0)/32768),0))+D433+(D433/10*F433)</f>
        <v>0</v>
      </c>
      <c r="F433" s="5"/>
      <c r="G433" s="5"/>
      <c r="H433" s="5"/>
      <c r="I433" s="5"/>
      <c r="J433" s="5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1:28" ht="13.2">
      <c r="A434" s="3">
        <f>IF(ISBLANK(B434),,A433+1)</f>
        <v>0</v>
      </c>
      <c r="B434" s="50"/>
      <c r="C434" s="5"/>
      <c r="D434" s="5">
        <f>IF(C434="common",100,IF(C434="Uncommon",300,IF(C434="Rare",700,IF(C434="very rare",1100,IF(C434="Legendary",2000,0)))))</f>
        <v>0</v>
      </c>
      <c r="E434" s="5">
        <f>(F434*TRUNC(3+(15-3)*(TRUNC(MOD((A434*1103515245 +12345)/ 65536, 32768),0)/32768),0))+D434+(D434/10*F434)</f>
        <v>0</v>
      </c>
      <c r="F434" s="5"/>
      <c r="G434" s="5"/>
      <c r="H434" s="5"/>
      <c r="I434" s="5"/>
      <c r="J434" s="5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1:28" ht="13.2">
      <c r="A435" s="3">
        <f>IF(ISBLANK(B435),,A434+1)</f>
        <v>0</v>
      </c>
      <c r="B435" s="50"/>
      <c r="C435" s="5"/>
      <c r="D435" s="5">
        <f>IF(C435="common",100,IF(C435="Uncommon",300,IF(C435="Rare",700,IF(C435="very rare",1100,IF(C435="Legendary",2000,0)))))</f>
        <v>0</v>
      </c>
      <c r="E435" s="5">
        <f>(F435*TRUNC(3+(15-3)*(TRUNC(MOD((A435*1103515245 +12345)/ 65536, 32768),0)/32768),0))+D435+(D435/10*F435)</f>
        <v>0</v>
      </c>
      <c r="F435" s="5"/>
      <c r="G435" s="5"/>
      <c r="H435" s="5"/>
      <c r="I435" s="5"/>
      <c r="J435" s="5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1:28" ht="13.2">
      <c r="A436" s="3">
        <f>IF(ISBLANK(B436),,A435+1)</f>
        <v>0</v>
      </c>
      <c r="B436" s="50"/>
      <c r="C436" s="5"/>
      <c r="D436" s="5">
        <f>IF(C436="common",100,IF(C436="Uncommon",300,IF(C436="Rare",700,IF(C436="very rare",1100,IF(C436="Legendary",2000,0)))))</f>
        <v>0</v>
      </c>
      <c r="E436" s="5">
        <f>(F436*TRUNC(3+(15-3)*(TRUNC(MOD((A436*1103515245 +12345)/ 65536, 32768),0)/32768),0))+D436+(D436/10*F436)</f>
        <v>0</v>
      </c>
      <c r="F436" s="5"/>
      <c r="G436" s="5"/>
      <c r="H436" s="5"/>
      <c r="I436" s="5"/>
      <c r="J436" s="5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1:28" ht="13.2">
      <c r="A437" s="3">
        <f>IF(ISBLANK(B437),,A436+1)</f>
        <v>0</v>
      </c>
      <c r="B437" s="50"/>
      <c r="C437" s="5"/>
      <c r="D437" s="5">
        <f>IF(C437="common",100,IF(C437="Uncommon",300,IF(C437="Rare",700,IF(C437="very rare",1100,IF(C437="Legendary",2000,0)))))</f>
        <v>0</v>
      </c>
      <c r="E437" s="5">
        <f>(F437*TRUNC(3+(15-3)*(TRUNC(MOD((A437*1103515245 +12345)/ 65536, 32768),0)/32768),0))+D437+(D437/10*F437)</f>
        <v>0</v>
      </c>
      <c r="F437" s="5"/>
      <c r="G437" s="5"/>
      <c r="H437" s="5"/>
      <c r="I437" s="5"/>
      <c r="J437" s="5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1:28" ht="13.2">
      <c r="A438" s="3">
        <f>IF(ISBLANK(B438),,A437+1)</f>
        <v>0</v>
      </c>
      <c r="B438" s="50"/>
      <c r="C438" s="5"/>
      <c r="D438" s="5">
        <f>IF(C438="common",100,IF(C438="Uncommon",300,IF(C438="Rare",700,IF(C438="very rare",1100,IF(C438="Legendary",2000,0)))))</f>
        <v>0</v>
      </c>
      <c r="E438" s="5">
        <f>(F438*TRUNC(3+(15-3)*(TRUNC(MOD((A438*1103515245 +12345)/ 65536, 32768),0)/32768),0))+D438+(D438/10*F438)</f>
        <v>0</v>
      </c>
      <c r="F438" s="5"/>
      <c r="G438" s="5"/>
      <c r="H438" s="5"/>
      <c r="I438" s="5"/>
      <c r="J438" s="5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1:28" ht="13.2">
      <c r="A439" s="3">
        <f>IF(ISBLANK(B439),,A438+1)</f>
        <v>0</v>
      </c>
      <c r="B439" s="50"/>
      <c r="C439" s="5"/>
      <c r="D439" s="5">
        <f>IF(C439="common",100,IF(C439="Uncommon",300,IF(C439="Rare",700,IF(C439="very rare",1100,IF(C439="Legendary",2000,0)))))</f>
        <v>0</v>
      </c>
      <c r="E439" s="5">
        <f>(F439*TRUNC(3+(15-3)*(TRUNC(MOD((A439*1103515245 +12345)/ 65536, 32768),0)/32768),0))+D439+(D439/10*F439)</f>
        <v>0</v>
      </c>
      <c r="F439" s="5"/>
      <c r="G439" s="5"/>
      <c r="H439" s="5"/>
      <c r="I439" s="5"/>
      <c r="J439" s="5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1:28" ht="13.2">
      <c r="A440" s="3">
        <f>IF(ISBLANK(B440),,A439+1)</f>
        <v>0</v>
      </c>
      <c r="B440" s="50"/>
      <c r="C440" s="5"/>
      <c r="D440" s="5">
        <f>IF(C440="common",100,IF(C440="Uncommon",300,IF(C440="Rare",700,IF(C440="very rare",1100,IF(C440="Legendary",2000,0)))))</f>
        <v>0</v>
      </c>
      <c r="E440" s="5">
        <f>(F440*TRUNC(3+(15-3)*(TRUNC(MOD((A440*1103515245 +12345)/ 65536, 32768),0)/32768),0))+D440+(D440/10*F440)</f>
        <v>0</v>
      </c>
      <c r="F440" s="5"/>
      <c r="G440" s="5"/>
      <c r="H440" s="5"/>
      <c r="I440" s="5"/>
      <c r="J440" s="5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1:28" ht="13.2">
      <c r="A441" s="3">
        <f>IF(ISBLANK(B441),,A440+1)</f>
        <v>0</v>
      </c>
      <c r="B441" s="50"/>
      <c r="C441" s="5"/>
      <c r="D441" s="5">
        <f>IF(C441="common",100,IF(C441="Uncommon",300,IF(C441="Rare",700,IF(C441="very rare",1100,IF(C441="Legendary",2000,0)))))</f>
        <v>0</v>
      </c>
      <c r="E441" s="5">
        <f>(F441*TRUNC(3+(15-3)*(TRUNC(MOD((A441*1103515245 +12345)/ 65536, 32768),0)/32768),0))+D441+(D441/10*F441)</f>
        <v>0</v>
      </c>
      <c r="F441" s="5"/>
      <c r="G441" s="5"/>
      <c r="H441" s="5"/>
      <c r="I441" s="5"/>
      <c r="J441" s="5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1:28" ht="13.2">
      <c r="A442" s="3">
        <f>IF(ISBLANK(B442),,A441+1)</f>
        <v>0</v>
      </c>
      <c r="B442" s="50"/>
      <c r="C442" s="5"/>
      <c r="D442" s="5">
        <f>IF(C442="common",100,IF(C442="Uncommon",300,IF(C442="Rare",700,IF(C442="very rare",1100,IF(C442="Legendary",2000,0)))))</f>
        <v>0</v>
      </c>
      <c r="E442" s="5">
        <f>(F442*TRUNC(3+(15-3)*(TRUNC(MOD((A442*1103515245 +12345)/ 65536, 32768),0)/32768),0))+D442+(D442/10*F442)</f>
        <v>0</v>
      </c>
      <c r="F442" s="5"/>
      <c r="G442" s="5"/>
      <c r="H442" s="5"/>
      <c r="I442" s="5"/>
      <c r="J442" s="5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1:28" ht="13.2">
      <c r="A443" s="3">
        <f>IF(ISBLANK(B443),,A442+1)</f>
        <v>0</v>
      </c>
      <c r="B443" s="50"/>
      <c r="C443" s="5"/>
      <c r="D443" s="5">
        <f>IF(C443="common",100,IF(C443="Uncommon",300,IF(C443="Rare",700,IF(C443="very rare",1100,IF(C443="Legendary",2000,0)))))</f>
        <v>0</v>
      </c>
      <c r="E443" s="5">
        <f>(F443*TRUNC(3+(15-3)*(TRUNC(MOD((A443*1103515245 +12345)/ 65536, 32768),0)/32768),0))+D443+(D443/10*F443)</f>
        <v>0</v>
      </c>
      <c r="F443" s="5"/>
      <c r="G443" s="5"/>
      <c r="H443" s="5"/>
      <c r="I443" s="5"/>
      <c r="J443" s="5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1:28" ht="13.2">
      <c r="A444" s="3">
        <f>IF(ISBLANK(B444),,A443+1)</f>
        <v>0</v>
      </c>
      <c r="B444" s="50"/>
      <c r="C444" s="5"/>
      <c r="D444" s="5">
        <f>IF(C444="common",100,IF(C444="Uncommon",300,IF(C444="Rare",700,IF(C444="very rare",1100,IF(C444="Legendary",2000,0)))))</f>
        <v>0</v>
      </c>
      <c r="E444" s="5">
        <f>(F444*TRUNC(3+(15-3)*(TRUNC(MOD((A444*1103515245 +12345)/ 65536, 32768),0)/32768),0))+D444+(D444/10*F444)</f>
        <v>0</v>
      </c>
      <c r="F444" s="5"/>
      <c r="G444" s="5"/>
      <c r="H444" s="5"/>
      <c r="I444" s="5"/>
      <c r="J444" s="5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1:28" ht="13.2">
      <c r="A445" s="3">
        <f>IF(ISBLANK(B445),,A444+1)</f>
        <v>0</v>
      </c>
      <c r="B445" s="50"/>
      <c r="C445" s="5"/>
      <c r="D445" s="5">
        <f>IF(C445="common",100,IF(C445="Uncommon",300,IF(C445="Rare",700,IF(C445="very rare",1100,IF(C445="Legendary",2000,0)))))</f>
        <v>0</v>
      </c>
      <c r="E445" s="5">
        <f>(F445*TRUNC(3+(15-3)*(TRUNC(MOD((A445*1103515245 +12345)/ 65536, 32768),0)/32768),0))+D445+(D445/10*F445)</f>
        <v>0</v>
      </c>
      <c r="F445" s="5"/>
      <c r="G445" s="5"/>
      <c r="H445" s="5"/>
      <c r="I445" s="5"/>
      <c r="J445" s="5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1:28" ht="13.2">
      <c r="A446" s="3">
        <f>IF(ISBLANK(B446),,A445+1)</f>
        <v>0</v>
      </c>
      <c r="B446" s="50"/>
      <c r="C446" s="5"/>
      <c r="D446" s="5">
        <f>IF(C446="common",100,IF(C446="Uncommon",300,IF(C446="Rare",700,IF(C446="very rare",1100,IF(C446="Legendary",2000,0)))))</f>
        <v>0</v>
      </c>
      <c r="E446" s="5">
        <f>(F446*TRUNC(3+(15-3)*(TRUNC(MOD((A446*1103515245 +12345)/ 65536, 32768),0)/32768),0))+D446+(D446/10*F446)</f>
        <v>0</v>
      </c>
      <c r="F446" s="5"/>
      <c r="G446" s="5"/>
      <c r="H446" s="5"/>
      <c r="I446" s="5"/>
      <c r="J446" s="5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1:28" ht="13.2">
      <c r="A447" s="3">
        <f>IF(ISBLANK(B447),,A446+1)</f>
        <v>0</v>
      </c>
      <c r="B447" s="50"/>
      <c r="C447" s="5"/>
      <c r="D447" s="5">
        <f>IF(C447="common",100,IF(C447="Uncommon",300,IF(C447="Rare",700,IF(C447="very rare",1100,IF(C447="Legendary",2000,0)))))</f>
        <v>0</v>
      </c>
      <c r="E447" s="5">
        <f>(F447*TRUNC(3+(15-3)*(TRUNC(MOD((A447*1103515245 +12345)/ 65536, 32768),0)/32768),0))+D447+(D447/10*F447)</f>
        <v>0</v>
      </c>
      <c r="F447" s="5"/>
      <c r="G447" s="5"/>
      <c r="H447" s="5"/>
      <c r="I447" s="5"/>
      <c r="J447" s="5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1:28" ht="13.2">
      <c r="A448" s="3">
        <f>IF(ISBLANK(B448),,A447+1)</f>
        <v>0</v>
      </c>
      <c r="B448" s="50"/>
      <c r="C448" s="5"/>
      <c r="D448" s="5">
        <f>IF(C448="common",100,IF(C448="Uncommon",300,IF(C448="Rare",700,IF(C448="very rare",1100,IF(C448="Legendary",2000,0)))))</f>
        <v>0</v>
      </c>
      <c r="E448" s="5">
        <f>(F448*TRUNC(3+(15-3)*(TRUNC(MOD((A448*1103515245 +12345)/ 65536, 32768),0)/32768),0))+D448+(D448/10*F448)</f>
        <v>0</v>
      </c>
      <c r="F448" s="5"/>
      <c r="G448" s="5"/>
      <c r="H448" s="5"/>
      <c r="I448" s="5"/>
      <c r="J448" s="5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1:28" ht="13.2">
      <c r="A449" s="3">
        <f>IF(ISBLANK(B449),,A448+1)</f>
        <v>0</v>
      </c>
      <c r="B449" s="50"/>
      <c r="C449" s="5"/>
      <c r="D449" s="5">
        <f>IF(C449="common",100,IF(C449="Uncommon",300,IF(C449="Rare",700,IF(C449="very rare",1100,IF(C449="Legendary",2000,0)))))</f>
        <v>0</v>
      </c>
      <c r="E449" s="5">
        <f>(F449*TRUNC(3+(15-3)*(TRUNC(MOD((A449*1103515245 +12345)/ 65536, 32768),0)/32768),0))+D449+(D449/10*F449)</f>
        <v>0</v>
      </c>
      <c r="F449" s="5"/>
      <c r="G449" s="5"/>
      <c r="H449" s="5"/>
      <c r="I449" s="5"/>
      <c r="J449" s="5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1:28" ht="13.2">
      <c r="A450" s="3">
        <f>IF(ISBLANK(B450),,A449+1)</f>
        <v>0</v>
      </c>
      <c r="B450" s="50"/>
      <c r="C450" s="5"/>
      <c r="D450" s="5">
        <f>IF(C450="common",100,IF(C450="Uncommon",300,IF(C450="Rare",700,IF(C450="very rare",1100,IF(C450="Legendary",2000,0)))))</f>
        <v>0</v>
      </c>
      <c r="E450" s="5">
        <f>(F450*TRUNC(3+(15-3)*(TRUNC(MOD((A450*1103515245 +12345)/ 65536, 32768),0)/32768),0))+D450+(D450/10*F450)</f>
        <v>0</v>
      </c>
      <c r="F450" s="5"/>
      <c r="G450" s="5"/>
      <c r="H450" s="5"/>
      <c r="I450" s="5"/>
      <c r="J450" s="5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1:28" ht="13.2">
      <c r="A451" s="3">
        <f>IF(ISBLANK(B451),,A450+1)</f>
        <v>0</v>
      </c>
      <c r="B451" s="50"/>
      <c r="C451" s="5"/>
      <c r="D451" s="5">
        <f>IF(C451="common",100,IF(C451="Uncommon",300,IF(C451="Rare",700,IF(C451="very rare",1100,IF(C451="Legendary",2000,0)))))</f>
        <v>0</v>
      </c>
      <c r="E451" s="5">
        <f>(F451*TRUNC(3+(15-3)*(TRUNC(MOD((A451*1103515245 +12345)/ 65536, 32768),0)/32768),0))+D451+(D451/10*F451)</f>
        <v>0</v>
      </c>
      <c r="F451" s="5"/>
      <c r="G451" s="5"/>
      <c r="H451" s="5"/>
      <c r="I451" s="5"/>
      <c r="J451" s="5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1:28" ht="13.2">
      <c r="A452" s="3">
        <f>IF(ISBLANK(B452),,A451+1)</f>
        <v>0</v>
      </c>
      <c r="B452" s="50"/>
      <c r="C452" s="5"/>
      <c r="D452" s="5">
        <f>IF(C452="common",100,IF(C452="Uncommon",300,IF(C452="Rare",700,IF(C452="very rare",1100,IF(C452="Legendary",2000,0)))))</f>
        <v>0</v>
      </c>
      <c r="E452" s="5">
        <f>(F452*TRUNC(3+(15-3)*(TRUNC(MOD((A452*1103515245 +12345)/ 65536, 32768),0)/32768),0))+D452+(D452/10*F452)</f>
        <v>0</v>
      </c>
      <c r="F452" s="5"/>
      <c r="G452" s="5"/>
      <c r="H452" s="5"/>
      <c r="I452" s="5"/>
      <c r="J452" s="5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1:28" ht="13.2">
      <c r="A453" s="3">
        <f>IF(ISBLANK(B453),,A452+1)</f>
        <v>0</v>
      </c>
      <c r="B453" s="50"/>
      <c r="C453" s="5"/>
      <c r="D453" s="5">
        <f>IF(C453="common",100,IF(C453="Uncommon",300,IF(C453="Rare",700,IF(C453="very rare",1100,IF(C453="Legendary",2000,0)))))</f>
        <v>0</v>
      </c>
      <c r="E453" s="5">
        <f>(F453*TRUNC(3+(15-3)*(TRUNC(MOD((A453*1103515245 +12345)/ 65536, 32768),0)/32768),0))+D453+(D453/10*F453)</f>
        <v>0</v>
      </c>
      <c r="F453" s="5"/>
      <c r="G453" s="5"/>
      <c r="H453" s="5"/>
      <c r="I453" s="5"/>
      <c r="J453" s="5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1:28" ht="13.2">
      <c r="A454" s="3">
        <f>IF(ISBLANK(B454),,A453+1)</f>
        <v>0</v>
      </c>
      <c r="B454" s="50"/>
      <c r="C454" s="5"/>
      <c r="D454" s="5">
        <f>IF(C454="common",100,IF(C454="Uncommon",300,IF(C454="Rare",700,IF(C454="very rare",1100,IF(C454="Legendary",2000,0)))))</f>
        <v>0</v>
      </c>
      <c r="E454" s="5">
        <f>(F454*TRUNC(3+(15-3)*(TRUNC(MOD((A454*1103515245 +12345)/ 65536, 32768),0)/32768),0))+D454+(D454/10*F454)</f>
        <v>0</v>
      </c>
      <c r="F454" s="5"/>
      <c r="G454" s="5"/>
      <c r="H454" s="5"/>
      <c r="I454" s="5"/>
      <c r="J454" s="5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1:28" ht="13.2">
      <c r="A455" s="3">
        <f>IF(ISBLANK(B455),,A454+1)</f>
        <v>0</v>
      </c>
      <c r="B455" s="50"/>
      <c r="C455" s="5"/>
      <c r="D455" s="5">
        <f>IF(C455="common",100,IF(C455="Uncommon",300,IF(C455="Rare",700,IF(C455="very rare",1100,IF(C455="Legendary",2000,0)))))</f>
        <v>0</v>
      </c>
      <c r="E455" s="5">
        <f>(F455*TRUNC(3+(15-3)*(TRUNC(MOD((A455*1103515245 +12345)/ 65536, 32768),0)/32768),0))+D455+(D455/10*F455)</f>
        <v>0</v>
      </c>
      <c r="F455" s="5"/>
      <c r="G455" s="5"/>
      <c r="H455" s="5"/>
      <c r="I455" s="5"/>
      <c r="J455" s="5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1:28" ht="13.2">
      <c r="A456" s="3">
        <f>IF(ISBLANK(B456),,A455+1)</f>
        <v>0</v>
      </c>
      <c r="B456" s="50"/>
      <c r="C456" s="5"/>
      <c r="D456" s="5">
        <f>IF(C456="common",100,IF(C456="Uncommon",300,IF(C456="Rare",700,IF(C456="very rare",1100,IF(C456="Legendary",2000,0)))))</f>
        <v>0</v>
      </c>
      <c r="E456" s="5">
        <f>(F456*TRUNC(3+(15-3)*(TRUNC(MOD((A456*1103515245 +12345)/ 65536, 32768),0)/32768),0))+D456+(D456/10*F456)</f>
        <v>0</v>
      </c>
      <c r="F456" s="5"/>
      <c r="G456" s="5"/>
      <c r="H456" s="5"/>
      <c r="I456" s="5"/>
      <c r="J456" s="5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1:28" ht="13.2">
      <c r="A457" s="3">
        <f>IF(ISBLANK(B457),,A456+1)</f>
        <v>0</v>
      </c>
      <c r="B457" s="50"/>
      <c r="C457" s="5"/>
      <c r="D457" s="5">
        <f>IF(C457="common",100,IF(C457="Uncommon",300,IF(C457="Rare",700,IF(C457="very rare",1100,IF(C457="Legendary",2000,0)))))</f>
        <v>0</v>
      </c>
      <c r="E457" s="5">
        <f>(F457*TRUNC(3+(15-3)*(TRUNC(MOD((A457*1103515245 +12345)/ 65536, 32768),0)/32768),0))+D457+(D457/10*F457)</f>
        <v>0</v>
      </c>
      <c r="F457" s="5"/>
      <c r="G457" s="5"/>
      <c r="H457" s="5"/>
      <c r="I457" s="5"/>
      <c r="J457" s="5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1:28" ht="13.2">
      <c r="A458" s="3">
        <f>IF(ISBLANK(B458),,A457+1)</f>
        <v>0</v>
      </c>
      <c r="B458" s="50"/>
      <c r="C458" s="5"/>
      <c r="D458" s="5">
        <f>IF(C458="common",100,IF(C458="Uncommon",300,IF(C458="Rare",700,IF(C458="very rare",1100,IF(C458="Legendary",2000,0)))))</f>
        <v>0</v>
      </c>
      <c r="E458" s="5">
        <f>(F458*TRUNC(3+(15-3)*(TRUNC(MOD((A458*1103515245 +12345)/ 65536, 32768),0)/32768),0))+D458+(D458/10*F458)</f>
        <v>0</v>
      </c>
      <c r="F458" s="5"/>
      <c r="G458" s="5"/>
      <c r="H458" s="5"/>
      <c r="I458" s="5"/>
      <c r="J458" s="5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1:28" ht="13.2">
      <c r="A459" s="3">
        <f>IF(ISBLANK(B459),,A458+1)</f>
        <v>0</v>
      </c>
      <c r="B459" s="50"/>
      <c r="C459" s="5"/>
      <c r="D459" s="5">
        <f>IF(C459="common",100,IF(C459="Uncommon",300,IF(C459="Rare",700,IF(C459="very rare",1100,IF(C459="Legendary",2000,0)))))</f>
        <v>0</v>
      </c>
      <c r="E459" s="5">
        <f>(F459*TRUNC(3+(15-3)*(TRUNC(MOD((A459*1103515245 +12345)/ 65536, 32768),0)/32768),0))+D459+(D459/10*F459)</f>
        <v>0</v>
      </c>
      <c r="F459" s="5"/>
      <c r="G459" s="5"/>
      <c r="H459" s="5"/>
      <c r="I459" s="5"/>
      <c r="J459" s="5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1:28" ht="13.2">
      <c r="A460" s="3"/>
      <c r="B460" s="50"/>
      <c r="C460" s="5"/>
      <c r="D460" s="5">
        <f>IF(C460="common",100,IF(C460="Uncommon",300,IF(C460="Rare",700,IF(C460="very rare",1100,IF(C460="Legendary",2000,0)))))</f>
        <v>0</v>
      </c>
      <c r="E460" s="5">
        <f>(F460*TRUNC(3+(15-3)*(TRUNC(MOD((A460*1103515245 +12345)/ 65536, 32768),0)/32768),0))+D460+(D460/10*F460)</f>
        <v>0</v>
      </c>
      <c r="F460" s="5"/>
      <c r="G460" s="5"/>
      <c r="H460" s="5"/>
      <c r="I460" s="5"/>
      <c r="J460" s="5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1:28" ht="13.2">
      <c r="A461" s="3"/>
      <c r="B461" s="50"/>
      <c r="C461" s="5"/>
      <c r="D461" s="5">
        <f>IF(C461="common",100,IF(C461="Uncommon",300,IF(C461="Rare",700,IF(C461="very rare",1100,IF(C461="Legendary",2000,0)))))</f>
        <v>0</v>
      </c>
      <c r="E461" s="5">
        <f>(F461*TRUNC(3+(15-3)*(TRUNC(MOD((A461*1103515245 +12345)/ 65536, 32768),0)/32768),0))+D461+(D461/10*F461)</f>
        <v>0</v>
      </c>
      <c r="F461" s="5"/>
      <c r="G461" s="5"/>
      <c r="H461" s="5"/>
      <c r="I461" s="5"/>
      <c r="J461" s="5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1:28" ht="13.2">
      <c r="A462" s="3"/>
      <c r="B462" s="50"/>
      <c r="C462" s="5"/>
      <c r="D462" s="5">
        <f>IF(C462="common",100,IF(C462="Uncommon",300,IF(C462="Rare",700,IF(C462="very rare",1100,IF(C462="Legendary",2000,0)))))</f>
        <v>0</v>
      </c>
      <c r="E462" s="5">
        <f>(F462*TRUNC(3+(15-3)*(TRUNC(MOD((A462*1103515245 +12345)/ 65536, 32768),0)/32768),0))+D462+(D462/10*F462)</f>
        <v>0</v>
      </c>
      <c r="F462" s="5"/>
      <c r="G462" s="5"/>
      <c r="H462" s="5"/>
      <c r="I462" s="5"/>
      <c r="J462" s="5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1:28" ht="13.2">
      <c r="A463" s="3"/>
      <c r="B463" s="50"/>
      <c r="C463" s="5"/>
      <c r="D463" s="5">
        <f>IF(C463="common",100,IF(C463="Uncommon",300,IF(C463="Rare",700,IF(C463="very rare",1100,IF(C463="Legendary",2000,0)))))</f>
        <v>0</v>
      </c>
      <c r="E463" s="5">
        <f>(F463*TRUNC(3+(15-3)*(TRUNC(MOD((A463*1103515245 +12345)/ 65536, 32768),0)/32768),0))+D463+(D463/10*F463)</f>
        <v>0</v>
      </c>
      <c r="F463" s="5"/>
      <c r="G463" s="5"/>
      <c r="H463" s="5"/>
      <c r="I463" s="5"/>
      <c r="J463" s="5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1:28" ht="13.2">
      <c r="A464" s="3"/>
      <c r="B464" s="50"/>
      <c r="C464" s="5"/>
      <c r="D464" s="5">
        <f>IF(C464="common",100,IF(C464="Uncommon",300,IF(C464="Rare",700,IF(C464="very rare",1100,IF(C464="Legendary",2000,0)))))</f>
        <v>0</v>
      </c>
      <c r="E464" s="5">
        <f>(F464*TRUNC(3+(15-3)*(TRUNC(MOD((A464*1103515245 +12345)/ 65536, 32768),0)/32768),0))+D464+(D464/10*F464)</f>
        <v>0</v>
      </c>
      <c r="F464" s="5"/>
      <c r="G464" s="5"/>
      <c r="H464" s="5"/>
      <c r="I464" s="5"/>
      <c r="J464" s="5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1:28" ht="13.2">
      <c r="A465" s="3"/>
      <c r="B465" s="50"/>
      <c r="C465" s="5"/>
      <c r="D465" s="5">
        <f>IF(C465="common",100,IF(C465="Uncommon",300,IF(C465="Rare",700,IF(C465="very rare",1100,IF(C465="Legendary",2000,0)))))</f>
        <v>0</v>
      </c>
      <c r="E465" s="5">
        <f>(F465*TRUNC(3+(15-3)*(TRUNC(MOD((A465*1103515245 +12345)/ 65536, 32768),0)/32768),0))+D465+(D465/10*F465)</f>
        <v>0</v>
      </c>
      <c r="F465" s="5"/>
      <c r="G465" s="5"/>
      <c r="H465" s="5"/>
      <c r="I465" s="5"/>
      <c r="J465" s="5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1:28" ht="13.2">
      <c r="A466" s="3"/>
      <c r="B466" s="50"/>
      <c r="C466" s="5"/>
      <c r="D466" s="5">
        <f>IF(C466="common",100,IF(C466="Uncommon",300,IF(C466="Rare",700,IF(C466="very rare",1100,IF(C466="Legendary",2000,0)))))</f>
        <v>0</v>
      </c>
      <c r="E466" s="5">
        <f>(F466*TRUNC(3+(15-3)*(TRUNC(MOD((A466*1103515245 +12345)/ 65536, 32768),0)/32768),0))+D466+(D466/10*F466)</f>
        <v>0</v>
      </c>
      <c r="F466" s="5"/>
      <c r="G466" s="5"/>
      <c r="H466" s="5"/>
      <c r="I466" s="5"/>
      <c r="J466" s="5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1:28" ht="13.2">
      <c r="A467" s="3"/>
      <c r="B467" s="50"/>
      <c r="C467" s="5"/>
      <c r="D467" s="5">
        <f>IF(C467="common",100,IF(C467="Uncommon",300,IF(C467="Rare",700,IF(C467="very rare",1100,IF(C467="Legendary",2000,0)))))</f>
        <v>0</v>
      </c>
      <c r="E467" s="5">
        <f>(F467*TRUNC(3+(15-3)*(TRUNC(MOD((A467*1103515245 +12345)/ 65536, 32768),0)/32768),0))+D467+(D467/10*F467)</f>
        <v>0</v>
      </c>
      <c r="F467" s="5"/>
      <c r="G467" s="5"/>
      <c r="H467" s="5"/>
      <c r="I467" s="5"/>
      <c r="J467" s="5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1:28" ht="13.2">
      <c r="A468" s="3"/>
      <c r="B468" s="50"/>
      <c r="C468" s="5"/>
      <c r="D468" s="5">
        <f>IF(C468="common",100,IF(C468="Uncommon",300,IF(C468="Rare",700,IF(C468="very rare",1100,IF(C468="Legendary",2000,0)))))</f>
        <v>0</v>
      </c>
      <c r="E468" s="5">
        <f>(F468*TRUNC(3+(15-3)*(TRUNC(MOD((A468*1103515245 +12345)/ 65536, 32768),0)/32768),0))+D468+(D468/10*F468)</f>
        <v>0</v>
      </c>
      <c r="F468" s="5"/>
      <c r="G468" s="5"/>
      <c r="H468" s="5"/>
      <c r="I468" s="5"/>
      <c r="J468" s="5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1:28" ht="13.2">
      <c r="A469" s="3"/>
      <c r="B469" s="50"/>
      <c r="C469" s="5"/>
      <c r="D469" s="5">
        <f>IF(C469="common",100,IF(C469="Uncommon",300,IF(C469="Rare",700,IF(C469="very rare",1100,IF(C469="Legendary",2000,0)))))</f>
        <v>0</v>
      </c>
      <c r="E469" s="5">
        <f>(F469*TRUNC(3+(15-3)*(TRUNC(MOD((A469*1103515245 +12345)/ 65536, 32768),0)/32768),0))+D469+(D469/10*F469)</f>
        <v>0</v>
      </c>
      <c r="F469" s="5"/>
      <c r="G469" s="5"/>
      <c r="H469" s="5"/>
      <c r="I469" s="5"/>
      <c r="J469" s="5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1:28" ht="13.2">
      <c r="A470" s="3"/>
      <c r="B470" s="50"/>
      <c r="C470" s="5"/>
      <c r="D470" s="5">
        <f>IF(C470="common",100,IF(C470="Uncommon",300,IF(C470="Rare",700,IF(C470="very rare",1100,IF(C470="Legendary",2000,0)))))</f>
        <v>0</v>
      </c>
      <c r="E470" s="5">
        <f>(F470*TRUNC(3+(15-3)*(TRUNC(MOD((A470*1103515245 +12345)/ 65536, 32768),0)/32768),0))+D470+(D470/10*F470)</f>
        <v>0</v>
      </c>
      <c r="F470" s="5"/>
      <c r="G470" s="5"/>
      <c r="H470" s="5"/>
      <c r="I470" s="5"/>
      <c r="J470" s="5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1:28" ht="13.2">
      <c r="A471" s="3"/>
      <c r="B471" s="50"/>
      <c r="C471" s="5"/>
      <c r="D471" s="5">
        <f>IF(C471="common",100,IF(C471="Uncommon",300,IF(C471="Rare",700,IF(C471="very rare",1100,IF(C471="Legendary",2000,0)))))</f>
        <v>0</v>
      </c>
      <c r="E471" s="5">
        <f>(F471*TRUNC(3+(15-3)*(TRUNC(MOD((A471*1103515245 +12345)/ 65536, 32768),0)/32768),0))+D471+(D471/10*F471)</f>
        <v>0</v>
      </c>
      <c r="F471" s="5"/>
      <c r="G471" s="5"/>
      <c r="H471" s="5"/>
      <c r="I471" s="5"/>
      <c r="J471" s="5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1:28" ht="13.2">
      <c r="A472" s="3"/>
      <c r="B472" s="50"/>
      <c r="C472" s="5"/>
      <c r="D472" s="5">
        <f>IF(C472="common",100,IF(C472="Uncommon",300,IF(C472="Rare",700,IF(C472="very rare",1100,IF(C472="Legendary",2000,0)))))</f>
        <v>0</v>
      </c>
      <c r="E472" s="5">
        <f>(F472*TRUNC(3+(15-3)*(TRUNC(MOD((A472*1103515245 +12345)/ 65536, 32768),0)/32768),0))+D472+(D472/10*F472)</f>
        <v>0</v>
      </c>
      <c r="F472" s="5"/>
      <c r="G472" s="5"/>
      <c r="H472" s="5"/>
      <c r="I472" s="5"/>
      <c r="J472" s="5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1:28" ht="13.2">
      <c r="A473" s="3"/>
      <c r="B473" s="50"/>
      <c r="C473" s="5"/>
      <c r="D473" s="5">
        <f>IF(C473="common",100,IF(C473="Uncommon",300,IF(C473="Rare",700,IF(C473="very rare",1100,IF(C473="Legendary",2000,0)))))</f>
        <v>0</v>
      </c>
      <c r="E473" s="5">
        <f>(F473*TRUNC(3+(15-3)*(TRUNC(MOD((A473*1103515245 +12345)/ 65536, 32768),0)/32768),0))+D473+(D473/10*F473)</f>
        <v>0</v>
      </c>
      <c r="F473" s="5"/>
      <c r="G473" s="5"/>
      <c r="H473" s="5"/>
      <c r="I473" s="5"/>
      <c r="J473" s="5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1:28" ht="13.2">
      <c r="A474" s="3"/>
      <c r="B474" s="50"/>
      <c r="C474" s="5"/>
      <c r="D474" s="5">
        <f>IF(C474="common",100,IF(C474="Uncommon",300,IF(C474="Rare",700,IF(C474="very rare",1100,IF(C474="Legendary",2000,0)))))</f>
        <v>0</v>
      </c>
      <c r="E474" s="5">
        <f>(F474*TRUNC(3+(15-3)*(TRUNC(MOD((A474*1103515245 +12345)/ 65536, 32768),0)/32768),0))+D474+(D474/10*F474)</f>
        <v>0</v>
      </c>
      <c r="F474" s="5"/>
      <c r="G474" s="5"/>
      <c r="H474" s="5"/>
      <c r="I474" s="5"/>
      <c r="J474" s="5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1:28" ht="13.2">
      <c r="A475" s="3"/>
      <c r="B475" s="50"/>
      <c r="C475" s="5"/>
      <c r="D475" s="5">
        <f>IF(C475="common",100,IF(C475="Uncommon",300,IF(C475="Rare",700,IF(C475="very rare",1100,IF(C475="Legendary",2000,0)))))</f>
        <v>0</v>
      </c>
      <c r="E475" s="5">
        <f>(F475*TRUNC(3+(15-3)*(TRUNC(MOD((A475*1103515245 +12345)/ 65536, 32768),0)/32768),0))+D475+(D475/10*F475)</f>
        <v>0</v>
      </c>
      <c r="F475" s="5"/>
      <c r="G475" s="5"/>
      <c r="H475" s="5"/>
      <c r="I475" s="5"/>
      <c r="J475" s="5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1:28" ht="13.2">
      <c r="A476" s="3"/>
      <c r="B476" s="50"/>
      <c r="C476" s="5"/>
      <c r="D476" s="5">
        <f>IF(C476="common",100,IF(C476="Uncommon",300,IF(C476="Rare",700,IF(C476="very rare",1100,IF(C476="Legendary",2000,0)))))</f>
        <v>0</v>
      </c>
      <c r="E476" s="5">
        <f>(F476*TRUNC(3+(15-3)*(TRUNC(MOD((A476*1103515245 +12345)/ 65536, 32768),0)/32768),0))+D476+(D476/10*F476)</f>
        <v>0</v>
      </c>
      <c r="F476" s="5"/>
      <c r="G476" s="5"/>
      <c r="H476" s="5"/>
      <c r="I476" s="5"/>
      <c r="J476" s="5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1:28" ht="13.2">
      <c r="A477" s="3"/>
      <c r="B477" s="50"/>
      <c r="C477" s="5"/>
      <c r="D477" s="5">
        <f>IF(C477="common",100,IF(C477="Uncommon",300,IF(C477="Rare",700,IF(C477="very rare",1100,IF(C477="Legendary",2000,0)))))</f>
        <v>0</v>
      </c>
      <c r="E477" s="5">
        <f>(F477*TRUNC(3+(15-3)*(TRUNC(MOD((A477*1103515245 +12345)/ 65536, 32768),0)/32768),0))+D477+(D477/10*F477)</f>
        <v>0</v>
      </c>
      <c r="F477" s="5"/>
      <c r="G477" s="5"/>
      <c r="H477" s="5"/>
      <c r="I477" s="5"/>
      <c r="J477" s="5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1:28" ht="13.2">
      <c r="A478" s="3"/>
      <c r="B478" s="50"/>
      <c r="C478" s="5"/>
      <c r="D478" s="5">
        <f>IF(C478="common",100,IF(C478="Uncommon",300,IF(C478="Rare",700,IF(C478="very rare",1100,IF(C478="Legendary",2000,0)))))</f>
        <v>0</v>
      </c>
      <c r="E478" s="5">
        <f>(F478*TRUNC(3+(15-3)*(TRUNC(MOD((A478*1103515245 +12345)/ 65536, 32768),0)/32768),0))+D478+(D478/10*F478)</f>
        <v>0</v>
      </c>
      <c r="F478" s="5"/>
      <c r="G478" s="5"/>
      <c r="H478" s="5"/>
      <c r="I478" s="5"/>
      <c r="J478" s="5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1:28" ht="13.2">
      <c r="A479" s="3"/>
      <c r="B479" s="50"/>
      <c r="C479" s="5"/>
      <c r="D479" s="5">
        <f>IF(C479="common",100,IF(C479="Uncommon",300,IF(C479="Rare",700,IF(C479="very rare",1100,IF(C479="Legendary",2000,0)))))</f>
        <v>0</v>
      </c>
      <c r="E479" s="5">
        <f>(F479*TRUNC(3+(15-3)*(TRUNC(MOD((A479*1103515245 +12345)/ 65536, 32768),0)/32768),0))+D479+(D479/10*F479)</f>
        <v>0</v>
      </c>
      <c r="F479" s="5"/>
      <c r="G479" s="5"/>
      <c r="H479" s="5"/>
      <c r="I479" s="5"/>
      <c r="J479" s="5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1:28" ht="13.2">
      <c r="A480" s="3"/>
      <c r="B480" s="50"/>
      <c r="C480" s="5"/>
      <c r="D480" s="5">
        <f>IF(C480="common",100,IF(C480="Uncommon",300,IF(C480="Rare",700,IF(C480="very rare",1100,IF(C480="Legendary",2000,0)))))</f>
        <v>0</v>
      </c>
      <c r="E480" s="5">
        <f>(F480*TRUNC(3+(15-3)*(TRUNC(MOD((A480*1103515245 +12345)/ 65536, 32768),0)/32768),0))+D480+(D480/10*F480)</f>
        <v>0</v>
      </c>
      <c r="F480" s="5"/>
      <c r="G480" s="5"/>
      <c r="H480" s="5"/>
      <c r="I480" s="5"/>
      <c r="J480" s="5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1:28" ht="13.2">
      <c r="A481" s="3"/>
      <c r="B481" s="50"/>
      <c r="C481" s="5"/>
      <c r="D481" s="5">
        <f>IF(C481="common",100,IF(C481="Uncommon",300,IF(C481="Rare",700,IF(C481="very rare",1100,IF(C481="Legendary",2000,0)))))</f>
        <v>0</v>
      </c>
      <c r="E481" s="5">
        <f>(F481*TRUNC(3+(15-3)*(TRUNC(MOD((A481*1103515245 +12345)/ 65536, 32768),0)/32768),0))+D481+(D481/10*F481)</f>
        <v>0</v>
      </c>
      <c r="F481" s="5"/>
      <c r="G481" s="5"/>
      <c r="H481" s="5"/>
      <c r="I481" s="5"/>
      <c r="J481" s="5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1:28" ht="13.2">
      <c r="A482" s="3"/>
      <c r="B482" s="50"/>
      <c r="C482" s="5"/>
      <c r="D482" s="5">
        <f>IF(C482="common",100,IF(C482="Uncommon",300,IF(C482="Rare",700,IF(C482="very rare",1100,IF(C482="Legendary",2000,0)))))</f>
        <v>0</v>
      </c>
      <c r="E482" s="5">
        <f>(F482*TRUNC(3+(15-3)*(TRUNC(MOD((A482*1103515245 +12345)/ 65536, 32768),0)/32768),0))+D482+(D482/10*F482)</f>
        <v>0</v>
      </c>
      <c r="F482" s="5"/>
      <c r="G482" s="5"/>
      <c r="H482" s="5"/>
      <c r="I482" s="5"/>
      <c r="J482" s="5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1:28" ht="13.2">
      <c r="A483" s="3"/>
      <c r="B483" s="50"/>
      <c r="C483" s="5"/>
      <c r="D483" s="5">
        <f>IF(C483="common",100,IF(C483="Uncommon",300,IF(C483="Rare",700,IF(C483="very rare",1100,IF(C483="Legendary",2000,0)))))</f>
        <v>0</v>
      </c>
      <c r="E483" s="5">
        <f>(F483*TRUNC(3+(15-3)*(TRUNC(MOD((A483*1103515245 +12345)/ 65536, 32768),0)/32768),0))+D483+(D483/10*F483)</f>
        <v>0</v>
      </c>
      <c r="F483" s="5"/>
      <c r="G483" s="5"/>
      <c r="H483" s="5"/>
      <c r="I483" s="5"/>
      <c r="J483" s="5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1:28" ht="13.2">
      <c r="A484" s="3"/>
      <c r="B484" s="50"/>
      <c r="C484" s="5"/>
      <c r="D484" s="5">
        <f>IF(C484="common",100,IF(C484="Uncommon",300,IF(C484="Rare",700,IF(C484="very rare",1100,IF(C484="Legendary",2000,0)))))</f>
        <v>0</v>
      </c>
      <c r="E484" s="5">
        <f>(F484*TRUNC(3+(15-3)*(TRUNC(MOD((A484*1103515245 +12345)/ 65536, 32768),0)/32768),0))+D484+(D484/10*F484)</f>
        <v>0</v>
      </c>
      <c r="F484" s="5"/>
      <c r="G484" s="5"/>
      <c r="H484" s="5"/>
      <c r="I484" s="5"/>
      <c r="J484" s="5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1:28" ht="13.2">
      <c r="A485" s="3"/>
      <c r="B485" s="50"/>
      <c r="C485" s="5"/>
      <c r="D485" s="5">
        <f>IF(C485="common",100,IF(C485="Uncommon",300,IF(C485="Rare",700,IF(C485="very rare",1100,IF(C485="Legendary",2000,0)))))</f>
        <v>0</v>
      </c>
      <c r="E485" s="5">
        <f>(F485*TRUNC(3+(15-3)*(TRUNC(MOD((A485*1103515245 +12345)/ 65536, 32768),0)/32768),0))+D485+(D485/10*F485)</f>
        <v>0</v>
      </c>
      <c r="F485" s="5"/>
      <c r="G485" s="5"/>
      <c r="H485" s="5"/>
      <c r="I485" s="5"/>
      <c r="J485" s="5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1:28" ht="13.2">
      <c r="A486" s="3"/>
      <c r="B486" s="50"/>
      <c r="C486" s="5"/>
      <c r="D486" s="5">
        <f>IF(C486="common",100,IF(C486="Uncommon",300,IF(C486="Rare",700,IF(C486="very rare",1100,IF(C486="Legendary",2000,0)))))</f>
        <v>0</v>
      </c>
      <c r="E486" s="5">
        <f>(F486*TRUNC(3+(15-3)*(TRUNC(MOD((A486*1103515245 +12345)/ 65536, 32768),0)/32768),0))+D486+(D486/10*F486)</f>
        <v>0</v>
      </c>
      <c r="F486" s="5"/>
      <c r="G486" s="5"/>
      <c r="H486" s="5"/>
      <c r="I486" s="5"/>
      <c r="J486" s="5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1:28" ht="13.2">
      <c r="A487" s="3"/>
      <c r="B487" s="50"/>
      <c r="C487" s="5"/>
      <c r="D487" s="5">
        <f>IF(C487="common",100,IF(C487="Uncommon",300,IF(C487="Rare",700,IF(C487="very rare",1100,IF(C487="Legendary",2000,0)))))</f>
        <v>0</v>
      </c>
      <c r="E487" s="5">
        <f>(F487*TRUNC(3+(15-3)*(TRUNC(MOD((A487*1103515245 +12345)/ 65536, 32768),0)/32768),0))+D487+(D487/10*F487)</f>
        <v>0</v>
      </c>
      <c r="F487" s="5"/>
      <c r="G487" s="5"/>
      <c r="H487" s="5"/>
      <c r="I487" s="5"/>
      <c r="J487" s="5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1:28" ht="13.2">
      <c r="A488" s="3"/>
      <c r="B488" s="50"/>
      <c r="C488" s="5"/>
      <c r="D488" s="5">
        <f>IF(C488="common",100,IF(C488="Uncommon",300,IF(C488="Rare",700,IF(C488="very rare",1100,IF(C488="Legendary",2000,0)))))</f>
        <v>0</v>
      </c>
      <c r="E488" s="5">
        <f>(F488*TRUNC(3+(15-3)*(TRUNC(MOD((A488*1103515245 +12345)/ 65536, 32768),0)/32768),0))+D488+(D488/10*F488)</f>
        <v>0</v>
      </c>
      <c r="F488" s="5"/>
      <c r="G488" s="5"/>
      <c r="H488" s="5"/>
      <c r="I488" s="5"/>
      <c r="J488" s="5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1:28" ht="13.2">
      <c r="A489" s="3"/>
      <c r="B489" s="50"/>
      <c r="C489" s="5"/>
      <c r="D489" s="5">
        <f>IF(C489="common",100,IF(C489="Uncommon",300,IF(C489="Rare",700,IF(C489="very rare",1100,IF(C489="Legendary",2000,0)))))</f>
        <v>0</v>
      </c>
      <c r="E489" s="5">
        <f>(F489*TRUNC(3+(15-3)*(TRUNC(MOD((A489*1103515245 +12345)/ 65536, 32768),0)/32768),0))+D489+(D489/10*F489)</f>
        <v>0</v>
      </c>
      <c r="F489" s="5"/>
      <c r="G489" s="5"/>
      <c r="H489" s="5"/>
      <c r="I489" s="5"/>
      <c r="J489" s="5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1:28" ht="13.2">
      <c r="A490" s="3"/>
      <c r="B490" s="50"/>
      <c r="C490" s="5"/>
      <c r="D490" s="5">
        <f>IF(C490="common",100,IF(C490="Uncommon",300,IF(C490="Rare",700,IF(C490="very rare",1100,IF(C490="Legendary",2000,0)))))</f>
        <v>0</v>
      </c>
      <c r="E490" s="5">
        <f>(F490*TRUNC(3+(15-3)*(TRUNC(MOD((A490*1103515245 +12345)/ 65536, 32768),0)/32768),0))+D490+(D490/10*F490)</f>
        <v>0</v>
      </c>
      <c r="F490" s="5"/>
      <c r="G490" s="5"/>
      <c r="H490" s="5"/>
      <c r="I490" s="5"/>
      <c r="J490" s="5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1:28" ht="13.2">
      <c r="A491" s="3"/>
      <c r="B491" s="50"/>
      <c r="C491" s="5"/>
      <c r="D491" s="5">
        <f>IF(C491="common",100,IF(C491="Uncommon",300,IF(C491="Rare",700,IF(C491="very rare",1100,IF(C491="Legendary",2000,0)))))</f>
        <v>0</v>
      </c>
      <c r="E491" s="5">
        <f>(F491*TRUNC(3+(15-3)*(TRUNC(MOD((A491*1103515245 +12345)/ 65536, 32768),0)/32768),0))+D491+(D491/10*F491)</f>
        <v>0</v>
      </c>
      <c r="F491" s="5"/>
      <c r="G491" s="5"/>
      <c r="H491" s="5"/>
      <c r="I491" s="5"/>
      <c r="J491" s="5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1:28" ht="13.2">
      <c r="A492" s="3"/>
      <c r="B492" s="50"/>
      <c r="C492" s="5"/>
      <c r="D492" s="5">
        <f>IF(C492="common",100,IF(C492="Uncommon",300,IF(C492="Rare",700,IF(C492="very rare",1100,IF(C492="Legendary",2000,0)))))</f>
        <v>0</v>
      </c>
      <c r="E492" s="5">
        <f>(F492*TRUNC(3+(15-3)*(TRUNC(MOD((A492*1103515245 +12345)/ 65536, 32768),0)/32768),0))+D492+(D492/10*F492)</f>
        <v>0</v>
      </c>
      <c r="F492" s="5"/>
      <c r="G492" s="5"/>
      <c r="H492" s="5"/>
      <c r="I492" s="5"/>
      <c r="J492" s="5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1:28" ht="13.2">
      <c r="A493" s="3"/>
      <c r="B493" s="50"/>
      <c r="C493" s="5"/>
      <c r="D493" s="5">
        <f>IF(C493="common",100,IF(C493="Uncommon",300,IF(C493="Rare",700,IF(C493="very rare",1100,IF(C493="Legendary",2000,0)))))</f>
        <v>0</v>
      </c>
      <c r="E493" s="5">
        <f>(F493*TRUNC(3+(15-3)*(TRUNC(MOD((A493*1103515245 +12345)/ 65536, 32768),0)/32768),0))+D493+(D493/10*F493)</f>
        <v>0</v>
      </c>
      <c r="F493" s="5"/>
      <c r="G493" s="5"/>
      <c r="H493" s="5"/>
      <c r="I493" s="5"/>
      <c r="J493" s="5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1:28" ht="13.2">
      <c r="A494" s="3"/>
      <c r="B494" s="50"/>
      <c r="C494" s="5"/>
      <c r="D494" s="5">
        <f>IF(C494="common",100,IF(C494="Uncommon",300,IF(C494="Rare",700,IF(C494="very rare",1100,IF(C494="Legendary",2000,0)))))</f>
        <v>0</v>
      </c>
      <c r="E494" s="5">
        <f>(F494*TRUNC(3+(15-3)*(TRUNC(MOD((A494*1103515245 +12345)/ 65536, 32768),0)/32768),0))+D494+(D494/10*F494)</f>
        <v>0</v>
      </c>
      <c r="F494" s="5"/>
      <c r="G494" s="5"/>
      <c r="H494" s="5"/>
      <c r="I494" s="5"/>
      <c r="J494" s="5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1:28" ht="13.2">
      <c r="A495" s="3"/>
      <c r="B495" s="50"/>
      <c r="C495" s="5"/>
      <c r="D495" s="5">
        <f>IF(C495="common",100,IF(C495="Uncommon",300,IF(C495="Rare",700,IF(C495="very rare",1100,IF(C495="Legendary",2000,0)))))</f>
        <v>0</v>
      </c>
      <c r="E495" s="5">
        <f>(F495*TRUNC(3+(15-3)*(TRUNC(MOD((A495*1103515245 +12345)/ 65536, 32768),0)/32768),0))+D495+(D495/10*F495)</f>
        <v>0</v>
      </c>
      <c r="F495" s="5"/>
      <c r="G495" s="5"/>
      <c r="H495" s="5"/>
      <c r="I495" s="5"/>
      <c r="J495" s="5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1:28" ht="13.2">
      <c r="A496" s="3"/>
      <c r="B496" s="50"/>
      <c r="C496" s="5"/>
      <c r="D496" s="5">
        <f>IF(C496="common",100,IF(C496="Uncommon",300,IF(C496="Rare",700,IF(C496="very rare",1100,IF(C496="Legendary",2000,0)))))</f>
        <v>0</v>
      </c>
      <c r="E496" s="5">
        <f>(F496*TRUNC(3+(15-3)*(TRUNC(MOD((A496*1103515245 +12345)/ 65536, 32768),0)/32768),0))+D496+(D496/10*F496)</f>
        <v>0</v>
      </c>
      <c r="F496" s="5"/>
      <c r="G496" s="5"/>
      <c r="H496" s="5"/>
      <c r="I496" s="5"/>
      <c r="J496" s="5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1:28" ht="13.2">
      <c r="A497" s="3"/>
      <c r="B497" s="50"/>
      <c r="C497" s="5"/>
      <c r="D497" s="5">
        <f>IF(C497="common",100,IF(C497="Uncommon",300,IF(C497="Rare",700,IF(C497="very rare",1100,IF(C497="Legendary",2000,0)))))</f>
        <v>0</v>
      </c>
      <c r="E497" s="5">
        <f>(F497*TRUNC(3+(15-3)*(TRUNC(MOD((A497*1103515245 +12345)/ 65536, 32768),0)/32768),0))+D497+(D497/10*F497)</f>
        <v>0</v>
      </c>
      <c r="F497" s="5"/>
      <c r="G497" s="5"/>
      <c r="H497" s="5"/>
      <c r="I497" s="5"/>
      <c r="J497" s="5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1:28" ht="13.2">
      <c r="A498" s="3"/>
      <c r="B498" s="50"/>
      <c r="C498" s="5"/>
      <c r="D498" s="5">
        <f>IF(C498="common",100,IF(C498="Uncommon",300,IF(C498="Rare",700,IF(C498="very rare",1100,IF(C498="Legendary",2000,0)))))</f>
        <v>0</v>
      </c>
      <c r="E498" s="5">
        <f>(F498*TRUNC(3+(15-3)*(TRUNC(MOD((A498*1103515245 +12345)/ 65536, 32768),0)/32768),0))+D498+(D498/10*F498)</f>
        <v>0</v>
      </c>
      <c r="F498" s="5"/>
      <c r="G498" s="5"/>
      <c r="H498" s="5"/>
      <c r="I498" s="5"/>
      <c r="J498" s="5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1:28" ht="13.2">
      <c r="A499" s="3"/>
      <c r="B499" s="50"/>
      <c r="C499" s="5"/>
      <c r="D499" s="5">
        <f>IF(C499="common",100,IF(C499="Uncommon",300,IF(C499="Rare",700,IF(C499="very rare",1100,IF(C499="Legendary",2000,0)))))</f>
        <v>0</v>
      </c>
      <c r="E499" s="5">
        <f>(F499*TRUNC(3+(15-3)*(TRUNC(MOD((A499*1103515245 +12345)/ 65536, 32768),0)/32768),0))+D499+(D499/10*F499)</f>
        <v>0</v>
      </c>
      <c r="F499" s="5"/>
      <c r="G499" s="5"/>
      <c r="H499" s="5"/>
      <c r="I499" s="5"/>
      <c r="J499" s="5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1:28" ht="13.2">
      <c r="A500" s="3"/>
      <c r="B500" s="50"/>
      <c r="C500" s="5"/>
      <c r="D500" s="5">
        <f>IF(C500="common",100,IF(C500="Uncommon",300,IF(C500="Rare",700,IF(C500="very rare",1100,IF(C500="Legendary",2000,0)))))</f>
        <v>0</v>
      </c>
      <c r="E500" s="5">
        <f>(F500*TRUNC(3+(15-3)*(TRUNC(MOD((A500*1103515245 +12345)/ 65536, 32768),0)/32768),0))+D500+(D500/10*F500)</f>
        <v>0</v>
      </c>
      <c r="F500" s="5"/>
      <c r="G500" s="5"/>
      <c r="H500" s="5"/>
      <c r="I500" s="5"/>
      <c r="J500" s="5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1:28" ht="13.2">
      <c r="A501" s="3"/>
      <c r="B501" s="50"/>
      <c r="C501" s="5"/>
      <c r="D501" s="5">
        <f>IF(C501="common",100,IF(C501="Uncommon",300,IF(C501="Rare",700,IF(C501="very rare",1100,IF(C501="Legendary",2000,0)))))</f>
        <v>0</v>
      </c>
      <c r="E501" s="5">
        <f>(F501*TRUNC(3+(15-3)*(TRUNC(MOD((A501*1103515245 +12345)/ 65536, 32768),0)/32768),0))+D501+(D501/10*F501)</f>
        <v>0</v>
      </c>
      <c r="F501" s="5"/>
      <c r="G501" s="5"/>
      <c r="H501" s="5"/>
      <c r="I501" s="5"/>
      <c r="J501" s="5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1:28" ht="13.2">
      <c r="A502" s="3"/>
      <c r="B502" s="50"/>
      <c r="C502" s="5"/>
      <c r="D502" s="5">
        <f>IF(C502="common",100,IF(C502="Uncommon",300,IF(C502="Rare",700,IF(C502="very rare",1100,IF(C502="Legendary",2000,0)))))</f>
        <v>0</v>
      </c>
      <c r="E502" s="5">
        <f>(F502*TRUNC(3+(15-3)*(TRUNC(MOD((A502*1103515245 +12345)/ 65536, 32768),0)/32768),0))+D502+(D502/10*F502)</f>
        <v>0</v>
      </c>
      <c r="F502" s="5"/>
      <c r="G502" s="5"/>
      <c r="H502" s="5"/>
      <c r="I502" s="5"/>
      <c r="J502" s="5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1:28" ht="13.2">
      <c r="A503" s="3"/>
      <c r="B503" s="50"/>
      <c r="C503" s="5"/>
      <c r="D503" s="5">
        <f>IF(C503="common",100,IF(C503="Uncommon",300,IF(C503="Rare",700,IF(C503="very rare",1100,IF(C503="Legendary",2000,0)))))</f>
        <v>0</v>
      </c>
      <c r="E503" s="5">
        <f>(F503*TRUNC(3+(15-3)*(TRUNC(MOD((A503*1103515245 +12345)/ 65536, 32768),0)/32768),0))+D503+(D503/10*F503)</f>
        <v>0</v>
      </c>
      <c r="F503" s="5"/>
      <c r="G503" s="5"/>
      <c r="H503" s="5"/>
      <c r="I503" s="5"/>
      <c r="J503" s="5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1:28" ht="13.2">
      <c r="A504" s="3"/>
      <c r="B504" s="50"/>
      <c r="C504" s="5"/>
      <c r="D504" s="5">
        <f>IF(C504="common",100,IF(C504="Uncommon",300,IF(C504="Rare",700,IF(C504="very rare",1100,IF(C504="Legendary",2000,0)))))</f>
        <v>0</v>
      </c>
      <c r="E504" s="5">
        <f>(F504*TRUNC(3+(15-3)*(TRUNC(MOD((A504*1103515245 +12345)/ 65536, 32768),0)/32768),0))+D504+(D504/10*F504)</f>
        <v>0</v>
      </c>
      <c r="F504" s="5"/>
      <c r="G504" s="5"/>
      <c r="H504" s="5"/>
      <c r="I504" s="5"/>
      <c r="J504" s="5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1:28" ht="13.2">
      <c r="A505" s="3"/>
      <c r="B505" s="50"/>
      <c r="C505" s="5"/>
      <c r="D505" s="5">
        <f>IF(C505="common",100,IF(C505="Uncommon",300,IF(C505="Rare",700,IF(C505="very rare",1100,IF(C505="Legendary",2000,0)))))</f>
        <v>0</v>
      </c>
      <c r="E505" s="5">
        <f>(F505*TRUNC(3+(15-3)*(TRUNC(MOD((A505*1103515245 +12345)/ 65536, 32768),0)/32768),0))+D505+(D505/10*F505)</f>
        <v>0</v>
      </c>
      <c r="F505" s="5"/>
      <c r="G505" s="5"/>
      <c r="H505" s="5"/>
      <c r="I505" s="5"/>
      <c r="J505" s="5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1:28" ht="13.2">
      <c r="A506" s="3"/>
      <c r="B506" s="50"/>
      <c r="C506" s="5"/>
      <c r="D506" s="5">
        <f>IF(C506="common",100,IF(C506="Uncommon",300,IF(C506="Rare",700,IF(C506="very rare",1100,IF(C506="Legendary",2000,0)))))</f>
        <v>0</v>
      </c>
      <c r="E506" s="5">
        <f>(F506*TRUNC(3+(15-3)*(TRUNC(MOD((A506*1103515245 +12345)/ 65536, 32768),0)/32768),0))+D506+(D506/10*F506)</f>
        <v>0</v>
      </c>
      <c r="F506" s="5"/>
      <c r="G506" s="5"/>
      <c r="H506" s="5"/>
      <c r="I506" s="5"/>
      <c r="J506" s="5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1:28" ht="13.2">
      <c r="A507" s="3"/>
      <c r="B507" s="50"/>
      <c r="C507" s="5"/>
      <c r="D507" s="5">
        <f>IF(C507="common",100,IF(C507="Uncommon",300,IF(C507="Rare",700,IF(C507="very rare",1100,IF(C507="Legendary",2000,0)))))</f>
        <v>0</v>
      </c>
      <c r="E507" s="5">
        <f>(F507*TRUNC(3+(15-3)*(TRUNC(MOD((A507*1103515245 +12345)/ 65536, 32768),0)/32768),0))+D507+(D507/10*F507)</f>
        <v>0</v>
      </c>
      <c r="F507" s="5"/>
      <c r="G507" s="5"/>
      <c r="H507" s="5"/>
      <c r="I507" s="5"/>
      <c r="J507" s="5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1:28" ht="13.2">
      <c r="A508" s="3"/>
      <c r="B508" s="50"/>
      <c r="C508" s="5"/>
      <c r="D508" s="5">
        <f>IF(C508="common",100,IF(C508="Uncommon",300,IF(C508="Rare",700,IF(C508="very rare",1100,IF(C508="Legendary",2000,0)))))</f>
        <v>0</v>
      </c>
      <c r="E508" s="5">
        <f>(F508*TRUNC(3+(15-3)*(TRUNC(MOD((A508*1103515245 +12345)/ 65536, 32768),0)/32768),0))+D508+(D508/10*F508)</f>
        <v>0</v>
      </c>
      <c r="F508" s="5"/>
      <c r="G508" s="5"/>
      <c r="H508" s="5"/>
      <c r="I508" s="5"/>
      <c r="J508" s="5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1:28" ht="13.2">
      <c r="A509" s="3"/>
      <c r="B509" s="50"/>
      <c r="C509" s="5"/>
      <c r="D509" s="5">
        <f>IF(C509="common",100,IF(C509="Uncommon",300,IF(C509="Rare",700,IF(C509="very rare",1100,IF(C509="Legendary",2000,0)))))</f>
        <v>0</v>
      </c>
      <c r="E509" s="5">
        <f>(F509*TRUNC(3+(15-3)*(TRUNC(MOD((A509*1103515245 +12345)/ 65536, 32768),0)/32768),0))+D509+(D509/10*F509)</f>
        <v>0</v>
      </c>
      <c r="F509" s="5"/>
      <c r="G509" s="5"/>
      <c r="H509" s="5"/>
      <c r="I509" s="5"/>
      <c r="J509" s="5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1:28" ht="13.2">
      <c r="A510" s="3"/>
      <c r="B510" s="50"/>
      <c r="C510" s="5"/>
      <c r="D510" s="5">
        <f>IF(C510="common",100,IF(C510="Uncommon",300,IF(C510="Rare",700,IF(C510="very rare",1100,IF(C510="Legendary",2000,0)))))</f>
        <v>0</v>
      </c>
      <c r="E510" s="5">
        <f>(F510*TRUNC(3+(15-3)*(TRUNC(MOD((A510*1103515245 +12345)/ 65536, 32768),0)/32768),0))+D510+(D510/10*F510)</f>
        <v>0</v>
      </c>
      <c r="F510" s="5"/>
      <c r="G510" s="5"/>
      <c r="H510" s="5"/>
      <c r="I510" s="5"/>
      <c r="J510" s="5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1:28" ht="13.2">
      <c r="A511" s="3"/>
      <c r="B511" s="50"/>
      <c r="C511" s="5"/>
      <c r="D511" s="5">
        <f>IF(C511="common",100,IF(C511="Uncommon",300,IF(C511="Rare",700,IF(C511="very rare",1100,IF(C511="Legendary",2000,0)))))</f>
        <v>0</v>
      </c>
      <c r="E511" s="5">
        <f>(F511*TRUNC(3+(15-3)*(TRUNC(MOD((A511*1103515245 +12345)/ 65536, 32768),0)/32768),0))+D511+(D511/10*F511)</f>
        <v>0</v>
      </c>
      <c r="F511" s="5"/>
      <c r="G511" s="5"/>
      <c r="H511" s="5"/>
      <c r="I511" s="5"/>
      <c r="J511" s="5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1:28" ht="13.2">
      <c r="A512" s="3"/>
      <c r="B512" s="50"/>
      <c r="C512" s="5"/>
      <c r="D512" s="5">
        <f>IF(C512="common",100,IF(C512="Uncommon",300,IF(C512="Rare",700,IF(C512="very rare",1100,IF(C512="Legendary",2000,0)))))</f>
        <v>0</v>
      </c>
      <c r="E512" s="5">
        <f>(F512*TRUNC(3+(15-3)*(TRUNC(MOD((A512*1103515245 +12345)/ 65536, 32768),0)/32768),0))+D512+(D512/10*F512)</f>
        <v>0</v>
      </c>
      <c r="F512" s="5"/>
      <c r="G512" s="5"/>
      <c r="H512" s="5"/>
      <c r="I512" s="5"/>
      <c r="J512" s="5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1:28" ht="13.2">
      <c r="A513" s="3"/>
      <c r="B513" s="50"/>
      <c r="C513" s="5"/>
      <c r="D513" s="5">
        <f>IF(C513="common",100,IF(C513="Uncommon",300,IF(C513="Rare",700,IF(C513="very rare",1100,IF(C513="Legendary",2000,0)))))</f>
        <v>0</v>
      </c>
      <c r="E513" s="5">
        <f>(F513*TRUNC(3+(15-3)*(TRUNC(MOD((A513*1103515245 +12345)/ 65536, 32768),0)/32768),0))+D513+(D513/10*F513)</f>
        <v>0</v>
      </c>
      <c r="F513" s="5"/>
      <c r="G513" s="5"/>
      <c r="H513" s="5"/>
      <c r="I513" s="5"/>
      <c r="J513" s="5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1:28" ht="13.2">
      <c r="A514" s="3"/>
      <c r="B514" s="50"/>
      <c r="C514" s="5"/>
      <c r="D514" s="5">
        <f>IF(C514="common",100,IF(C514="Uncommon",300,IF(C514="Rare",700,IF(C514="very rare",1100,IF(C514="Legendary",2000,0)))))</f>
        <v>0</v>
      </c>
      <c r="E514" s="5">
        <f>(F514*TRUNC(3+(15-3)*(TRUNC(MOD((A514*1103515245 +12345)/ 65536, 32768),0)/32768),0))+D514+(D514/10*F514)</f>
        <v>0</v>
      </c>
      <c r="F514" s="5"/>
      <c r="G514" s="5"/>
      <c r="H514" s="5"/>
      <c r="I514" s="5"/>
      <c r="J514" s="5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1:28" ht="13.2">
      <c r="A515" s="3"/>
      <c r="B515" s="50"/>
      <c r="C515" s="5"/>
      <c r="D515" s="5">
        <f>IF(C515="common",100,IF(C515="Uncommon",300,IF(C515="Rare",700,IF(C515="very rare",1100,IF(C515="Legendary",2000,0)))))</f>
        <v>0</v>
      </c>
      <c r="E515" s="5">
        <f>(F515*TRUNC(3+(15-3)*(TRUNC(MOD((A515*1103515245 +12345)/ 65536, 32768),0)/32768),0))+D515+(D515/10*F515)</f>
        <v>0</v>
      </c>
      <c r="F515" s="5"/>
      <c r="G515" s="5"/>
      <c r="H515" s="5"/>
      <c r="I515" s="5"/>
      <c r="J515" s="5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1:28" ht="13.2">
      <c r="A516" s="3"/>
      <c r="B516" s="50"/>
      <c r="C516" s="5"/>
      <c r="D516" s="5">
        <f>IF(C516="common",100,IF(C516="Uncommon",300,IF(C516="Rare",700,IF(C516="very rare",1100,IF(C516="Legendary",2000,0)))))</f>
        <v>0</v>
      </c>
      <c r="E516" s="5">
        <f>(F516*TRUNC(3+(15-3)*(TRUNC(MOD((A516*1103515245 +12345)/ 65536, 32768),0)/32768),0))+D516+(D516/10*F516)</f>
        <v>0</v>
      </c>
      <c r="F516" s="5"/>
      <c r="G516" s="5"/>
      <c r="H516" s="5"/>
      <c r="I516" s="5"/>
      <c r="J516" s="5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1:28" ht="13.2">
      <c r="A517" s="3"/>
      <c r="B517" s="50"/>
      <c r="C517" s="5"/>
      <c r="D517" s="5">
        <f>IF(C517="common",100,IF(C517="Uncommon",300,IF(C517="Rare",700,IF(C517="very rare",1100,IF(C517="Legendary",2000,0)))))</f>
        <v>0</v>
      </c>
      <c r="E517" s="5">
        <f>(F517*TRUNC(3+(15-3)*(TRUNC(MOD((A517*1103515245 +12345)/ 65536, 32768),0)/32768),0))+D517+(D517/10*F517)</f>
        <v>0</v>
      </c>
      <c r="F517" s="5"/>
      <c r="G517" s="5"/>
      <c r="H517" s="5"/>
      <c r="I517" s="5"/>
      <c r="J517" s="5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1:28" ht="13.2">
      <c r="A518" s="3"/>
      <c r="B518" s="50"/>
      <c r="C518" s="5"/>
      <c r="D518" s="5">
        <f>IF(C518="common",100,IF(C518="Uncommon",300,IF(C518="Rare",700,IF(C518="very rare",1100,IF(C518="Legendary",2000,0)))))</f>
        <v>0</v>
      </c>
      <c r="E518" s="5">
        <f>(F518*TRUNC(3+(15-3)*(TRUNC(MOD((A518*1103515245 +12345)/ 65536, 32768),0)/32768),0))+D518+(D518/10*F518)</f>
        <v>0</v>
      </c>
      <c r="F518" s="5"/>
      <c r="G518" s="5"/>
      <c r="H518" s="5"/>
      <c r="I518" s="5"/>
      <c r="J518" s="5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1:28" ht="13.2">
      <c r="A519" s="3"/>
      <c r="B519" s="50"/>
      <c r="C519" s="5"/>
      <c r="D519" s="5">
        <f>IF(C519="common",100,IF(C519="Uncommon",300,IF(C519="Rare",700,IF(C519="very rare",1100,IF(C519="Legendary",2000,0)))))</f>
        <v>0</v>
      </c>
      <c r="E519" s="5">
        <f>(F519*TRUNC(3+(15-3)*(TRUNC(MOD((A519*1103515245 +12345)/ 65536, 32768),0)/32768),0))+D519+(D519/10*F519)</f>
        <v>0</v>
      </c>
      <c r="F519" s="5"/>
      <c r="G519" s="5"/>
      <c r="H519" s="5"/>
      <c r="I519" s="5"/>
      <c r="J519" s="5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1:28" ht="13.2">
      <c r="A520" s="3"/>
      <c r="B520" s="50"/>
      <c r="C520" s="5"/>
      <c r="D520" s="5">
        <f>IF(C520="common",100,IF(C520="Uncommon",300,IF(C520="Rare",700,IF(C520="very rare",1100,IF(C520="Legendary",2000,0)))))</f>
        <v>0</v>
      </c>
      <c r="E520" s="5">
        <f>(F520*TRUNC(3+(15-3)*(TRUNC(MOD((A520*1103515245 +12345)/ 65536, 32768),0)/32768),0))+D520+(D520/10*F520)</f>
        <v>0</v>
      </c>
      <c r="F520" s="5"/>
      <c r="G520" s="5"/>
      <c r="H520" s="5"/>
      <c r="I520" s="5"/>
      <c r="J520" s="5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1:28" ht="13.2">
      <c r="A521" s="3"/>
      <c r="B521" s="50"/>
      <c r="C521" s="5"/>
      <c r="D521" s="5">
        <f>IF(C521="common",100,IF(C521="Uncommon",300,IF(C521="Rare",700,IF(C521="very rare",1100,IF(C521="Legendary",2000,0)))))</f>
        <v>0</v>
      </c>
      <c r="E521" s="5">
        <f>(F521*TRUNC(3+(15-3)*(TRUNC(MOD((A521*1103515245 +12345)/ 65536, 32768),0)/32768),0))+D521+(D521/10*F521)</f>
        <v>0</v>
      </c>
      <c r="F521" s="5"/>
      <c r="G521" s="5"/>
      <c r="H521" s="5"/>
      <c r="I521" s="5"/>
      <c r="J521" s="5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1:28" ht="13.2">
      <c r="A522" s="3"/>
      <c r="B522" s="50"/>
      <c r="C522" s="5"/>
      <c r="D522" s="5">
        <f>IF(C522="common",100,IF(C522="Uncommon",300,IF(C522="Rare",700,IF(C522="very rare",1100,IF(C522="Legendary",2000,0)))))</f>
        <v>0</v>
      </c>
      <c r="E522" s="5">
        <f>(F522*TRUNC(3+(15-3)*(TRUNC(MOD((A522*1103515245 +12345)/ 65536, 32768),0)/32768),0))+D522+(D522/10*F522)</f>
        <v>0</v>
      </c>
      <c r="F522" s="5"/>
      <c r="G522" s="5"/>
      <c r="H522" s="5"/>
      <c r="I522" s="5"/>
      <c r="J522" s="5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1:28" ht="13.2">
      <c r="A523" s="3"/>
      <c r="B523" s="50"/>
      <c r="C523" s="5"/>
      <c r="D523" s="5">
        <f>IF(C523="common",100,IF(C523="Uncommon",300,IF(C523="Rare",700,IF(C523="very rare",1100,IF(C523="Legendary",2000,0)))))</f>
        <v>0</v>
      </c>
      <c r="E523" s="5">
        <f>(F523*TRUNC(3+(15-3)*(TRUNC(MOD((A523*1103515245 +12345)/ 65536, 32768),0)/32768),0))+D523+(D523/10*F523)</f>
        <v>0</v>
      </c>
      <c r="F523" s="5"/>
      <c r="G523" s="5"/>
      <c r="H523" s="5"/>
      <c r="I523" s="5"/>
      <c r="J523" s="5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1:28" ht="13.2">
      <c r="A524" s="3"/>
      <c r="B524" s="50"/>
      <c r="C524" s="5"/>
      <c r="D524" s="5">
        <f>IF(C524="common",100,IF(C524="Uncommon",300,IF(C524="Rare",700,IF(C524="very rare",1100,IF(C524="Legendary",2000,0)))))</f>
        <v>0</v>
      </c>
      <c r="E524" s="5">
        <f>(F524*TRUNC(3+(15-3)*(TRUNC(MOD((A524*1103515245 +12345)/ 65536, 32768),0)/32768),0))+D524+(D524/10*F524)</f>
        <v>0</v>
      </c>
      <c r="F524" s="5"/>
      <c r="G524" s="5"/>
      <c r="H524" s="5"/>
      <c r="I524" s="5"/>
      <c r="J524" s="5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1:28" ht="13.2">
      <c r="A525" s="3"/>
      <c r="B525" s="50"/>
      <c r="C525" s="5"/>
      <c r="D525" s="5">
        <f>IF(C525="common",100,IF(C525="Uncommon",300,IF(C525="Rare",700,IF(C525="very rare",1100,IF(C525="Legendary",2000,0)))))</f>
        <v>0</v>
      </c>
      <c r="E525" s="5">
        <f>(F525*TRUNC(3+(15-3)*(TRUNC(MOD((A525*1103515245 +12345)/ 65536, 32768),0)/32768),0))+D525+(D525/10*F525)</f>
        <v>0</v>
      </c>
      <c r="F525" s="5"/>
      <c r="G525" s="5"/>
      <c r="H525" s="5"/>
      <c r="I525" s="5"/>
      <c r="J525" s="5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1:28" ht="13.2">
      <c r="A526" s="3"/>
      <c r="B526" s="50"/>
      <c r="C526" s="5"/>
      <c r="D526" s="5">
        <f>IF(C526="common",100,IF(C526="Uncommon",300,IF(C526="Rare",700,IF(C526="very rare",1100,IF(C526="Legendary",2000,0)))))</f>
        <v>0</v>
      </c>
      <c r="E526" s="5">
        <f>(F526*TRUNC(3+(15-3)*(TRUNC(MOD((A526*1103515245 +12345)/ 65536, 32768),0)/32768),0))+D526+(D526/10*F526)</f>
        <v>0</v>
      </c>
      <c r="F526" s="5"/>
      <c r="G526" s="5"/>
      <c r="H526" s="5"/>
      <c r="I526" s="5"/>
      <c r="J526" s="5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1:28" ht="13.2">
      <c r="A527" s="3"/>
      <c r="B527" s="50"/>
      <c r="C527" s="5"/>
      <c r="D527" s="5">
        <f>IF(C527="common",100,IF(C527="Uncommon",300,IF(C527="Rare",700,IF(C527="very rare",1100,IF(C527="Legendary",2000,0)))))</f>
        <v>0</v>
      </c>
      <c r="E527" s="5">
        <f>(F527*TRUNC(3+(15-3)*(TRUNC(MOD((A527*1103515245 +12345)/ 65536, 32768),0)/32768),0))+D527+(D527/10*F527)</f>
        <v>0</v>
      </c>
      <c r="F527" s="5"/>
      <c r="G527" s="5"/>
      <c r="H527" s="5"/>
      <c r="I527" s="5"/>
      <c r="J527" s="5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1:28" ht="13.2">
      <c r="A528" s="3"/>
      <c r="B528" s="50"/>
      <c r="C528" s="5"/>
      <c r="D528" s="5">
        <f>IF(C528="common",100,IF(C528="Uncommon",300,IF(C528="Rare",700,IF(C528="very rare",1100,IF(C528="Legendary",2000,0)))))</f>
        <v>0</v>
      </c>
      <c r="E528" s="5">
        <f>(F528*TRUNC(3+(15-3)*(TRUNC(MOD((A528*1103515245 +12345)/ 65536, 32768),0)/32768),0))+D528+(D528/10*F528)</f>
        <v>0</v>
      </c>
      <c r="F528" s="5"/>
      <c r="G528" s="5"/>
      <c r="H528" s="5"/>
      <c r="I528" s="5"/>
      <c r="J528" s="5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1:28" ht="13.2">
      <c r="A529" s="3"/>
      <c r="B529" s="50"/>
      <c r="C529" s="5"/>
      <c r="D529" s="5">
        <f>IF(C529="common",100,IF(C529="Uncommon",300,IF(C529="Rare",700,IF(C529="very rare",1100,IF(C529="Legendary",2000,0)))))</f>
        <v>0</v>
      </c>
      <c r="E529" s="5">
        <f>(F529*TRUNC(3+(15-3)*(TRUNC(MOD((A529*1103515245 +12345)/ 65536, 32768),0)/32768),0))+D529+(D529/10*F529)</f>
        <v>0</v>
      </c>
      <c r="F529" s="5"/>
      <c r="G529" s="5"/>
      <c r="H529" s="5"/>
      <c r="I529" s="5"/>
      <c r="J529" s="5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1:28" ht="13.2">
      <c r="A530" s="3"/>
      <c r="B530" s="50"/>
      <c r="C530" s="5"/>
      <c r="D530" s="5">
        <f>IF(C530="common",100,IF(C530="Uncommon",300,IF(C530="Rare",700,IF(C530="very rare",1100,IF(C530="Legendary",2000,0)))))</f>
        <v>0</v>
      </c>
      <c r="E530" s="5">
        <f>(F530*TRUNC(3+(15-3)*(TRUNC(MOD((A530*1103515245 +12345)/ 65536, 32768),0)/32768),0))+D530+(D530/10*F530)</f>
        <v>0</v>
      </c>
      <c r="F530" s="5"/>
      <c r="G530" s="5"/>
      <c r="H530" s="5"/>
      <c r="I530" s="5"/>
      <c r="J530" s="5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1:28" ht="13.2">
      <c r="A531" s="3"/>
      <c r="B531" s="50"/>
      <c r="C531" s="5"/>
      <c r="D531" s="5">
        <f>IF(C531="common",100,IF(C531="Uncommon",300,IF(C531="Rare",700,IF(C531="very rare",1100,IF(C531="Legendary",2000,0)))))</f>
        <v>0</v>
      </c>
      <c r="E531" s="5">
        <f>(F531*TRUNC(3+(15-3)*(TRUNC(MOD((A531*1103515245 +12345)/ 65536, 32768),0)/32768),0))+D531+(D531/10*F531)</f>
        <v>0</v>
      </c>
      <c r="F531" s="5"/>
      <c r="G531" s="5"/>
      <c r="H531" s="5"/>
      <c r="I531" s="5"/>
      <c r="J531" s="5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1:28" ht="13.2">
      <c r="A532" s="3"/>
      <c r="B532" s="50"/>
      <c r="C532" s="5"/>
      <c r="D532" s="5">
        <f>IF(C532="common",100,IF(C532="Uncommon",300,IF(C532="Rare",700,IF(C532="very rare",1100,IF(C532="Legendary",2000,0)))))</f>
        <v>0</v>
      </c>
      <c r="E532" s="5">
        <f>(F532*TRUNC(3+(15-3)*(TRUNC(MOD((A532*1103515245 +12345)/ 65536, 32768),0)/32768),0))+D532+(D532/10*F532)</f>
        <v>0</v>
      </c>
      <c r="F532" s="5"/>
      <c r="G532" s="5"/>
      <c r="H532" s="5"/>
      <c r="I532" s="5"/>
      <c r="J532" s="5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1:28" ht="13.2">
      <c r="A533" s="3"/>
      <c r="B533" s="50"/>
      <c r="C533" s="5"/>
      <c r="D533" s="5">
        <f>IF(C533="common",100,IF(C533="Uncommon",300,IF(C533="Rare",700,IF(C533="very rare",1100,IF(C533="Legendary",2000,0)))))</f>
        <v>0</v>
      </c>
      <c r="E533" s="5">
        <f>(F533*TRUNC(3+(15-3)*(TRUNC(MOD((A533*1103515245 +12345)/ 65536, 32768),0)/32768),0))+D533+(D533/10*F533)</f>
        <v>0</v>
      </c>
      <c r="F533" s="5"/>
      <c r="G533" s="5"/>
      <c r="H533" s="5"/>
      <c r="I533" s="5"/>
      <c r="J533" s="5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1:28" ht="13.2">
      <c r="A534" s="3"/>
      <c r="B534" s="50"/>
      <c r="C534" s="5"/>
      <c r="D534" s="5">
        <f>IF(C534="common",100,IF(C534="Uncommon",300,IF(C534="Rare",700,IF(C534="very rare",1100,IF(C534="Legendary",2000,0)))))</f>
        <v>0</v>
      </c>
      <c r="E534" s="5">
        <f>(F534*TRUNC(3+(15-3)*(TRUNC(MOD((A534*1103515245 +12345)/ 65536, 32768),0)/32768),0))+D534+(D534/10*F534)</f>
        <v>0</v>
      </c>
      <c r="F534" s="5"/>
      <c r="G534" s="5"/>
      <c r="H534" s="5"/>
      <c r="I534" s="5"/>
      <c r="J534" s="5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1:28" ht="13.2">
      <c r="A535" s="3"/>
      <c r="B535" s="50"/>
      <c r="C535" s="5"/>
      <c r="D535" s="5">
        <f>IF(C535="common",100,IF(C535="Uncommon",300,IF(C535="Rare",700,IF(C535="very rare",1100,IF(C535="Legendary",2000,0)))))</f>
        <v>0</v>
      </c>
      <c r="E535" s="5">
        <f>(F535*TRUNC(3+(15-3)*(TRUNC(MOD((A535*1103515245 +12345)/ 65536, 32768),0)/32768),0))+D535+(D535/10*F535)</f>
        <v>0</v>
      </c>
      <c r="F535" s="5"/>
      <c r="G535" s="5"/>
      <c r="H535" s="5"/>
      <c r="I535" s="5"/>
      <c r="J535" s="5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1:28" ht="13.2">
      <c r="A536" s="3"/>
      <c r="B536" s="50"/>
      <c r="C536" s="5"/>
      <c r="D536" s="5">
        <f>IF(C536="common",100,IF(C536="Uncommon",300,IF(C536="Rare",700,IF(C536="very rare",1100,IF(C536="Legendary",2000,0)))))</f>
        <v>0</v>
      </c>
      <c r="E536" s="5">
        <f>(F536*TRUNC(3+(15-3)*(TRUNC(MOD((A536*1103515245 +12345)/ 65536, 32768),0)/32768),0))+D536+(D536/10*F536)</f>
        <v>0</v>
      </c>
      <c r="F536" s="5"/>
      <c r="G536" s="5"/>
      <c r="H536" s="5"/>
      <c r="I536" s="5"/>
      <c r="J536" s="5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1:28" ht="13.2">
      <c r="A537" s="3"/>
      <c r="B537" s="50"/>
      <c r="C537" s="5"/>
      <c r="D537" s="5">
        <f>IF(C537="common",100,IF(C537="Uncommon",300,IF(C537="Rare",700,IF(C537="very rare",1100,IF(C537="Legendary",2000,0)))))</f>
        <v>0</v>
      </c>
      <c r="E537" s="5">
        <f>(F537*TRUNC(3+(15-3)*(TRUNC(MOD((A537*1103515245 +12345)/ 65536, 32768),0)/32768),0))+D537+(D537/10*F537)</f>
        <v>0</v>
      </c>
      <c r="F537" s="5"/>
      <c r="G537" s="5"/>
      <c r="H537" s="5"/>
      <c r="I537" s="5"/>
      <c r="J537" s="5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1:28" ht="13.2">
      <c r="A538" s="3"/>
      <c r="B538" s="50"/>
      <c r="C538" s="5"/>
      <c r="D538" s="5">
        <f>IF(C538="common",100,IF(C538="Uncommon",300,IF(C538="Rare",700,IF(C538="very rare",1100,IF(C538="Legendary",2000,0)))))</f>
        <v>0</v>
      </c>
      <c r="E538" s="5">
        <f>(F538*TRUNC(3+(15-3)*(TRUNC(MOD((A538*1103515245 +12345)/ 65536, 32768),0)/32768),0))+D538+(D538/10*F538)</f>
        <v>0</v>
      </c>
      <c r="F538" s="5"/>
      <c r="G538" s="5"/>
      <c r="H538" s="5"/>
      <c r="I538" s="5"/>
      <c r="J538" s="5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1:28" ht="13.2">
      <c r="A539" s="3"/>
      <c r="B539" s="50"/>
      <c r="C539" s="5"/>
      <c r="D539" s="5">
        <f>IF(C539="common",100,IF(C539="Uncommon",300,IF(C539="Rare",700,IF(C539="very rare",1100,IF(C539="Legendary",2000,0)))))</f>
        <v>0</v>
      </c>
      <c r="E539" s="5">
        <f>(F539*TRUNC(3+(15-3)*(TRUNC(MOD((A539*1103515245 +12345)/ 65536, 32768),0)/32768),0))+D539+(D539/10*F539)</f>
        <v>0</v>
      </c>
      <c r="F539" s="5"/>
      <c r="G539" s="5"/>
      <c r="H539" s="5"/>
      <c r="I539" s="5"/>
      <c r="J539" s="5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1:28" ht="13.2">
      <c r="A540" s="3"/>
      <c r="B540" s="50"/>
      <c r="C540" s="5"/>
      <c r="D540" s="5">
        <f>IF(C540="common",100,IF(C540="Uncommon",300,IF(C540="Rare",700,IF(C540="very rare",1100,IF(C540="Legendary",2000,0)))))</f>
        <v>0</v>
      </c>
      <c r="E540" s="5">
        <f>(F540*TRUNC(3+(15-3)*(TRUNC(MOD((A540*1103515245 +12345)/ 65536, 32768),0)/32768),0))+D540+(D540/10*F540)</f>
        <v>0</v>
      </c>
      <c r="F540" s="5"/>
      <c r="G540" s="5"/>
      <c r="H540" s="5"/>
      <c r="I540" s="5"/>
      <c r="J540" s="5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1:28" ht="13.2">
      <c r="A541" s="3"/>
      <c r="B541" s="50"/>
      <c r="C541" s="5"/>
      <c r="D541" s="5">
        <f>IF(C541="common",100,IF(C541="Uncommon",300,IF(C541="Rare",700,IF(C541="very rare",1100,IF(C541="Legendary",2000,0)))))</f>
        <v>0</v>
      </c>
      <c r="E541" s="5">
        <f>(F541*TRUNC(3+(15-3)*(TRUNC(MOD((A541*1103515245 +12345)/ 65536, 32768),0)/32768),0))+D541+(D541/10*F541)</f>
        <v>0</v>
      </c>
      <c r="F541" s="5"/>
      <c r="G541" s="5"/>
      <c r="H541" s="5"/>
      <c r="I541" s="5"/>
      <c r="J541" s="5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1:28" ht="13.2">
      <c r="A542" s="3"/>
      <c r="B542" s="50"/>
      <c r="C542" s="5"/>
      <c r="D542" s="5">
        <f>IF(C542="common",100,IF(C542="Uncommon",300,IF(C542="Rare",700,IF(C542="very rare",1100,IF(C542="Legendary",2000,0)))))</f>
        <v>0</v>
      </c>
      <c r="E542" s="5">
        <f>(F542*TRUNC(3+(15-3)*(TRUNC(MOD((A542*1103515245 +12345)/ 65536, 32768),0)/32768),0))+D542+(D542/10*F542)</f>
        <v>0</v>
      </c>
      <c r="F542" s="5"/>
      <c r="G542" s="5"/>
      <c r="H542" s="5"/>
      <c r="I542" s="5"/>
      <c r="J542" s="5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1:28" ht="13.2">
      <c r="A543" s="3"/>
      <c r="B543" s="50"/>
      <c r="C543" s="5"/>
      <c r="D543" s="5">
        <f>IF(C543="common",100,IF(C543="Uncommon",300,IF(C543="Rare",700,IF(C543="very rare",1100,IF(C543="Legendary",2000,0)))))</f>
        <v>0</v>
      </c>
      <c r="E543" s="5">
        <f>(F543*TRUNC(3+(15-3)*(TRUNC(MOD((A543*1103515245 +12345)/ 65536, 32768),0)/32768),0))+D543+(D543/10*F543)</f>
        <v>0</v>
      </c>
      <c r="F543" s="5"/>
      <c r="G543" s="5"/>
      <c r="H543" s="5"/>
      <c r="I543" s="5"/>
      <c r="J543" s="5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1:28" ht="13.2">
      <c r="A544" s="3"/>
      <c r="B544" s="50"/>
      <c r="C544" s="5"/>
      <c r="D544" s="5">
        <f>IF(C544="common",100,IF(C544="Uncommon",300,IF(C544="Rare",700,IF(C544="very rare",1100,IF(C544="Legendary",2000,0)))))</f>
        <v>0</v>
      </c>
      <c r="E544" s="5">
        <f>(F544*TRUNC(3+(15-3)*(TRUNC(MOD((A544*1103515245 +12345)/ 65536, 32768),0)/32768),0))+D544+(D544/10*F544)</f>
        <v>0</v>
      </c>
      <c r="F544" s="5"/>
      <c r="G544" s="5"/>
      <c r="H544" s="5"/>
      <c r="I544" s="5"/>
      <c r="J544" s="5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1:28" ht="13.2">
      <c r="A545" s="3"/>
      <c r="B545" s="50"/>
      <c r="C545" s="5"/>
      <c r="D545" s="5">
        <f>IF(C545="common",100,IF(C545="Uncommon",300,IF(C545="Rare",700,IF(C545="very rare",1100,IF(C545="Legendary",2000,0)))))</f>
        <v>0</v>
      </c>
      <c r="E545" s="5">
        <f>(F545*TRUNC(3+(15-3)*(TRUNC(MOD((A545*1103515245 +12345)/ 65536, 32768),0)/32768),0))+D545+(D545/10*F545)</f>
        <v>0</v>
      </c>
      <c r="F545" s="5"/>
      <c r="G545" s="5"/>
      <c r="H545" s="5"/>
      <c r="I545" s="5"/>
      <c r="J545" s="5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1:28" ht="13.2">
      <c r="A546" s="3"/>
      <c r="B546" s="50"/>
      <c r="C546" s="5"/>
      <c r="D546" s="5">
        <f>IF(C546="common",100,IF(C546="Uncommon",300,IF(C546="Rare",700,IF(C546="very rare",1100,IF(C546="Legendary",2000,0)))))</f>
        <v>0</v>
      </c>
      <c r="E546" s="5">
        <f>(F546*TRUNC(3+(15-3)*(TRUNC(MOD((A546*1103515245 +12345)/ 65536, 32768),0)/32768),0))+D546+(D546/10*F546)</f>
        <v>0</v>
      </c>
      <c r="F546" s="5"/>
      <c r="G546" s="5"/>
      <c r="H546" s="5"/>
      <c r="I546" s="5"/>
      <c r="J546" s="5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1:28" ht="13.2">
      <c r="A547" s="3"/>
      <c r="B547" s="50"/>
      <c r="C547" s="5"/>
      <c r="D547" s="5">
        <f>IF(C547="common",100,IF(C547="Uncommon",300,IF(C547="Rare",700,IF(C547="very rare",1100,IF(C547="Legendary",2000,0)))))</f>
        <v>0</v>
      </c>
      <c r="E547" s="5">
        <f>(F547*TRUNC(3+(15-3)*(TRUNC(MOD((A547*1103515245 +12345)/ 65536, 32768),0)/32768),0))+D547+(D547/10*F547)</f>
        <v>0</v>
      </c>
      <c r="F547" s="5"/>
      <c r="G547" s="5"/>
      <c r="H547" s="5"/>
      <c r="I547" s="5"/>
      <c r="J547" s="5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1:28" ht="13.2">
      <c r="A548" s="3"/>
      <c r="B548" s="50"/>
      <c r="C548" s="5"/>
      <c r="D548" s="5">
        <f>IF(C548="common",100,IF(C548="Uncommon",300,IF(C548="Rare",700,IF(C548="very rare",1100,IF(C548="Legendary",2000,0)))))</f>
        <v>0</v>
      </c>
      <c r="E548" s="5">
        <f>(F548*TRUNC(3+(15-3)*(TRUNC(MOD((A548*1103515245 +12345)/ 65536, 32768),0)/32768),0))+D548+(D548/10*F548)</f>
        <v>0</v>
      </c>
      <c r="F548" s="5"/>
      <c r="G548" s="5"/>
      <c r="H548" s="5"/>
      <c r="I548" s="5"/>
      <c r="J548" s="5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1:28" ht="13.2">
      <c r="A549" s="3"/>
      <c r="B549" s="50"/>
      <c r="C549" s="5"/>
      <c r="D549" s="5">
        <f>IF(C549="common",100,IF(C549="Uncommon",300,IF(C549="Rare",700,IF(C549="very rare",1100,IF(C549="Legendary",2000,0)))))</f>
        <v>0</v>
      </c>
      <c r="E549" s="5">
        <f>(F549*TRUNC(3+(15-3)*(TRUNC(MOD((A549*1103515245 +12345)/ 65536, 32768),0)/32768),0))+D549+(D549/10*F549)</f>
        <v>0</v>
      </c>
      <c r="F549" s="5"/>
      <c r="G549" s="5"/>
      <c r="H549" s="5"/>
      <c r="I549" s="5"/>
      <c r="J549" s="5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1:28" ht="13.2">
      <c r="A550" s="3"/>
      <c r="B550" s="50"/>
      <c r="C550" s="5"/>
      <c r="D550" s="5">
        <f>IF(C550="common",100,IF(C550="Uncommon",300,IF(C550="Rare",700,IF(C550="very rare",1100,IF(C550="Legendary",2000,0)))))</f>
        <v>0</v>
      </c>
      <c r="E550" s="5">
        <f>(F550*TRUNC(3+(15-3)*(TRUNC(MOD((A550*1103515245 +12345)/ 65536, 32768),0)/32768),0))+D550+(D550/10*F550)</f>
        <v>0</v>
      </c>
      <c r="F550" s="5"/>
      <c r="G550" s="5"/>
      <c r="H550" s="5"/>
      <c r="I550" s="5"/>
      <c r="J550" s="5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1:28" ht="13.2">
      <c r="A551" s="3"/>
      <c r="B551" s="50"/>
      <c r="C551" s="5"/>
      <c r="D551" s="5">
        <f>IF(C551="common",100,IF(C551="Uncommon",300,IF(C551="Rare",700,IF(C551="very rare",1100,IF(C551="Legendary",2000,0)))))</f>
        <v>0</v>
      </c>
      <c r="E551" s="5">
        <f>(F551*TRUNC(3+(15-3)*(TRUNC(MOD((A551*1103515245 +12345)/ 65536, 32768),0)/32768),0))+D551+(D551/10*F551)</f>
        <v>0</v>
      </c>
      <c r="F551" s="5"/>
      <c r="G551" s="5"/>
      <c r="H551" s="5"/>
      <c r="I551" s="5"/>
      <c r="J551" s="5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1:28" ht="13.2">
      <c r="A552" s="3"/>
      <c r="B552" s="50"/>
      <c r="C552" s="5"/>
      <c r="D552" s="5">
        <f>IF(C552="common",100,IF(C552="Uncommon",300,IF(C552="Rare",700,IF(C552="very rare",1100,IF(C552="Legendary",2000,0)))))</f>
        <v>0</v>
      </c>
      <c r="E552" s="5">
        <f>(F552*TRUNC(3+(15-3)*(TRUNC(MOD((A552*1103515245 +12345)/ 65536, 32768),0)/32768),0))+D552+(D552/10*F552)</f>
        <v>0</v>
      </c>
      <c r="F552" s="5"/>
      <c r="G552" s="5"/>
      <c r="H552" s="5"/>
      <c r="I552" s="5"/>
      <c r="J552" s="5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1:28" ht="13.2">
      <c r="A553" s="3"/>
      <c r="B553" s="50"/>
      <c r="C553" s="5"/>
      <c r="D553" s="5">
        <f>IF(C553="common",100,IF(C553="Uncommon",300,IF(C553="Rare",700,IF(C553="very rare",1100,IF(C553="Legendary",2000,0)))))</f>
        <v>0</v>
      </c>
      <c r="E553" s="5">
        <f>(F553*TRUNC(3+(15-3)*(TRUNC(MOD((A553*1103515245 +12345)/ 65536, 32768),0)/32768),0))+D553+(D553/10*F553)</f>
        <v>0</v>
      </c>
      <c r="F553" s="5"/>
      <c r="G553" s="5"/>
      <c r="H553" s="5"/>
      <c r="I553" s="5"/>
      <c r="J553" s="5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1:28" ht="13.2">
      <c r="A554" s="3"/>
      <c r="B554" s="50"/>
      <c r="C554" s="5"/>
      <c r="D554" s="5">
        <f>IF(C554="common",100,IF(C554="Uncommon",300,IF(C554="Rare",700,IF(C554="very rare",1100,IF(C554="Legendary",2000,0)))))</f>
        <v>0</v>
      </c>
      <c r="E554" s="5">
        <f>(F554*TRUNC(3+(15-3)*(TRUNC(MOD((A554*1103515245 +12345)/ 65536, 32768),0)/32768),0))+D554+(D554/10*F554)</f>
        <v>0</v>
      </c>
      <c r="F554" s="5"/>
      <c r="G554" s="5"/>
      <c r="H554" s="5"/>
      <c r="I554" s="5"/>
      <c r="J554" s="5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1:28" ht="13.2">
      <c r="A555" s="3"/>
      <c r="B555" s="50"/>
      <c r="C555" s="5"/>
      <c r="D555" s="5">
        <f>IF(C555="common",100,IF(C555="Uncommon",300,IF(C555="Rare",700,IF(C555="very rare",1100,IF(C555="Legendary",2000,0)))))</f>
        <v>0</v>
      </c>
      <c r="E555" s="5">
        <f>(F555*TRUNC(3+(15-3)*(TRUNC(MOD((A555*1103515245 +12345)/ 65536, 32768),0)/32768),0))+D555+(D555/10*F555)</f>
        <v>0</v>
      </c>
      <c r="F555" s="5"/>
      <c r="G555" s="5"/>
      <c r="H555" s="5"/>
      <c r="I555" s="5"/>
      <c r="J555" s="5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1:28" ht="13.2">
      <c r="A556" s="3"/>
      <c r="B556" s="50"/>
      <c r="C556" s="5"/>
      <c r="D556" s="5">
        <f>IF(C556="common",100,IF(C556="Uncommon",300,IF(C556="Rare",700,IF(C556="very rare",1100,IF(C556="Legendary",2000,0)))))</f>
        <v>0</v>
      </c>
      <c r="E556" s="5">
        <f>(F556*TRUNC(3+(15-3)*(TRUNC(MOD((A556*1103515245 +12345)/ 65536, 32768),0)/32768),0))+D556+(D556/10*F556)</f>
        <v>0</v>
      </c>
      <c r="F556" s="5"/>
      <c r="G556" s="5"/>
      <c r="H556" s="5"/>
      <c r="I556" s="5"/>
      <c r="J556" s="5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1:28" ht="13.2">
      <c r="A557" s="3"/>
      <c r="B557" s="50"/>
      <c r="C557" s="5"/>
      <c r="D557" s="5">
        <f>IF(C557="common",100,IF(C557="Uncommon",300,IF(C557="Rare",700,IF(C557="very rare",1100,IF(C557="Legendary",2000,0)))))</f>
        <v>0</v>
      </c>
      <c r="E557" s="5">
        <f>(F557*TRUNC(3+(15-3)*(TRUNC(MOD((A557*1103515245 +12345)/ 65536, 32768),0)/32768),0))+D557+(D557/10*F557)</f>
        <v>0</v>
      </c>
      <c r="F557" s="5"/>
      <c r="G557" s="5"/>
      <c r="H557" s="5"/>
      <c r="I557" s="5"/>
      <c r="J557" s="5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1:28" ht="13.2">
      <c r="A558" s="3"/>
      <c r="B558" s="50"/>
      <c r="C558" s="5"/>
      <c r="D558" s="5">
        <f>IF(C558="common",100,IF(C558="Uncommon",300,IF(C558="Rare",700,IF(C558="very rare",1100,IF(C558="Legendary",2000,0)))))</f>
        <v>0</v>
      </c>
      <c r="E558" s="5">
        <f>(F558*TRUNC(3+(15-3)*(TRUNC(MOD((A558*1103515245 +12345)/ 65536, 32768),0)/32768),0))+D558+(D558/10*F558)</f>
        <v>0</v>
      </c>
      <c r="F558" s="5"/>
      <c r="G558" s="5"/>
      <c r="H558" s="5"/>
      <c r="I558" s="5"/>
      <c r="J558" s="5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1:28" ht="13.2">
      <c r="A559" s="3"/>
      <c r="B559" s="50"/>
      <c r="C559" s="5"/>
      <c r="D559" s="5">
        <f>IF(C559="common",100,IF(C559="Uncommon",300,IF(C559="Rare",700,IF(C559="very rare",1100,IF(C559="Legendary",2000,0)))))</f>
        <v>0</v>
      </c>
      <c r="E559" s="5">
        <f>(F559*TRUNC(3+(15-3)*(TRUNC(MOD((A559*1103515245 +12345)/ 65536, 32768),0)/32768),0))+D559+(D559/10*F559)</f>
        <v>0</v>
      </c>
      <c r="F559" s="5"/>
      <c r="G559" s="5"/>
      <c r="H559" s="5"/>
      <c r="I559" s="5"/>
      <c r="J559" s="5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1:28" ht="13.2">
      <c r="A560" s="3"/>
      <c r="B560" s="50"/>
      <c r="C560" s="5"/>
      <c r="D560" s="5">
        <f>IF(C560="common",100,IF(C560="Uncommon",300,IF(C560="Rare",700,IF(C560="very rare",1100,IF(C560="Legendary",2000,0)))))</f>
        <v>0</v>
      </c>
      <c r="E560" s="5">
        <f>(F560*TRUNC(3+(15-3)*(TRUNC(MOD((A560*1103515245 +12345)/ 65536, 32768),0)/32768),0))+D560+(D560/10*F560)</f>
        <v>0</v>
      </c>
      <c r="F560" s="5"/>
      <c r="G560" s="5"/>
      <c r="H560" s="5"/>
      <c r="I560" s="5"/>
      <c r="J560" s="5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1:28" ht="13.2">
      <c r="A561" s="3"/>
      <c r="B561" s="50"/>
      <c r="C561" s="5"/>
      <c r="D561" s="5">
        <f>IF(C561="common",100,IF(C561="Uncommon",300,IF(C561="Rare",700,IF(C561="very rare",1100,IF(C561="Legendary",2000,0)))))</f>
        <v>0</v>
      </c>
      <c r="E561" s="5">
        <f>(F561*TRUNC(3+(15-3)*(TRUNC(MOD((A561*1103515245 +12345)/ 65536, 32768),0)/32768),0))+D561+(D561/10*F561)</f>
        <v>0</v>
      </c>
      <c r="F561" s="5"/>
      <c r="G561" s="5"/>
      <c r="H561" s="5"/>
      <c r="I561" s="5"/>
      <c r="J561" s="5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1:28" ht="13.2">
      <c r="A562" s="3"/>
      <c r="B562" s="50"/>
      <c r="C562" s="5"/>
      <c r="D562" s="5">
        <f>IF(C562="common",100,IF(C562="Uncommon",300,IF(C562="Rare",700,IF(C562="very rare",1100,IF(C562="Legendary",2000,0)))))</f>
        <v>0</v>
      </c>
      <c r="E562" s="5">
        <f>(F562*TRUNC(3+(15-3)*(TRUNC(MOD((A562*1103515245 +12345)/ 65536, 32768),0)/32768),0))+D562+(D562/10*F562)</f>
        <v>0</v>
      </c>
      <c r="F562" s="5"/>
      <c r="G562" s="5"/>
      <c r="H562" s="5"/>
      <c r="I562" s="5"/>
      <c r="J562" s="5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1:28" ht="13.2">
      <c r="A563" s="3"/>
      <c r="B563" s="50"/>
      <c r="C563" s="5"/>
      <c r="D563" s="5">
        <f>IF(C563="common",100,IF(C563="Uncommon",300,IF(C563="Rare",700,IF(C563="very rare",1100,IF(C563="Legendary",2000,0)))))</f>
        <v>0</v>
      </c>
      <c r="E563" s="5">
        <f>(F563*TRUNC(3+(15-3)*(TRUNC(MOD((A563*1103515245 +12345)/ 65536, 32768),0)/32768),0))+D563+(D563/10*F563)</f>
        <v>0</v>
      </c>
      <c r="F563" s="5"/>
      <c r="G563" s="5"/>
      <c r="H563" s="5"/>
      <c r="I563" s="5"/>
      <c r="J563" s="5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1:28" ht="13.2">
      <c r="A564" s="3"/>
      <c r="B564" s="50"/>
      <c r="C564" s="5"/>
      <c r="D564" s="5">
        <f>IF(C564="common",100,IF(C564="Uncommon",300,IF(C564="Rare",700,IF(C564="very rare",1100,IF(C564="Legendary",2000,0)))))</f>
        <v>0</v>
      </c>
      <c r="E564" s="5">
        <f>(F564*TRUNC(3+(15-3)*(TRUNC(MOD((A564*1103515245 +12345)/ 65536, 32768),0)/32768),0))+D564+(D564/10*F564)</f>
        <v>0</v>
      </c>
      <c r="F564" s="5"/>
      <c r="G564" s="5"/>
      <c r="H564" s="5"/>
      <c r="I564" s="5"/>
      <c r="J564" s="5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1:28" ht="13.2">
      <c r="A565" s="3"/>
      <c r="B565" s="50"/>
      <c r="C565" s="5"/>
      <c r="D565" s="5">
        <f>IF(C565="common",100,IF(C565="Uncommon",300,IF(C565="Rare",700,IF(C565="very rare",1100,IF(C565="Legendary",2000,0)))))</f>
        <v>0</v>
      </c>
      <c r="E565" s="5">
        <f>(F565*TRUNC(3+(15-3)*(TRUNC(MOD((A565*1103515245 +12345)/ 65536, 32768),0)/32768),0))+D565+(D565/10*F565)</f>
        <v>0</v>
      </c>
      <c r="F565" s="5"/>
      <c r="G565" s="5"/>
      <c r="H565" s="5"/>
      <c r="I565" s="5"/>
      <c r="J565" s="5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1:28" ht="13.2">
      <c r="A566" s="3"/>
      <c r="B566" s="50"/>
      <c r="C566" s="5"/>
      <c r="D566" s="5">
        <f>IF(C566="common",100,IF(C566="Uncommon",300,IF(C566="Rare",700,IF(C566="very rare",1100,IF(C566="Legendary",2000,0)))))</f>
        <v>0</v>
      </c>
      <c r="E566" s="5">
        <f>(F566*TRUNC(3+(15-3)*(TRUNC(MOD((A566*1103515245 +12345)/ 65536, 32768),0)/32768),0))+D566+(D566/10*F566)</f>
        <v>0</v>
      </c>
      <c r="F566" s="5"/>
      <c r="G566" s="5"/>
      <c r="H566" s="5"/>
      <c r="I566" s="5"/>
      <c r="J566" s="5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1:28" ht="13.2">
      <c r="A567" s="3"/>
      <c r="B567" s="50"/>
      <c r="C567" s="5"/>
      <c r="D567" s="5">
        <f>IF(C567="common",100,IF(C567="Uncommon",300,IF(C567="Rare",700,IF(C567="very rare",1100,IF(C567="Legendary",2000,0)))))</f>
        <v>0</v>
      </c>
      <c r="E567" s="5">
        <f>(F567*TRUNC(3+(15-3)*(TRUNC(MOD((A567*1103515245 +12345)/ 65536, 32768),0)/32768),0))+D567+(D567/10*F567)</f>
        <v>0</v>
      </c>
      <c r="F567" s="5"/>
      <c r="G567" s="5"/>
      <c r="H567" s="5"/>
      <c r="I567" s="5"/>
      <c r="J567" s="5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1:28" ht="13.2">
      <c r="A568" s="3"/>
      <c r="B568" s="50"/>
      <c r="C568" s="5"/>
      <c r="D568" s="5">
        <f>IF(C568="common",100,IF(C568="Uncommon",300,IF(C568="Rare",700,IF(C568="very rare",1100,IF(C568="Legendary",2000,0)))))</f>
        <v>0</v>
      </c>
      <c r="E568" s="5">
        <f>(F568*TRUNC(3+(15-3)*(TRUNC(MOD((A568*1103515245 +12345)/ 65536, 32768),0)/32768),0))+D568+(D568/10*F568)</f>
        <v>0</v>
      </c>
      <c r="F568" s="5"/>
      <c r="G568" s="5"/>
      <c r="H568" s="5"/>
      <c r="I568" s="5"/>
      <c r="J568" s="5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1:28" ht="13.2">
      <c r="A569" s="3"/>
      <c r="B569" s="50"/>
      <c r="C569" s="5"/>
      <c r="D569" s="5">
        <f>IF(C569="common",100,IF(C569="Uncommon",300,IF(C569="Rare",700,IF(C569="very rare",1100,IF(C569="Legendary",2000,0)))))</f>
        <v>0</v>
      </c>
      <c r="E569" s="5">
        <f>(F569*TRUNC(3+(15-3)*(TRUNC(MOD((A569*1103515245 +12345)/ 65536, 32768),0)/32768),0))+D569+(D569/10*F569)</f>
        <v>0</v>
      </c>
      <c r="F569" s="5"/>
      <c r="G569" s="5"/>
      <c r="H569" s="5"/>
      <c r="I569" s="5"/>
      <c r="J569" s="5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1:28" ht="13.2">
      <c r="A570" s="3"/>
      <c r="B570" s="50"/>
      <c r="C570" s="5"/>
      <c r="D570" s="5">
        <f>IF(C570="common",100,IF(C570="Uncommon",300,IF(C570="Rare",700,IF(C570="very rare",1100,IF(C570="Legendary",2000,0)))))</f>
        <v>0</v>
      </c>
      <c r="E570" s="5">
        <f>(F570*TRUNC(3+(15-3)*(TRUNC(MOD((A570*1103515245 +12345)/ 65536, 32768),0)/32768),0))+D570+(D570/10*F570)</f>
        <v>0</v>
      </c>
      <c r="F570" s="5"/>
      <c r="G570" s="5"/>
      <c r="H570" s="5"/>
      <c r="I570" s="5"/>
      <c r="J570" s="5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1:28" ht="13.2">
      <c r="A571" s="3"/>
      <c r="B571" s="50"/>
      <c r="C571" s="5"/>
      <c r="D571" s="5">
        <f>IF(C571="common",100,IF(C571="Uncommon",300,IF(C571="Rare",700,IF(C571="very rare",1100,IF(C571="Legendary",2000,0)))))</f>
        <v>0</v>
      </c>
      <c r="E571" s="5">
        <f>(F571*TRUNC(3+(15-3)*(TRUNC(MOD((A571*1103515245 +12345)/ 65536, 32768),0)/32768),0))+D571+(D571/10*F571)</f>
        <v>0</v>
      </c>
      <c r="F571" s="5"/>
      <c r="G571" s="5"/>
      <c r="H571" s="5"/>
      <c r="I571" s="5"/>
      <c r="J571" s="5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1:28" ht="13.2">
      <c r="A572" s="3"/>
      <c r="B572" s="50"/>
      <c r="C572" s="5"/>
      <c r="D572" s="5">
        <f>IF(C572="common",100,IF(C572="Uncommon",300,IF(C572="Rare",700,IF(C572="very rare",1100,IF(C572="Legendary",2000,0)))))</f>
        <v>0</v>
      </c>
      <c r="E572" s="5">
        <f>(F572*TRUNC(3+(15-3)*(TRUNC(MOD((A572*1103515245 +12345)/ 65536, 32768),0)/32768),0))+D572+(D572/10*F572)</f>
        <v>0</v>
      </c>
      <c r="F572" s="5"/>
      <c r="G572" s="5"/>
      <c r="H572" s="5"/>
      <c r="I572" s="5"/>
      <c r="J572" s="5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1:28" ht="13.2">
      <c r="A573" s="3"/>
      <c r="B573" s="50"/>
      <c r="C573" s="5"/>
      <c r="D573" s="5">
        <f>IF(C573="common",100,IF(C573="Uncommon",300,IF(C573="Rare",700,IF(C573="very rare",1100,IF(C573="Legendary",2000,0)))))</f>
        <v>0</v>
      </c>
      <c r="E573" s="5">
        <f>(F573*TRUNC(3+(15-3)*(TRUNC(MOD((A573*1103515245 +12345)/ 65536, 32768),0)/32768),0))+D573+(D573/10*F573)</f>
        <v>0</v>
      </c>
      <c r="F573" s="5"/>
      <c r="G573" s="5"/>
      <c r="H573" s="5"/>
      <c r="I573" s="5"/>
      <c r="J573" s="5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1:28" ht="13.2">
      <c r="A574" s="3"/>
      <c r="B574" s="50"/>
      <c r="C574" s="5"/>
      <c r="D574" s="5">
        <f>IF(C574="common",100,IF(C574="Uncommon",300,IF(C574="Rare",700,IF(C574="very rare",1100,IF(C574="Legendary",2000,0)))))</f>
        <v>0</v>
      </c>
      <c r="E574" s="5">
        <f>(F574*TRUNC(3+(15-3)*(TRUNC(MOD((A574*1103515245 +12345)/ 65536, 32768),0)/32768),0))+D574+(D574/10*F574)</f>
        <v>0</v>
      </c>
      <c r="F574" s="5"/>
      <c r="G574" s="5"/>
      <c r="H574" s="5"/>
      <c r="I574" s="5"/>
      <c r="J574" s="5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1:28" ht="13.2">
      <c r="A575" s="3"/>
      <c r="B575" s="50"/>
      <c r="C575" s="5"/>
      <c r="D575" s="5">
        <f>IF(C575="common",100,IF(C575="Uncommon",300,IF(C575="Rare",700,IF(C575="very rare",1100,IF(C575="Legendary",2000,0)))))</f>
        <v>0</v>
      </c>
      <c r="E575" s="5">
        <f>(F575*TRUNC(3+(15-3)*(TRUNC(MOD((A575*1103515245 +12345)/ 65536, 32768),0)/32768),0))+D575+(D575/10*F575)</f>
        <v>0</v>
      </c>
      <c r="F575" s="5"/>
      <c r="G575" s="5"/>
      <c r="H575" s="5"/>
      <c r="I575" s="5"/>
      <c r="J575" s="5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1:28" ht="13.2">
      <c r="A576" s="3"/>
      <c r="B576" s="50"/>
      <c r="C576" s="5"/>
      <c r="D576" s="5">
        <f>IF(C576="common",100,IF(C576="Uncommon",300,IF(C576="Rare",700,IF(C576="very rare",1100,IF(C576="Legendary",2000,0)))))</f>
        <v>0</v>
      </c>
      <c r="E576" s="5">
        <f>(F576*TRUNC(3+(15-3)*(TRUNC(MOD((A576*1103515245 +12345)/ 65536, 32768),0)/32768),0))+D576+(D576/10*F576)</f>
        <v>0</v>
      </c>
      <c r="F576" s="5"/>
      <c r="G576" s="5"/>
      <c r="H576" s="5"/>
      <c r="I576" s="5"/>
      <c r="J576" s="5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1:28" ht="13.2">
      <c r="A577" s="3"/>
      <c r="B577" s="50"/>
      <c r="C577" s="5"/>
      <c r="D577" s="5">
        <f>IF(C577="common",100,IF(C577="Uncommon",300,IF(C577="Rare",700,IF(C577="very rare",1100,IF(C577="Legendary",2000,0)))))</f>
        <v>0</v>
      </c>
      <c r="E577" s="5">
        <f>(F577*TRUNC(3+(15-3)*(TRUNC(MOD((A577*1103515245 +12345)/ 65536, 32768),0)/32768),0))+D577+(D577/10*F577)</f>
        <v>0</v>
      </c>
      <c r="F577" s="5"/>
      <c r="G577" s="5"/>
      <c r="H577" s="5"/>
      <c r="I577" s="5"/>
      <c r="J577" s="5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1:28" ht="13.2">
      <c r="A578" s="3"/>
      <c r="B578" s="50"/>
      <c r="C578" s="5"/>
      <c r="D578" s="5">
        <f>IF(C578="common",100,IF(C578="Uncommon",300,IF(C578="Rare",700,IF(C578="very rare",1100,IF(C578="Legendary",2000,0)))))</f>
        <v>0</v>
      </c>
      <c r="E578" s="5">
        <f>(F578*TRUNC(3+(15-3)*(TRUNC(MOD((A578*1103515245 +12345)/ 65536, 32768),0)/32768),0))+D578+(D578/10*F578)</f>
        <v>0</v>
      </c>
      <c r="F578" s="5"/>
      <c r="G578" s="5"/>
      <c r="H578" s="5"/>
      <c r="I578" s="5"/>
      <c r="J578" s="5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1:28" ht="13.2">
      <c r="A579" s="3"/>
      <c r="B579" s="50"/>
      <c r="C579" s="5"/>
      <c r="D579" s="5">
        <f>IF(C579="common",100,IF(C579="Uncommon",300,IF(C579="Rare",700,IF(C579="very rare",1100,IF(C579="Legendary",2000,0)))))</f>
        <v>0</v>
      </c>
      <c r="E579" s="5">
        <f>(F579*TRUNC(3+(15-3)*(TRUNC(MOD((A579*1103515245 +12345)/ 65536, 32768),0)/32768),0))+D579+(D579/10*F579)</f>
        <v>0</v>
      </c>
      <c r="F579" s="5"/>
      <c r="G579" s="5"/>
      <c r="H579" s="5"/>
      <c r="I579" s="5"/>
      <c r="J579" s="5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1:28" ht="13.2">
      <c r="A580" s="3"/>
      <c r="B580" s="50"/>
      <c r="C580" s="5"/>
      <c r="D580" s="5">
        <f>IF(C580="common",100,IF(C580="Uncommon",300,IF(C580="Rare",700,IF(C580="very rare",1100,IF(C580="Legendary",2000,0)))))</f>
        <v>0</v>
      </c>
      <c r="E580" s="5">
        <f>(F580*TRUNC(3+(15-3)*(TRUNC(MOD((A580*1103515245 +12345)/ 65536, 32768),0)/32768),0))+D580+(D580/10*F580)</f>
        <v>0</v>
      </c>
      <c r="F580" s="5"/>
      <c r="G580" s="5"/>
      <c r="H580" s="5"/>
      <c r="I580" s="5"/>
      <c r="J580" s="5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1:28" ht="13.2">
      <c r="A581" s="3"/>
      <c r="B581" s="50"/>
      <c r="C581" s="5"/>
      <c r="D581" s="5">
        <f>IF(C581="common",100,IF(C581="Uncommon",300,IF(C581="Rare",700,IF(C581="very rare",1100,IF(C581="Legendary",2000,0)))))</f>
        <v>0</v>
      </c>
      <c r="E581" s="5">
        <f>(F581*TRUNC(3+(15-3)*(TRUNC(MOD((A581*1103515245 +12345)/ 65536, 32768),0)/32768),0))+D581+(D581/10*F581)</f>
        <v>0</v>
      </c>
      <c r="F581" s="5"/>
      <c r="G581" s="5"/>
      <c r="H581" s="5"/>
      <c r="I581" s="5"/>
      <c r="J581" s="5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1:28" ht="13.2">
      <c r="A582" s="3"/>
      <c r="B582" s="50"/>
      <c r="C582" s="5"/>
      <c r="D582" s="5">
        <f>IF(C582="common",100,IF(C582="Uncommon",300,IF(C582="Rare",700,IF(C582="very rare",1100,IF(C582="Legendary",2000,0)))))</f>
        <v>0</v>
      </c>
      <c r="E582" s="5">
        <f>(F582*TRUNC(3+(15-3)*(TRUNC(MOD((A582*1103515245 +12345)/ 65536, 32768),0)/32768),0))+D582+(D582/10*F582)</f>
        <v>0</v>
      </c>
      <c r="F582" s="5"/>
      <c r="G582" s="5"/>
      <c r="H582" s="5"/>
      <c r="I582" s="5"/>
      <c r="J582" s="5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1:28" ht="13.2">
      <c r="A583" s="3"/>
      <c r="B583" s="50"/>
      <c r="C583" s="5"/>
      <c r="D583" s="5">
        <f>IF(C583="common",100,IF(C583="Uncommon",300,IF(C583="Rare",700,IF(C583="very rare",1100,IF(C583="Legendary",2000,0)))))</f>
        <v>0</v>
      </c>
      <c r="E583" s="5">
        <f>(F583*TRUNC(3+(15-3)*(TRUNC(MOD((A583*1103515245 +12345)/ 65536, 32768),0)/32768),0))+D583+(D583/10*F583)</f>
        <v>0</v>
      </c>
      <c r="F583" s="5"/>
      <c r="G583" s="5"/>
      <c r="H583" s="5"/>
      <c r="I583" s="5"/>
      <c r="J583" s="5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1:28" ht="13.2">
      <c r="A584" s="3"/>
      <c r="B584" s="50"/>
      <c r="C584" s="5"/>
      <c r="D584" s="5">
        <f>IF(C584="common",100,IF(C584="Uncommon",300,IF(C584="Rare",700,IF(C584="very rare",1100,IF(C584="Legendary",2000,0)))))</f>
        <v>0</v>
      </c>
      <c r="E584" s="5">
        <f>(F584*TRUNC(3+(15-3)*(TRUNC(MOD((A584*1103515245 +12345)/ 65536, 32768),0)/32768),0))+D584+(D584/10*F584)</f>
        <v>0</v>
      </c>
      <c r="F584" s="5"/>
      <c r="G584" s="5"/>
      <c r="H584" s="5"/>
      <c r="I584" s="5"/>
      <c r="J584" s="5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1:28" ht="13.2">
      <c r="A585" s="3"/>
      <c r="B585" s="50"/>
      <c r="C585" s="5"/>
      <c r="D585" s="5">
        <f>IF(C585="common",100,IF(C585="Uncommon",300,IF(C585="Rare",700,IF(C585="very rare",1100,IF(C585="Legendary",2000,0)))))</f>
        <v>0</v>
      </c>
      <c r="E585" s="5">
        <f>(F585*TRUNC(3+(15-3)*(TRUNC(MOD((A585*1103515245 +12345)/ 65536, 32768),0)/32768),0))+D585+(D585/10*F585)</f>
        <v>0</v>
      </c>
      <c r="F585" s="5"/>
      <c r="G585" s="5"/>
      <c r="H585" s="5"/>
      <c r="I585" s="5"/>
      <c r="J585" s="5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1:28" ht="13.2">
      <c r="A586" s="3"/>
      <c r="B586" s="50"/>
      <c r="C586" s="5"/>
      <c r="D586" s="5">
        <f>IF(C586="common",100,IF(C586="Uncommon",300,IF(C586="Rare",700,IF(C586="very rare",1100,IF(C586="Legendary",2000,0)))))</f>
        <v>0</v>
      </c>
      <c r="E586" s="5">
        <f>(F586*TRUNC(3+(15-3)*(TRUNC(MOD((A586*1103515245 +12345)/ 65536, 32768),0)/32768),0))+D586+(D586/10*F586)</f>
        <v>0</v>
      </c>
      <c r="F586" s="5"/>
      <c r="G586" s="5"/>
      <c r="H586" s="5"/>
      <c r="I586" s="5"/>
      <c r="J586" s="5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1:28" ht="13.2">
      <c r="A587" s="3"/>
      <c r="B587" s="50"/>
      <c r="C587" s="5"/>
      <c r="D587" s="5">
        <f>IF(C587="common",100,IF(C587="Uncommon",300,IF(C587="Rare",700,IF(C587="very rare",1100,IF(C587="Legendary",2000,0)))))</f>
        <v>0</v>
      </c>
      <c r="E587" s="5">
        <f>(F587*TRUNC(3+(15-3)*(TRUNC(MOD((A587*1103515245 +12345)/ 65536, 32768),0)/32768),0))+D587+(D587/10*F587)</f>
        <v>0</v>
      </c>
      <c r="F587" s="5"/>
      <c r="G587" s="5"/>
      <c r="H587" s="5"/>
      <c r="I587" s="5"/>
      <c r="J587" s="5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1:28" ht="13.2">
      <c r="A588" s="3"/>
      <c r="B588" s="50"/>
      <c r="C588" s="5"/>
      <c r="D588" s="5">
        <f>IF(C588="common",100,IF(C588="Uncommon",300,IF(C588="Rare",700,IF(C588="very rare",1100,IF(C588="Legendary",2000,0)))))</f>
        <v>0</v>
      </c>
      <c r="E588" s="5">
        <f>(F588*TRUNC(3+(15-3)*(TRUNC(MOD((A588*1103515245 +12345)/ 65536, 32768),0)/32768),0))+D588+(D588/10*F588)</f>
        <v>0</v>
      </c>
      <c r="F588" s="5"/>
      <c r="G588" s="5"/>
      <c r="H588" s="5"/>
      <c r="I588" s="5"/>
      <c r="J588" s="5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1:28" ht="13.2">
      <c r="A589" s="3"/>
      <c r="B589" s="50"/>
      <c r="C589" s="5"/>
      <c r="D589" s="5">
        <f>IF(C589="common",100,IF(C589="Uncommon",300,IF(C589="Rare",700,IF(C589="very rare",1100,IF(C589="Legendary",2000,0)))))</f>
        <v>0</v>
      </c>
      <c r="E589" s="5">
        <f>(F589*TRUNC(3+(15-3)*(TRUNC(MOD((A589*1103515245 +12345)/ 65536, 32768),0)/32768),0))+D589+(D589/10*F589)</f>
        <v>0</v>
      </c>
      <c r="F589" s="5"/>
      <c r="G589" s="5"/>
      <c r="H589" s="5"/>
      <c r="I589" s="5"/>
      <c r="J589" s="5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1:28" ht="13.2">
      <c r="A590" s="3"/>
      <c r="B590" s="50"/>
      <c r="C590" s="5"/>
      <c r="D590" s="5">
        <f>IF(C590="common",100,IF(C590="Uncommon",300,IF(C590="Rare",700,IF(C590="very rare",1100,IF(C590="Legendary",2000,0)))))</f>
        <v>0</v>
      </c>
      <c r="E590" s="5">
        <f>(F590*TRUNC(3+(15-3)*(TRUNC(MOD((A590*1103515245 +12345)/ 65536, 32768),0)/32768),0))+D590+(D590/10*F590)</f>
        <v>0</v>
      </c>
      <c r="F590" s="5"/>
      <c r="G590" s="5"/>
      <c r="H590" s="5"/>
      <c r="I590" s="5"/>
      <c r="J590" s="5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1:28" ht="13.2">
      <c r="A591" s="3"/>
      <c r="B591" s="50"/>
      <c r="C591" s="5"/>
      <c r="D591" s="5">
        <f>IF(C591="common",100,IF(C591="Uncommon",300,IF(C591="Rare",700,IF(C591="very rare",1100,IF(C591="Legendary",2000,0)))))</f>
        <v>0</v>
      </c>
      <c r="E591" s="5">
        <f>(F591*TRUNC(3+(15-3)*(TRUNC(MOD((A591*1103515245 +12345)/ 65536, 32768),0)/32768),0))+D591+(D591/10*F591)</f>
        <v>0</v>
      </c>
      <c r="F591" s="5"/>
      <c r="G591" s="5"/>
      <c r="H591" s="5"/>
      <c r="I591" s="5"/>
      <c r="J591" s="5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1:28" ht="13.2">
      <c r="A592" s="3"/>
      <c r="B592" s="50"/>
      <c r="C592" s="5"/>
      <c r="D592" s="5">
        <f>IF(C592="common",100,IF(C592="Uncommon",300,IF(C592="Rare",700,IF(C592="very rare",1100,IF(C592="Legendary",2000,0)))))</f>
        <v>0</v>
      </c>
      <c r="E592" s="5">
        <f>(F592*TRUNC(3+(15-3)*(TRUNC(MOD((A592*1103515245 +12345)/ 65536, 32768),0)/32768),0))+D592+(D592/10*F592)</f>
        <v>0</v>
      </c>
      <c r="F592" s="5"/>
      <c r="G592" s="5"/>
      <c r="H592" s="5"/>
      <c r="I592" s="5"/>
      <c r="J592" s="5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1:28" ht="13.2">
      <c r="A593" s="3"/>
      <c r="B593" s="50"/>
      <c r="C593" s="5"/>
      <c r="D593" s="5">
        <f>IF(C593="common",100,IF(C593="Uncommon",300,IF(C593="Rare",700,IF(C593="very rare",1100,IF(C593="Legendary",2000,0)))))</f>
        <v>0</v>
      </c>
      <c r="E593" s="5">
        <f>(F593*TRUNC(3+(15-3)*(TRUNC(MOD((A593*1103515245 +12345)/ 65536, 32768),0)/32768),0))+D593+(D593/10*F593)</f>
        <v>0</v>
      </c>
      <c r="F593" s="5"/>
      <c r="G593" s="5"/>
      <c r="H593" s="5"/>
      <c r="I593" s="5"/>
      <c r="J593" s="5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1:28" ht="13.2">
      <c r="A594" s="3"/>
      <c r="B594" s="50"/>
      <c r="C594" s="5"/>
      <c r="D594" s="5">
        <f>IF(C594="common",100,IF(C594="Uncommon",300,IF(C594="Rare",700,IF(C594="very rare",1100,IF(C594="Legendary",2000,0)))))</f>
        <v>0</v>
      </c>
      <c r="E594" s="5">
        <f>(F594*TRUNC(3+(15-3)*(TRUNC(MOD((A594*1103515245 +12345)/ 65536, 32768),0)/32768),0))+D594+(D594/10*F594)</f>
        <v>0</v>
      </c>
      <c r="F594" s="5"/>
      <c r="G594" s="5"/>
      <c r="H594" s="5"/>
      <c r="I594" s="5"/>
      <c r="J594" s="5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1:28" ht="13.2">
      <c r="A595" s="3"/>
      <c r="B595" s="50"/>
      <c r="C595" s="5"/>
      <c r="D595" s="5">
        <f>IF(C595="common",100,IF(C595="Uncommon",300,IF(C595="Rare",700,IF(C595="very rare",1100,IF(C595="Legendary",2000,0)))))</f>
        <v>0</v>
      </c>
      <c r="E595" s="5">
        <f>(F595*TRUNC(3+(15-3)*(TRUNC(MOD((A595*1103515245 +12345)/ 65536, 32768),0)/32768),0))+D595+(D595/10*F595)</f>
        <v>0</v>
      </c>
      <c r="F595" s="5"/>
      <c r="G595" s="5"/>
      <c r="H595" s="5"/>
      <c r="I595" s="5"/>
      <c r="J595" s="5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1:28" ht="13.2">
      <c r="A596" s="3"/>
      <c r="B596" s="50"/>
      <c r="C596" s="5"/>
      <c r="D596" s="5">
        <f>IF(C596="common",100,IF(C596="Uncommon",300,IF(C596="Rare",700,IF(C596="very rare",1100,IF(C596="Legendary",2000,0)))))</f>
        <v>0</v>
      </c>
      <c r="E596" s="5">
        <f>(F596*TRUNC(3+(15-3)*(TRUNC(MOD((A596*1103515245 +12345)/ 65536, 32768),0)/32768),0))+D596+(D596/10*F596)</f>
        <v>0</v>
      </c>
      <c r="F596" s="5"/>
      <c r="G596" s="5"/>
      <c r="H596" s="5"/>
      <c r="I596" s="5"/>
      <c r="J596" s="5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1:28" ht="13.2">
      <c r="A597" s="3"/>
      <c r="B597" s="50"/>
      <c r="C597" s="5"/>
      <c r="D597" s="5">
        <f>IF(C597="common",100,IF(C597="Uncommon",300,IF(C597="Rare",700,IF(C597="very rare",1100,IF(C597="Legendary",2000,0)))))</f>
        <v>0</v>
      </c>
      <c r="E597" s="5">
        <f>(F597*TRUNC(3+(15-3)*(TRUNC(MOD((A597*1103515245 +12345)/ 65536, 32768),0)/32768),0))+D597+(D597/10*F597)</f>
        <v>0</v>
      </c>
      <c r="F597" s="5"/>
      <c r="G597" s="5"/>
      <c r="H597" s="5"/>
      <c r="I597" s="5"/>
      <c r="J597" s="5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1:28" ht="13.2">
      <c r="A598" s="3"/>
      <c r="B598" s="50"/>
      <c r="C598" s="5"/>
      <c r="D598" s="5">
        <f>IF(C598="common",100,IF(C598="Uncommon",300,IF(C598="Rare",700,IF(C598="very rare",1100,IF(C598="Legendary",2000,0)))))</f>
        <v>0</v>
      </c>
      <c r="E598" s="5">
        <f>(F598*TRUNC(3+(15-3)*(TRUNC(MOD((A598*1103515245 +12345)/ 65536, 32768),0)/32768),0))+D598+(D598/10*F598)</f>
        <v>0</v>
      </c>
      <c r="F598" s="5"/>
      <c r="G598" s="5"/>
      <c r="H598" s="5"/>
      <c r="I598" s="5"/>
      <c r="J598" s="5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1:28" ht="13.2">
      <c r="A599" s="3"/>
      <c r="B599" s="50"/>
      <c r="C599" s="5"/>
      <c r="D599" s="5">
        <f>IF(C599="common",100,IF(C599="Uncommon",300,IF(C599="Rare",700,IF(C599="very rare",1100,IF(C599="Legendary",2000,0)))))</f>
        <v>0</v>
      </c>
      <c r="E599" s="5">
        <f>(F599*TRUNC(3+(15-3)*(TRUNC(MOD((A599*1103515245 +12345)/ 65536, 32768),0)/32768),0))+D599+(D599/10*F599)</f>
        <v>0</v>
      </c>
      <c r="F599" s="5"/>
      <c r="G599" s="5"/>
      <c r="H599" s="5"/>
      <c r="I599" s="5"/>
      <c r="J599" s="5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1:28" ht="13.2">
      <c r="A600" s="3"/>
      <c r="B600" s="50"/>
      <c r="C600" s="5"/>
      <c r="D600" s="5">
        <f>IF(C600="common",100,IF(C600="Uncommon",300,IF(C600="Rare",700,IF(C600="very rare",1100,IF(C600="Legendary",2000,0)))))</f>
        <v>0</v>
      </c>
      <c r="E600" s="5">
        <f>(F600*TRUNC(3+(15-3)*(TRUNC(MOD((A600*1103515245 +12345)/ 65536, 32768),0)/32768),0))+D600+(D600/10*F600)</f>
        <v>0</v>
      </c>
      <c r="F600" s="5"/>
      <c r="G600" s="5"/>
      <c r="H600" s="5"/>
      <c r="I600" s="5"/>
      <c r="J600" s="5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spans="1:28" ht="13.2">
      <c r="A601" s="3"/>
      <c r="B601" s="50"/>
      <c r="C601" s="5"/>
      <c r="D601" s="5">
        <f>IF(C601="common",100,IF(C601="Uncommon",300,IF(C601="Rare",700,IF(C601="very rare",1100,IF(C601="Legendary",2000,0)))))</f>
        <v>0</v>
      </c>
      <c r="E601" s="5">
        <f>(F601*TRUNC(3+(15-3)*(TRUNC(MOD((A601*1103515245 +12345)/ 65536, 32768),0)/32768),0))+D601+(D601/10*F601)</f>
        <v>0</v>
      </c>
      <c r="F601" s="5"/>
      <c r="G601" s="5"/>
      <c r="H601" s="5"/>
      <c r="I601" s="5"/>
      <c r="J601" s="5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spans="1:28" ht="13.2">
      <c r="A602" s="3"/>
      <c r="B602" s="50"/>
      <c r="C602" s="5"/>
      <c r="D602" s="5">
        <f>IF(C602="common",100,IF(C602="Uncommon",300,IF(C602="Rare",700,IF(C602="very rare",1100,IF(C602="Legendary",2000,0)))))</f>
        <v>0</v>
      </c>
      <c r="E602" s="5">
        <f>(F602*TRUNC(3+(15-3)*(TRUNC(MOD((A602*1103515245 +12345)/ 65536, 32768),0)/32768),0))+D602+(D602/10*F602)</f>
        <v>0</v>
      </c>
      <c r="F602" s="5"/>
      <c r="G602" s="5"/>
      <c r="H602" s="5"/>
      <c r="I602" s="5"/>
      <c r="J602" s="5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spans="1:28" ht="13.2">
      <c r="A603" s="3"/>
      <c r="B603" s="50"/>
      <c r="C603" s="5"/>
      <c r="D603" s="5">
        <f>IF(C603="common",100,IF(C603="Uncommon",300,IF(C603="Rare",700,IF(C603="very rare",1100,IF(C603="Legendary",2000,0)))))</f>
        <v>0</v>
      </c>
      <c r="E603" s="5">
        <f>(F603*TRUNC(3+(15-3)*(TRUNC(MOD((A603*1103515245 +12345)/ 65536, 32768),0)/32768),0))+D603+(D603/10*F603)</f>
        <v>0</v>
      </c>
      <c r="F603" s="5"/>
      <c r="G603" s="5"/>
      <c r="H603" s="5"/>
      <c r="I603" s="5"/>
      <c r="J603" s="5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spans="1:28" ht="13.2">
      <c r="A604" s="3"/>
      <c r="B604" s="50"/>
      <c r="C604" s="5"/>
      <c r="D604" s="5">
        <f>IF(C604="common",100,IF(C604="Uncommon",300,IF(C604="Rare",700,IF(C604="very rare",1100,IF(C604="Legendary",2000,0)))))</f>
        <v>0</v>
      </c>
      <c r="E604" s="5">
        <f>(F604*TRUNC(3+(15-3)*(TRUNC(MOD((A604*1103515245 +12345)/ 65536, 32768),0)/32768),0))+D604+(D604/10*F604)</f>
        <v>0</v>
      </c>
      <c r="F604" s="5"/>
      <c r="G604" s="5"/>
      <c r="H604" s="5"/>
      <c r="I604" s="5"/>
      <c r="J604" s="5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spans="1:28" ht="13.2">
      <c r="A605" s="3"/>
      <c r="B605" s="50"/>
      <c r="C605" s="5"/>
      <c r="D605" s="5">
        <f>IF(C605="common",100,IF(C605="Uncommon",300,IF(C605="Rare",700,IF(C605="very rare",1100,IF(C605="Legendary",2000,0)))))</f>
        <v>0</v>
      </c>
      <c r="E605" s="5">
        <f>(F605*TRUNC(3+(15-3)*(TRUNC(MOD((A605*1103515245 +12345)/ 65536, 32768),0)/32768),0))+D605+(D605/10*F605)</f>
        <v>0</v>
      </c>
      <c r="F605" s="5"/>
      <c r="G605" s="5"/>
      <c r="H605" s="5"/>
      <c r="I605" s="5"/>
      <c r="J605" s="5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spans="1:28" ht="13.2">
      <c r="A606" s="3"/>
      <c r="B606" s="50"/>
      <c r="C606" s="5"/>
      <c r="D606" s="5">
        <f>IF(C606="common",100,IF(C606="Uncommon",300,IF(C606="Rare",700,IF(C606="very rare",1100,IF(C606="Legendary",2000,0)))))</f>
        <v>0</v>
      </c>
      <c r="E606" s="5">
        <f>(F606*TRUNC(3+(15-3)*(TRUNC(MOD((A606*1103515245 +12345)/ 65536, 32768),0)/32768),0))+D606+(D606/10*F606)</f>
        <v>0</v>
      </c>
      <c r="F606" s="5"/>
      <c r="G606" s="5"/>
      <c r="H606" s="5"/>
      <c r="I606" s="5"/>
      <c r="J606" s="5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spans="1:28" ht="13.2">
      <c r="A607" s="3"/>
      <c r="B607" s="50"/>
      <c r="C607" s="5"/>
      <c r="D607" s="5">
        <f>IF(C607="common",100,IF(C607="Uncommon",300,IF(C607="Rare",700,IF(C607="very rare",1100,IF(C607="Legendary",2000,0)))))</f>
        <v>0</v>
      </c>
      <c r="E607" s="5">
        <f>(F607*TRUNC(3+(15-3)*(TRUNC(MOD((A607*1103515245 +12345)/ 65536, 32768),0)/32768),0))+D607+(D607/10*F607)</f>
        <v>0</v>
      </c>
      <c r="F607" s="5"/>
      <c r="G607" s="5"/>
      <c r="H607" s="5"/>
      <c r="I607" s="5"/>
      <c r="J607" s="5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spans="1:28" ht="13.2">
      <c r="A608" s="3"/>
      <c r="B608" s="50"/>
      <c r="C608" s="5"/>
      <c r="D608" s="5">
        <f>IF(C608="common",100,IF(C608="Uncommon",300,IF(C608="Rare",700,IF(C608="very rare",1100,IF(C608="Legendary",2000,0)))))</f>
        <v>0</v>
      </c>
      <c r="E608" s="5">
        <f>(F608*TRUNC(3+(15-3)*(TRUNC(MOD((A608*1103515245 +12345)/ 65536, 32768),0)/32768),0))+D608+(D608/10*F608)</f>
        <v>0</v>
      </c>
      <c r="F608" s="5"/>
      <c r="G608" s="5"/>
      <c r="H608" s="5"/>
      <c r="I608" s="5"/>
      <c r="J608" s="5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spans="1:28" ht="13.2">
      <c r="A609" s="3"/>
      <c r="B609" s="50"/>
      <c r="C609" s="5"/>
      <c r="D609" s="5">
        <f>IF(C609="common",100,IF(C609="Uncommon",300,IF(C609="Rare",700,IF(C609="very rare",1100,IF(C609="Legendary",2000,0)))))</f>
        <v>0</v>
      </c>
      <c r="E609" s="5">
        <f>(F609*TRUNC(3+(15-3)*(TRUNC(MOD((A609*1103515245 +12345)/ 65536, 32768),0)/32768),0))+D609+(D609/10*F609)</f>
        <v>0</v>
      </c>
      <c r="F609" s="5"/>
      <c r="G609" s="5"/>
      <c r="H609" s="5"/>
      <c r="I609" s="5"/>
      <c r="J609" s="5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spans="1:28" ht="13.2">
      <c r="A610" s="3"/>
      <c r="B610" s="50"/>
      <c r="C610" s="5"/>
      <c r="D610" s="5">
        <f>IF(C610="common",100,IF(C610="Uncommon",300,IF(C610="Rare",700,IF(C610="very rare",1100,IF(C610="Legendary",2000,0)))))</f>
        <v>0</v>
      </c>
      <c r="E610" s="5">
        <f>(F610*TRUNC(3+(15-3)*(TRUNC(MOD((A610*1103515245 +12345)/ 65536, 32768),0)/32768),0))+D610+(D610/10*F610)</f>
        <v>0</v>
      </c>
      <c r="F610" s="5"/>
      <c r="G610" s="5"/>
      <c r="H610" s="5"/>
      <c r="I610" s="5"/>
      <c r="J610" s="5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spans="1:28" ht="13.2">
      <c r="A611" s="3"/>
      <c r="B611" s="50"/>
      <c r="C611" s="5"/>
      <c r="D611" s="5">
        <f>IF(C611="common",100,IF(C611="Uncommon",300,IF(C611="Rare",700,IF(C611="very rare",1100,IF(C611="Legendary",2000,0)))))</f>
        <v>0</v>
      </c>
      <c r="E611" s="5">
        <f>(F611*TRUNC(3+(15-3)*(TRUNC(MOD((A611*1103515245 +12345)/ 65536, 32768),0)/32768),0))+D611+(D611/10*F611)</f>
        <v>0</v>
      </c>
      <c r="F611" s="5"/>
      <c r="G611" s="5"/>
      <c r="H611" s="5"/>
      <c r="I611" s="5"/>
      <c r="J611" s="5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spans="1:28" ht="13.2">
      <c r="A612" s="3"/>
      <c r="B612" s="50"/>
      <c r="C612" s="5"/>
      <c r="D612" s="5">
        <f>IF(C612="common",100,IF(C612="Uncommon",300,IF(C612="Rare",700,IF(C612="very rare",1100,IF(C612="Legendary",2000,0)))))</f>
        <v>0</v>
      </c>
      <c r="E612" s="5">
        <f>(F612*TRUNC(3+(15-3)*(TRUNC(MOD((A612*1103515245 +12345)/ 65536, 32768),0)/32768),0))+D612+(D612/10*F612)</f>
        <v>0</v>
      </c>
      <c r="F612" s="5"/>
      <c r="G612" s="5"/>
      <c r="H612" s="5"/>
      <c r="I612" s="5"/>
      <c r="J612" s="5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spans="1:28" ht="13.2">
      <c r="A613" s="3"/>
      <c r="B613" s="50"/>
      <c r="C613" s="5"/>
      <c r="D613" s="5">
        <f>IF(C613="common",100,IF(C613="Uncommon",300,IF(C613="Rare",700,IF(C613="very rare",1100,IF(C613="Legendary",2000,0)))))</f>
        <v>0</v>
      </c>
      <c r="E613" s="5">
        <f>(F613*TRUNC(3+(15-3)*(TRUNC(MOD((A613*1103515245 +12345)/ 65536, 32768),0)/32768),0))+D613+(D613/10*F613)</f>
        <v>0</v>
      </c>
      <c r="F613" s="5"/>
      <c r="G613" s="5"/>
      <c r="H613" s="5"/>
      <c r="I613" s="5"/>
      <c r="J613" s="5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spans="1:28" ht="13.2">
      <c r="A614" s="3"/>
      <c r="B614" s="50"/>
      <c r="C614" s="5"/>
      <c r="D614" s="5">
        <f>IF(C614="common",100,IF(C614="Uncommon",300,IF(C614="Rare",700,IF(C614="very rare",1100,IF(C614="Legendary",2000,0)))))</f>
        <v>0</v>
      </c>
      <c r="E614" s="5">
        <f>(F614*TRUNC(3+(15-3)*(TRUNC(MOD((A614*1103515245 +12345)/ 65536, 32768),0)/32768),0))+D614+(D614/10*F614)</f>
        <v>0</v>
      </c>
      <c r="F614" s="5"/>
      <c r="G614" s="5"/>
      <c r="H614" s="5"/>
      <c r="I614" s="5"/>
      <c r="J614" s="5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spans="1:28" ht="13.2">
      <c r="A615" s="3"/>
      <c r="B615" s="50"/>
      <c r="C615" s="5"/>
      <c r="D615" s="5">
        <f>IF(C615="common",100,IF(C615="Uncommon",300,IF(C615="Rare",700,IF(C615="very rare",1100,IF(C615="Legendary",2000,0)))))</f>
        <v>0</v>
      </c>
      <c r="E615" s="5">
        <f>(F615*TRUNC(3+(15-3)*(TRUNC(MOD((A615*1103515245 +12345)/ 65536, 32768),0)/32768),0))+D615+(D615/10*F615)</f>
        <v>0</v>
      </c>
      <c r="F615" s="5"/>
      <c r="G615" s="5"/>
      <c r="H615" s="5"/>
      <c r="I615" s="5"/>
      <c r="J615" s="5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spans="1:28" ht="13.2">
      <c r="A616" s="3"/>
      <c r="B616" s="50"/>
      <c r="C616" s="5"/>
      <c r="D616" s="5">
        <f>IF(C616="common",100,IF(C616="Uncommon",300,IF(C616="Rare",700,IF(C616="very rare",1100,IF(C616="Legendary",2000,0)))))</f>
        <v>0</v>
      </c>
      <c r="E616" s="5">
        <f>(F616*TRUNC(3+(15-3)*(TRUNC(MOD((A616*1103515245 +12345)/ 65536, 32768),0)/32768),0))+D616+(D616/10*F616)</f>
        <v>0</v>
      </c>
      <c r="F616" s="5"/>
      <c r="G616" s="5"/>
      <c r="H616" s="5"/>
      <c r="I616" s="5"/>
      <c r="J616" s="5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spans="1:28" ht="13.2">
      <c r="A617" s="3"/>
      <c r="B617" s="50"/>
      <c r="C617" s="5"/>
      <c r="D617" s="5">
        <f>IF(C617="common",100,IF(C617="Uncommon",300,IF(C617="Rare",700,IF(C617="very rare",1100,IF(C617="Legendary",2000,0)))))</f>
        <v>0</v>
      </c>
      <c r="E617" s="5">
        <f>(F617*TRUNC(3+(15-3)*(TRUNC(MOD((A617*1103515245 +12345)/ 65536, 32768),0)/32768),0))+D617+(D617/10*F617)</f>
        <v>0</v>
      </c>
      <c r="F617" s="5"/>
      <c r="G617" s="5"/>
      <c r="H617" s="5"/>
      <c r="I617" s="5"/>
      <c r="J617" s="5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spans="1:28" ht="13.2">
      <c r="A618" s="3"/>
      <c r="B618" s="50"/>
      <c r="C618" s="5"/>
      <c r="D618" s="5">
        <f>IF(C618="common",100,IF(C618="Uncommon",300,IF(C618="Rare",700,IF(C618="very rare",1100,IF(C618="Legendary",2000,0)))))</f>
        <v>0</v>
      </c>
      <c r="E618" s="5">
        <f>(F618*TRUNC(3+(15-3)*(TRUNC(MOD((A618*1103515245 +12345)/ 65536, 32768),0)/32768),0))+D618+(D618/10*F618)</f>
        <v>0</v>
      </c>
      <c r="F618" s="5"/>
      <c r="G618" s="5"/>
      <c r="H618" s="5"/>
      <c r="I618" s="5"/>
      <c r="J618" s="5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spans="1:28" ht="13.2">
      <c r="A619" s="3"/>
      <c r="B619" s="50"/>
      <c r="C619" s="5"/>
      <c r="D619" s="5">
        <f>IF(C619="common",100,IF(C619="Uncommon",300,IF(C619="Rare",700,IF(C619="very rare",1100,IF(C619="Legendary",2000,0)))))</f>
        <v>0</v>
      </c>
      <c r="E619" s="5">
        <f>(F619*TRUNC(3+(15-3)*(TRUNC(MOD((A619*1103515245 +12345)/ 65536, 32768),0)/32768),0))+D619+(D619/10*F619)</f>
        <v>0</v>
      </c>
      <c r="F619" s="5"/>
      <c r="G619" s="5"/>
      <c r="H619" s="5"/>
      <c r="I619" s="5"/>
      <c r="J619" s="5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spans="1:28" ht="13.2">
      <c r="A620" s="3"/>
      <c r="B620" s="50"/>
      <c r="C620" s="5"/>
      <c r="D620" s="5">
        <f>IF(C620="common",100,IF(C620="Uncommon",300,IF(C620="Rare",700,IF(C620="very rare",1100,IF(C620="Legendary",2000,0)))))</f>
        <v>0</v>
      </c>
      <c r="E620" s="5">
        <f>(F620*TRUNC(3+(15-3)*(TRUNC(MOD((A620*1103515245 +12345)/ 65536, 32768),0)/32768),0))+D620+(D620/10*F620)</f>
        <v>0</v>
      </c>
      <c r="F620" s="5"/>
      <c r="G620" s="5"/>
      <c r="H620" s="5"/>
      <c r="I620" s="5"/>
      <c r="J620" s="5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spans="1:28" ht="13.2">
      <c r="A621" s="3"/>
      <c r="B621" s="50"/>
      <c r="C621" s="5"/>
      <c r="D621" s="5">
        <f>IF(C621="common",100,IF(C621="Uncommon",300,IF(C621="Rare",700,IF(C621="very rare",1100,IF(C621="Legendary",2000,0)))))</f>
        <v>0</v>
      </c>
      <c r="E621" s="5">
        <f>(F621*TRUNC(3+(15-3)*(TRUNC(MOD((A621*1103515245 +12345)/ 65536, 32768),0)/32768),0))+D621+(D621/10*F621)</f>
        <v>0</v>
      </c>
      <c r="F621" s="5"/>
      <c r="G621" s="5"/>
      <c r="H621" s="5"/>
      <c r="I621" s="5"/>
      <c r="J621" s="5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spans="1:28" ht="13.2">
      <c r="A622" s="3"/>
      <c r="B622" s="50"/>
      <c r="C622" s="5"/>
      <c r="D622" s="5">
        <f>IF(C622="common",100,IF(C622="Uncommon",300,IF(C622="Rare",700,IF(C622="very rare",1100,IF(C622="Legendary",2000,0)))))</f>
        <v>0</v>
      </c>
      <c r="E622" s="5">
        <f>(F622*TRUNC(3+(15-3)*(TRUNC(MOD((A622*1103515245 +12345)/ 65536, 32768),0)/32768),0))+D622+(D622/10*F622)</f>
        <v>0</v>
      </c>
      <c r="F622" s="5"/>
      <c r="G622" s="5"/>
      <c r="H622" s="5"/>
      <c r="I622" s="5"/>
      <c r="J622" s="5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spans="1:28" ht="13.2">
      <c r="A623" s="3"/>
      <c r="B623" s="50"/>
      <c r="C623" s="5"/>
      <c r="D623" s="5">
        <f>IF(C623="common",100,IF(C623="Uncommon",300,IF(C623="Rare",700,IF(C623="very rare",1100,IF(C623="Legendary",2000,0)))))</f>
        <v>0</v>
      </c>
      <c r="E623" s="5">
        <f>(F623*TRUNC(3+(15-3)*(TRUNC(MOD((A623*1103515245 +12345)/ 65536, 32768),0)/32768),0))+D623+(D623/10*F623)</f>
        <v>0</v>
      </c>
      <c r="F623" s="5"/>
      <c r="G623" s="5"/>
      <c r="H623" s="5"/>
      <c r="I623" s="5"/>
      <c r="J623" s="5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spans="1:28" ht="13.2">
      <c r="A624" s="3"/>
      <c r="B624" s="50"/>
      <c r="C624" s="5"/>
      <c r="D624" s="5">
        <f>IF(C624="common",100,IF(C624="Uncommon",300,IF(C624="Rare",700,IF(C624="very rare",1100,IF(C624="Legendary",2000,0)))))</f>
        <v>0</v>
      </c>
      <c r="E624" s="5">
        <f>(F624*TRUNC(3+(15-3)*(TRUNC(MOD((A624*1103515245 +12345)/ 65536, 32768),0)/32768),0))+D624+(D624/10*F624)</f>
        <v>0</v>
      </c>
      <c r="F624" s="5"/>
      <c r="G624" s="5"/>
      <c r="H624" s="5"/>
      <c r="I624" s="5"/>
      <c r="J624" s="5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spans="1:28" ht="13.2">
      <c r="A625" s="3"/>
      <c r="B625" s="50"/>
      <c r="C625" s="5"/>
      <c r="D625" s="5">
        <f>IF(C625="common",100,IF(C625="Uncommon",300,IF(C625="Rare",700,IF(C625="very rare",1100,IF(C625="Legendary",2000,0)))))</f>
        <v>0</v>
      </c>
      <c r="E625" s="5">
        <f>(F625*TRUNC(3+(15-3)*(TRUNC(MOD((A625*1103515245 +12345)/ 65536, 32768),0)/32768),0))+D625+(D625/10*F625)</f>
        <v>0</v>
      </c>
      <c r="F625" s="5"/>
      <c r="G625" s="5"/>
      <c r="H625" s="5"/>
      <c r="I625" s="5"/>
      <c r="J625" s="5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spans="1:28" ht="13.2">
      <c r="A626" s="3"/>
      <c r="B626" s="50"/>
      <c r="C626" s="5"/>
      <c r="D626" s="5">
        <f>IF(C626="common",100,IF(C626="Uncommon",300,IF(C626="Rare",700,IF(C626="very rare",1100,IF(C626="Legendary",2000,0)))))</f>
        <v>0</v>
      </c>
      <c r="E626" s="5">
        <f>(F626*TRUNC(3+(15-3)*(TRUNC(MOD((A626*1103515245 +12345)/ 65536, 32768),0)/32768),0))+D626+(D626/10*F626)</f>
        <v>0</v>
      </c>
      <c r="F626" s="5"/>
      <c r="G626" s="5"/>
      <c r="H626" s="5"/>
      <c r="I626" s="5"/>
      <c r="J626" s="5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spans="1:28" ht="13.2">
      <c r="A627" s="3"/>
      <c r="B627" s="50"/>
      <c r="C627" s="5"/>
      <c r="D627" s="5">
        <f>IF(C627="common",100,IF(C627="Uncommon",300,IF(C627="Rare",700,IF(C627="very rare",1100,IF(C627="Legendary",2000,0)))))</f>
        <v>0</v>
      </c>
      <c r="E627" s="5">
        <f>(F627*TRUNC(3+(15-3)*(TRUNC(MOD((A627*1103515245 +12345)/ 65536, 32768),0)/32768),0))+D627+(D627/10*F627)</f>
        <v>0</v>
      </c>
      <c r="F627" s="5"/>
      <c r="G627" s="5"/>
      <c r="H627" s="5"/>
      <c r="I627" s="5"/>
      <c r="J627" s="5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spans="1:28" ht="13.2">
      <c r="A628" s="3"/>
      <c r="B628" s="50"/>
      <c r="C628" s="5"/>
      <c r="D628" s="5">
        <f>IF(C628="common",100,IF(C628="Uncommon",300,IF(C628="Rare",700,IF(C628="very rare",1100,IF(C628="Legendary",2000,0)))))</f>
        <v>0</v>
      </c>
      <c r="E628" s="5">
        <f>(F628*TRUNC(3+(15-3)*(TRUNC(MOD((A628*1103515245 +12345)/ 65536, 32768),0)/32768),0))+D628+(D628/10*F628)</f>
        <v>0</v>
      </c>
      <c r="F628" s="5"/>
      <c r="G628" s="5"/>
      <c r="H628" s="5"/>
      <c r="I628" s="5"/>
      <c r="J628" s="5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spans="1:28" ht="13.2">
      <c r="A629" s="3"/>
      <c r="B629" s="50"/>
      <c r="C629" s="5"/>
      <c r="D629" s="5">
        <f>IF(C629="common",100,IF(C629="Uncommon",300,IF(C629="Rare",700,IF(C629="very rare",1100,IF(C629="Legendary",2000,0)))))</f>
        <v>0</v>
      </c>
      <c r="E629" s="5">
        <f>(F629*TRUNC(3+(15-3)*(TRUNC(MOD((A629*1103515245 +12345)/ 65536, 32768),0)/32768),0))+D629+(D629/10*F629)</f>
        <v>0</v>
      </c>
      <c r="F629" s="5"/>
      <c r="G629" s="5"/>
      <c r="H629" s="5"/>
      <c r="I629" s="5"/>
      <c r="J629" s="5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spans="1:28" ht="13.2">
      <c r="A630" s="3"/>
      <c r="B630" s="50"/>
      <c r="C630" s="5"/>
      <c r="D630" s="5">
        <f>IF(C630="common",100,IF(C630="Uncommon",300,IF(C630="Rare",700,IF(C630="very rare",1100,IF(C630="Legendary",2000,0)))))</f>
        <v>0</v>
      </c>
      <c r="E630" s="5">
        <f>(F630*TRUNC(3+(15-3)*(TRUNC(MOD((A630*1103515245 +12345)/ 65536, 32768),0)/32768),0))+D630+(D630/10*F630)</f>
        <v>0</v>
      </c>
      <c r="F630" s="5"/>
      <c r="G630" s="5"/>
      <c r="H630" s="5"/>
      <c r="I630" s="5"/>
      <c r="J630" s="5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spans="1:28" ht="13.2">
      <c r="A631" s="3"/>
      <c r="B631" s="50"/>
      <c r="C631" s="5"/>
      <c r="D631" s="5">
        <f>IF(C631="common",100,IF(C631="Uncommon",300,IF(C631="Rare",700,IF(C631="very rare",1100,IF(C631="Legendary",2000,0)))))</f>
        <v>0</v>
      </c>
      <c r="E631" s="5">
        <f>(F631*TRUNC(3+(15-3)*(TRUNC(MOD((A631*1103515245 +12345)/ 65536, 32768),0)/32768),0))+D631+(D631/10*F631)</f>
        <v>0</v>
      </c>
      <c r="F631" s="5"/>
      <c r="G631" s="5"/>
      <c r="H631" s="5"/>
      <c r="I631" s="5"/>
      <c r="J631" s="5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spans="1:28" ht="13.2">
      <c r="A632" s="3"/>
      <c r="B632" s="50"/>
      <c r="C632" s="5"/>
      <c r="D632" s="5">
        <f>IF(C632="common",100,IF(C632="Uncommon",300,IF(C632="Rare",700,IF(C632="very rare",1100,IF(C632="Legendary",2000,0)))))</f>
        <v>0</v>
      </c>
      <c r="E632" s="5">
        <f>(F632*TRUNC(3+(15-3)*(TRUNC(MOD((A632*1103515245 +12345)/ 65536, 32768),0)/32768),0))+D632+(D632/10*F632)</f>
        <v>0</v>
      </c>
      <c r="F632" s="5"/>
      <c r="G632" s="5"/>
      <c r="H632" s="5"/>
      <c r="I632" s="5"/>
      <c r="J632" s="5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spans="1:28" ht="13.2">
      <c r="A633" s="3"/>
      <c r="B633" s="50"/>
      <c r="C633" s="5"/>
      <c r="D633" s="5">
        <f>IF(C633="common",100,IF(C633="Uncommon",300,IF(C633="Rare",700,IF(C633="very rare",1100,IF(C633="Legendary",2000,0)))))</f>
        <v>0</v>
      </c>
      <c r="E633" s="5">
        <f>(F633*TRUNC(3+(15-3)*(TRUNC(MOD((A633*1103515245 +12345)/ 65536, 32768),0)/32768),0))+D633+(D633/10*F633)</f>
        <v>0</v>
      </c>
      <c r="F633" s="5"/>
      <c r="G633" s="5"/>
      <c r="H633" s="5"/>
      <c r="I633" s="5"/>
      <c r="J633" s="5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spans="1:28" ht="13.2">
      <c r="A634" s="3"/>
      <c r="B634" s="50"/>
      <c r="C634" s="5"/>
      <c r="D634" s="5">
        <f>IF(C634="common",100,IF(C634="Uncommon",300,IF(C634="Rare",700,IF(C634="very rare",1100,IF(C634="Legendary",2000,0)))))</f>
        <v>0</v>
      </c>
      <c r="E634" s="5">
        <f>(F634*TRUNC(3+(15-3)*(TRUNC(MOD((A634*1103515245 +12345)/ 65536, 32768),0)/32768),0))+D634+(D634/10*F634)</f>
        <v>0</v>
      </c>
      <c r="F634" s="5"/>
      <c r="G634" s="5"/>
      <c r="H634" s="5"/>
      <c r="I634" s="5"/>
      <c r="J634" s="5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spans="1:28" ht="13.2">
      <c r="A635" s="3"/>
      <c r="B635" s="50"/>
      <c r="C635" s="5"/>
      <c r="D635" s="5">
        <f>IF(C635="common",100,IF(C635="Uncommon",300,IF(C635="Rare",700,IF(C635="very rare",1100,IF(C635="Legendary",2000,0)))))</f>
        <v>0</v>
      </c>
      <c r="E635" s="5">
        <f>(F635*TRUNC(3+(15-3)*(TRUNC(MOD((A635*1103515245 +12345)/ 65536, 32768),0)/32768),0))+D635+(D635/10*F635)</f>
        <v>0</v>
      </c>
      <c r="F635" s="5"/>
      <c r="G635" s="5"/>
      <c r="H635" s="5"/>
      <c r="I635" s="5"/>
      <c r="J635" s="5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spans="1:28" ht="13.2">
      <c r="A636" s="3"/>
      <c r="B636" s="50"/>
      <c r="C636" s="5"/>
      <c r="D636" s="5">
        <f>IF(C636="common",100,IF(C636="Uncommon",300,IF(C636="Rare",700,IF(C636="very rare",1100,IF(C636="Legendary",2000,0)))))</f>
        <v>0</v>
      </c>
      <c r="E636" s="5">
        <f>(F636*TRUNC(3+(15-3)*(TRUNC(MOD((A636*1103515245 +12345)/ 65536, 32768),0)/32768),0))+D636+(D636/10*F636)</f>
        <v>0</v>
      </c>
      <c r="F636" s="5"/>
      <c r="G636" s="5"/>
      <c r="H636" s="5"/>
      <c r="I636" s="5"/>
      <c r="J636" s="5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spans="1:28" ht="13.2">
      <c r="A637" s="3"/>
      <c r="B637" s="50"/>
      <c r="C637" s="5"/>
      <c r="D637" s="5">
        <f>IF(C637="common",100,IF(C637="Uncommon",300,IF(C637="Rare",700,IF(C637="very rare",1100,IF(C637="Legendary",2000,0)))))</f>
        <v>0</v>
      </c>
      <c r="E637" s="5">
        <f>(F637*TRUNC(3+(15-3)*(TRUNC(MOD((A637*1103515245 +12345)/ 65536, 32768),0)/32768),0))+D637+(D637/10*F637)</f>
        <v>0</v>
      </c>
      <c r="F637" s="5"/>
      <c r="G637" s="5"/>
      <c r="H637" s="5"/>
      <c r="I637" s="5"/>
      <c r="J637" s="5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spans="1:28" ht="13.2">
      <c r="A638" s="3"/>
      <c r="B638" s="50"/>
      <c r="C638" s="5"/>
      <c r="D638" s="5">
        <f>IF(C638="common",100,IF(C638="Uncommon",300,IF(C638="Rare",700,IF(C638="very rare",1100,IF(C638="Legendary",2000,0)))))</f>
        <v>0</v>
      </c>
      <c r="E638" s="5">
        <f>(F638*TRUNC(3+(15-3)*(TRUNC(MOD((A638*1103515245 +12345)/ 65536, 32768),0)/32768),0))+D638+(D638/10*F638)</f>
        <v>0</v>
      </c>
      <c r="F638" s="5"/>
      <c r="G638" s="5"/>
      <c r="H638" s="5"/>
      <c r="I638" s="5"/>
      <c r="J638" s="5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spans="1:28" ht="13.2">
      <c r="A639" s="3"/>
      <c r="B639" s="50"/>
      <c r="C639" s="5"/>
      <c r="D639" s="5">
        <f>IF(C639="common",100,IF(C639="Uncommon",300,IF(C639="Rare",700,IF(C639="very rare",1100,IF(C639="Legendary",2000,0)))))</f>
        <v>0</v>
      </c>
      <c r="E639" s="5">
        <f>(F639*TRUNC(3+(15-3)*(TRUNC(MOD((A639*1103515245 +12345)/ 65536, 32768),0)/32768),0))+D639+(D639/10*F639)</f>
        <v>0</v>
      </c>
      <c r="F639" s="5"/>
      <c r="G639" s="5"/>
      <c r="H639" s="5"/>
      <c r="I639" s="5"/>
      <c r="J639" s="5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spans="1:28" ht="13.2">
      <c r="A640" s="3"/>
      <c r="B640" s="50"/>
      <c r="C640" s="5"/>
      <c r="D640" s="5">
        <f>IF(C640="common",100,IF(C640="Uncommon",300,IF(C640="Rare",700,IF(C640="very rare",1100,IF(C640="Legendary",2000,0)))))</f>
        <v>0</v>
      </c>
      <c r="E640" s="5">
        <f>(F640*TRUNC(3+(15-3)*(TRUNC(MOD((A640*1103515245 +12345)/ 65536, 32768),0)/32768),0))+D640+(D640/10*F640)</f>
        <v>0</v>
      </c>
      <c r="F640" s="5"/>
      <c r="G640" s="5"/>
      <c r="H640" s="5"/>
      <c r="I640" s="5"/>
      <c r="J640" s="5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spans="1:28" ht="13.2">
      <c r="A641" s="3"/>
      <c r="B641" s="50"/>
      <c r="C641" s="5"/>
      <c r="D641" s="5">
        <f>IF(C641="common",100,IF(C641="Uncommon",300,IF(C641="Rare",700,IF(C641="very rare",1100,IF(C641="Legendary",2000,0)))))</f>
        <v>0</v>
      </c>
      <c r="E641" s="5">
        <f>(F641*TRUNC(3+(15-3)*(TRUNC(MOD((A641*1103515245 +12345)/ 65536, 32768),0)/32768),0))+D641+(D641/10*F641)</f>
        <v>0</v>
      </c>
      <c r="F641" s="5"/>
      <c r="G641" s="5"/>
      <c r="H641" s="5"/>
      <c r="I641" s="5"/>
      <c r="J641" s="5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spans="1:28" ht="13.2">
      <c r="A642" s="3"/>
      <c r="B642" s="50"/>
      <c r="C642" s="5"/>
      <c r="D642" s="5">
        <f>IF(C642="common",100,IF(C642="Uncommon",300,IF(C642="Rare",700,IF(C642="very rare",1100,IF(C642="Legendary",2000,0)))))</f>
        <v>0</v>
      </c>
      <c r="E642" s="5">
        <f>(F642*TRUNC(3+(15-3)*(TRUNC(MOD((A642*1103515245 +12345)/ 65536, 32768),0)/32768),0))+D642+(D642/10*F642)</f>
        <v>0</v>
      </c>
      <c r="F642" s="5"/>
      <c r="G642" s="5"/>
      <c r="H642" s="5"/>
      <c r="I642" s="5"/>
      <c r="J642" s="5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spans="1:28" ht="13.2">
      <c r="A643" s="3"/>
      <c r="B643" s="50"/>
      <c r="C643" s="5"/>
      <c r="D643" s="5">
        <f>IF(C643="common",100,IF(C643="Uncommon",300,IF(C643="Rare",700,IF(C643="very rare",1100,IF(C643="Legendary",2000,0)))))</f>
        <v>0</v>
      </c>
      <c r="E643" s="5">
        <f>(F643*TRUNC(3+(15-3)*(TRUNC(MOD((A643*1103515245 +12345)/ 65536, 32768),0)/32768),0))+D643+(D643/10*F643)</f>
        <v>0</v>
      </c>
      <c r="F643" s="5"/>
      <c r="G643" s="5"/>
      <c r="H643" s="5"/>
      <c r="I643" s="5"/>
      <c r="J643" s="5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spans="1:28" ht="13.2">
      <c r="A644" s="3"/>
      <c r="B644" s="50"/>
      <c r="C644" s="5"/>
      <c r="D644" s="5">
        <f>IF(C644="common",100,IF(C644="Uncommon",300,IF(C644="Rare",700,IF(C644="very rare",1100,IF(C644="Legendary",2000,0)))))</f>
        <v>0</v>
      </c>
      <c r="E644" s="5">
        <f>(F644*TRUNC(3+(15-3)*(TRUNC(MOD((A644*1103515245 +12345)/ 65536, 32768),0)/32768),0))+D644+(D644/10*F644)</f>
        <v>0</v>
      </c>
      <c r="F644" s="5"/>
      <c r="G644" s="5"/>
      <c r="H644" s="5"/>
      <c r="I644" s="5"/>
      <c r="J644" s="5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spans="1:28" ht="13.2">
      <c r="A645" s="3"/>
      <c r="B645" s="50"/>
      <c r="C645" s="5"/>
      <c r="D645" s="5">
        <f>IF(C645="common",100,IF(C645="Uncommon",300,IF(C645="Rare",700,IF(C645="very rare",1100,IF(C645="Legendary",2000,0)))))</f>
        <v>0</v>
      </c>
      <c r="E645" s="5">
        <f>(F645*TRUNC(3+(15-3)*(TRUNC(MOD((A645*1103515245 +12345)/ 65536, 32768),0)/32768),0))+D645+(D645/10*F645)</f>
        <v>0</v>
      </c>
      <c r="F645" s="5"/>
      <c r="G645" s="5"/>
      <c r="H645" s="5"/>
      <c r="I645" s="5"/>
      <c r="J645" s="5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spans="1:28" ht="13.2">
      <c r="A646" s="3"/>
      <c r="B646" s="50"/>
      <c r="C646" s="5"/>
      <c r="D646" s="5">
        <f>IF(C646="common",100,IF(C646="Uncommon",300,IF(C646="Rare",700,IF(C646="very rare",1100,IF(C646="Legendary",2000,0)))))</f>
        <v>0</v>
      </c>
      <c r="E646" s="5">
        <f>(F646*TRUNC(3+(15-3)*(TRUNC(MOD((A646*1103515245 +12345)/ 65536, 32768),0)/32768),0))+D646+(D646/10*F646)</f>
        <v>0</v>
      </c>
      <c r="F646" s="5"/>
      <c r="G646" s="5"/>
      <c r="H646" s="5"/>
      <c r="I646" s="5"/>
      <c r="J646" s="5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spans="1:28" ht="13.2">
      <c r="A647" s="3"/>
      <c r="B647" s="50"/>
      <c r="C647" s="5"/>
      <c r="D647" s="5">
        <f>IF(C647="common",100,IF(C647="Uncommon",300,IF(C647="Rare",700,IF(C647="very rare",1100,IF(C647="Legendary",2000,0)))))</f>
        <v>0</v>
      </c>
      <c r="E647" s="5">
        <f>(F647*TRUNC(3+(15-3)*(TRUNC(MOD((A647*1103515245 +12345)/ 65536, 32768),0)/32768),0))+D647+(D647/10*F647)</f>
        <v>0</v>
      </c>
      <c r="F647" s="5"/>
      <c r="G647" s="5"/>
      <c r="H647" s="5"/>
      <c r="I647" s="5"/>
      <c r="J647" s="5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spans="1:28" ht="13.2">
      <c r="A648" s="3"/>
      <c r="B648" s="50"/>
      <c r="C648" s="5"/>
      <c r="D648" s="5">
        <f>IF(C648="common",100,IF(C648="Uncommon",300,IF(C648="Rare",700,IF(C648="very rare",1100,IF(C648="Legendary",2000,0)))))</f>
        <v>0</v>
      </c>
      <c r="E648" s="5">
        <f>(F648*TRUNC(3+(15-3)*(TRUNC(MOD((A648*1103515245 +12345)/ 65536, 32768),0)/32768),0))+D648+(D648/10*F648)</f>
        <v>0</v>
      </c>
      <c r="F648" s="5"/>
      <c r="G648" s="5"/>
      <c r="H648" s="5"/>
      <c r="I648" s="5"/>
      <c r="J648" s="5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spans="1:28" ht="13.2">
      <c r="A649" s="3"/>
      <c r="B649" s="50"/>
      <c r="C649" s="5"/>
      <c r="D649" s="5">
        <f>IF(C649="common",100,IF(C649="Uncommon",300,IF(C649="Rare",700,IF(C649="very rare",1100,IF(C649="Legendary",2000,0)))))</f>
        <v>0</v>
      </c>
      <c r="E649" s="5">
        <f>(F649*TRUNC(3+(15-3)*(TRUNC(MOD((A649*1103515245 +12345)/ 65536, 32768),0)/32768),0))+D649+(D649/10*F649)</f>
        <v>0</v>
      </c>
      <c r="F649" s="5"/>
      <c r="G649" s="5"/>
      <c r="H649" s="5"/>
      <c r="I649" s="5"/>
      <c r="J649" s="5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spans="1:28" ht="13.2">
      <c r="A650" s="3"/>
      <c r="B650" s="50"/>
      <c r="C650" s="5"/>
      <c r="D650" s="5">
        <f>IF(C650="common",100,IF(C650="Uncommon",300,IF(C650="Rare",700,IF(C650="very rare",1100,IF(C650="Legendary",2000,0)))))</f>
        <v>0</v>
      </c>
      <c r="E650" s="5">
        <f>(F650*TRUNC(3+(15-3)*(TRUNC(MOD((A650*1103515245 +12345)/ 65536, 32768),0)/32768),0))+D650+(D650/10*F650)</f>
        <v>0</v>
      </c>
      <c r="F650" s="5"/>
      <c r="G650" s="5"/>
      <c r="H650" s="5"/>
      <c r="I650" s="5"/>
      <c r="J650" s="5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spans="1:28" ht="13.2">
      <c r="A651" s="3"/>
      <c r="B651" s="50"/>
      <c r="C651" s="5"/>
      <c r="D651" s="5">
        <f>IF(C651="common",100,IF(C651="Uncommon",300,IF(C651="Rare",700,IF(C651="very rare",1100,IF(C651="Legendary",2000,0)))))</f>
        <v>0</v>
      </c>
      <c r="E651" s="5">
        <f>(F651*TRUNC(3+(15-3)*(TRUNC(MOD((A651*1103515245 +12345)/ 65536, 32768),0)/32768),0))+D651+(D651/10*F651)</f>
        <v>0</v>
      </c>
      <c r="F651" s="5"/>
      <c r="G651" s="5"/>
      <c r="H651" s="5"/>
      <c r="I651" s="5"/>
      <c r="J651" s="5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spans="1:28" ht="13.2">
      <c r="A652" s="3"/>
      <c r="B652" s="50"/>
      <c r="C652" s="5"/>
      <c r="D652" s="5">
        <f>IF(C652="common",100,IF(C652="Uncommon",300,IF(C652="Rare",700,IF(C652="very rare",1100,IF(C652="Legendary",2000,0)))))</f>
        <v>0</v>
      </c>
      <c r="E652" s="5">
        <f>(F652*TRUNC(3+(15-3)*(TRUNC(MOD((A652*1103515245 +12345)/ 65536, 32768),0)/32768),0))+D652+(D652/10*F652)</f>
        <v>0</v>
      </c>
      <c r="F652" s="5"/>
      <c r="G652" s="5"/>
      <c r="H652" s="5"/>
      <c r="I652" s="5"/>
      <c r="J652" s="5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spans="1:28" ht="13.2">
      <c r="A653" s="3"/>
      <c r="B653" s="50"/>
      <c r="C653" s="5"/>
      <c r="D653" s="5">
        <f>IF(C653="common",100,IF(C653="Uncommon",300,IF(C653="Rare",700,IF(C653="very rare",1100,IF(C653="Legendary",2000,0)))))</f>
        <v>0</v>
      </c>
      <c r="E653" s="5">
        <f>(F653*TRUNC(3+(15-3)*(TRUNC(MOD((A653*1103515245 +12345)/ 65536, 32768),0)/32768),0))+D653+(D653/10*F653)</f>
        <v>0</v>
      </c>
      <c r="F653" s="5"/>
      <c r="G653" s="5"/>
      <c r="H653" s="5"/>
      <c r="I653" s="5"/>
      <c r="J653" s="5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spans="1:28" ht="13.2">
      <c r="A654" s="3"/>
      <c r="B654" s="50"/>
      <c r="C654" s="5"/>
      <c r="D654" s="5">
        <f>IF(C654="common",100,IF(C654="Uncommon",300,IF(C654="Rare",700,IF(C654="very rare",1100,IF(C654="Legendary",2000,0)))))</f>
        <v>0</v>
      </c>
      <c r="E654" s="5">
        <f>(F654*TRUNC(3+(15-3)*(TRUNC(MOD((A654*1103515245 +12345)/ 65536, 32768),0)/32768),0))+D654+(D654/10*F654)</f>
        <v>0</v>
      </c>
      <c r="F654" s="5"/>
      <c r="G654" s="5"/>
      <c r="H654" s="5"/>
      <c r="I654" s="5"/>
      <c r="J654" s="5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spans="1:28" ht="13.2">
      <c r="A655" s="3"/>
      <c r="B655" s="50"/>
      <c r="C655" s="5"/>
      <c r="D655" s="5">
        <f>IF(C655="common",100,IF(C655="Uncommon",300,IF(C655="Rare",700,IF(C655="very rare",1100,IF(C655="Legendary",2000,0)))))</f>
        <v>0</v>
      </c>
      <c r="E655" s="5">
        <f>(F655*TRUNC(3+(15-3)*(TRUNC(MOD((A655*1103515245 +12345)/ 65536, 32768),0)/32768),0))+D655+(D655/10*F655)</f>
        <v>0</v>
      </c>
      <c r="F655" s="5"/>
      <c r="G655" s="5"/>
      <c r="H655" s="5"/>
      <c r="I655" s="5"/>
      <c r="J655" s="5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spans="1:28" ht="13.2">
      <c r="A656" s="3"/>
      <c r="B656" s="50"/>
      <c r="C656" s="5"/>
      <c r="D656" s="5">
        <f>IF(C656="common",100,IF(C656="Uncommon",300,IF(C656="Rare",700,IF(C656="very rare",1100,IF(C656="Legendary",2000,0)))))</f>
        <v>0</v>
      </c>
      <c r="E656" s="5">
        <f>(F656*TRUNC(3+(15-3)*(TRUNC(MOD((A656*1103515245 +12345)/ 65536, 32768),0)/32768),0))+D656+(D656/10*F656)</f>
        <v>0</v>
      </c>
      <c r="F656" s="5"/>
      <c r="G656" s="5"/>
      <c r="H656" s="5"/>
      <c r="I656" s="5"/>
      <c r="J656" s="5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spans="1:28" ht="13.2">
      <c r="A657" s="3"/>
      <c r="B657" s="50"/>
      <c r="C657" s="5"/>
      <c r="D657" s="5">
        <f>IF(C657="common",100,IF(C657="Uncommon",300,IF(C657="Rare",700,IF(C657="very rare",1100,IF(C657="Legendary",2000,0)))))</f>
        <v>0</v>
      </c>
      <c r="E657" s="5">
        <f>(F657*TRUNC(3+(15-3)*(TRUNC(MOD((A657*1103515245 +12345)/ 65536, 32768),0)/32768),0))+D657+(D657/10*F657)</f>
        <v>0</v>
      </c>
      <c r="F657" s="5"/>
      <c r="G657" s="5"/>
      <c r="H657" s="5"/>
      <c r="I657" s="5"/>
      <c r="J657" s="5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spans="1:28" ht="13.2">
      <c r="A658" s="3"/>
      <c r="B658" s="50"/>
      <c r="C658" s="5"/>
      <c r="D658" s="5">
        <f>IF(C658="common",100,IF(C658="Uncommon",300,IF(C658="Rare",700,IF(C658="very rare",1100,IF(C658="Legendary",2000,0)))))</f>
        <v>0</v>
      </c>
      <c r="E658" s="5">
        <f>(F658*TRUNC(3+(15-3)*(TRUNC(MOD((A658*1103515245 +12345)/ 65536, 32768),0)/32768),0))+D658+(D658/10*F658)</f>
        <v>0</v>
      </c>
      <c r="F658" s="5"/>
      <c r="G658" s="5"/>
      <c r="H658" s="5"/>
      <c r="I658" s="5"/>
      <c r="J658" s="5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spans="1:28" ht="13.2">
      <c r="A659" s="3"/>
      <c r="B659" s="50"/>
      <c r="C659" s="5"/>
      <c r="D659" s="5">
        <f>IF(C659="common",100,IF(C659="Uncommon",300,IF(C659="Rare",700,IF(C659="very rare",1100,IF(C659="Legendary",2000,0)))))</f>
        <v>0</v>
      </c>
      <c r="E659" s="5">
        <f>(F659*TRUNC(3+(15-3)*(TRUNC(MOD((A659*1103515245 +12345)/ 65536, 32768),0)/32768),0))+D659+(D659/10*F659)</f>
        <v>0</v>
      </c>
      <c r="F659" s="5"/>
      <c r="G659" s="5"/>
      <c r="H659" s="5"/>
      <c r="I659" s="5"/>
      <c r="J659" s="5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spans="1:28" ht="13.2">
      <c r="A660" s="3"/>
      <c r="B660" s="50"/>
      <c r="C660" s="5"/>
      <c r="D660" s="5">
        <f>IF(C660="common",100,IF(C660="Uncommon",300,IF(C660="Rare",700,IF(C660="very rare",1100,IF(C660="Legendary",2000,0)))))</f>
        <v>0</v>
      </c>
      <c r="E660" s="5">
        <f>(F660*TRUNC(3+(15-3)*(TRUNC(MOD((A660*1103515245 +12345)/ 65536, 32768),0)/32768),0))+D660+(D660/10*F660)</f>
        <v>0</v>
      </c>
      <c r="F660" s="5"/>
      <c r="G660" s="5"/>
      <c r="H660" s="5"/>
      <c r="I660" s="5"/>
      <c r="J660" s="5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spans="1:28" ht="13.2">
      <c r="A661" s="3"/>
      <c r="B661" s="50"/>
      <c r="C661" s="5"/>
      <c r="D661" s="5">
        <f>IF(C661="common",100,IF(C661="Uncommon",300,IF(C661="Rare",700,IF(C661="very rare",1100,IF(C661="Legendary",2000,0)))))</f>
        <v>0</v>
      </c>
      <c r="E661" s="5">
        <f>(F661*TRUNC(3+(15-3)*(TRUNC(MOD((A661*1103515245 +12345)/ 65536, 32768),0)/32768),0))+D661+(D661/10*F661)</f>
        <v>0</v>
      </c>
      <c r="F661" s="5"/>
      <c r="G661" s="5"/>
      <c r="H661" s="5"/>
      <c r="I661" s="5"/>
      <c r="J661" s="5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spans="1:28" ht="13.2">
      <c r="A662" s="3"/>
      <c r="B662" s="50"/>
      <c r="C662" s="5"/>
      <c r="D662" s="5">
        <f>IF(C662="common",100,IF(C662="Uncommon",300,IF(C662="Rare",700,IF(C662="very rare",1100,IF(C662="Legendary",2000,0)))))</f>
        <v>0</v>
      </c>
      <c r="E662" s="5">
        <f>(F662*TRUNC(3+(15-3)*(TRUNC(MOD((A662*1103515245 +12345)/ 65536, 32768),0)/32768),0))+D662+(D662/10*F662)</f>
        <v>0</v>
      </c>
      <c r="F662" s="5"/>
      <c r="G662" s="5"/>
      <c r="H662" s="5"/>
      <c r="I662" s="5"/>
      <c r="J662" s="5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spans="1:28" ht="13.2">
      <c r="A663" s="3"/>
      <c r="B663" s="50"/>
      <c r="C663" s="5"/>
      <c r="D663" s="5">
        <f>IF(C663="common",100,IF(C663="Uncommon",300,IF(C663="Rare",700,IF(C663="very rare",1100,IF(C663="Legendary",2000,0)))))</f>
        <v>0</v>
      </c>
      <c r="E663" s="5">
        <f>(F663*TRUNC(3+(15-3)*(TRUNC(MOD((A663*1103515245 +12345)/ 65536, 32768),0)/32768),0))+D663+(D663/10*F663)</f>
        <v>0</v>
      </c>
      <c r="F663" s="5"/>
      <c r="G663" s="5"/>
      <c r="H663" s="5"/>
      <c r="I663" s="5"/>
      <c r="J663" s="5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spans="1:28" ht="13.2">
      <c r="A664" s="3"/>
      <c r="B664" s="50"/>
      <c r="C664" s="5"/>
      <c r="D664" s="5">
        <f>IF(C664="common",100,IF(C664="Uncommon",300,IF(C664="Rare",700,IF(C664="very rare",1100,IF(C664="Legendary",2000,0)))))</f>
        <v>0</v>
      </c>
      <c r="E664" s="5">
        <f>(F664*TRUNC(3+(15-3)*(TRUNC(MOD((A664*1103515245 +12345)/ 65536, 32768),0)/32768),0))+D664+(D664/10*F664)</f>
        <v>0</v>
      </c>
      <c r="F664" s="5"/>
      <c r="G664" s="5"/>
      <c r="H664" s="5"/>
      <c r="I664" s="5"/>
      <c r="J664" s="5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spans="1:28" ht="13.2">
      <c r="A665" s="3"/>
      <c r="B665" s="50"/>
      <c r="C665" s="5"/>
      <c r="D665" s="5">
        <f>IF(C665="common",100,IF(C665="Uncommon",300,IF(C665="Rare",700,IF(C665="very rare",1100,IF(C665="Legendary",2000,0)))))</f>
        <v>0</v>
      </c>
      <c r="E665" s="5">
        <f>(F665*TRUNC(3+(15-3)*(TRUNC(MOD((A665*1103515245 +12345)/ 65536, 32768),0)/32768),0))+D665+(D665/10*F665)</f>
        <v>0</v>
      </c>
      <c r="F665" s="5"/>
      <c r="G665" s="5"/>
      <c r="H665" s="5"/>
      <c r="I665" s="5"/>
      <c r="J665" s="5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spans="1:28" ht="13.2">
      <c r="A666" s="3"/>
      <c r="B666" s="50"/>
      <c r="C666" s="5"/>
      <c r="D666" s="5">
        <f>IF(C666="common",100,IF(C666="Uncommon",300,IF(C666="Rare",700,IF(C666="very rare",1100,IF(C666="Legendary",2000,0)))))</f>
        <v>0</v>
      </c>
      <c r="E666" s="5">
        <f>(F666*TRUNC(3+(15-3)*(TRUNC(MOD((A666*1103515245 +12345)/ 65536, 32768),0)/32768),0))+D666+(D666/10*F666)</f>
        <v>0</v>
      </c>
      <c r="F666" s="5"/>
      <c r="G666" s="5"/>
      <c r="H666" s="5"/>
      <c r="I666" s="5"/>
      <c r="J666" s="5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spans="1:28" ht="13.2">
      <c r="A667" s="3"/>
      <c r="B667" s="50"/>
      <c r="C667" s="5"/>
      <c r="D667" s="5">
        <f>IF(C667="common",100,IF(C667="Uncommon",300,IF(C667="Rare",700,IF(C667="very rare",1100,IF(C667="Legendary",2000,0)))))</f>
        <v>0</v>
      </c>
      <c r="E667" s="5">
        <f>(F667*TRUNC(3+(15-3)*(TRUNC(MOD((A667*1103515245 +12345)/ 65536, 32768),0)/32768),0))+D667+(D667/10*F667)</f>
        <v>0</v>
      </c>
      <c r="F667" s="5"/>
      <c r="G667" s="5"/>
      <c r="H667" s="5"/>
      <c r="I667" s="5"/>
      <c r="J667" s="5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spans="1:28" ht="13.2">
      <c r="A668" s="3"/>
      <c r="B668" s="50"/>
      <c r="C668" s="5"/>
      <c r="D668" s="5">
        <f>IF(C668="common",100,IF(C668="Uncommon",300,IF(C668="Rare",700,IF(C668="very rare",1100,IF(C668="Legendary",2000,0)))))</f>
        <v>0</v>
      </c>
      <c r="E668" s="5">
        <f>(F668*TRUNC(3+(15-3)*(TRUNC(MOD((A668*1103515245 +12345)/ 65536, 32768),0)/32768),0))+D668+(D668/10*F668)</f>
        <v>0</v>
      </c>
      <c r="F668" s="5"/>
      <c r="G668" s="5"/>
      <c r="H668" s="5"/>
      <c r="I668" s="5"/>
      <c r="J668" s="5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spans="1:28" ht="13.2">
      <c r="A669" s="3"/>
      <c r="B669" s="50"/>
      <c r="C669" s="5"/>
      <c r="D669" s="5">
        <f>IF(C669="common",100,IF(C669="Uncommon",300,IF(C669="Rare",700,IF(C669="very rare",1100,IF(C669="Legendary",2000,0)))))</f>
        <v>0</v>
      </c>
      <c r="E669" s="5">
        <f>(F669*TRUNC(3+(15-3)*(TRUNC(MOD((A669*1103515245 +12345)/ 65536, 32768),0)/32768),0))+D669+(D669/10*F669)</f>
        <v>0</v>
      </c>
      <c r="F669" s="5"/>
      <c r="G669" s="5"/>
      <c r="H669" s="5"/>
      <c r="I669" s="5"/>
      <c r="J669" s="5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spans="1:28" ht="13.2">
      <c r="A670" s="3"/>
      <c r="B670" s="50"/>
      <c r="C670" s="5"/>
      <c r="D670" s="5">
        <f>IF(C670="common",100,IF(C670="Uncommon",300,IF(C670="Rare",700,IF(C670="very rare",1100,IF(C670="Legendary",2000,0)))))</f>
        <v>0</v>
      </c>
      <c r="E670" s="5">
        <f>(F670*TRUNC(3+(15-3)*(TRUNC(MOD((A670*1103515245 +12345)/ 65536, 32768),0)/32768),0))+D670+(D670/10*F670)</f>
        <v>0</v>
      </c>
      <c r="F670" s="5"/>
      <c r="G670" s="5"/>
      <c r="H670" s="5"/>
      <c r="I670" s="5"/>
      <c r="J670" s="5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spans="1:28" ht="13.2">
      <c r="A671" s="3"/>
      <c r="B671" s="50"/>
      <c r="C671" s="5"/>
      <c r="D671" s="5">
        <f>IF(C671="common",100,IF(C671="Uncommon",300,IF(C671="Rare",700,IF(C671="very rare",1100,IF(C671="Legendary",2000,0)))))</f>
        <v>0</v>
      </c>
      <c r="E671" s="5">
        <f>(F671*TRUNC(3+(15-3)*(TRUNC(MOD((A671*1103515245 +12345)/ 65536, 32768),0)/32768),0))+D671+(D671/10*F671)</f>
        <v>0</v>
      </c>
      <c r="F671" s="5"/>
      <c r="G671" s="5"/>
      <c r="H671" s="5"/>
      <c r="I671" s="5"/>
      <c r="J671" s="5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spans="1:28" ht="13.2">
      <c r="A672" s="3"/>
      <c r="B672" s="50"/>
      <c r="C672" s="5"/>
      <c r="D672" s="5">
        <f>IF(C672="common",100,IF(C672="Uncommon",300,IF(C672="Rare",700,IF(C672="very rare",1100,IF(C672="Legendary",2000,0)))))</f>
        <v>0</v>
      </c>
      <c r="E672" s="5">
        <f>(F672*TRUNC(3+(15-3)*(TRUNC(MOD((A672*1103515245 +12345)/ 65536, 32768),0)/32768),0))+D672+(D672/10*F672)</f>
        <v>0</v>
      </c>
      <c r="F672" s="5"/>
      <c r="G672" s="5"/>
      <c r="H672" s="5"/>
      <c r="I672" s="5"/>
      <c r="J672" s="5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spans="1:28" ht="13.2">
      <c r="A673" s="3"/>
      <c r="B673" s="50"/>
      <c r="C673" s="5"/>
      <c r="D673" s="5">
        <f>IF(C673="common",100,IF(C673="Uncommon",300,IF(C673="Rare",700,IF(C673="very rare",1100,IF(C673="Legendary",2000,0)))))</f>
        <v>0</v>
      </c>
      <c r="E673" s="5">
        <f>(F673*TRUNC(3+(15-3)*(TRUNC(MOD((A673*1103515245 +12345)/ 65536, 32768),0)/32768),0))+D673+(D673/10*F673)</f>
        <v>0</v>
      </c>
      <c r="F673" s="5"/>
      <c r="G673" s="5"/>
      <c r="H673" s="5"/>
      <c r="I673" s="5"/>
      <c r="J673" s="5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spans="1:28" ht="13.2">
      <c r="A674" s="3"/>
      <c r="B674" s="50"/>
      <c r="C674" s="5"/>
      <c r="D674" s="5">
        <f>IF(C674="common",100,IF(C674="Uncommon",300,IF(C674="Rare",700,IF(C674="very rare",1100,IF(C674="Legendary",2000,0)))))</f>
        <v>0</v>
      </c>
      <c r="E674" s="5">
        <f>(F674*TRUNC(3+(15-3)*(TRUNC(MOD((A674*1103515245 +12345)/ 65536, 32768),0)/32768),0))+D674+(D674/10*F674)</f>
        <v>0</v>
      </c>
      <c r="F674" s="5"/>
      <c r="G674" s="5"/>
      <c r="H674" s="5"/>
      <c r="I674" s="5"/>
      <c r="J674" s="5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spans="1:28" ht="13.2">
      <c r="A675" s="3"/>
      <c r="B675" s="50"/>
      <c r="C675" s="5"/>
      <c r="D675" s="5">
        <f>IF(C675="common",100,IF(C675="Uncommon",300,IF(C675="Rare",700,IF(C675="very rare",1100,IF(C675="Legendary",2000,0)))))</f>
        <v>0</v>
      </c>
      <c r="E675" s="5">
        <f>(F675*TRUNC(3+(15-3)*(TRUNC(MOD((A675*1103515245 +12345)/ 65536, 32768),0)/32768),0))+D675+(D675/10*F675)</f>
        <v>0</v>
      </c>
      <c r="F675" s="5"/>
      <c r="G675" s="5"/>
      <c r="H675" s="5"/>
      <c r="I675" s="5"/>
      <c r="J675" s="5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spans="1:28" ht="13.2">
      <c r="A676" s="3"/>
      <c r="B676" s="50"/>
      <c r="C676" s="5"/>
      <c r="D676" s="5">
        <f>IF(C676="common",100,IF(C676="Uncommon",300,IF(C676="Rare",700,IF(C676="very rare",1100,IF(C676="Legendary",2000,0)))))</f>
        <v>0</v>
      </c>
      <c r="E676" s="5">
        <f>(F676*TRUNC(3+(15-3)*(TRUNC(MOD((A676*1103515245 +12345)/ 65536, 32768),0)/32768),0))+D676+(D676/10*F676)</f>
        <v>0</v>
      </c>
      <c r="F676" s="5"/>
      <c r="G676" s="5"/>
      <c r="H676" s="5"/>
      <c r="I676" s="5"/>
      <c r="J676" s="5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spans="1:28" ht="13.2">
      <c r="A677" s="3"/>
      <c r="B677" s="50"/>
      <c r="C677" s="5"/>
      <c r="D677" s="5">
        <f>IF(C677="common",100,IF(C677="Uncommon",300,IF(C677="Rare",700,IF(C677="very rare",1100,IF(C677="Legendary",2000,0)))))</f>
        <v>0</v>
      </c>
      <c r="E677" s="5">
        <f>(F677*TRUNC(3+(15-3)*(TRUNC(MOD((A677*1103515245 +12345)/ 65536, 32768),0)/32768),0))+D677+(D677/10*F677)</f>
        <v>0</v>
      </c>
      <c r="F677" s="5"/>
      <c r="G677" s="5"/>
      <c r="H677" s="5"/>
      <c r="I677" s="5"/>
      <c r="J677" s="5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spans="1:28" ht="13.2">
      <c r="A678" s="3"/>
      <c r="B678" s="50"/>
      <c r="C678" s="5"/>
      <c r="D678" s="5">
        <f>IF(C678="common",100,IF(C678="Uncommon",300,IF(C678="Rare",700,IF(C678="very rare",1100,IF(C678="Legendary",2000,0)))))</f>
        <v>0</v>
      </c>
      <c r="E678" s="5">
        <f>(F678*TRUNC(3+(15-3)*(TRUNC(MOD((A678*1103515245 +12345)/ 65536, 32768),0)/32768),0))+D678+(D678/10*F678)</f>
        <v>0</v>
      </c>
      <c r="F678" s="5"/>
      <c r="G678" s="5"/>
      <c r="H678" s="5"/>
      <c r="I678" s="5"/>
      <c r="J678" s="5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spans="1:28" ht="13.2">
      <c r="A679" s="3"/>
      <c r="B679" s="50"/>
      <c r="C679" s="5"/>
      <c r="D679" s="5">
        <f>IF(C679="common",100,IF(C679="Uncommon",300,IF(C679="Rare",700,IF(C679="very rare",1100,IF(C679="Legendary",2000,0)))))</f>
        <v>0</v>
      </c>
      <c r="E679" s="5">
        <f>(F679*TRUNC(3+(15-3)*(TRUNC(MOD((A679*1103515245 +12345)/ 65536, 32768),0)/32768),0))+D679+(D679/10*F679)</f>
        <v>0</v>
      </c>
      <c r="F679" s="5"/>
      <c r="G679" s="5"/>
      <c r="H679" s="5"/>
      <c r="I679" s="5"/>
      <c r="J679" s="5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spans="1:28" ht="13.2">
      <c r="A680" s="3"/>
      <c r="B680" s="50"/>
      <c r="C680" s="5"/>
      <c r="D680" s="5">
        <f>IF(C680="common",100,IF(C680="Uncommon",300,IF(C680="Rare",700,IF(C680="very rare",1100,IF(C680="Legendary",2000,0)))))</f>
        <v>0</v>
      </c>
      <c r="E680" s="5">
        <f>(F680*TRUNC(3+(15-3)*(TRUNC(MOD((A680*1103515245 +12345)/ 65536, 32768),0)/32768),0))+D680+(D680/10*F680)</f>
        <v>0</v>
      </c>
      <c r="F680" s="5"/>
      <c r="G680" s="5"/>
      <c r="H680" s="5"/>
      <c r="I680" s="5"/>
      <c r="J680" s="5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spans="1:28" ht="13.2">
      <c r="A681" s="3"/>
      <c r="B681" s="50"/>
      <c r="C681" s="5"/>
      <c r="D681" s="5">
        <f>IF(C681="common",100,IF(C681="Uncommon",300,IF(C681="Rare",700,IF(C681="very rare",1100,IF(C681="Legendary",2000,0)))))</f>
        <v>0</v>
      </c>
      <c r="E681" s="5">
        <f>(F681*TRUNC(3+(15-3)*(TRUNC(MOD((A681*1103515245 +12345)/ 65536, 32768),0)/32768),0))+D681+(D681/10*F681)</f>
        <v>0</v>
      </c>
      <c r="F681" s="5"/>
      <c r="G681" s="5"/>
      <c r="H681" s="5"/>
      <c r="I681" s="5"/>
      <c r="J681" s="5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spans="1:28" ht="13.2">
      <c r="A682" s="3"/>
      <c r="B682" s="50"/>
      <c r="C682" s="5"/>
      <c r="D682" s="5">
        <f>IF(C682="common",100,IF(C682="Uncommon",300,IF(C682="Rare",700,IF(C682="very rare",1100,IF(C682="Legendary",2000,0)))))</f>
        <v>0</v>
      </c>
      <c r="E682" s="5">
        <f>(F682*TRUNC(3+(15-3)*(TRUNC(MOD((A682*1103515245 +12345)/ 65536, 32768),0)/32768),0))+D682+(D682/10*F682)</f>
        <v>0</v>
      </c>
      <c r="F682" s="5"/>
      <c r="G682" s="5"/>
      <c r="H682" s="5"/>
      <c r="I682" s="5"/>
      <c r="J682" s="5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spans="1:28" ht="13.2">
      <c r="A683" s="3"/>
      <c r="B683" s="50"/>
      <c r="C683" s="5"/>
      <c r="D683" s="5">
        <f>IF(C683="common",100,IF(C683="Uncommon",300,IF(C683="Rare",700,IF(C683="very rare",1100,IF(C683="Legendary",2000,0)))))</f>
        <v>0</v>
      </c>
      <c r="E683" s="5">
        <f>(F683*TRUNC(3+(15-3)*(TRUNC(MOD((A683*1103515245 +12345)/ 65536, 32768),0)/32768),0))+D683+(D683/10*F683)</f>
        <v>0</v>
      </c>
      <c r="F683" s="5"/>
      <c r="G683" s="5"/>
      <c r="H683" s="5"/>
      <c r="I683" s="5"/>
      <c r="J683" s="5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spans="1:28" ht="13.2">
      <c r="A684" s="3"/>
      <c r="B684" s="50"/>
      <c r="C684" s="5"/>
      <c r="D684" s="5">
        <f>IF(C684="common",100,IF(C684="Uncommon",300,IF(C684="Rare",700,IF(C684="very rare",1100,IF(C684="Legendary",2000,0)))))</f>
        <v>0</v>
      </c>
      <c r="E684" s="5">
        <f>(F684*TRUNC(3+(15-3)*(TRUNC(MOD((A684*1103515245 +12345)/ 65536, 32768),0)/32768),0))+D684+(D684/10*F684)</f>
        <v>0</v>
      </c>
      <c r="F684" s="5"/>
      <c r="G684" s="5"/>
      <c r="H684" s="5"/>
      <c r="I684" s="5"/>
      <c r="J684" s="5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spans="1:28" ht="13.2">
      <c r="A685" s="3"/>
      <c r="B685" s="50"/>
      <c r="C685" s="5"/>
      <c r="D685" s="5">
        <f>IF(C685="common",100,IF(C685="Uncommon",300,IF(C685="Rare",700,IF(C685="very rare",1100,IF(C685="Legendary",2000,0)))))</f>
        <v>0</v>
      </c>
      <c r="E685" s="5">
        <f>(F685*TRUNC(3+(15-3)*(TRUNC(MOD((A685*1103515245 +12345)/ 65536, 32768),0)/32768),0))+D685+(D685/10*F685)</f>
        <v>0</v>
      </c>
      <c r="F685" s="5"/>
      <c r="G685" s="5"/>
      <c r="H685" s="5"/>
      <c r="I685" s="5"/>
      <c r="J685" s="5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spans="1:28" ht="13.2">
      <c r="A686" s="3"/>
      <c r="B686" s="50"/>
      <c r="C686" s="5"/>
      <c r="D686" s="5">
        <f>IF(C686="common",100,IF(C686="Uncommon",300,IF(C686="Rare",700,IF(C686="very rare",1100,IF(C686="Legendary",2000,0)))))</f>
        <v>0</v>
      </c>
      <c r="E686" s="5">
        <f>(F686*TRUNC(3+(15-3)*(TRUNC(MOD((A686*1103515245 +12345)/ 65536, 32768),0)/32768),0))+D686+(D686/10*F686)</f>
        <v>0</v>
      </c>
      <c r="F686" s="5"/>
      <c r="G686" s="5"/>
      <c r="H686" s="5"/>
      <c r="I686" s="5"/>
      <c r="J686" s="5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spans="1:28" ht="13.2">
      <c r="A687" s="3"/>
      <c r="B687" s="50"/>
      <c r="C687" s="5"/>
      <c r="D687" s="5">
        <f>IF(C687="common",100,IF(C687="Uncommon",300,IF(C687="Rare",700,IF(C687="very rare",1100,IF(C687="Legendary",2000,0)))))</f>
        <v>0</v>
      </c>
      <c r="E687" s="5">
        <f>(F687*TRUNC(3+(15-3)*(TRUNC(MOD((A687*1103515245 +12345)/ 65536, 32768),0)/32768),0))+D687+(D687/10*F687)</f>
        <v>0</v>
      </c>
      <c r="F687" s="5"/>
      <c r="G687" s="5"/>
      <c r="H687" s="5"/>
      <c r="I687" s="5"/>
      <c r="J687" s="5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spans="1:28" ht="13.2">
      <c r="A688" s="3"/>
      <c r="B688" s="50"/>
      <c r="C688" s="5"/>
      <c r="D688" s="5">
        <f>IF(C688="common",100,IF(C688="Uncommon",300,IF(C688="Rare",700,IF(C688="very rare",1100,IF(C688="Legendary",2000,0)))))</f>
        <v>0</v>
      </c>
      <c r="E688" s="5">
        <f>(F688*TRUNC(3+(15-3)*(TRUNC(MOD((A688*1103515245 +12345)/ 65536, 32768),0)/32768),0))+D688+(D688/10*F688)</f>
        <v>0</v>
      </c>
      <c r="F688" s="5"/>
      <c r="G688" s="5"/>
      <c r="H688" s="5"/>
      <c r="I688" s="5"/>
      <c r="J688" s="5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spans="1:28" ht="13.2">
      <c r="A689" s="3"/>
      <c r="B689" s="50"/>
      <c r="C689" s="5"/>
      <c r="D689" s="5">
        <f>IF(C689="common",100,IF(C689="Uncommon",300,IF(C689="Rare",700,IF(C689="very rare",1100,IF(C689="Legendary",2000,0)))))</f>
        <v>0</v>
      </c>
      <c r="E689" s="5">
        <f>(F689*TRUNC(3+(15-3)*(TRUNC(MOD((A689*1103515245 +12345)/ 65536, 32768),0)/32768),0))+D689+(D689/10*F689)</f>
        <v>0</v>
      </c>
      <c r="F689" s="5"/>
      <c r="G689" s="5"/>
      <c r="H689" s="5"/>
      <c r="I689" s="5"/>
      <c r="J689" s="5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spans="1:28" ht="13.2">
      <c r="A690" s="3"/>
      <c r="B690" s="50"/>
      <c r="C690" s="5"/>
      <c r="D690" s="5">
        <f>IF(C690="common",100,IF(C690="Uncommon",300,IF(C690="Rare",700,IF(C690="very rare",1100,IF(C690="Legendary",2000,0)))))</f>
        <v>0</v>
      </c>
      <c r="E690" s="5">
        <f>(F690*TRUNC(3+(15-3)*(TRUNC(MOD((A690*1103515245 +12345)/ 65536, 32768),0)/32768),0))+D690+(D690/10*F690)</f>
        <v>0</v>
      </c>
      <c r="F690" s="5"/>
      <c r="G690" s="5"/>
      <c r="H690" s="5"/>
      <c r="I690" s="5"/>
      <c r="J690" s="5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spans="1:28" ht="13.2">
      <c r="A691" s="3"/>
      <c r="B691" s="50"/>
      <c r="C691" s="5"/>
      <c r="D691" s="5">
        <f>IF(C691="common",100,IF(C691="Uncommon",300,IF(C691="Rare",700,IF(C691="very rare",1100,IF(C691="Legendary",2000,0)))))</f>
        <v>0</v>
      </c>
      <c r="E691" s="5">
        <f>(F691*TRUNC(3+(15-3)*(TRUNC(MOD((A691*1103515245 +12345)/ 65536, 32768),0)/32768),0))+D691+(D691/10*F691)</f>
        <v>0</v>
      </c>
      <c r="F691" s="5"/>
      <c r="G691" s="5"/>
      <c r="H691" s="5"/>
      <c r="I691" s="5"/>
      <c r="J691" s="5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spans="1:28" ht="13.2">
      <c r="A692" s="3"/>
      <c r="B692" s="50"/>
      <c r="C692" s="5"/>
      <c r="D692" s="5">
        <f>IF(C692="common",100,IF(C692="Uncommon",300,IF(C692="Rare",700,IF(C692="very rare",1100,IF(C692="Legendary",2000,0)))))</f>
        <v>0</v>
      </c>
      <c r="E692" s="5">
        <f>(F692*TRUNC(3+(15-3)*(TRUNC(MOD((A692*1103515245 +12345)/ 65536, 32768),0)/32768),0))+D692+(D692/10*F692)</f>
        <v>0</v>
      </c>
      <c r="F692" s="5"/>
      <c r="G692" s="5"/>
      <c r="H692" s="5"/>
      <c r="I692" s="5"/>
      <c r="J692" s="5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spans="1:28" ht="13.2">
      <c r="A693" s="3"/>
      <c r="B693" s="50"/>
      <c r="C693" s="5"/>
      <c r="D693" s="5">
        <f>IF(C693="common",100,IF(C693="Uncommon",300,IF(C693="Rare",700,IF(C693="very rare",1100,IF(C693="Legendary",2000,0)))))</f>
        <v>0</v>
      </c>
      <c r="E693" s="5">
        <f>(F693*TRUNC(3+(15-3)*(TRUNC(MOD((A693*1103515245 +12345)/ 65536, 32768),0)/32768),0))+D693+(D693/10*F693)</f>
        <v>0</v>
      </c>
      <c r="F693" s="5"/>
      <c r="G693" s="5"/>
      <c r="H693" s="5"/>
      <c r="I693" s="5"/>
      <c r="J693" s="5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spans="1:28" ht="13.2">
      <c r="A694" s="3"/>
      <c r="B694" s="50"/>
      <c r="C694" s="5"/>
      <c r="D694" s="5">
        <f>IF(C694="common",100,IF(C694="Uncommon",300,IF(C694="Rare",700,IF(C694="very rare",1100,IF(C694="Legendary",2000,0)))))</f>
        <v>0</v>
      </c>
      <c r="E694" s="5">
        <f>(F694*TRUNC(3+(15-3)*(TRUNC(MOD((A694*1103515245 +12345)/ 65536, 32768),0)/32768),0))+D694+(D694/10*F694)</f>
        <v>0</v>
      </c>
      <c r="F694" s="5"/>
      <c r="G694" s="5"/>
      <c r="H694" s="5"/>
      <c r="I694" s="5"/>
      <c r="J694" s="5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spans="1:28" ht="13.2">
      <c r="A695" s="3"/>
      <c r="B695" s="50"/>
      <c r="C695" s="5"/>
      <c r="D695" s="5">
        <f>IF(C695="common",100,IF(C695="Uncommon",300,IF(C695="Rare",700,IF(C695="very rare",1100,IF(C695="Legendary",2000,0)))))</f>
        <v>0</v>
      </c>
      <c r="E695" s="5">
        <f>(F695*TRUNC(3+(15-3)*(TRUNC(MOD((A695*1103515245 +12345)/ 65536, 32768),0)/32768),0))+D695+(D695/10*F695)</f>
        <v>0</v>
      </c>
      <c r="F695" s="5"/>
      <c r="G695" s="5"/>
      <c r="H695" s="5"/>
      <c r="I695" s="5"/>
      <c r="J695" s="5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spans="1:28" ht="13.2">
      <c r="A696" s="3"/>
      <c r="B696" s="50"/>
      <c r="C696" s="5"/>
      <c r="D696" s="5">
        <f>IF(C696="common",100,IF(C696="Uncommon",300,IF(C696="Rare",700,IF(C696="very rare",1100,IF(C696="Legendary",2000,0)))))</f>
        <v>0</v>
      </c>
      <c r="E696" s="5">
        <f>(F696*TRUNC(3+(15-3)*(TRUNC(MOD((A696*1103515245 +12345)/ 65536, 32768),0)/32768),0))+D696+(D696/10*F696)</f>
        <v>0</v>
      </c>
      <c r="F696" s="5"/>
      <c r="G696" s="5"/>
      <c r="H696" s="5"/>
      <c r="I696" s="5"/>
      <c r="J696" s="5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spans="1:28" ht="13.2">
      <c r="A697" s="3"/>
      <c r="B697" s="50"/>
      <c r="C697" s="5"/>
      <c r="D697" s="5">
        <f>IF(C697="common",100,IF(C697="Uncommon",300,IF(C697="Rare",700,IF(C697="very rare",1100,IF(C697="Legendary",2000,0)))))</f>
        <v>0</v>
      </c>
      <c r="E697" s="5">
        <f>(F697*TRUNC(3+(15-3)*(TRUNC(MOD((A697*1103515245 +12345)/ 65536, 32768),0)/32768),0))+D697+(D697/10*F697)</f>
        <v>0</v>
      </c>
      <c r="F697" s="5"/>
      <c r="G697" s="5"/>
      <c r="H697" s="5"/>
      <c r="I697" s="5"/>
      <c r="J697" s="5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spans="1:28" ht="13.2">
      <c r="A698" s="3"/>
      <c r="B698" s="50"/>
      <c r="C698" s="5"/>
      <c r="D698" s="5">
        <f>IF(C698="common",100,IF(C698="Uncommon",300,IF(C698="Rare",700,IF(C698="very rare",1100,IF(C698="Legendary",2000,0)))))</f>
        <v>0</v>
      </c>
      <c r="E698" s="5">
        <f>(F698*TRUNC(3+(15-3)*(TRUNC(MOD((A698*1103515245 +12345)/ 65536, 32768),0)/32768),0))+D698+(D698/10*F698)</f>
        <v>0</v>
      </c>
      <c r="F698" s="5"/>
      <c r="G698" s="5"/>
      <c r="H698" s="5"/>
      <c r="I698" s="5"/>
      <c r="J698" s="5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spans="1:28" ht="13.2">
      <c r="A699" s="3"/>
      <c r="B699" s="50"/>
      <c r="C699" s="5"/>
      <c r="D699" s="5">
        <f>IF(C699="common",100,IF(C699="Uncommon",300,IF(C699="Rare",700,IF(C699="very rare",1100,IF(C699="Legendary",2000,0)))))</f>
        <v>0</v>
      </c>
      <c r="E699" s="5">
        <f>(F699*TRUNC(3+(15-3)*(TRUNC(MOD((A699*1103515245 +12345)/ 65536, 32768),0)/32768),0))+D699+(D699/10*F699)</f>
        <v>0</v>
      </c>
      <c r="F699" s="5"/>
      <c r="G699" s="5"/>
      <c r="H699" s="5"/>
      <c r="I699" s="5"/>
      <c r="J699" s="5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spans="1:28" ht="13.2">
      <c r="A700" s="3"/>
      <c r="B700" s="50"/>
      <c r="C700" s="5"/>
      <c r="D700" s="5">
        <f>IF(C700="common",100,IF(C700="Uncommon",300,IF(C700="Rare",700,IF(C700="very rare",1100,IF(C700="Legendary",2000,0)))))</f>
        <v>0</v>
      </c>
      <c r="E700" s="5">
        <f>(F700*TRUNC(3+(15-3)*(TRUNC(MOD((A700*1103515245 +12345)/ 65536, 32768),0)/32768),0))+D700+(D700/10*F700)</f>
        <v>0</v>
      </c>
      <c r="F700" s="5"/>
      <c r="G700" s="5"/>
      <c r="H700" s="5"/>
      <c r="I700" s="5"/>
      <c r="J700" s="5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spans="1:28" ht="13.2">
      <c r="A701" s="3"/>
      <c r="B701" s="50"/>
      <c r="C701" s="5"/>
      <c r="D701" s="5">
        <f>IF(C701="common",100,IF(C701="Uncommon",300,IF(C701="Rare",700,IF(C701="very rare",1100,IF(C701="Legendary",2000,0)))))</f>
        <v>0</v>
      </c>
      <c r="E701" s="5">
        <f>(F701*TRUNC(3+(15-3)*(TRUNC(MOD((A701*1103515245 +12345)/ 65536, 32768),0)/32768),0))+D701+(D701/10*F701)</f>
        <v>0</v>
      </c>
      <c r="F701" s="5"/>
      <c r="G701" s="5"/>
      <c r="H701" s="5"/>
      <c r="I701" s="5"/>
      <c r="J701" s="5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spans="1:28" ht="13.2">
      <c r="A702" s="3"/>
      <c r="B702" s="50"/>
      <c r="C702" s="5"/>
      <c r="D702" s="5">
        <f>IF(C702="common",100,IF(C702="Uncommon",300,IF(C702="Rare",700,IF(C702="very rare",1100,IF(C702="Legendary",2000,0)))))</f>
        <v>0</v>
      </c>
      <c r="E702" s="5">
        <f>(F702*TRUNC(3+(15-3)*(TRUNC(MOD((A702*1103515245 +12345)/ 65536, 32768),0)/32768),0))+D702+(D702/10*F702)</f>
        <v>0</v>
      </c>
      <c r="F702" s="5"/>
      <c r="G702" s="5"/>
      <c r="H702" s="5"/>
      <c r="I702" s="5"/>
      <c r="J702" s="5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spans="1:28" ht="13.2">
      <c r="A703" s="3"/>
      <c r="B703" s="50"/>
      <c r="C703" s="5"/>
      <c r="D703" s="5">
        <f>IF(C703="common",100,IF(C703="Uncommon",300,IF(C703="Rare",700,IF(C703="very rare",1100,IF(C703="Legendary",2000,0)))))</f>
        <v>0</v>
      </c>
      <c r="E703" s="5">
        <f>(F703*TRUNC(3+(15-3)*(TRUNC(MOD((A703*1103515245 +12345)/ 65536, 32768),0)/32768),0))+D703+(D703/10*F703)</f>
        <v>0</v>
      </c>
      <c r="F703" s="5"/>
      <c r="G703" s="5"/>
      <c r="H703" s="5"/>
      <c r="I703" s="5"/>
      <c r="J703" s="5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spans="1:28" ht="13.2">
      <c r="A704" s="3"/>
      <c r="B704" s="50"/>
      <c r="C704" s="5"/>
      <c r="D704" s="5">
        <f>IF(C704="common",100,IF(C704="Uncommon",300,IF(C704="Rare",700,IF(C704="very rare",1100,IF(C704="Legendary",2000,0)))))</f>
        <v>0</v>
      </c>
      <c r="E704" s="5">
        <f>(F704*TRUNC(3+(15-3)*(TRUNC(MOD((A704*1103515245 +12345)/ 65536, 32768),0)/32768),0))+D704+(D704/10*F704)</f>
        <v>0</v>
      </c>
      <c r="F704" s="5"/>
      <c r="G704" s="5"/>
      <c r="H704" s="5"/>
      <c r="I704" s="5"/>
      <c r="J704" s="5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spans="1:28" ht="13.2">
      <c r="A705" s="3"/>
      <c r="B705" s="50"/>
      <c r="C705" s="5"/>
      <c r="D705" s="5">
        <f>IF(C705="common",100,IF(C705="Uncommon",300,IF(C705="Rare",700,IF(C705="very rare",1100,IF(C705="Legendary",2000,0)))))</f>
        <v>0</v>
      </c>
      <c r="E705" s="5">
        <f>(F705*TRUNC(3+(15-3)*(TRUNC(MOD((A705*1103515245 +12345)/ 65536, 32768),0)/32768),0))+D705+(D705/10*F705)</f>
        <v>0</v>
      </c>
      <c r="F705" s="5"/>
      <c r="G705" s="5"/>
      <c r="H705" s="5"/>
      <c r="I705" s="5"/>
      <c r="J705" s="5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spans="1:28" ht="13.2">
      <c r="A706" s="3"/>
      <c r="B706" s="50"/>
      <c r="C706" s="5"/>
      <c r="D706" s="5">
        <f>IF(C706="common",100,IF(C706="Uncommon",300,IF(C706="Rare",700,IF(C706="very rare",1100,IF(C706="Legendary",2000,0)))))</f>
        <v>0</v>
      </c>
      <c r="E706" s="5">
        <f>(F706*TRUNC(3+(15-3)*(TRUNC(MOD((A706*1103515245 +12345)/ 65536, 32768),0)/32768),0))+D706+(D706/10*F706)</f>
        <v>0</v>
      </c>
      <c r="F706" s="5"/>
      <c r="G706" s="5"/>
      <c r="H706" s="5"/>
      <c r="I706" s="5"/>
      <c r="J706" s="5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spans="1:28" ht="13.2">
      <c r="A707" s="3"/>
      <c r="B707" s="50"/>
      <c r="C707" s="5"/>
      <c r="D707" s="5">
        <f>IF(C707="common",100,IF(C707="Uncommon",300,IF(C707="Rare",700,IF(C707="very rare",1100,IF(C707="Legendary",2000,0)))))</f>
        <v>0</v>
      </c>
      <c r="E707" s="5">
        <f>(F707*TRUNC(3+(15-3)*(TRUNC(MOD((A707*1103515245 +12345)/ 65536, 32768),0)/32768),0))+D707+(D707/10*F707)</f>
        <v>0</v>
      </c>
      <c r="F707" s="5"/>
      <c r="G707" s="5"/>
      <c r="H707" s="5"/>
      <c r="I707" s="5"/>
      <c r="J707" s="5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spans="1:28" ht="13.2">
      <c r="A708" s="3"/>
      <c r="B708" s="50"/>
      <c r="C708" s="5"/>
      <c r="D708" s="5">
        <f>IF(C708="common",100,IF(C708="Uncommon",300,IF(C708="Rare",700,IF(C708="very rare",1100,IF(C708="Legendary",2000,0)))))</f>
        <v>0</v>
      </c>
      <c r="E708" s="5">
        <f>(F708*TRUNC(3+(15-3)*(TRUNC(MOD((A708*1103515245 +12345)/ 65536, 32768),0)/32768),0))+D708+(D708/10*F708)</f>
        <v>0</v>
      </c>
      <c r="F708" s="5"/>
      <c r="G708" s="5"/>
      <c r="H708" s="5"/>
      <c r="I708" s="5"/>
      <c r="J708" s="5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spans="1:28" ht="13.2">
      <c r="A709" s="3"/>
      <c r="B709" s="50"/>
      <c r="C709" s="5"/>
      <c r="D709" s="5">
        <f>IF(C709="common",100,IF(C709="Uncommon",300,IF(C709="Rare",700,IF(C709="very rare",1100,IF(C709="Legendary",2000,0)))))</f>
        <v>0</v>
      </c>
      <c r="E709" s="5">
        <f>(F709*TRUNC(3+(15-3)*(TRUNC(MOD((A709*1103515245 +12345)/ 65536, 32768),0)/32768),0))+D709+(D709/10*F709)</f>
        <v>0</v>
      </c>
      <c r="F709" s="5"/>
      <c r="G709" s="5"/>
      <c r="H709" s="5"/>
      <c r="I709" s="5"/>
      <c r="J709" s="5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spans="1:28" ht="13.2">
      <c r="A710" s="3"/>
      <c r="B710" s="50"/>
      <c r="C710" s="5"/>
      <c r="D710" s="5">
        <f>IF(C710="common",100,IF(C710="Uncommon",300,IF(C710="Rare",700,IF(C710="very rare",1100,IF(C710="Legendary",2000,0)))))</f>
        <v>0</v>
      </c>
      <c r="E710" s="5">
        <f>(F710*TRUNC(3+(15-3)*(TRUNC(MOD((A710*1103515245 +12345)/ 65536, 32768),0)/32768),0))+D710+(D710/10*F710)</f>
        <v>0</v>
      </c>
      <c r="F710" s="5"/>
      <c r="G710" s="5"/>
      <c r="H710" s="5"/>
      <c r="I710" s="5"/>
      <c r="J710" s="5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spans="1:28" ht="13.2">
      <c r="A711" s="3"/>
      <c r="B711" s="50"/>
      <c r="C711" s="5"/>
      <c r="D711" s="5">
        <f>IF(C711="common",100,IF(C711="Uncommon",300,IF(C711="Rare",700,IF(C711="very rare",1100,IF(C711="Legendary",2000,0)))))</f>
        <v>0</v>
      </c>
      <c r="E711" s="5">
        <f>(F711*TRUNC(3+(15-3)*(TRUNC(MOD((A711*1103515245 +12345)/ 65536, 32768),0)/32768),0))+D711+(D711/10*F711)</f>
        <v>0</v>
      </c>
      <c r="F711" s="5"/>
      <c r="G711" s="5"/>
      <c r="H711" s="5"/>
      <c r="I711" s="5"/>
      <c r="J711" s="5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spans="1:28" ht="13.2">
      <c r="A712" s="3"/>
      <c r="B712" s="50"/>
      <c r="C712" s="5"/>
      <c r="D712" s="5">
        <f>IF(C712="common",100,IF(C712="Uncommon",300,IF(C712="Rare",700,IF(C712="very rare",1100,IF(C712="Legendary",2000,0)))))</f>
        <v>0</v>
      </c>
      <c r="E712" s="5">
        <f>(F712*TRUNC(3+(15-3)*(TRUNC(MOD((A712*1103515245 +12345)/ 65536, 32768),0)/32768),0))+D712+(D712/10*F712)</f>
        <v>0</v>
      </c>
      <c r="F712" s="5"/>
      <c r="G712" s="5"/>
      <c r="H712" s="5"/>
      <c r="I712" s="5"/>
      <c r="J712" s="5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spans="1:28" ht="13.2">
      <c r="A713" s="3"/>
      <c r="B713" s="50"/>
      <c r="C713" s="5"/>
      <c r="D713" s="5">
        <f>IF(C713="common",100,IF(C713="Uncommon",300,IF(C713="Rare",700,IF(C713="very rare",1100,IF(C713="Legendary",2000,0)))))</f>
        <v>0</v>
      </c>
      <c r="E713" s="5">
        <f>(F713*TRUNC(3+(15-3)*(TRUNC(MOD((A713*1103515245 +12345)/ 65536, 32768),0)/32768),0))+D713+(D713/10*F713)</f>
        <v>0</v>
      </c>
      <c r="F713" s="5"/>
      <c r="G713" s="5"/>
      <c r="H713" s="5"/>
      <c r="I713" s="5"/>
      <c r="J713" s="5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spans="1:28" ht="13.2">
      <c r="A714" s="3"/>
      <c r="B714" s="50"/>
      <c r="C714" s="5"/>
      <c r="D714" s="5">
        <f>IF(C714="common",100,IF(C714="Uncommon",300,IF(C714="Rare",700,IF(C714="very rare",1100,IF(C714="Legendary",2000,0)))))</f>
        <v>0</v>
      </c>
      <c r="E714" s="5">
        <f>(F714*TRUNC(3+(15-3)*(TRUNC(MOD((A714*1103515245 +12345)/ 65536, 32768),0)/32768),0))+D714+(D714/10*F714)</f>
        <v>0</v>
      </c>
      <c r="F714" s="5"/>
      <c r="G714" s="5"/>
      <c r="H714" s="5"/>
      <c r="I714" s="5"/>
      <c r="J714" s="5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spans="1:28" ht="13.2">
      <c r="A715" s="3"/>
      <c r="B715" s="50"/>
      <c r="C715" s="5"/>
      <c r="D715" s="5">
        <f>IF(C715="common",100,IF(C715="Uncommon",300,IF(C715="Rare",700,IF(C715="very rare",1100,IF(C715="Legendary",2000,0)))))</f>
        <v>0</v>
      </c>
      <c r="E715" s="5">
        <f>(F715*TRUNC(3+(15-3)*(TRUNC(MOD((A715*1103515245 +12345)/ 65536, 32768),0)/32768),0))+D715+(D715/10*F715)</f>
        <v>0</v>
      </c>
      <c r="F715" s="5"/>
      <c r="G715" s="5"/>
      <c r="H715" s="5"/>
      <c r="I715" s="5"/>
      <c r="J715" s="5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spans="1:28" ht="13.2">
      <c r="A716" s="3"/>
      <c r="B716" s="50"/>
      <c r="C716" s="5"/>
      <c r="D716" s="5">
        <f>IF(C716="common",100,IF(C716="Uncommon",300,IF(C716="Rare",700,IF(C716="very rare",1100,IF(C716="Legendary",2000,0)))))</f>
        <v>0</v>
      </c>
      <c r="E716" s="5">
        <f>(F716*TRUNC(3+(15-3)*(TRUNC(MOD((A716*1103515245 +12345)/ 65536, 32768),0)/32768),0))+D716+(D716/10*F716)</f>
        <v>0</v>
      </c>
      <c r="F716" s="5"/>
      <c r="G716" s="5"/>
      <c r="H716" s="5"/>
      <c r="I716" s="5"/>
      <c r="J716" s="5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spans="1:28" ht="13.2">
      <c r="A717" s="3"/>
      <c r="B717" s="50"/>
      <c r="C717" s="5"/>
      <c r="D717" s="5">
        <f>IF(C717="common",100,IF(C717="Uncommon",300,IF(C717="Rare",700,IF(C717="very rare",1100,IF(C717="Legendary",2000,0)))))</f>
        <v>0</v>
      </c>
      <c r="E717" s="5">
        <f>(F717*TRUNC(3+(15-3)*(TRUNC(MOD((A717*1103515245 +12345)/ 65536, 32768),0)/32768),0))+D717+(D717/10*F717)</f>
        <v>0</v>
      </c>
      <c r="F717" s="5"/>
      <c r="G717" s="5"/>
      <c r="H717" s="5"/>
      <c r="I717" s="5"/>
      <c r="J717" s="5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spans="1:28" ht="13.2">
      <c r="A718" s="3"/>
      <c r="B718" s="50"/>
      <c r="C718" s="5"/>
      <c r="D718" s="5">
        <f>IF(C718="common",100,IF(C718="Uncommon",300,IF(C718="Rare",700,IF(C718="very rare",1100,IF(C718="Legendary",2000,0)))))</f>
        <v>0</v>
      </c>
      <c r="E718" s="5">
        <f>(F718*TRUNC(3+(15-3)*(TRUNC(MOD((A718*1103515245 +12345)/ 65536, 32768),0)/32768),0))+D718+(D718/10*F718)</f>
        <v>0</v>
      </c>
      <c r="F718" s="5"/>
      <c r="G718" s="5"/>
      <c r="H718" s="5"/>
      <c r="I718" s="5"/>
      <c r="J718" s="5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spans="1:28" ht="13.2">
      <c r="A719" s="3"/>
      <c r="B719" s="50"/>
      <c r="C719" s="5"/>
      <c r="D719" s="5">
        <f>IF(C719="common",100,IF(C719="Uncommon",300,IF(C719="Rare",700,IF(C719="very rare",1100,IF(C719="Legendary",2000,0)))))</f>
        <v>0</v>
      </c>
      <c r="E719" s="5">
        <f>(F719*TRUNC(3+(15-3)*(TRUNC(MOD((A719*1103515245 +12345)/ 65536, 32768),0)/32768),0))+D719+(D719/10*F719)</f>
        <v>0</v>
      </c>
      <c r="F719" s="5"/>
      <c r="G719" s="5"/>
      <c r="H719" s="5"/>
      <c r="I719" s="5"/>
      <c r="J719" s="5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spans="1:28" ht="13.2">
      <c r="A720" s="3"/>
      <c r="B720" s="50"/>
      <c r="C720" s="5"/>
      <c r="D720" s="5">
        <f>IF(C720="common",100,IF(C720="Uncommon",300,IF(C720="Rare",700,IF(C720="very rare",1100,IF(C720="Legendary",2000,0)))))</f>
        <v>0</v>
      </c>
      <c r="E720" s="5">
        <f>(F720*TRUNC(3+(15-3)*(TRUNC(MOD((A720*1103515245 +12345)/ 65536, 32768),0)/32768),0))+D720+(D720/10*F720)</f>
        <v>0</v>
      </c>
      <c r="F720" s="5"/>
      <c r="G720" s="5"/>
      <c r="H720" s="5"/>
      <c r="I720" s="5"/>
      <c r="J720" s="5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spans="1:28" ht="13.2">
      <c r="A721" s="3"/>
      <c r="B721" s="50"/>
      <c r="C721" s="5"/>
      <c r="D721" s="5">
        <f>IF(C721="common",100,IF(C721="Uncommon",300,IF(C721="Rare",700,IF(C721="very rare",1100,IF(C721="Legendary",2000,0)))))</f>
        <v>0</v>
      </c>
      <c r="E721" s="5">
        <f>(F721*TRUNC(3+(15-3)*(TRUNC(MOD((A721*1103515245 +12345)/ 65536, 32768),0)/32768),0))+D721+(D721/10*F721)</f>
        <v>0</v>
      </c>
      <c r="F721" s="5"/>
      <c r="G721" s="5"/>
      <c r="H721" s="5"/>
      <c r="I721" s="5"/>
      <c r="J721" s="5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spans="1:28" ht="13.2">
      <c r="A722" s="3"/>
      <c r="B722" s="50"/>
      <c r="C722" s="5"/>
      <c r="D722" s="5">
        <f>IF(C722="common",100,IF(C722="Uncommon",300,IF(C722="Rare",700,IF(C722="very rare",1100,IF(C722="Legendary",2000,0)))))</f>
        <v>0</v>
      </c>
      <c r="E722" s="5">
        <f>(F722*TRUNC(3+(15-3)*(TRUNC(MOD((A722*1103515245 +12345)/ 65536, 32768),0)/32768),0))+D722+(D722/10*F722)</f>
        <v>0</v>
      </c>
      <c r="F722" s="5"/>
      <c r="G722" s="5"/>
      <c r="H722" s="5"/>
      <c r="I722" s="5"/>
      <c r="J722" s="5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spans="1:28" ht="13.2">
      <c r="A723" s="3"/>
      <c r="B723" s="50"/>
      <c r="C723" s="5"/>
      <c r="D723" s="5">
        <f>IF(C723="common",100,IF(C723="Uncommon",300,IF(C723="Rare",700,IF(C723="very rare",1100,IF(C723="Legendary",2000,0)))))</f>
        <v>0</v>
      </c>
      <c r="E723" s="5">
        <f>(F723*TRUNC(3+(15-3)*(TRUNC(MOD((A723*1103515245 +12345)/ 65536, 32768),0)/32768),0))+D723+(D723/10*F723)</f>
        <v>0</v>
      </c>
      <c r="F723" s="5"/>
      <c r="G723" s="5"/>
      <c r="H723" s="5"/>
      <c r="I723" s="5"/>
      <c r="J723" s="5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spans="1:28" ht="13.2">
      <c r="A724" s="3"/>
      <c r="B724" s="50"/>
      <c r="C724" s="5"/>
      <c r="D724" s="5">
        <f>IF(C724="common",100,IF(C724="Uncommon",300,IF(C724="Rare",700,IF(C724="very rare",1100,IF(C724="Legendary",2000,0)))))</f>
        <v>0</v>
      </c>
      <c r="E724" s="5">
        <f>(F724*TRUNC(3+(15-3)*(TRUNC(MOD((A724*1103515245 +12345)/ 65536, 32768),0)/32768),0))+D724+(D724/10*F724)</f>
        <v>0</v>
      </c>
      <c r="F724" s="5"/>
      <c r="G724" s="5"/>
      <c r="H724" s="5"/>
      <c r="I724" s="5"/>
      <c r="J724" s="5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spans="1:28" ht="13.2">
      <c r="A725" s="3"/>
      <c r="B725" s="50"/>
      <c r="C725" s="5"/>
      <c r="D725" s="5">
        <f>IF(C725="common",100,IF(C725="Uncommon",300,IF(C725="Rare",700,IF(C725="very rare",1100,IF(C725="Legendary",2000,0)))))</f>
        <v>0</v>
      </c>
      <c r="E725" s="5">
        <f>(F725*TRUNC(3+(15-3)*(TRUNC(MOD((A725*1103515245 +12345)/ 65536, 32768),0)/32768),0))+D725+(D725/10*F725)</f>
        <v>0</v>
      </c>
      <c r="F725" s="5"/>
      <c r="G725" s="5"/>
      <c r="H725" s="5"/>
      <c r="I725" s="5"/>
      <c r="J725" s="5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spans="1:28" ht="13.2">
      <c r="A726" s="3"/>
      <c r="B726" s="50"/>
      <c r="C726" s="5"/>
      <c r="D726" s="5">
        <f>IF(C726="common",100,IF(C726="Uncommon",300,IF(C726="Rare",700,IF(C726="very rare",1100,IF(C726="Legendary",2000,0)))))</f>
        <v>0</v>
      </c>
      <c r="E726" s="5">
        <f>(F726*TRUNC(3+(15-3)*(TRUNC(MOD((A726*1103515245 +12345)/ 65536, 32768),0)/32768),0))+D726+(D726/10*F726)</f>
        <v>0</v>
      </c>
      <c r="F726" s="5"/>
      <c r="G726" s="5"/>
      <c r="H726" s="5"/>
      <c r="I726" s="5"/>
      <c r="J726" s="5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spans="1:28" ht="13.2">
      <c r="A727" s="3"/>
      <c r="B727" s="50"/>
      <c r="C727" s="5"/>
      <c r="D727" s="5">
        <f>IF(C727="common",100,IF(C727="Uncommon",300,IF(C727="Rare",700,IF(C727="very rare",1100,IF(C727="Legendary",2000,0)))))</f>
        <v>0</v>
      </c>
      <c r="E727" s="5">
        <f>(F727*TRUNC(3+(15-3)*(TRUNC(MOD((A727*1103515245 +12345)/ 65536, 32768),0)/32768),0))+D727+(D727/10*F727)</f>
        <v>0</v>
      </c>
      <c r="F727" s="5"/>
      <c r="G727" s="5"/>
      <c r="H727" s="5"/>
      <c r="I727" s="5"/>
      <c r="J727" s="5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spans="1:28" ht="13.2">
      <c r="A728" s="3"/>
      <c r="B728" s="50"/>
      <c r="C728" s="5"/>
      <c r="D728" s="5">
        <f>IF(C728="common",100,IF(C728="Uncommon",300,IF(C728="Rare",700,IF(C728="very rare",1100,IF(C728="Legendary",2000,0)))))</f>
        <v>0</v>
      </c>
      <c r="E728" s="5">
        <f>(F728*TRUNC(3+(15-3)*(TRUNC(MOD((A728*1103515245 +12345)/ 65536, 32768),0)/32768),0))+D728+(D728/10*F728)</f>
        <v>0</v>
      </c>
      <c r="F728" s="5"/>
      <c r="G728" s="5"/>
      <c r="H728" s="5"/>
      <c r="I728" s="5"/>
      <c r="J728" s="5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spans="1:28" ht="13.2">
      <c r="A729" s="3"/>
      <c r="B729" s="50"/>
      <c r="C729" s="5"/>
      <c r="D729" s="5">
        <f>IF(C729="common",100,IF(C729="Uncommon",300,IF(C729="Rare",700,IF(C729="very rare",1100,IF(C729="Legendary",2000,0)))))</f>
        <v>0</v>
      </c>
      <c r="E729" s="5">
        <f>(F729*TRUNC(3+(15-3)*(TRUNC(MOD((A729*1103515245 +12345)/ 65536, 32768),0)/32768),0))+D729+(D729/10*F729)</f>
        <v>0</v>
      </c>
      <c r="F729" s="5"/>
      <c r="G729" s="5"/>
      <c r="H729" s="5"/>
      <c r="I729" s="5"/>
      <c r="J729" s="5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spans="1:28" ht="13.2">
      <c r="A730" s="3"/>
      <c r="B730" s="50"/>
      <c r="C730" s="5"/>
      <c r="D730" s="5">
        <f>IF(C730="common",100,IF(C730="Uncommon",300,IF(C730="Rare",700,IF(C730="very rare",1100,IF(C730="Legendary",2000,0)))))</f>
        <v>0</v>
      </c>
      <c r="E730" s="5">
        <f>(F730*TRUNC(3+(15-3)*(TRUNC(MOD((A730*1103515245 +12345)/ 65536, 32768),0)/32768),0))+D730+(D730/10*F730)</f>
        <v>0</v>
      </c>
      <c r="F730" s="5"/>
      <c r="G730" s="5"/>
      <c r="H730" s="5"/>
      <c r="I730" s="5"/>
      <c r="J730" s="5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spans="1:28" ht="13.2">
      <c r="A731" s="3"/>
      <c r="B731" s="50"/>
      <c r="C731" s="5"/>
      <c r="D731" s="5">
        <f>IF(C731="common",100,IF(C731="Uncommon",300,IF(C731="Rare",700,IF(C731="very rare",1100,IF(C731="Legendary",2000,0)))))</f>
        <v>0</v>
      </c>
      <c r="E731" s="5">
        <f>(F731*TRUNC(3+(15-3)*(TRUNC(MOD((A731*1103515245 +12345)/ 65536, 32768),0)/32768),0))+D731+(D731/10*F731)</f>
        <v>0</v>
      </c>
      <c r="F731" s="5"/>
      <c r="G731" s="5"/>
      <c r="H731" s="5"/>
      <c r="I731" s="5"/>
      <c r="J731" s="5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spans="1:28" ht="13.2">
      <c r="A732" s="3"/>
      <c r="B732" s="50"/>
      <c r="C732" s="5"/>
      <c r="D732" s="5">
        <f>IF(C732="common",100,IF(C732="Uncommon",300,IF(C732="Rare",700,IF(C732="very rare",1100,IF(C732="Legendary",2000,0)))))</f>
        <v>0</v>
      </c>
      <c r="E732" s="5">
        <f>(F732*TRUNC(3+(15-3)*(TRUNC(MOD((A732*1103515245 +12345)/ 65536, 32768),0)/32768),0))+D732+(D732/10*F732)</f>
        <v>0</v>
      </c>
      <c r="F732" s="5"/>
      <c r="G732" s="5"/>
      <c r="H732" s="5"/>
      <c r="I732" s="5"/>
      <c r="J732" s="5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spans="1:28" ht="13.2">
      <c r="A733" s="3"/>
      <c r="B733" s="50"/>
      <c r="C733" s="5"/>
      <c r="D733" s="5">
        <f>IF(C733="common",100,IF(C733="Uncommon",300,IF(C733="Rare",700,IF(C733="very rare",1100,IF(C733="Legendary",2000,0)))))</f>
        <v>0</v>
      </c>
      <c r="E733" s="5">
        <f>(F733*TRUNC(3+(15-3)*(TRUNC(MOD((A733*1103515245 +12345)/ 65536, 32768),0)/32768),0))+D733+(D733/10*F733)</f>
        <v>0</v>
      </c>
      <c r="F733" s="5"/>
      <c r="G733" s="5"/>
      <c r="H733" s="5"/>
      <c r="I733" s="5"/>
      <c r="J733" s="5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spans="1:28" ht="13.2">
      <c r="A734" s="3"/>
      <c r="B734" s="50"/>
      <c r="C734" s="5"/>
      <c r="D734" s="5">
        <f>IF(C734="common",100,IF(C734="Uncommon",300,IF(C734="Rare",700,IF(C734="very rare",1100,IF(C734="Legendary",2000,0)))))</f>
        <v>0</v>
      </c>
      <c r="E734" s="5">
        <f>(F734*TRUNC(3+(15-3)*(TRUNC(MOD((A734*1103515245 +12345)/ 65536, 32768),0)/32768),0))+D734+(D734/10*F734)</f>
        <v>0</v>
      </c>
      <c r="F734" s="5"/>
      <c r="G734" s="5"/>
      <c r="H734" s="5"/>
      <c r="I734" s="5"/>
      <c r="J734" s="5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spans="1:28" ht="13.2">
      <c r="A735" s="3"/>
      <c r="B735" s="50"/>
      <c r="C735" s="5"/>
      <c r="D735" s="5">
        <f>IF(C735="common",100,IF(C735="Uncommon",300,IF(C735="Rare",700,IF(C735="very rare",1100,IF(C735="Legendary",2000,0)))))</f>
        <v>0</v>
      </c>
      <c r="E735" s="5">
        <f>(F735*TRUNC(3+(15-3)*(TRUNC(MOD((A735*1103515245 +12345)/ 65536, 32768),0)/32768),0))+D735+(D735/10*F735)</f>
        <v>0</v>
      </c>
      <c r="F735" s="5"/>
      <c r="G735" s="5"/>
      <c r="H735" s="5"/>
      <c r="I735" s="5"/>
      <c r="J735" s="5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spans="1:28" ht="13.2">
      <c r="A736" s="3"/>
      <c r="B736" s="50"/>
      <c r="C736" s="5"/>
      <c r="D736" s="5">
        <f>IF(C736="common",100,IF(C736="Uncommon",300,IF(C736="Rare",700,IF(C736="very rare",1100,IF(C736="Legendary",2000,0)))))</f>
        <v>0</v>
      </c>
      <c r="E736" s="5">
        <f>(F736*TRUNC(3+(15-3)*(TRUNC(MOD((A736*1103515245 +12345)/ 65536, 32768),0)/32768),0))+D736+(D736/10*F736)</f>
        <v>0</v>
      </c>
      <c r="F736" s="5"/>
      <c r="G736" s="5"/>
      <c r="H736" s="5"/>
      <c r="I736" s="5"/>
      <c r="J736" s="5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spans="1:28" ht="13.2">
      <c r="A737" s="3"/>
      <c r="B737" s="50"/>
      <c r="C737" s="5"/>
      <c r="D737" s="5">
        <f>IF(C737="common",100,IF(C737="Uncommon",300,IF(C737="Rare",700,IF(C737="very rare",1100,IF(C737="Legendary",2000,0)))))</f>
        <v>0</v>
      </c>
      <c r="E737" s="5">
        <f>(F737*TRUNC(3+(15-3)*(TRUNC(MOD((A737*1103515245 +12345)/ 65536, 32768),0)/32768),0))+D737+(D737/10*F737)</f>
        <v>0</v>
      </c>
      <c r="F737" s="5"/>
      <c r="G737" s="5"/>
      <c r="H737" s="5"/>
      <c r="I737" s="5"/>
      <c r="J737" s="5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spans="1:28" ht="13.2">
      <c r="A738" s="3"/>
      <c r="B738" s="50"/>
      <c r="C738" s="5"/>
      <c r="D738" s="5">
        <f>IF(C738="common",100,IF(C738="Uncommon",300,IF(C738="Rare",700,IF(C738="very rare",1100,IF(C738="Legendary",2000,0)))))</f>
        <v>0</v>
      </c>
      <c r="E738" s="5">
        <f>(F738*TRUNC(3+(15-3)*(TRUNC(MOD((A738*1103515245 +12345)/ 65536, 32768),0)/32768),0))+D738+(D738/10*F738)</f>
        <v>0</v>
      </c>
      <c r="F738" s="5"/>
      <c r="G738" s="5"/>
      <c r="H738" s="5"/>
      <c r="I738" s="5"/>
      <c r="J738" s="5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spans="1:28" ht="13.2">
      <c r="A739" s="3"/>
      <c r="B739" s="50"/>
      <c r="C739" s="5"/>
      <c r="D739" s="5">
        <f>IF(C739="common",100,IF(C739="Uncommon",300,IF(C739="Rare",700,IF(C739="very rare",1100,IF(C739="Legendary",2000,0)))))</f>
        <v>0</v>
      </c>
      <c r="E739" s="5">
        <f>(F739*TRUNC(3+(15-3)*(TRUNC(MOD((A739*1103515245 +12345)/ 65536, 32768),0)/32768),0))+D739+(D739/10*F739)</f>
        <v>0</v>
      </c>
      <c r="F739" s="5"/>
      <c r="G739" s="5"/>
      <c r="H739" s="5"/>
      <c r="I739" s="5"/>
      <c r="J739" s="5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spans="1:28" ht="13.2">
      <c r="A740" s="3"/>
      <c r="B740" s="50"/>
      <c r="C740" s="5"/>
      <c r="D740" s="5">
        <f>IF(C740="common",100,IF(C740="Uncommon",300,IF(C740="Rare",700,IF(C740="very rare",1100,IF(C740="Legendary",2000,0)))))</f>
        <v>0</v>
      </c>
      <c r="E740" s="5">
        <f>(F740*TRUNC(3+(15-3)*(TRUNC(MOD((A740*1103515245 +12345)/ 65536, 32768),0)/32768),0))+D740+(D740/10*F740)</f>
        <v>0</v>
      </c>
      <c r="F740" s="5"/>
      <c r="G740" s="5"/>
      <c r="H740" s="5"/>
      <c r="I740" s="5"/>
      <c r="J740" s="5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spans="1:28" ht="13.2">
      <c r="A741" s="3"/>
      <c r="B741" s="50"/>
      <c r="C741" s="5"/>
      <c r="D741" s="5">
        <f>IF(C741="common",100,IF(C741="Uncommon",300,IF(C741="Rare",700,IF(C741="very rare",1100,IF(C741="Legendary",2000,0)))))</f>
        <v>0</v>
      </c>
      <c r="E741" s="5">
        <f>(F741*TRUNC(3+(15-3)*(TRUNC(MOD((A741*1103515245 +12345)/ 65536, 32768),0)/32768),0))+D741+(D741/10*F741)</f>
        <v>0</v>
      </c>
      <c r="F741" s="5"/>
      <c r="G741" s="5"/>
      <c r="H741" s="5"/>
      <c r="I741" s="5"/>
      <c r="J741" s="5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spans="1:28" ht="13.2">
      <c r="A742" s="3"/>
      <c r="B742" s="50"/>
      <c r="C742" s="5"/>
      <c r="D742" s="5">
        <f>IF(C742="common",100,IF(C742="Uncommon",300,IF(C742="Rare",700,IF(C742="very rare",1100,IF(C742="Legendary",2000,0)))))</f>
        <v>0</v>
      </c>
      <c r="E742" s="5">
        <f>(F742*TRUNC(3+(15-3)*(TRUNC(MOD((A742*1103515245 +12345)/ 65536, 32768),0)/32768),0))+D742+(D742/10*F742)</f>
        <v>0</v>
      </c>
      <c r="F742" s="5"/>
      <c r="G742" s="5"/>
      <c r="H742" s="5"/>
      <c r="I742" s="5"/>
      <c r="J742" s="5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spans="1:28" ht="13.2">
      <c r="A743" s="3"/>
      <c r="B743" s="50"/>
      <c r="C743" s="5"/>
      <c r="D743" s="5">
        <f>IF(C743="common",100,IF(C743="Uncommon",300,IF(C743="Rare",700,IF(C743="very rare",1100,IF(C743="Legendary",2000,0)))))</f>
        <v>0</v>
      </c>
      <c r="E743" s="5">
        <f>(F743*TRUNC(3+(15-3)*(TRUNC(MOD((A743*1103515245 +12345)/ 65536, 32768),0)/32768),0))+D743+(D743/10*F743)</f>
        <v>0</v>
      </c>
      <c r="F743" s="5"/>
      <c r="G743" s="5"/>
      <c r="H743" s="5"/>
      <c r="I743" s="5"/>
      <c r="J743" s="5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spans="1:28" ht="13.2">
      <c r="A744" s="3"/>
      <c r="B744" s="50"/>
      <c r="C744" s="5"/>
      <c r="D744" s="5">
        <f>IF(C744="common",100,IF(C744="Uncommon",300,IF(C744="Rare",700,IF(C744="very rare",1100,IF(C744="Legendary",2000,0)))))</f>
        <v>0</v>
      </c>
      <c r="E744" s="5">
        <f>(F744*TRUNC(3+(15-3)*(TRUNC(MOD((A744*1103515245 +12345)/ 65536, 32768),0)/32768),0))+D744+(D744/10*F744)</f>
        <v>0</v>
      </c>
      <c r="F744" s="5"/>
      <c r="G744" s="5"/>
      <c r="H744" s="5"/>
      <c r="I744" s="5"/>
      <c r="J744" s="5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spans="1:28" ht="13.2">
      <c r="A745" s="3"/>
      <c r="B745" s="50"/>
      <c r="C745" s="5"/>
      <c r="D745" s="5">
        <f>IF(C745="common",100,IF(C745="Uncommon",300,IF(C745="Rare",700,IF(C745="very rare",1100,IF(C745="Legendary",2000,0)))))</f>
        <v>0</v>
      </c>
      <c r="E745" s="5">
        <f>(F745*TRUNC(3+(15-3)*(TRUNC(MOD((A745*1103515245 +12345)/ 65536, 32768),0)/32768),0))+D745+(D745/10*F745)</f>
        <v>0</v>
      </c>
      <c r="F745" s="5"/>
      <c r="G745" s="5"/>
      <c r="H745" s="5"/>
      <c r="I745" s="5"/>
      <c r="J745" s="5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spans="1:28" ht="13.2">
      <c r="A746" s="3"/>
      <c r="B746" s="50"/>
      <c r="C746" s="5"/>
      <c r="D746" s="5">
        <f>IF(C746="common",100,IF(C746="Uncommon",300,IF(C746="Rare",700,IF(C746="very rare",1100,IF(C746="Legendary",2000,0)))))</f>
        <v>0</v>
      </c>
      <c r="E746" s="5">
        <f>(F746*TRUNC(3+(15-3)*(TRUNC(MOD((A746*1103515245 +12345)/ 65536, 32768),0)/32768),0))+D746+(D746/10*F746)</f>
        <v>0</v>
      </c>
      <c r="F746" s="5"/>
      <c r="G746" s="5"/>
      <c r="H746" s="5"/>
      <c r="I746" s="5"/>
      <c r="J746" s="5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spans="1:28" ht="13.2">
      <c r="A747" s="3"/>
      <c r="B747" s="50"/>
      <c r="C747" s="5"/>
      <c r="D747" s="5">
        <f>IF(C747="common",100,IF(C747="Uncommon",300,IF(C747="Rare",700,IF(C747="very rare",1100,IF(C747="Legendary",2000,0)))))</f>
        <v>0</v>
      </c>
      <c r="E747" s="5">
        <f>(F747*TRUNC(3+(15-3)*(TRUNC(MOD((A747*1103515245 +12345)/ 65536, 32768),0)/32768),0))+D747+(D747/10*F747)</f>
        <v>0</v>
      </c>
      <c r="F747" s="5"/>
      <c r="G747" s="5"/>
      <c r="H747" s="5"/>
      <c r="I747" s="5"/>
      <c r="J747" s="5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spans="1:28" ht="13.2">
      <c r="A748" s="3"/>
      <c r="B748" s="50"/>
      <c r="C748" s="5"/>
      <c r="D748" s="5">
        <f>IF(C748="common",100,IF(C748="Uncommon",300,IF(C748="Rare",700,IF(C748="very rare",1100,IF(C748="Legendary",2000,0)))))</f>
        <v>0</v>
      </c>
      <c r="E748" s="5">
        <f>(F748*TRUNC(3+(15-3)*(TRUNC(MOD((A748*1103515245 +12345)/ 65536, 32768),0)/32768),0))+D748+(D748/10*F748)</f>
        <v>0</v>
      </c>
      <c r="F748" s="5"/>
      <c r="G748" s="5"/>
      <c r="H748" s="5"/>
      <c r="I748" s="5"/>
      <c r="J748" s="5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spans="1:28" ht="13.2">
      <c r="A749" s="3"/>
      <c r="B749" s="50"/>
      <c r="C749" s="5"/>
      <c r="D749" s="5">
        <f>IF(C749="common",100,IF(C749="Uncommon",300,IF(C749="Rare",700,IF(C749="very rare",1100,IF(C749="Legendary",2000,0)))))</f>
        <v>0</v>
      </c>
      <c r="E749" s="5">
        <f>(F749*TRUNC(3+(15-3)*(TRUNC(MOD((A749*1103515245 +12345)/ 65536, 32768),0)/32768),0))+D749+(D749/10*F749)</f>
        <v>0</v>
      </c>
      <c r="F749" s="5"/>
      <c r="G749" s="5"/>
      <c r="H749" s="5"/>
      <c r="I749" s="5"/>
      <c r="J749" s="5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spans="1:28" ht="13.2">
      <c r="A750" s="3"/>
      <c r="B750" s="50"/>
      <c r="C750" s="5"/>
      <c r="D750" s="5">
        <f>IF(C750="common",100,IF(C750="Uncommon",300,IF(C750="Rare",700,IF(C750="very rare",1100,IF(C750="Legendary",2000,0)))))</f>
        <v>0</v>
      </c>
      <c r="E750" s="5">
        <f>(F750*TRUNC(3+(15-3)*(TRUNC(MOD((A750*1103515245 +12345)/ 65536, 32768),0)/32768),0))+D750+(D750/10*F750)</f>
        <v>0</v>
      </c>
      <c r="F750" s="5"/>
      <c r="G750" s="5"/>
      <c r="H750" s="5"/>
      <c r="I750" s="5"/>
      <c r="J750" s="5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spans="1:28" ht="13.2">
      <c r="A751" s="3"/>
      <c r="B751" s="50"/>
      <c r="C751" s="5"/>
      <c r="D751" s="5">
        <f>IF(C751="common",100,IF(C751="Uncommon",300,IF(C751="Rare",700,IF(C751="very rare",1100,IF(C751="Legendary",2000,0)))))</f>
        <v>0</v>
      </c>
      <c r="E751" s="5">
        <f>(F751*TRUNC(3+(15-3)*(TRUNC(MOD((A751*1103515245 +12345)/ 65536, 32768),0)/32768),0))+D751+(D751/10*F751)</f>
        <v>0</v>
      </c>
      <c r="F751" s="5"/>
      <c r="G751" s="5"/>
      <c r="H751" s="5"/>
      <c r="I751" s="5"/>
      <c r="J751" s="5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spans="1:28" ht="13.2">
      <c r="A752" s="3"/>
      <c r="B752" s="50"/>
      <c r="C752" s="5"/>
      <c r="D752" s="5">
        <f>IF(C752="common",100,IF(C752="Uncommon",300,IF(C752="Rare",700,IF(C752="very rare",1100,IF(C752="Legendary",2000,0)))))</f>
        <v>0</v>
      </c>
      <c r="E752" s="5">
        <f>(F752*TRUNC(3+(15-3)*(TRUNC(MOD((A752*1103515245 +12345)/ 65536, 32768),0)/32768),0))+D752+(D752/10*F752)</f>
        <v>0</v>
      </c>
      <c r="F752" s="5"/>
      <c r="G752" s="5"/>
      <c r="H752" s="5"/>
      <c r="I752" s="5"/>
      <c r="J752" s="5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spans="1:28" ht="13.2">
      <c r="A753" s="3"/>
      <c r="B753" s="50"/>
      <c r="C753" s="5"/>
      <c r="D753" s="5">
        <f>IF(C753="common",100,IF(C753="Uncommon",300,IF(C753="Rare",700,IF(C753="very rare",1100,IF(C753="Legendary",2000,0)))))</f>
        <v>0</v>
      </c>
      <c r="E753" s="5">
        <f>(F753*TRUNC(3+(15-3)*(TRUNC(MOD((A753*1103515245 +12345)/ 65536, 32768),0)/32768),0))+D753+(D753/10*F753)</f>
        <v>0</v>
      </c>
      <c r="F753" s="5"/>
      <c r="G753" s="5"/>
      <c r="H753" s="5"/>
      <c r="I753" s="5"/>
      <c r="J753" s="5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spans="1:28" ht="13.2">
      <c r="A754" s="3"/>
      <c r="B754" s="50"/>
      <c r="C754" s="5"/>
      <c r="D754" s="5">
        <f>IF(C754="common",100,IF(C754="Uncommon",300,IF(C754="Rare",700,IF(C754="very rare",1100,IF(C754="Legendary",2000,0)))))</f>
        <v>0</v>
      </c>
      <c r="E754" s="5">
        <f>(F754*TRUNC(3+(15-3)*(TRUNC(MOD((A754*1103515245 +12345)/ 65536, 32768),0)/32768),0))+D754+(D754/10*F754)</f>
        <v>0</v>
      </c>
      <c r="F754" s="5"/>
      <c r="G754" s="5"/>
      <c r="H754" s="5"/>
      <c r="I754" s="5"/>
      <c r="J754" s="5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spans="1:28" ht="13.2">
      <c r="A755" s="3"/>
      <c r="B755" s="50"/>
      <c r="C755" s="5"/>
      <c r="D755" s="5">
        <f>IF(C755="common",100,IF(C755="Uncommon",300,IF(C755="Rare",700,IF(C755="very rare",1100,IF(C755="Legendary",2000,0)))))</f>
        <v>0</v>
      </c>
      <c r="E755" s="5">
        <f>(F755*TRUNC(3+(15-3)*(TRUNC(MOD((A755*1103515245 +12345)/ 65536, 32768),0)/32768),0))+D755+(D755/10*F755)</f>
        <v>0</v>
      </c>
      <c r="F755" s="5"/>
      <c r="G755" s="5"/>
      <c r="H755" s="5"/>
      <c r="I755" s="5"/>
      <c r="J755" s="5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spans="1:28" ht="13.2">
      <c r="A756" s="3"/>
      <c r="B756" s="50"/>
      <c r="C756" s="5"/>
      <c r="D756" s="5">
        <f>IF(C756="common",100,IF(C756="Uncommon",300,IF(C756="Rare",700,IF(C756="very rare",1100,IF(C756="Legendary",2000,0)))))</f>
        <v>0</v>
      </c>
      <c r="E756" s="5">
        <f>(F756*TRUNC(3+(15-3)*(TRUNC(MOD((A756*1103515245 +12345)/ 65536, 32768),0)/32768),0))+D756+(D756/10*F756)</f>
        <v>0</v>
      </c>
      <c r="F756" s="5"/>
      <c r="G756" s="5"/>
      <c r="H756" s="5"/>
      <c r="I756" s="5"/>
      <c r="J756" s="5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spans="1:28" ht="13.2">
      <c r="A757" s="3"/>
      <c r="B757" s="50"/>
      <c r="C757" s="5"/>
      <c r="D757" s="5">
        <f>IF(C757="common",100,IF(C757="Uncommon",300,IF(C757="Rare",700,IF(C757="very rare",1100,IF(C757="Legendary",2000,0)))))</f>
        <v>0</v>
      </c>
      <c r="E757" s="5">
        <f>(F757*TRUNC(3+(15-3)*(TRUNC(MOD((A757*1103515245 +12345)/ 65536, 32768),0)/32768),0))+D757+(D757/10*F757)</f>
        <v>0</v>
      </c>
      <c r="F757" s="5"/>
      <c r="G757" s="5"/>
      <c r="H757" s="5"/>
      <c r="I757" s="5"/>
      <c r="J757" s="5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spans="1:28" ht="13.2">
      <c r="A758" s="3"/>
      <c r="B758" s="50"/>
      <c r="C758" s="5"/>
      <c r="D758" s="5">
        <f>IF(C758="common",100,IF(C758="Uncommon",300,IF(C758="Rare",700,IF(C758="very rare",1100,IF(C758="Legendary",2000,0)))))</f>
        <v>0</v>
      </c>
      <c r="E758" s="5">
        <f>(F758*TRUNC(3+(15-3)*(TRUNC(MOD((A758*1103515245 +12345)/ 65536, 32768),0)/32768),0))+D758+(D758/10*F758)</f>
        <v>0</v>
      </c>
      <c r="F758" s="5"/>
      <c r="G758" s="5"/>
      <c r="H758" s="5"/>
      <c r="I758" s="5"/>
      <c r="J758" s="5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spans="1:28" ht="13.2">
      <c r="A759" s="3"/>
      <c r="B759" s="50"/>
      <c r="C759" s="5"/>
      <c r="D759" s="5">
        <f>IF(C759="common",100,IF(C759="Uncommon",300,IF(C759="Rare",700,IF(C759="very rare",1100,IF(C759="Legendary",2000,0)))))</f>
        <v>0</v>
      </c>
      <c r="E759" s="5">
        <f>(F759*TRUNC(3+(15-3)*(TRUNC(MOD((A759*1103515245 +12345)/ 65536, 32768),0)/32768),0))+D759+(D759/10*F759)</f>
        <v>0</v>
      </c>
      <c r="F759" s="5"/>
      <c r="G759" s="5"/>
      <c r="H759" s="5"/>
      <c r="I759" s="5"/>
      <c r="J759" s="5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spans="1:28" ht="13.2">
      <c r="A760" s="3"/>
      <c r="B760" s="50"/>
      <c r="C760" s="5"/>
      <c r="D760" s="5">
        <f>IF(C760="common",100,IF(C760="Uncommon",300,IF(C760="Rare",700,IF(C760="very rare",1100,IF(C760="Legendary",2000,0)))))</f>
        <v>0</v>
      </c>
      <c r="E760" s="5">
        <f>(F760*TRUNC(3+(15-3)*(TRUNC(MOD((A760*1103515245 +12345)/ 65536, 32768),0)/32768),0))+D760+(D760/10*F760)</f>
        <v>0</v>
      </c>
      <c r="F760" s="5"/>
      <c r="G760" s="5"/>
      <c r="H760" s="5"/>
      <c r="I760" s="5"/>
      <c r="J760" s="5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spans="1:28" ht="13.2">
      <c r="A761" s="3"/>
      <c r="B761" s="50"/>
      <c r="C761" s="5"/>
      <c r="D761" s="5">
        <f>IF(C761="common",100,IF(C761="Uncommon",300,IF(C761="Rare",700,IF(C761="very rare",1100,IF(C761="Legendary",2000,0)))))</f>
        <v>0</v>
      </c>
      <c r="E761" s="5">
        <f>(F761*TRUNC(3+(15-3)*(TRUNC(MOD((A761*1103515245 +12345)/ 65536, 32768),0)/32768),0))+D761+(D761/10*F761)</f>
        <v>0</v>
      </c>
      <c r="F761" s="5"/>
      <c r="G761" s="5"/>
      <c r="H761" s="5"/>
      <c r="I761" s="5"/>
      <c r="J761" s="5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spans="1:28" ht="13.2">
      <c r="A762" s="3"/>
      <c r="B762" s="50"/>
      <c r="C762" s="5"/>
      <c r="D762" s="5">
        <f>IF(C762="common",100,IF(C762="Uncommon",300,IF(C762="Rare",700,IF(C762="very rare",1100,IF(C762="Legendary",2000,0)))))</f>
        <v>0</v>
      </c>
      <c r="E762" s="5">
        <f>(F762*TRUNC(3+(15-3)*(TRUNC(MOD((A762*1103515245 +12345)/ 65536, 32768),0)/32768),0))+D762+(D762/10*F762)</f>
        <v>0</v>
      </c>
      <c r="F762" s="5"/>
      <c r="G762" s="5"/>
      <c r="H762" s="5"/>
      <c r="I762" s="5"/>
      <c r="J762" s="5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spans="1:28" ht="13.2">
      <c r="A763" s="3"/>
      <c r="B763" s="50"/>
      <c r="C763" s="5"/>
      <c r="D763" s="5">
        <f>IF(C763="common",100,IF(C763="Uncommon",300,IF(C763="Rare",700,IF(C763="very rare",1100,IF(C763="Legendary",2000,0)))))</f>
        <v>0</v>
      </c>
      <c r="E763" s="5">
        <f>(F763*TRUNC(3+(15-3)*(TRUNC(MOD((A763*1103515245 +12345)/ 65536, 32768),0)/32768),0))+D763+(D763/10*F763)</f>
        <v>0</v>
      </c>
      <c r="F763" s="5"/>
      <c r="G763" s="5"/>
      <c r="H763" s="5"/>
      <c r="I763" s="5"/>
      <c r="J763" s="5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spans="1:28" ht="13.2">
      <c r="A764" s="3"/>
      <c r="B764" s="50"/>
      <c r="C764" s="5"/>
      <c r="D764" s="5">
        <f>IF(C764="common",100,IF(C764="Uncommon",300,IF(C764="Rare",700,IF(C764="very rare",1100,IF(C764="Legendary",2000,0)))))</f>
        <v>0</v>
      </c>
      <c r="E764" s="5">
        <f>(F764*TRUNC(3+(15-3)*(TRUNC(MOD((A764*1103515245 +12345)/ 65536, 32768),0)/32768),0))+D764+(D764/10*F764)</f>
        <v>0</v>
      </c>
      <c r="F764" s="5"/>
      <c r="G764" s="5"/>
      <c r="H764" s="5"/>
      <c r="I764" s="5"/>
      <c r="J764" s="5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spans="1:28" ht="13.2">
      <c r="A765" s="3"/>
      <c r="B765" s="50"/>
      <c r="C765" s="5"/>
      <c r="D765" s="5">
        <f>IF(C765="common",100,IF(C765="Uncommon",300,IF(C765="Rare",700,IF(C765="very rare",1100,IF(C765="Legendary",2000,0)))))</f>
        <v>0</v>
      </c>
      <c r="E765" s="5">
        <f>(F765*TRUNC(3+(15-3)*(TRUNC(MOD((A765*1103515245 +12345)/ 65536, 32768),0)/32768),0))+D765+(D765/10*F765)</f>
        <v>0</v>
      </c>
      <c r="F765" s="5"/>
      <c r="G765" s="5"/>
      <c r="H765" s="5"/>
      <c r="I765" s="5"/>
      <c r="J765" s="5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spans="1:28" ht="13.2">
      <c r="A766" s="3"/>
      <c r="B766" s="50"/>
      <c r="C766" s="5"/>
      <c r="D766" s="5">
        <f>IF(C766="common",100,IF(C766="Uncommon",300,IF(C766="Rare",700,IF(C766="very rare",1100,IF(C766="Legendary",2000,0)))))</f>
        <v>0</v>
      </c>
      <c r="E766" s="5">
        <f>(F766*TRUNC(3+(15-3)*(TRUNC(MOD((A766*1103515245 +12345)/ 65536, 32768),0)/32768),0))+D766+(D766/10*F766)</f>
        <v>0</v>
      </c>
      <c r="F766" s="5"/>
      <c r="G766" s="5"/>
      <c r="H766" s="5"/>
      <c r="I766" s="5"/>
      <c r="J766" s="5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spans="1:28" ht="13.2">
      <c r="A767" s="3"/>
      <c r="B767" s="50"/>
      <c r="C767" s="5"/>
      <c r="D767" s="5">
        <f>IF(C767="common",100,IF(C767="Uncommon",300,IF(C767="Rare",700,IF(C767="very rare",1100,IF(C767="Legendary",2000,0)))))</f>
        <v>0</v>
      </c>
      <c r="E767" s="5">
        <f>(F767*TRUNC(3+(15-3)*(TRUNC(MOD((A767*1103515245 +12345)/ 65536, 32768),0)/32768),0))+D767+(D767/10*F767)</f>
        <v>0</v>
      </c>
      <c r="F767" s="5"/>
      <c r="G767" s="5"/>
      <c r="H767" s="5"/>
      <c r="I767" s="5"/>
      <c r="J767" s="5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spans="1:28" ht="13.2">
      <c r="A768" s="3"/>
      <c r="B768" s="50"/>
      <c r="C768" s="5"/>
      <c r="D768" s="5">
        <f>IF(C768="common",100,IF(C768="Uncommon",300,IF(C768="Rare",700,IF(C768="very rare",1100,IF(C768="Legendary",2000,0)))))</f>
        <v>0</v>
      </c>
      <c r="E768" s="5">
        <f>(F768*TRUNC(3+(15-3)*(TRUNC(MOD((A768*1103515245 +12345)/ 65536, 32768),0)/32768),0))+D768+(D768/10*F768)</f>
        <v>0</v>
      </c>
      <c r="F768" s="5"/>
      <c r="G768" s="5"/>
      <c r="H768" s="5"/>
      <c r="I768" s="5"/>
      <c r="J768" s="5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spans="1:28" ht="13.2">
      <c r="A769" s="3"/>
      <c r="B769" s="50"/>
      <c r="C769" s="5"/>
      <c r="D769" s="5">
        <f>IF(C769="common",100,IF(C769="Uncommon",300,IF(C769="Rare",700,IF(C769="very rare",1100,IF(C769="Legendary",2000,0)))))</f>
        <v>0</v>
      </c>
      <c r="E769" s="5">
        <f>(F769*TRUNC(3+(15-3)*(TRUNC(MOD((A769*1103515245 +12345)/ 65536, 32768),0)/32768),0))+D769+(D769/10*F769)</f>
        <v>0</v>
      </c>
      <c r="F769" s="5"/>
      <c r="G769" s="5"/>
      <c r="H769" s="5"/>
      <c r="I769" s="5"/>
      <c r="J769" s="5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spans="1:28" ht="13.2">
      <c r="A770" s="3"/>
      <c r="B770" s="50"/>
      <c r="C770" s="5"/>
      <c r="D770" s="5">
        <f>IF(C770="common",100,IF(C770="Uncommon",300,IF(C770="Rare",700,IF(C770="very rare",1100,IF(C770="Legendary",2000,0)))))</f>
        <v>0</v>
      </c>
      <c r="E770" s="5">
        <f>(F770*TRUNC(3+(15-3)*(TRUNC(MOD((A770*1103515245 +12345)/ 65536, 32768),0)/32768),0))+D770+(D770/10*F770)</f>
        <v>0</v>
      </c>
      <c r="F770" s="5"/>
      <c r="G770" s="5"/>
      <c r="H770" s="5"/>
      <c r="I770" s="5"/>
      <c r="J770" s="5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spans="1:28" ht="13.2">
      <c r="A771" s="3"/>
      <c r="B771" s="50"/>
      <c r="C771" s="5"/>
      <c r="D771" s="5">
        <f>IF(C771="common",100,IF(C771="Uncommon",300,IF(C771="Rare",700,IF(C771="very rare",1100,IF(C771="Legendary",2000,0)))))</f>
        <v>0</v>
      </c>
      <c r="E771" s="5">
        <f>(F771*TRUNC(3+(15-3)*(TRUNC(MOD((A771*1103515245 +12345)/ 65536, 32768),0)/32768),0))+D771+(D771/10*F771)</f>
        <v>0</v>
      </c>
      <c r="F771" s="5"/>
      <c r="G771" s="5"/>
      <c r="H771" s="5"/>
      <c r="I771" s="5"/>
      <c r="J771" s="5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spans="1:28" ht="13.2">
      <c r="A772" s="3"/>
      <c r="B772" s="50"/>
      <c r="C772" s="5"/>
      <c r="D772" s="5">
        <f>IF(C772="common",100,IF(C772="Uncommon",300,IF(C772="Rare",700,IF(C772="very rare",1100,IF(C772="Legendary",2000,0)))))</f>
        <v>0</v>
      </c>
      <c r="E772" s="5">
        <f>(F772*TRUNC(3+(15-3)*(TRUNC(MOD((A772*1103515245 +12345)/ 65536, 32768),0)/32768),0))+D772+(D772/10*F772)</f>
        <v>0</v>
      </c>
      <c r="F772" s="5"/>
      <c r="G772" s="5"/>
      <c r="H772" s="5"/>
      <c r="I772" s="5"/>
      <c r="J772" s="5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spans="1:28" ht="13.2">
      <c r="A773" s="3"/>
      <c r="B773" s="50"/>
      <c r="C773" s="5"/>
      <c r="D773" s="5">
        <f>IF(C773="common",100,IF(C773="Uncommon",300,IF(C773="Rare",700,IF(C773="very rare",1100,IF(C773="Legendary",2000,0)))))</f>
        <v>0</v>
      </c>
      <c r="E773" s="5">
        <f>(F773*TRUNC(3+(15-3)*(TRUNC(MOD((A773*1103515245 +12345)/ 65536, 32768),0)/32768),0))+D773+(D773/10*F773)</f>
        <v>0</v>
      </c>
      <c r="F773" s="5"/>
      <c r="G773" s="5"/>
      <c r="H773" s="5"/>
      <c r="I773" s="5"/>
      <c r="J773" s="5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spans="1:28" ht="13.2">
      <c r="A774" s="3"/>
      <c r="B774" s="50"/>
      <c r="C774" s="5"/>
      <c r="D774" s="5">
        <f>IF(C774="common",100,IF(C774="Uncommon",300,IF(C774="Rare",700,IF(C774="very rare",1100,IF(C774="Legendary",2000,0)))))</f>
        <v>0</v>
      </c>
      <c r="E774" s="5">
        <f>(F774*TRUNC(3+(15-3)*(TRUNC(MOD((A774*1103515245 +12345)/ 65536, 32768),0)/32768),0))+D774+(D774/10*F774)</f>
        <v>0</v>
      </c>
      <c r="F774" s="5"/>
      <c r="G774" s="5"/>
      <c r="H774" s="5"/>
      <c r="I774" s="5"/>
      <c r="J774" s="5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spans="1:28" ht="13.2">
      <c r="A775" s="3"/>
      <c r="B775" s="50"/>
      <c r="C775" s="5"/>
      <c r="D775" s="5">
        <f>IF(C775="common",100,IF(C775="Uncommon",300,IF(C775="Rare",700,IF(C775="very rare",1100,IF(C775="Legendary",2000,0)))))</f>
        <v>0</v>
      </c>
      <c r="E775" s="5">
        <f>(F775*TRUNC(3+(15-3)*(TRUNC(MOD((A775*1103515245 +12345)/ 65536, 32768),0)/32768),0))+D775+(D775/10*F775)</f>
        <v>0</v>
      </c>
      <c r="F775" s="5"/>
      <c r="G775" s="5"/>
      <c r="H775" s="5"/>
      <c r="I775" s="5"/>
      <c r="J775" s="5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spans="1:28" ht="13.2">
      <c r="A776" s="3"/>
      <c r="B776" s="50"/>
      <c r="C776" s="5"/>
      <c r="D776" s="5">
        <f>IF(C776="common",100,IF(C776="Uncommon",300,IF(C776="Rare",700,IF(C776="very rare",1100,IF(C776="Legendary",2000,0)))))</f>
        <v>0</v>
      </c>
      <c r="E776" s="5">
        <f>(F776*TRUNC(3+(15-3)*(TRUNC(MOD((A776*1103515245 +12345)/ 65536, 32768),0)/32768),0))+D776+(D776/10*F776)</f>
        <v>0</v>
      </c>
      <c r="F776" s="5"/>
      <c r="G776" s="5"/>
      <c r="H776" s="5"/>
      <c r="I776" s="5"/>
      <c r="J776" s="5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spans="1:28" ht="13.2">
      <c r="A777" s="3"/>
      <c r="B777" s="50"/>
      <c r="C777" s="5"/>
      <c r="D777" s="5">
        <f>IF(C777="common",100,IF(C777="Uncommon",300,IF(C777="Rare",700,IF(C777="very rare",1100,IF(C777="Legendary",2000,0)))))</f>
        <v>0</v>
      </c>
      <c r="E777" s="5">
        <f>(F777*TRUNC(3+(15-3)*(TRUNC(MOD((A777*1103515245 +12345)/ 65536, 32768),0)/32768),0))+D777+(D777/10*F777)</f>
        <v>0</v>
      </c>
      <c r="F777" s="5"/>
      <c r="G777" s="5"/>
      <c r="H777" s="5"/>
      <c r="I777" s="5"/>
      <c r="J777" s="5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spans="1:28" ht="13.2">
      <c r="A778" s="3"/>
      <c r="B778" s="50"/>
      <c r="C778" s="5"/>
      <c r="D778" s="5">
        <f>IF(C778="common",100,IF(C778="Uncommon",300,IF(C778="Rare",700,IF(C778="very rare",1100,IF(C778="Legendary",2000,0)))))</f>
        <v>0</v>
      </c>
      <c r="E778" s="5">
        <f>(F778*TRUNC(3+(15-3)*(TRUNC(MOD((A778*1103515245 +12345)/ 65536, 32768),0)/32768),0))+D778+(D778/10*F778)</f>
        <v>0</v>
      </c>
      <c r="F778" s="5"/>
      <c r="G778" s="5"/>
      <c r="H778" s="5"/>
      <c r="I778" s="5"/>
      <c r="J778" s="5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spans="1:28" ht="13.2">
      <c r="A779" s="3"/>
      <c r="B779" s="50"/>
      <c r="C779" s="5"/>
      <c r="D779" s="5">
        <f>IF(C779="common",100,IF(C779="Uncommon",300,IF(C779="Rare",700,IF(C779="very rare",1100,IF(C779="Legendary",2000,0)))))</f>
        <v>0</v>
      </c>
      <c r="E779" s="5">
        <f>(F779*TRUNC(3+(15-3)*(TRUNC(MOD((A779*1103515245 +12345)/ 65536, 32768),0)/32768),0))+D779+(D779/10*F779)</f>
        <v>0</v>
      </c>
      <c r="F779" s="5"/>
      <c r="G779" s="5"/>
      <c r="H779" s="5"/>
      <c r="I779" s="5"/>
      <c r="J779" s="5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spans="1:28" ht="13.2">
      <c r="A780" s="3"/>
      <c r="B780" s="50"/>
      <c r="C780" s="5"/>
      <c r="D780" s="5">
        <f>IF(C780="common",100,IF(C780="Uncommon",300,IF(C780="Rare",700,IF(C780="very rare",1100,IF(C780="Legendary",2000,0)))))</f>
        <v>0</v>
      </c>
      <c r="E780" s="5">
        <f>(F780*TRUNC(3+(15-3)*(TRUNC(MOD((A780*1103515245 +12345)/ 65536, 32768),0)/32768),0))+D780+(D780/10*F780)</f>
        <v>0</v>
      </c>
      <c r="F780" s="5"/>
      <c r="G780" s="5"/>
      <c r="H780" s="5"/>
      <c r="I780" s="5"/>
      <c r="J780" s="5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spans="1:28" ht="13.2">
      <c r="A781" s="3"/>
      <c r="B781" s="50"/>
      <c r="C781" s="5"/>
      <c r="D781" s="5">
        <f>IF(C781="common",100,IF(C781="Uncommon",300,IF(C781="Rare",700,IF(C781="very rare",1100,IF(C781="Legendary",2000,0)))))</f>
        <v>0</v>
      </c>
      <c r="E781" s="5">
        <f>(F781*TRUNC(3+(15-3)*(TRUNC(MOD((A781*1103515245 +12345)/ 65536, 32768),0)/32768),0))+D781+(D781/10*F781)</f>
        <v>0</v>
      </c>
      <c r="F781" s="5"/>
      <c r="G781" s="5"/>
      <c r="H781" s="5"/>
      <c r="I781" s="5"/>
      <c r="J781" s="5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spans="1:28" ht="13.2">
      <c r="A782" s="3"/>
      <c r="B782" s="50"/>
      <c r="C782" s="5"/>
      <c r="D782" s="5">
        <f>IF(C782="common",100,IF(C782="Uncommon",300,IF(C782="Rare",700,IF(C782="very rare",1100,IF(C782="Legendary",2000,0)))))</f>
        <v>0</v>
      </c>
      <c r="E782" s="5">
        <f>(F782*TRUNC(3+(15-3)*(TRUNC(MOD((A782*1103515245 +12345)/ 65536, 32768),0)/32768),0))+D782+(D782/10*F782)</f>
        <v>0</v>
      </c>
      <c r="F782" s="5"/>
      <c r="G782" s="5"/>
      <c r="H782" s="5"/>
      <c r="I782" s="5"/>
      <c r="J782" s="5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spans="1:28" ht="13.2">
      <c r="A783" s="3"/>
      <c r="B783" s="50"/>
      <c r="C783" s="5"/>
      <c r="D783" s="5">
        <f>IF(C783="common",100,IF(C783="Uncommon",300,IF(C783="Rare",700,IF(C783="very rare",1100,IF(C783="Legendary",2000,0)))))</f>
        <v>0</v>
      </c>
      <c r="E783" s="5">
        <f>(F783*TRUNC(3+(15-3)*(TRUNC(MOD((A783*1103515245 +12345)/ 65536, 32768),0)/32768),0))+D783+(D783/10*F783)</f>
        <v>0</v>
      </c>
      <c r="F783" s="5"/>
      <c r="G783" s="5"/>
      <c r="H783" s="5"/>
      <c r="I783" s="5"/>
      <c r="J783" s="5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spans="1:28" ht="13.2">
      <c r="A784" s="3"/>
      <c r="B784" s="50"/>
      <c r="C784" s="5"/>
      <c r="D784" s="5">
        <f>IF(C784="common",100,IF(C784="Uncommon",300,IF(C784="Rare",700,IF(C784="very rare",1100,IF(C784="Legendary",2000,0)))))</f>
        <v>0</v>
      </c>
      <c r="E784" s="5">
        <f>(F784*TRUNC(3+(15-3)*(TRUNC(MOD((A784*1103515245 +12345)/ 65536, 32768),0)/32768),0))+D784+(D784/10*F784)</f>
        <v>0</v>
      </c>
      <c r="F784" s="5"/>
      <c r="G784" s="5"/>
      <c r="H784" s="5"/>
      <c r="I784" s="5"/>
      <c r="J784" s="5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spans="1:28" ht="13.2">
      <c r="A785" s="3"/>
      <c r="B785" s="50"/>
      <c r="C785" s="5"/>
      <c r="D785" s="5">
        <f>IF(C785="common",100,IF(C785="Uncommon",300,IF(C785="Rare",700,IF(C785="very rare",1100,IF(C785="Legendary",2000,0)))))</f>
        <v>0</v>
      </c>
      <c r="E785" s="5">
        <f>(F785*TRUNC(3+(15-3)*(TRUNC(MOD((A785*1103515245 +12345)/ 65536, 32768),0)/32768),0))+D785+(D785/10*F785)</f>
        <v>0</v>
      </c>
      <c r="F785" s="5"/>
      <c r="G785" s="5"/>
      <c r="H785" s="5"/>
      <c r="I785" s="5"/>
      <c r="J785" s="5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spans="1:28" ht="13.2">
      <c r="A786" s="3"/>
      <c r="B786" s="50"/>
      <c r="C786" s="5"/>
      <c r="D786" s="5">
        <f>IF(C786="common",100,IF(C786="Uncommon",300,IF(C786="Rare",700,IF(C786="very rare",1100,IF(C786="Legendary",2000,0)))))</f>
        <v>0</v>
      </c>
      <c r="E786" s="5">
        <f>(F786*TRUNC(3+(15-3)*(TRUNC(MOD((A786*1103515245 +12345)/ 65536, 32768),0)/32768),0))+D786+(D786/10*F786)</f>
        <v>0</v>
      </c>
      <c r="F786" s="5"/>
      <c r="G786" s="5"/>
      <c r="H786" s="5"/>
      <c r="I786" s="5"/>
      <c r="J786" s="5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spans="1:28" ht="13.2">
      <c r="A787" s="3"/>
      <c r="B787" s="50"/>
      <c r="C787" s="5"/>
      <c r="D787" s="5">
        <f>IF(C787="common",100,IF(C787="Uncommon",300,IF(C787="Rare",700,IF(C787="very rare",1100,IF(C787="Legendary",2000,0)))))</f>
        <v>0</v>
      </c>
      <c r="E787" s="5">
        <f>(F787*TRUNC(3+(15-3)*(TRUNC(MOD((A787*1103515245 +12345)/ 65536, 32768),0)/32768),0))+D787+(D787/10*F787)</f>
        <v>0</v>
      </c>
      <c r="F787" s="5"/>
      <c r="G787" s="5"/>
      <c r="H787" s="5"/>
      <c r="I787" s="5"/>
      <c r="J787" s="5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spans="1:28" ht="13.2">
      <c r="A788" s="3"/>
      <c r="B788" s="50"/>
      <c r="C788" s="5"/>
      <c r="D788" s="5">
        <f>IF(C788="common",100,IF(C788="Uncommon",300,IF(C788="Rare",700,IF(C788="very rare",1100,IF(C788="Legendary",2000,0)))))</f>
        <v>0</v>
      </c>
      <c r="E788" s="5">
        <f>(F788*TRUNC(3+(15-3)*(TRUNC(MOD((A788*1103515245 +12345)/ 65536, 32768),0)/32768),0))+D788+(D788/10*F788)</f>
        <v>0</v>
      </c>
      <c r="F788" s="5"/>
      <c r="G788" s="5"/>
      <c r="H788" s="5"/>
      <c r="I788" s="5"/>
      <c r="J788" s="5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spans="1:28" ht="13.2">
      <c r="A789" s="3"/>
      <c r="B789" s="50"/>
      <c r="C789" s="5"/>
      <c r="D789" s="5">
        <f>IF(C789="common",100,IF(C789="Uncommon",300,IF(C789="Rare",700,IF(C789="very rare",1100,IF(C789="Legendary",2000,0)))))</f>
        <v>0</v>
      </c>
      <c r="E789" s="5">
        <f>(F789*TRUNC(3+(15-3)*(TRUNC(MOD((A789*1103515245 +12345)/ 65536, 32768),0)/32768),0))+D789+(D789/10*F789)</f>
        <v>0</v>
      </c>
      <c r="F789" s="5"/>
      <c r="G789" s="5"/>
      <c r="H789" s="5"/>
      <c r="I789" s="5"/>
      <c r="J789" s="5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spans="1:28" ht="13.2">
      <c r="A790" s="3"/>
      <c r="B790" s="50"/>
      <c r="C790" s="5"/>
      <c r="D790" s="5">
        <f>IF(C790="common",100,IF(C790="Uncommon",300,IF(C790="Rare",700,IF(C790="very rare",1100,IF(C790="Legendary",2000,0)))))</f>
        <v>0</v>
      </c>
      <c r="E790" s="5">
        <f>(F790*TRUNC(3+(15-3)*(TRUNC(MOD((A790*1103515245 +12345)/ 65536, 32768),0)/32768),0))+D790+(D790/10*F790)</f>
        <v>0</v>
      </c>
      <c r="F790" s="5"/>
      <c r="G790" s="5"/>
      <c r="H790" s="5"/>
      <c r="I790" s="5"/>
      <c r="J790" s="5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spans="1:28" ht="13.2">
      <c r="A791" s="3"/>
      <c r="B791" s="50"/>
      <c r="C791" s="5"/>
      <c r="D791" s="5">
        <f>IF(C791="common",100,IF(C791="Uncommon",300,IF(C791="Rare",700,IF(C791="very rare",1100,IF(C791="Legendary",2000,0)))))</f>
        <v>0</v>
      </c>
      <c r="E791" s="5">
        <f>(F791*TRUNC(3+(15-3)*(TRUNC(MOD((A791*1103515245 +12345)/ 65536, 32768),0)/32768),0))+D791+(D791/10*F791)</f>
        <v>0</v>
      </c>
      <c r="F791" s="5"/>
      <c r="G791" s="5"/>
      <c r="H791" s="5"/>
      <c r="I791" s="5"/>
      <c r="J791" s="5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spans="1:28" ht="13.2">
      <c r="A792" s="3"/>
      <c r="B792" s="50"/>
      <c r="C792" s="5"/>
      <c r="D792" s="5">
        <f>IF(C792="common",100,IF(C792="Uncommon",300,IF(C792="Rare",700,IF(C792="very rare",1100,IF(C792="Legendary",2000,0)))))</f>
        <v>0</v>
      </c>
      <c r="E792" s="5">
        <f>(F792*TRUNC(3+(15-3)*(TRUNC(MOD((A792*1103515245 +12345)/ 65536, 32768),0)/32768),0))+D792+(D792/10*F792)</f>
        <v>0</v>
      </c>
      <c r="F792" s="5"/>
      <c r="G792" s="5"/>
      <c r="H792" s="5"/>
      <c r="I792" s="5"/>
      <c r="J792" s="5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spans="1:28" ht="13.2">
      <c r="A793" s="3"/>
      <c r="B793" s="50"/>
      <c r="C793" s="5"/>
      <c r="D793" s="5">
        <f>IF(C793="common",100,IF(C793="Uncommon",300,IF(C793="Rare",700,IF(C793="very rare",1100,IF(C793="Legendary",2000,0)))))</f>
        <v>0</v>
      </c>
      <c r="E793" s="5">
        <f>(F793*TRUNC(3+(15-3)*(TRUNC(MOD((A793*1103515245 +12345)/ 65536, 32768),0)/32768),0))+D793+(D793/10*F793)</f>
        <v>0</v>
      </c>
      <c r="F793" s="5"/>
      <c r="G793" s="5"/>
      <c r="H793" s="5"/>
      <c r="I793" s="5"/>
      <c r="J793" s="5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spans="1:28" ht="13.2">
      <c r="A794" s="3"/>
      <c r="B794" s="50"/>
      <c r="C794" s="5"/>
      <c r="D794" s="5">
        <f>IF(C794="common",100,IF(C794="Uncommon",300,IF(C794="Rare",700,IF(C794="very rare",1100,IF(C794="Legendary",2000,0)))))</f>
        <v>0</v>
      </c>
      <c r="E794" s="5">
        <f>(F794*TRUNC(3+(15-3)*(TRUNC(MOD((A794*1103515245 +12345)/ 65536, 32768),0)/32768),0))+D794+(D794/10*F794)</f>
        <v>0</v>
      </c>
      <c r="F794" s="5"/>
      <c r="G794" s="5"/>
      <c r="H794" s="5"/>
      <c r="I794" s="5"/>
      <c r="J794" s="5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spans="1:28" ht="13.2">
      <c r="A795" s="3"/>
      <c r="B795" s="50"/>
      <c r="C795" s="5"/>
      <c r="D795" s="5">
        <f>IF(C795="common",100,IF(C795="Uncommon",300,IF(C795="Rare",700,IF(C795="very rare",1100,IF(C795="Legendary",2000,0)))))</f>
        <v>0</v>
      </c>
      <c r="E795" s="5">
        <f>(F795*TRUNC(3+(15-3)*(TRUNC(MOD((A795*1103515245 +12345)/ 65536, 32768),0)/32768),0))+D795+(D795/10*F795)</f>
        <v>0</v>
      </c>
      <c r="F795" s="5"/>
      <c r="G795" s="5"/>
      <c r="H795" s="5"/>
      <c r="I795" s="5"/>
      <c r="J795" s="5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spans="1:28" ht="13.2">
      <c r="A796" s="3"/>
      <c r="B796" s="50"/>
      <c r="C796" s="5"/>
      <c r="D796" s="5">
        <f>IF(C796="common",100,IF(C796="Uncommon",300,IF(C796="Rare",700,IF(C796="very rare",1100,IF(C796="Legendary",2000,0)))))</f>
        <v>0</v>
      </c>
      <c r="E796" s="5">
        <f>(F796*TRUNC(3+(15-3)*(TRUNC(MOD((A796*1103515245 +12345)/ 65536, 32768),0)/32768),0))+D796+(D796/10*F796)</f>
        <v>0</v>
      </c>
      <c r="F796" s="5"/>
      <c r="G796" s="5"/>
      <c r="H796" s="5"/>
      <c r="I796" s="5"/>
      <c r="J796" s="5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spans="1:28" ht="13.2">
      <c r="A797" s="3"/>
      <c r="B797" s="50"/>
      <c r="C797" s="5"/>
      <c r="D797" s="5">
        <f>IF(C797="common",100,IF(C797="Uncommon",300,IF(C797="Rare",700,IF(C797="very rare",1100,IF(C797="Legendary",2000,0)))))</f>
        <v>0</v>
      </c>
      <c r="E797" s="5">
        <f>(F797*TRUNC(3+(15-3)*(TRUNC(MOD((A797*1103515245 +12345)/ 65536, 32768),0)/32768),0))+D797+(D797/10*F797)</f>
        <v>0</v>
      </c>
      <c r="F797" s="5"/>
      <c r="G797" s="5"/>
      <c r="H797" s="5"/>
      <c r="I797" s="5"/>
      <c r="J797" s="5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spans="1:28" ht="13.2">
      <c r="A798" s="3"/>
      <c r="B798" s="50"/>
      <c r="C798" s="5"/>
      <c r="D798" s="5">
        <f>IF(C798="common",100,IF(C798="Uncommon",300,IF(C798="Rare",700,IF(C798="very rare",1100,IF(C798="Legendary",2000,0)))))</f>
        <v>0</v>
      </c>
      <c r="E798" s="5">
        <f>(F798*TRUNC(3+(15-3)*(TRUNC(MOD((A798*1103515245 +12345)/ 65536, 32768),0)/32768),0))+D798+(D798/10*F798)</f>
        <v>0</v>
      </c>
      <c r="F798" s="5"/>
      <c r="G798" s="5"/>
      <c r="H798" s="5"/>
      <c r="I798" s="5"/>
      <c r="J798" s="5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spans="1:28" ht="13.2">
      <c r="A799" s="3"/>
      <c r="B799" s="50"/>
      <c r="C799" s="5"/>
      <c r="D799" s="5">
        <f>IF(C799="common",100,IF(C799="Uncommon",300,IF(C799="Rare",700,IF(C799="very rare",1100,IF(C799="Legendary",2000,0)))))</f>
        <v>0</v>
      </c>
      <c r="E799" s="5">
        <f>(F799*TRUNC(3+(15-3)*(TRUNC(MOD((A799*1103515245 +12345)/ 65536, 32768),0)/32768),0))+D799+(D799/10*F799)</f>
        <v>0</v>
      </c>
      <c r="F799" s="5"/>
      <c r="G799" s="5"/>
      <c r="H799" s="5"/>
      <c r="I799" s="5"/>
      <c r="J799" s="5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spans="1:28" ht="13.2">
      <c r="A800" s="3"/>
      <c r="B800" s="50"/>
      <c r="C800" s="5"/>
      <c r="D800" s="5">
        <f>IF(C800="common",100,IF(C800="Uncommon",300,IF(C800="Rare",700,IF(C800="very rare",1100,IF(C800="Legendary",2000,0)))))</f>
        <v>0</v>
      </c>
      <c r="E800" s="5">
        <f>(F800*TRUNC(3+(15-3)*(TRUNC(MOD((A800*1103515245 +12345)/ 65536, 32768),0)/32768),0))+D800+(D800/10*F800)</f>
        <v>0</v>
      </c>
      <c r="F800" s="5"/>
      <c r="G800" s="5"/>
      <c r="H800" s="5"/>
      <c r="I800" s="5"/>
      <c r="J800" s="5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spans="1:28" ht="13.2">
      <c r="A801" s="3"/>
      <c r="B801" s="50"/>
      <c r="C801" s="5"/>
      <c r="D801" s="5">
        <f>IF(C801="common",100,IF(C801="Uncommon",300,IF(C801="Rare",700,IF(C801="very rare",1100,IF(C801="Legendary",2000,0)))))</f>
        <v>0</v>
      </c>
      <c r="E801" s="5">
        <f>(F801*TRUNC(3+(15-3)*(TRUNC(MOD((A801*1103515245 +12345)/ 65536, 32768),0)/32768),0))+D801+(D801/10*F801)</f>
        <v>0</v>
      </c>
      <c r="F801" s="5"/>
      <c r="G801" s="5"/>
      <c r="H801" s="5"/>
      <c r="I801" s="5"/>
      <c r="J801" s="5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spans="1:28" ht="13.2">
      <c r="A802" s="3"/>
      <c r="B802" s="50"/>
      <c r="C802" s="5"/>
      <c r="D802" s="5">
        <f>IF(C802="common",100,IF(C802="Uncommon",300,IF(C802="Rare",700,IF(C802="very rare",1100,IF(C802="Legendary",2000,0)))))</f>
        <v>0</v>
      </c>
      <c r="E802" s="5">
        <f>(F802*TRUNC(3+(15-3)*(TRUNC(MOD((A802*1103515245 +12345)/ 65536, 32768),0)/32768),0))+D802+(D802/10*F802)</f>
        <v>0</v>
      </c>
      <c r="F802" s="5"/>
      <c r="G802" s="5"/>
      <c r="H802" s="5"/>
      <c r="I802" s="5"/>
      <c r="J802" s="5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spans="1:28" ht="13.2">
      <c r="A803" s="3"/>
      <c r="B803" s="50"/>
      <c r="C803" s="5"/>
      <c r="D803" s="5">
        <f>IF(C803="common",100,IF(C803="Uncommon",300,IF(C803="Rare",700,IF(C803="very rare",1100,IF(C803="Legendary",2000,0)))))</f>
        <v>0</v>
      </c>
      <c r="E803" s="5">
        <f>(F803*TRUNC(3+(15-3)*(TRUNC(MOD((A803*1103515245 +12345)/ 65536, 32768),0)/32768),0))+D803+(D803/10*F803)</f>
        <v>0</v>
      </c>
      <c r="F803" s="5"/>
      <c r="G803" s="5"/>
      <c r="H803" s="5"/>
      <c r="I803" s="5"/>
      <c r="J803" s="5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spans="1:28" ht="13.2">
      <c r="A804" s="3"/>
      <c r="B804" s="50"/>
      <c r="C804" s="5"/>
      <c r="D804" s="5">
        <f>IF(C804="common",100,IF(C804="Uncommon",300,IF(C804="Rare",700,IF(C804="very rare",1100,IF(C804="Legendary",2000,0)))))</f>
        <v>0</v>
      </c>
      <c r="E804" s="5">
        <f>(F804*TRUNC(3+(15-3)*(TRUNC(MOD((A804*1103515245 +12345)/ 65536, 32768),0)/32768),0))+D804+(D804/10*F804)</f>
        <v>0</v>
      </c>
      <c r="F804" s="5"/>
      <c r="G804" s="5"/>
      <c r="H804" s="5"/>
      <c r="I804" s="5"/>
      <c r="J804" s="5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spans="1:28" ht="13.2">
      <c r="A805" s="3"/>
      <c r="B805" s="50"/>
      <c r="C805" s="5"/>
      <c r="D805" s="5">
        <f>IF(C805="common",100,IF(C805="Uncommon",300,IF(C805="Rare",700,IF(C805="very rare",1100,IF(C805="Legendary",2000,0)))))</f>
        <v>0</v>
      </c>
      <c r="E805" s="5">
        <f>(F805*TRUNC(3+(15-3)*(TRUNC(MOD((A805*1103515245 +12345)/ 65536, 32768),0)/32768),0))+D805+(D805/10*F805)</f>
        <v>0</v>
      </c>
      <c r="F805" s="5"/>
      <c r="G805" s="5"/>
      <c r="H805" s="5"/>
      <c r="I805" s="5"/>
      <c r="J805" s="5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spans="1:28" ht="13.2">
      <c r="A806" s="3"/>
      <c r="B806" s="50"/>
      <c r="C806" s="5"/>
      <c r="D806" s="5">
        <f>IF(C806="common",100,IF(C806="Uncommon",300,IF(C806="Rare",700,IF(C806="very rare",1100,IF(C806="Legendary",2000,0)))))</f>
        <v>0</v>
      </c>
      <c r="E806" s="5">
        <f>(F806*TRUNC(3+(15-3)*(TRUNC(MOD((A806*1103515245 +12345)/ 65536, 32768),0)/32768),0))+D806+(D806/10*F806)</f>
        <v>0</v>
      </c>
      <c r="F806" s="5"/>
      <c r="G806" s="5"/>
      <c r="H806" s="5"/>
      <c r="I806" s="5"/>
      <c r="J806" s="5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spans="1:28" ht="13.2">
      <c r="A807" s="3"/>
      <c r="B807" s="50"/>
      <c r="C807" s="5"/>
      <c r="D807" s="5">
        <f>IF(C807="common",100,IF(C807="Uncommon",300,IF(C807="Rare",700,IF(C807="very rare",1100,IF(C807="Legendary",2000,0)))))</f>
        <v>0</v>
      </c>
      <c r="E807" s="5">
        <f>(F807*TRUNC(3+(15-3)*(TRUNC(MOD((A807*1103515245 +12345)/ 65536, 32768),0)/32768),0))+D807+(D807/10*F807)</f>
        <v>0</v>
      </c>
      <c r="F807" s="5"/>
      <c r="G807" s="5"/>
      <c r="H807" s="5"/>
      <c r="I807" s="5"/>
      <c r="J807" s="5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spans="1:28" ht="13.2">
      <c r="A808" s="3"/>
      <c r="B808" s="50"/>
      <c r="C808" s="5"/>
      <c r="D808" s="5">
        <f>IF(C808="common",100,IF(C808="Uncommon",300,IF(C808="Rare",700,IF(C808="very rare",1100,IF(C808="Legendary",2000,0)))))</f>
        <v>0</v>
      </c>
      <c r="E808" s="5">
        <f>(F808*TRUNC(3+(15-3)*(TRUNC(MOD((A808*1103515245 +12345)/ 65536, 32768),0)/32768),0))+D808+(D808/10*F808)</f>
        <v>0</v>
      </c>
      <c r="F808" s="5"/>
      <c r="G808" s="5"/>
      <c r="H808" s="5"/>
      <c r="I808" s="5"/>
      <c r="J808" s="5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spans="1:28" ht="13.2">
      <c r="A809" s="3"/>
      <c r="B809" s="50"/>
      <c r="C809" s="5"/>
      <c r="D809" s="5">
        <f>IF(C809="common",100,IF(C809="Uncommon",300,IF(C809="Rare",700,IF(C809="very rare",1100,IF(C809="Legendary",2000,0)))))</f>
        <v>0</v>
      </c>
      <c r="E809" s="5">
        <f>(F809*TRUNC(3+(15-3)*(TRUNC(MOD((A809*1103515245 +12345)/ 65536, 32768),0)/32768),0))+D809+(D809/10*F809)</f>
        <v>0</v>
      </c>
      <c r="F809" s="5"/>
      <c r="G809" s="5"/>
      <c r="H809" s="5"/>
      <c r="I809" s="5"/>
      <c r="J809" s="5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spans="1:28" ht="13.2">
      <c r="A810" s="3"/>
      <c r="B810" s="50"/>
      <c r="C810" s="5"/>
      <c r="D810" s="5">
        <f>IF(C810="common",100,IF(C810="Uncommon",300,IF(C810="Rare",700,IF(C810="very rare",1100,IF(C810="Legendary",2000,0)))))</f>
        <v>0</v>
      </c>
      <c r="E810" s="5">
        <f>(F810*TRUNC(3+(15-3)*(TRUNC(MOD((A810*1103515245 +12345)/ 65536, 32768),0)/32768),0))+D810+(D810/10*F810)</f>
        <v>0</v>
      </c>
      <c r="F810" s="5"/>
      <c r="G810" s="5"/>
      <c r="H810" s="5"/>
      <c r="I810" s="5"/>
      <c r="J810" s="5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spans="1:28" ht="13.2">
      <c r="A811" s="3"/>
      <c r="B811" s="50"/>
      <c r="C811" s="5"/>
      <c r="D811" s="5">
        <f>IF(C811="common",100,IF(C811="Uncommon",300,IF(C811="Rare",700,IF(C811="very rare",1100,IF(C811="Legendary",2000,0)))))</f>
        <v>0</v>
      </c>
      <c r="E811" s="5">
        <f>(F811*TRUNC(3+(15-3)*(TRUNC(MOD((A811*1103515245 +12345)/ 65536, 32768),0)/32768),0))+D811+(D811/10*F811)</f>
        <v>0</v>
      </c>
      <c r="F811" s="5"/>
      <c r="G811" s="5"/>
      <c r="H811" s="5"/>
      <c r="I811" s="5"/>
      <c r="J811" s="5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spans="1:28" ht="13.2">
      <c r="A812" s="3"/>
      <c r="B812" s="50"/>
      <c r="C812" s="5"/>
      <c r="D812" s="5">
        <f>IF(C812="common",100,IF(C812="Uncommon",300,IF(C812="Rare",700,IF(C812="very rare",1100,IF(C812="Legendary",2000,0)))))</f>
        <v>0</v>
      </c>
      <c r="E812" s="5">
        <f>(F812*TRUNC(3+(15-3)*(TRUNC(MOD((A812*1103515245 +12345)/ 65536, 32768),0)/32768),0))+D812+(D812/10*F812)</f>
        <v>0</v>
      </c>
      <c r="F812" s="5"/>
      <c r="G812" s="5"/>
      <c r="H812" s="5"/>
      <c r="I812" s="5"/>
      <c r="J812" s="5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spans="1:28" ht="13.2">
      <c r="A813" s="3"/>
      <c r="B813" s="50"/>
      <c r="C813" s="5"/>
      <c r="D813" s="5">
        <f>IF(C813="common",100,IF(C813="Uncommon",300,IF(C813="Rare",700,IF(C813="very rare",1100,IF(C813="Legendary",2000,0)))))</f>
        <v>0</v>
      </c>
      <c r="E813" s="5">
        <f>(F813*TRUNC(3+(15-3)*(TRUNC(MOD((A813*1103515245 +12345)/ 65536, 32768),0)/32768),0))+D813+(D813/10*F813)</f>
        <v>0</v>
      </c>
      <c r="F813" s="5"/>
      <c r="G813" s="5"/>
      <c r="H813" s="5"/>
      <c r="I813" s="5"/>
      <c r="J813" s="5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spans="1:28" ht="13.2">
      <c r="A814" s="3"/>
      <c r="B814" s="50"/>
      <c r="C814" s="5"/>
      <c r="D814" s="5">
        <f>IF(C814="common",100,IF(C814="Uncommon",300,IF(C814="Rare",700,IF(C814="very rare",1100,IF(C814="Legendary",2000,0)))))</f>
        <v>0</v>
      </c>
      <c r="E814" s="5">
        <f>(F814*TRUNC(3+(15-3)*(TRUNC(MOD((A814*1103515245 +12345)/ 65536, 32768),0)/32768),0))+D814+(D814/10*F814)</f>
        <v>0</v>
      </c>
      <c r="F814" s="5"/>
      <c r="G814" s="5"/>
      <c r="H814" s="5"/>
      <c r="I814" s="5"/>
      <c r="J814" s="5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spans="1:28" ht="13.2">
      <c r="A815" s="3"/>
      <c r="B815" s="50"/>
      <c r="C815" s="5"/>
      <c r="D815" s="5">
        <f>IF(C815="common",100,IF(C815="Uncommon",300,IF(C815="Rare",700,IF(C815="very rare",1100,IF(C815="Legendary",2000,0)))))</f>
        <v>0</v>
      </c>
      <c r="E815" s="5">
        <f>(F815*TRUNC(3+(15-3)*(TRUNC(MOD((A815*1103515245 +12345)/ 65536, 32768),0)/32768),0))+D815+(D815/10*F815)</f>
        <v>0</v>
      </c>
      <c r="F815" s="5"/>
      <c r="G815" s="5"/>
      <c r="H815" s="5"/>
      <c r="I815" s="5"/>
      <c r="J815" s="5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spans="1:28" ht="13.2">
      <c r="A816" s="3"/>
      <c r="B816" s="50"/>
      <c r="C816" s="5"/>
      <c r="D816" s="5">
        <f>IF(C816="common",100,IF(C816="Uncommon",300,IF(C816="Rare",700,IF(C816="very rare",1100,IF(C816="Legendary",2000,0)))))</f>
        <v>0</v>
      </c>
      <c r="E816" s="5">
        <f>(F816*TRUNC(3+(15-3)*(TRUNC(MOD((A816*1103515245 +12345)/ 65536, 32768),0)/32768),0))+D816+(D816/10*F816)</f>
        <v>0</v>
      </c>
      <c r="F816" s="5"/>
      <c r="G816" s="5"/>
      <c r="H816" s="5"/>
      <c r="I816" s="5"/>
      <c r="J816" s="5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spans="1:28" ht="13.2">
      <c r="A817" s="3"/>
      <c r="B817" s="50"/>
      <c r="C817" s="5"/>
      <c r="D817" s="5">
        <f>IF(C817="common",100,IF(C817="Uncommon",300,IF(C817="Rare",700,IF(C817="very rare",1100,IF(C817="Legendary",2000,0)))))</f>
        <v>0</v>
      </c>
      <c r="E817" s="5">
        <f>(F817*TRUNC(3+(15-3)*(TRUNC(MOD((A817*1103515245 +12345)/ 65536, 32768),0)/32768),0))+D817+(D817/10*F817)</f>
        <v>0</v>
      </c>
      <c r="F817" s="5"/>
      <c r="G817" s="5"/>
      <c r="H817" s="5"/>
      <c r="I817" s="5"/>
      <c r="J817" s="5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spans="1:28" ht="13.2">
      <c r="A818" s="3"/>
      <c r="B818" s="50"/>
      <c r="C818" s="5"/>
      <c r="D818" s="5">
        <f>IF(C818="common",100,IF(C818="Uncommon",300,IF(C818="Rare",700,IF(C818="very rare",1100,IF(C818="Legendary",2000,0)))))</f>
        <v>0</v>
      </c>
      <c r="E818" s="5">
        <f>(F818*TRUNC(3+(15-3)*(TRUNC(MOD((A818*1103515245 +12345)/ 65536, 32768),0)/32768),0))+D818+(D818/10*F818)</f>
        <v>0</v>
      </c>
      <c r="F818" s="5"/>
      <c r="G818" s="5"/>
      <c r="H818" s="5"/>
      <c r="I818" s="5"/>
      <c r="J818" s="5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spans="1:28" ht="13.2">
      <c r="A819" s="3"/>
      <c r="B819" s="50"/>
      <c r="C819" s="5"/>
      <c r="D819" s="5">
        <f>IF(C819="common",100,IF(C819="Uncommon",300,IF(C819="Rare",700,IF(C819="very rare",1100,IF(C819="Legendary",2000,0)))))</f>
        <v>0</v>
      </c>
      <c r="E819" s="5">
        <f>(F819*TRUNC(3+(15-3)*(TRUNC(MOD((A819*1103515245 +12345)/ 65536, 32768),0)/32768),0))+D819+(D819/10*F819)</f>
        <v>0</v>
      </c>
      <c r="F819" s="5"/>
      <c r="G819" s="5"/>
      <c r="H819" s="5"/>
      <c r="I819" s="5"/>
      <c r="J819" s="5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spans="1:28" ht="13.2">
      <c r="A820" s="3"/>
      <c r="B820" s="50"/>
      <c r="C820" s="5"/>
      <c r="D820" s="5">
        <f>IF(C820="common",100,IF(C820="Uncommon",300,IF(C820="Rare",700,IF(C820="very rare",1100,IF(C820="Legendary",2000,0)))))</f>
        <v>0</v>
      </c>
      <c r="E820" s="5">
        <f>(F820*TRUNC(3+(15-3)*(TRUNC(MOD((A820*1103515245 +12345)/ 65536, 32768),0)/32768),0))+D820+(D820/10*F820)</f>
        <v>0</v>
      </c>
      <c r="F820" s="5"/>
      <c r="G820" s="5"/>
      <c r="H820" s="5"/>
      <c r="I820" s="5"/>
      <c r="J820" s="5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spans="1:28" ht="13.2">
      <c r="A821" s="3"/>
      <c r="B821" s="50"/>
      <c r="C821" s="5"/>
      <c r="D821" s="5">
        <f>IF(C821="common",100,IF(C821="Uncommon",300,IF(C821="Rare",700,IF(C821="very rare",1100,IF(C821="Legendary",2000,0)))))</f>
        <v>0</v>
      </c>
      <c r="E821" s="5">
        <f>(F821*TRUNC(3+(15-3)*(TRUNC(MOD((A821*1103515245 +12345)/ 65536, 32768),0)/32768),0))+D821+(D821/10*F821)</f>
        <v>0</v>
      </c>
      <c r="F821" s="5"/>
      <c r="G821" s="5"/>
      <c r="H821" s="5"/>
      <c r="I821" s="5"/>
      <c r="J821" s="5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spans="1:28" ht="13.2">
      <c r="A822" s="3"/>
      <c r="B822" s="50"/>
      <c r="C822" s="5"/>
      <c r="D822" s="5">
        <f>IF(C822="common",100,IF(C822="Uncommon",300,IF(C822="Rare",700,IF(C822="very rare",1100,IF(C822="Legendary",2000,0)))))</f>
        <v>0</v>
      </c>
      <c r="E822" s="5">
        <f>(F822*TRUNC(3+(15-3)*(TRUNC(MOD((A822*1103515245 +12345)/ 65536, 32768),0)/32768),0))+D822+(D822/10*F822)</f>
        <v>0</v>
      </c>
      <c r="F822" s="5"/>
      <c r="G822" s="5"/>
      <c r="H822" s="5"/>
      <c r="I822" s="5"/>
      <c r="J822" s="5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spans="1:28" ht="13.2">
      <c r="A823" s="3"/>
      <c r="B823" s="50"/>
      <c r="C823" s="5"/>
      <c r="D823" s="5">
        <f>IF(C823="common",100,IF(C823="Uncommon",300,IF(C823="Rare",700,IF(C823="very rare",1100,IF(C823="Legendary",2000,0)))))</f>
        <v>0</v>
      </c>
      <c r="E823" s="5">
        <f>(F823*TRUNC(3+(15-3)*(TRUNC(MOD((A823*1103515245 +12345)/ 65536, 32768),0)/32768),0))+D823+(D823/10*F823)</f>
        <v>0</v>
      </c>
      <c r="F823" s="5"/>
      <c r="G823" s="5"/>
      <c r="H823" s="5"/>
      <c r="I823" s="5"/>
      <c r="J823" s="5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spans="1:28" ht="13.2">
      <c r="A824" s="3"/>
      <c r="B824" s="50"/>
      <c r="C824" s="5"/>
      <c r="D824" s="5">
        <f>IF(C824="common",100,IF(C824="Uncommon",300,IF(C824="Rare",700,IF(C824="very rare",1100,IF(C824="Legendary",2000,0)))))</f>
        <v>0</v>
      </c>
      <c r="E824" s="5">
        <f>(F824*TRUNC(3+(15-3)*(TRUNC(MOD((A824*1103515245 +12345)/ 65536, 32768),0)/32768),0))+D824+(D824/10*F824)</f>
        <v>0</v>
      </c>
      <c r="F824" s="5"/>
      <c r="G824" s="5"/>
      <c r="H824" s="5"/>
      <c r="I824" s="5"/>
      <c r="J824" s="5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spans="1:28" ht="13.2">
      <c r="A825" s="3"/>
      <c r="B825" s="50"/>
      <c r="C825" s="5"/>
      <c r="D825" s="5">
        <f>IF(C825="common",100,IF(C825="Uncommon",300,IF(C825="Rare",700,IF(C825="very rare",1100,IF(C825="Legendary",2000,0)))))</f>
        <v>0</v>
      </c>
      <c r="E825" s="5">
        <f>(F825*TRUNC(3+(15-3)*(TRUNC(MOD((A825*1103515245 +12345)/ 65536, 32768),0)/32768),0))+D825+(D825/10*F825)</f>
        <v>0</v>
      </c>
      <c r="F825" s="5"/>
      <c r="G825" s="5"/>
      <c r="H825" s="5"/>
      <c r="I825" s="5"/>
      <c r="J825" s="5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spans="1:28" ht="13.2">
      <c r="A826" s="3"/>
      <c r="B826" s="50"/>
      <c r="C826" s="5"/>
      <c r="D826" s="5">
        <f>IF(C826="common",100,IF(C826="Uncommon",300,IF(C826="Rare",700,IF(C826="very rare",1100,IF(C826="Legendary",2000,0)))))</f>
        <v>0</v>
      </c>
      <c r="E826" s="5">
        <f>(F826*TRUNC(3+(15-3)*(TRUNC(MOD((A826*1103515245 +12345)/ 65536, 32768),0)/32768),0))+D826+(D826/10*F826)</f>
        <v>0</v>
      </c>
      <c r="F826" s="5"/>
      <c r="G826" s="5"/>
      <c r="H826" s="5"/>
      <c r="I826" s="5"/>
      <c r="J826" s="5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spans="1:28" ht="13.2">
      <c r="A827" s="3"/>
      <c r="B827" s="50"/>
      <c r="C827" s="5"/>
      <c r="D827" s="5">
        <f>IF(C827="common",100,IF(C827="Uncommon",300,IF(C827="Rare",700,IF(C827="very rare",1100,IF(C827="Legendary",2000,0)))))</f>
        <v>0</v>
      </c>
      <c r="E827" s="5">
        <f>(F827*TRUNC(3+(15-3)*(TRUNC(MOD((A827*1103515245 +12345)/ 65536, 32768),0)/32768),0))+D827+(D827/10*F827)</f>
        <v>0</v>
      </c>
      <c r="F827" s="5"/>
      <c r="G827" s="5"/>
      <c r="H827" s="5"/>
      <c r="I827" s="5"/>
      <c r="J827" s="5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spans="1:28" ht="13.2">
      <c r="A828" s="3"/>
      <c r="B828" s="50"/>
      <c r="C828" s="5"/>
      <c r="D828" s="5">
        <f>IF(C828="common",100,IF(C828="Uncommon",300,IF(C828="Rare",700,IF(C828="very rare",1100,IF(C828="Legendary",2000,0)))))</f>
        <v>0</v>
      </c>
      <c r="E828" s="5">
        <f>(F828*TRUNC(3+(15-3)*(TRUNC(MOD((A828*1103515245 +12345)/ 65536, 32768),0)/32768),0))+D828+(D828/10*F828)</f>
        <v>0</v>
      </c>
      <c r="F828" s="5"/>
      <c r="G828" s="5"/>
      <c r="H828" s="5"/>
      <c r="I828" s="5"/>
      <c r="J828" s="5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spans="1:28" ht="13.2">
      <c r="A829" s="3"/>
      <c r="B829" s="50"/>
      <c r="C829" s="5"/>
      <c r="D829" s="5">
        <f>IF(C829="common",100,IF(C829="Uncommon",300,IF(C829="Rare",700,IF(C829="very rare",1100,IF(C829="Legendary",2000,0)))))</f>
        <v>0</v>
      </c>
      <c r="E829" s="5">
        <f>(F829*TRUNC(3+(15-3)*(TRUNC(MOD((A829*1103515245 +12345)/ 65536, 32768),0)/32768),0))+D829+(D829/10*F829)</f>
        <v>0</v>
      </c>
      <c r="F829" s="5"/>
      <c r="G829" s="5"/>
      <c r="H829" s="5"/>
      <c r="I829" s="5"/>
      <c r="J829" s="5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spans="1:28" ht="13.2">
      <c r="A830" s="3"/>
      <c r="B830" s="50"/>
      <c r="C830" s="5"/>
      <c r="D830" s="5">
        <f>IF(C830="common",100,IF(C830="Uncommon",300,IF(C830="Rare",700,IF(C830="very rare",1100,IF(C830="Legendary",2000,0)))))</f>
        <v>0</v>
      </c>
      <c r="E830" s="5">
        <f>(F830*TRUNC(3+(15-3)*(TRUNC(MOD((A830*1103515245 +12345)/ 65536, 32768),0)/32768),0))+D830+(D830/10*F830)</f>
        <v>0</v>
      </c>
      <c r="F830" s="5"/>
      <c r="G830" s="5"/>
      <c r="H830" s="5"/>
      <c r="I830" s="5"/>
      <c r="J830" s="5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spans="1:28" ht="13.2">
      <c r="A831" s="3"/>
      <c r="B831" s="50"/>
      <c r="C831" s="5"/>
      <c r="D831" s="5">
        <f>IF(C831="common",100,IF(C831="Uncommon",300,IF(C831="Rare",700,IF(C831="very rare",1100,IF(C831="Legendary",2000,0)))))</f>
        <v>0</v>
      </c>
      <c r="E831" s="5">
        <f>(F831*TRUNC(3+(15-3)*(TRUNC(MOD((A831*1103515245 +12345)/ 65536, 32768),0)/32768),0))+D831+(D831/10*F831)</f>
        <v>0</v>
      </c>
      <c r="F831" s="5"/>
      <c r="G831" s="5"/>
      <c r="H831" s="5"/>
      <c r="I831" s="5"/>
      <c r="J831" s="5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spans="1:28" ht="13.2">
      <c r="A832" s="3"/>
      <c r="B832" s="50"/>
      <c r="C832" s="5"/>
      <c r="D832" s="5">
        <f>IF(C832="common",100,IF(C832="Uncommon",300,IF(C832="Rare",700,IF(C832="very rare",1100,IF(C832="Legendary",2000,0)))))</f>
        <v>0</v>
      </c>
      <c r="E832" s="5">
        <f>(F832*TRUNC(3+(15-3)*(TRUNC(MOD((A832*1103515245 +12345)/ 65536, 32768),0)/32768),0))+D832+(D832/10*F832)</f>
        <v>0</v>
      </c>
      <c r="F832" s="5"/>
      <c r="G832" s="5"/>
      <c r="H832" s="5"/>
      <c r="I832" s="5"/>
      <c r="J832" s="5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spans="1:28" ht="13.2">
      <c r="A833" s="3"/>
      <c r="B833" s="50"/>
      <c r="C833" s="5"/>
      <c r="D833" s="5">
        <f>IF(C833="common",100,IF(C833="Uncommon",300,IF(C833="Rare",700,IF(C833="very rare",1100,IF(C833="Legendary",2000,0)))))</f>
        <v>0</v>
      </c>
      <c r="E833" s="5">
        <f>(F833*TRUNC(3+(15-3)*(TRUNC(MOD((A833*1103515245 +12345)/ 65536, 32768),0)/32768),0))+D833+(D833/10*F833)</f>
        <v>0</v>
      </c>
      <c r="F833" s="5"/>
      <c r="G833" s="5"/>
      <c r="H833" s="5"/>
      <c r="I833" s="5"/>
      <c r="J833" s="5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spans="1:28" ht="13.2">
      <c r="A834" s="3"/>
      <c r="B834" s="50"/>
      <c r="C834" s="5"/>
      <c r="D834" s="5">
        <f>IF(C834="common",100,IF(C834="Uncommon",300,IF(C834="Rare",700,IF(C834="very rare",1100,IF(C834="Legendary",2000,0)))))</f>
        <v>0</v>
      </c>
      <c r="E834" s="5">
        <f>(F834*TRUNC(3+(15-3)*(TRUNC(MOD((A834*1103515245 +12345)/ 65536, 32768),0)/32768),0))+D834+(D834/10*F834)</f>
        <v>0</v>
      </c>
      <c r="F834" s="5"/>
      <c r="G834" s="5"/>
      <c r="H834" s="5"/>
      <c r="I834" s="5"/>
      <c r="J834" s="5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spans="1:28" ht="13.2">
      <c r="A835" s="3"/>
      <c r="B835" s="50"/>
      <c r="C835" s="5"/>
      <c r="D835" s="5">
        <f>IF(C835="common",100,IF(C835="Uncommon",300,IF(C835="Rare",700,IF(C835="very rare",1100,IF(C835="Legendary",2000,0)))))</f>
        <v>0</v>
      </c>
      <c r="E835" s="5">
        <f>(F835*TRUNC(3+(15-3)*(TRUNC(MOD((A835*1103515245 +12345)/ 65536, 32768),0)/32768),0))+D835+(D835/10*F835)</f>
        <v>0</v>
      </c>
      <c r="F835" s="5"/>
      <c r="G835" s="5"/>
      <c r="H835" s="5"/>
      <c r="I835" s="5"/>
      <c r="J835" s="5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spans="1:28" ht="13.2">
      <c r="A836" s="3"/>
      <c r="B836" s="50"/>
      <c r="C836" s="5"/>
      <c r="D836" s="5">
        <f>IF(C836="common",100,IF(C836="Uncommon",300,IF(C836="Rare",700,IF(C836="very rare",1100,IF(C836="Legendary",2000,0)))))</f>
        <v>0</v>
      </c>
      <c r="E836" s="5">
        <f>(F836*TRUNC(3+(15-3)*(TRUNC(MOD((A836*1103515245 +12345)/ 65536, 32768),0)/32768),0))+D836+(D836/10*F836)</f>
        <v>0</v>
      </c>
      <c r="F836" s="5"/>
      <c r="G836" s="5"/>
      <c r="H836" s="5"/>
      <c r="I836" s="5"/>
      <c r="J836" s="5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spans="1:28" ht="13.2">
      <c r="A837" s="3"/>
      <c r="B837" s="50"/>
      <c r="C837" s="5"/>
      <c r="D837" s="5">
        <f>IF(C837="common",100,IF(C837="Uncommon",300,IF(C837="Rare",700,IF(C837="very rare",1100,IF(C837="Legendary",2000,0)))))</f>
        <v>0</v>
      </c>
      <c r="E837" s="5">
        <f>(F837*TRUNC(3+(15-3)*(TRUNC(MOD((A837*1103515245 +12345)/ 65536, 32768),0)/32768),0))+D837+(D837/10*F837)</f>
        <v>0</v>
      </c>
      <c r="F837" s="5"/>
      <c r="G837" s="5"/>
      <c r="H837" s="5"/>
      <c r="I837" s="5"/>
      <c r="J837" s="5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spans="1:28" ht="13.2">
      <c r="A838" s="3"/>
      <c r="B838" s="50"/>
      <c r="C838" s="5"/>
      <c r="D838" s="5">
        <f>IF(C838="common",100,IF(C838="Uncommon",300,IF(C838="Rare",700,IF(C838="very rare",1100,IF(C838="Legendary",2000,0)))))</f>
        <v>0</v>
      </c>
      <c r="E838" s="5">
        <f>(F838*TRUNC(3+(15-3)*(TRUNC(MOD((A838*1103515245 +12345)/ 65536, 32768),0)/32768),0))+D838+(D838/10*F838)</f>
        <v>0</v>
      </c>
      <c r="F838" s="5"/>
      <c r="G838" s="5"/>
      <c r="H838" s="5"/>
      <c r="I838" s="5"/>
      <c r="J838" s="5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spans="1:28" ht="13.2">
      <c r="A839" s="3"/>
      <c r="B839" s="50"/>
      <c r="C839" s="5"/>
      <c r="D839" s="5">
        <f>IF(C839="common",100,IF(C839="Uncommon",300,IF(C839="Rare",700,IF(C839="very rare",1100,IF(C839="Legendary",2000,0)))))</f>
        <v>0</v>
      </c>
      <c r="E839" s="5">
        <f>(F839*TRUNC(3+(15-3)*(TRUNC(MOD((A839*1103515245 +12345)/ 65536, 32768),0)/32768),0))+D839+(D839/10*F839)</f>
        <v>0</v>
      </c>
      <c r="F839" s="5"/>
      <c r="G839" s="5"/>
      <c r="H839" s="5"/>
      <c r="I839" s="5"/>
      <c r="J839" s="5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spans="1:28" ht="13.2">
      <c r="A840" s="3"/>
      <c r="B840" s="50"/>
      <c r="C840" s="5"/>
      <c r="D840" s="5">
        <f>IF(C840="common",100,IF(C840="Uncommon",300,IF(C840="Rare",700,IF(C840="very rare",1100,IF(C840="Legendary",2000,0)))))</f>
        <v>0</v>
      </c>
      <c r="E840" s="5">
        <f>(F840*TRUNC(3+(15-3)*(TRUNC(MOD((A840*1103515245 +12345)/ 65536, 32768),0)/32768),0))+D840+(D840/10*F840)</f>
        <v>0</v>
      </c>
      <c r="F840" s="5"/>
      <c r="G840" s="5"/>
      <c r="H840" s="5"/>
      <c r="I840" s="5"/>
      <c r="J840" s="5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spans="1:28" ht="13.2">
      <c r="A841" s="3"/>
      <c r="B841" s="50"/>
      <c r="C841" s="5"/>
      <c r="D841" s="5">
        <f>IF(C841="common",100,IF(C841="Uncommon",300,IF(C841="Rare",700,IF(C841="very rare",1100,IF(C841="Legendary",2000,0)))))</f>
        <v>0</v>
      </c>
      <c r="E841" s="5">
        <f>(F841*TRUNC(3+(15-3)*(TRUNC(MOD((A841*1103515245 +12345)/ 65536, 32768),0)/32768),0))+D841+(D841/10*F841)</f>
        <v>0</v>
      </c>
      <c r="F841" s="5"/>
      <c r="G841" s="5"/>
      <c r="H841" s="5"/>
      <c r="I841" s="5"/>
      <c r="J841" s="5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spans="1:28" ht="13.2">
      <c r="A842" s="3"/>
      <c r="B842" s="50"/>
      <c r="C842" s="5"/>
      <c r="D842" s="5">
        <f>IF(C842="common",100,IF(C842="Uncommon",300,IF(C842="Rare",700,IF(C842="very rare",1100,IF(C842="Legendary",2000,0)))))</f>
        <v>0</v>
      </c>
      <c r="E842" s="5">
        <f>(F842*TRUNC(3+(15-3)*(TRUNC(MOD((A842*1103515245 +12345)/ 65536, 32768),0)/32768),0))+D842+(D842/10*F842)</f>
        <v>0</v>
      </c>
      <c r="F842" s="5"/>
      <c r="G842" s="5"/>
      <c r="H842" s="5"/>
      <c r="I842" s="5"/>
      <c r="J842" s="5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spans="1:28" ht="13.2">
      <c r="A843" s="3"/>
      <c r="B843" s="50"/>
      <c r="C843" s="5"/>
      <c r="D843" s="5">
        <f>IF(C843="common",100,IF(C843="Uncommon",300,IF(C843="Rare",700,IF(C843="very rare",1100,IF(C843="Legendary",2000,0)))))</f>
        <v>0</v>
      </c>
      <c r="E843" s="5">
        <f>(F843*TRUNC(3+(15-3)*(TRUNC(MOD((A843*1103515245 +12345)/ 65536, 32768),0)/32768),0))+D843+(D843/10*F843)</f>
        <v>0</v>
      </c>
      <c r="F843" s="5"/>
      <c r="G843" s="5"/>
      <c r="H843" s="5"/>
      <c r="I843" s="5"/>
      <c r="J843" s="5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spans="1:28" ht="13.2">
      <c r="A844" s="3"/>
      <c r="B844" s="50"/>
      <c r="C844" s="5"/>
      <c r="D844" s="5">
        <f>IF(C844="common",100,IF(C844="Uncommon",300,IF(C844="Rare",700,IF(C844="very rare",1100,IF(C844="Legendary",2000,0)))))</f>
        <v>0</v>
      </c>
      <c r="E844" s="5">
        <f>(F844*TRUNC(3+(15-3)*(TRUNC(MOD((A844*1103515245 +12345)/ 65536, 32768),0)/32768),0))+D844+(D844/10*F844)</f>
        <v>0</v>
      </c>
      <c r="F844" s="5"/>
      <c r="G844" s="5"/>
      <c r="H844" s="5"/>
      <c r="I844" s="5"/>
      <c r="J844" s="5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spans="1:28" ht="13.2">
      <c r="A845" s="3"/>
      <c r="B845" s="50"/>
      <c r="C845" s="5"/>
      <c r="D845" s="5">
        <f>IF(C845="common",100,IF(C845="Uncommon",300,IF(C845="Rare",700,IF(C845="very rare",1100,IF(C845="Legendary",2000,0)))))</f>
        <v>0</v>
      </c>
      <c r="E845" s="5">
        <f>(F845*TRUNC(3+(15-3)*(TRUNC(MOD((A845*1103515245 +12345)/ 65536, 32768),0)/32768),0))+D845+(D845/10*F845)</f>
        <v>0</v>
      </c>
      <c r="F845" s="5"/>
      <c r="G845" s="5"/>
      <c r="H845" s="5"/>
      <c r="I845" s="5"/>
      <c r="J845" s="5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spans="1:28" ht="13.2">
      <c r="A846" s="3"/>
      <c r="B846" s="50"/>
      <c r="C846" s="5"/>
      <c r="D846" s="5">
        <f>IF(C846="common",100,IF(C846="Uncommon",300,IF(C846="Rare",700,IF(C846="very rare",1100,IF(C846="Legendary",2000,0)))))</f>
        <v>0</v>
      </c>
      <c r="E846" s="5">
        <f>(F846*TRUNC(3+(15-3)*(TRUNC(MOD((A846*1103515245 +12345)/ 65536, 32768),0)/32768),0))+D846+(D846/10*F846)</f>
        <v>0</v>
      </c>
      <c r="F846" s="5"/>
      <c r="G846" s="5"/>
      <c r="H846" s="5"/>
      <c r="I846" s="5"/>
      <c r="J846" s="5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spans="1:28" ht="13.2">
      <c r="A847" s="3"/>
      <c r="B847" s="50"/>
      <c r="C847" s="5"/>
      <c r="D847" s="5">
        <f>IF(C847="common",100,IF(C847="Uncommon",300,IF(C847="Rare",700,IF(C847="very rare",1100,IF(C847="Legendary",2000,0)))))</f>
        <v>0</v>
      </c>
      <c r="E847" s="5">
        <f>(F847*TRUNC(3+(15-3)*(TRUNC(MOD((A847*1103515245 +12345)/ 65536, 32768),0)/32768),0))+D847+(D847/10*F847)</f>
        <v>0</v>
      </c>
      <c r="F847" s="5"/>
      <c r="G847" s="5"/>
      <c r="H847" s="5"/>
      <c r="I847" s="5"/>
      <c r="J847" s="5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spans="1:28" ht="13.2">
      <c r="A848" s="3"/>
      <c r="B848" s="50"/>
      <c r="C848" s="5"/>
      <c r="D848" s="5">
        <f>IF(C848="common",100,IF(C848="Uncommon",300,IF(C848="Rare",700,IF(C848="very rare",1100,IF(C848="Legendary",2000,0)))))</f>
        <v>0</v>
      </c>
      <c r="E848" s="5">
        <f>(F848*TRUNC(3+(15-3)*(TRUNC(MOD((A848*1103515245 +12345)/ 65536, 32768),0)/32768),0))+D848+(D848/10*F848)</f>
        <v>0</v>
      </c>
      <c r="F848" s="5"/>
      <c r="G848" s="5"/>
      <c r="H848" s="5"/>
      <c r="I848" s="5"/>
      <c r="J848" s="5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spans="1:28" ht="13.2">
      <c r="A849" s="3"/>
      <c r="B849" s="50"/>
      <c r="C849" s="5"/>
      <c r="D849" s="5">
        <f>IF(C849="common",100,IF(C849="Uncommon",300,IF(C849="Rare",700,IF(C849="very rare",1100,IF(C849="Legendary",2000,0)))))</f>
        <v>0</v>
      </c>
      <c r="E849" s="5">
        <f>(F849*TRUNC(3+(15-3)*(TRUNC(MOD((A849*1103515245 +12345)/ 65536, 32768),0)/32768),0))+D849+(D849/10*F849)</f>
        <v>0</v>
      </c>
      <c r="F849" s="5"/>
      <c r="G849" s="5"/>
      <c r="H849" s="5"/>
      <c r="I849" s="5"/>
      <c r="J849" s="5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spans="1:28" ht="13.2">
      <c r="A850" s="3"/>
      <c r="B850" s="50"/>
      <c r="C850" s="5"/>
      <c r="D850" s="5">
        <f>IF(C850="common",100,IF(C850="Uncommon",300,IF(C850="Rare",700,IF(C850="very rare",1100,IF(C850="Legendary",2000,0)))))</f>
        <v>0</v>
      </c>
      <c r="E850" s="5">
        <f>(F850*TRUNC(3+(15-3)*(TRUNC(MOD((A850*1103515245 +12345)/ 65536, 32768),0)/32768),0))+D850+(D850/10*F850)</f>
        <v>0</v>
      </c>
      <c r="F850" s="5"/>
      <c r="G850" s="5"/>
      <c r="H850" s="5"/>
      <c r="I850" s="5"/>
      <c r="J850" s="5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spans="1:28" ht="13.2">
      <c r="A851" s="3"/>
      <c r="B851" s="50"/>
      <c r="C851" s="5"/>
      <c r="D851" s="5">
        <f>IF(C851="common",100,IF(C851="Uncommon",300,IF(C851="Rare",700,IF(C851="very rare",1100,IF(C851="Legendary",2000,0)))))</f>
        <v>0</v>
      </c>
      <c r="E851" s="5">
        <f>(F851*TRUNC(3+(15-3)*(TRUNC(MOD((A851*1103515245 +12345)/ 65536, 32768),0)/32768),0))+D851+(D851/10*F851)</f>
        <v>0</v>
      </c>
      <c r="F851" s="5"/>
      <c r="G851" s="5"/>
      <c r="H851" s="5"/>
      <c r="I851" s="5"/>
      <c r="J851" s="5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spans="1:28" ht="13.2">
      <c r="A852" s="3"/>
      <c r="B852" s="50"/>
      <c r="C852" s="5"/>
      <c r="D852" s="5">
        <f>IF(C852="common",100,IF(C852="Uncommon",300,IF(C852="Rare",700,IF(C852="very rare",1100,IF(C852="Legendary",2000,0)))))</f>
        <v>0</v>
      </c>
      <c r="E852" s="5">
        <f>(F852*TRUNC(3+(15-3)*(TRUNC(MOD((A852*1103515245 +12345)/ 65536, 32768),0)/32768),0))+D852+(D852/10*F852)</f>
        <v>0</v>
      </c>
      <c r="F852" s="5"/>
      <c r="G852" s="5"/>
      <c r="H852" s="5"/>
      <c r="I852" s="5"/>
      <c r="J852" s="5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spans="1:28" ht="13.2">
      <c r="A853" s="3"/>
      <c r="B853" s="50"/>
      <c r="C853" s="5"/>
      <c r="D853" s="5">
        <f>IF(C853="common",100,IF(C853="Uncommon",300,IF(C853="Rare",700,IF(C853="very rare",1100,IF(C853="Legendary",2000,0)))))</f>
        <v>0</v>
      </c>
      <c r="E853" s="5">
        <f>(F853*TRUNC(3+(15-3)*(TRUNC(MOD((A853*1103515245 +12345)/ 65536, 32768),0)/32768),0))+D853+(D853/10*F853)</f>
        <v>0</v>
      </c>
      <c r="F853" s="5"/>
      <c r="G853" s="5"/>
      <c r="H853" s="5"/>
      <c r="I853" s="5"/>
      <c r="J853" s="5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spans="1:28" ht="13.2">
      <c r="A854" s="3"/>
      <c r="B854" s="50"/>
      <c r="C854" s="5"/>
      <c r="D854" s="5">
        <f>IF(C854="common",100,IF(C854="Uncommon",300,IF(C854="Rare",700,IF(C854="very rare",1100,IF(C854="Legendary",2000,0)))))</f>
        <v>0</v>
      </c>
      <c r="E854" s="5">
        <f>(F854*TRUNC(3+(15-3)*(TRUNC(MOD((A854*1103515245 +12345)/ 65536, 32768),0)/32768),0))+D854+(D854/10*F854)</f>
        <v>0</v>
      </c>
      <c r="F854" s="5"/>
      <c r="G854" s="5"/>
      <c r="H854" s="5"/>
      <c r="I854" s="5"/>
      <c r="J854" s="5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spans="1:28" ht="13.2">
      <c r="A855" s="3"/>
      <c r="B855" s="50"/>
      <c r="C855" s="5"/>
      <c r="D855" s="5">
        <f>IF(C855="common",100,IF(C855="Uncommon",300,IF(C855="Rare",700,IF(C855="very rare",1100,IF(C855="Legendary",2000,0)))))</f>
        <v>0</v>
      </c>
      <c r="E855" s="5">
        <f>(F855*TRUNC(3+(15-3)*(TRUNC(MOD((A855*1103515245 +12345)/ 65536, 32768),0)/32768),0))+D855+(D855/10*F855)</f>
        <v>0</v>
      </c>
      <c r="F855" s="5"/>
      <c r="G855" s="5"/>
      <c r="H855" s="5"/>
      <c r="I855" s="5"/>
      <c r="J855" s="5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spans="1:28" ht="13.2">
      <c r="A856" s="3"/>
      <c r="B856" s="50"/>
      <c r="C856" s="5"/>
      <c r="D856" s="5">
        <f>IF(C856="common",100,IF(C856="Uncommon",300,IF(C856="Rare",700,IF(C856="very rare",1100,IF(C856="Legendary",2000,0)))))</f>
        <v>0</v>
      </c>
      <c r="E856" s="5">
        <f>(F856*TRUNC(3+(15-3)*(TRUNC(MOD((A856*1103515245 +12345)/ 65536, 32768),0)/32768),0))+D856+(D856/10*F856)</f>
        <v>0</v>
      </c>
      <c r="F856" s="5"/>
      <c r="G856" s="5"/>
      <c r="H856" s="5"/>
      <c r="I856" s="5"/>
      <c r="J856" s="5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spans="1:28" ht="13.2">
      <c r="A857" s="3"/>
      <c r="B857" s="50"/>
      <c r="C857" s="5"/>
      <c r="D857" s="5">
        <f>IF(C857="common",100,IF(C857="Uncommon",300,IF(C857="Rare",700,IF(C857="very rare",1100,IF(C857="Legendary",2000,0)))))</f>
        <v>0</v>
      </c>
      <c r="E857" s="5">
        <f>(F857*TRUNC(3+(15-3)*(TRUNC(MOD((A857*1103515245 +12345)/ 65536, 32768),0)/32768),0))+D857+(D857/10*F857)</f>
        <v>0</v>
      </c>
      <c r="F857" s="5"/>
      <c r="G857" s="5"/>
      <c r="H857" s="5"/>
      <c r="I857" s="5"/>
      <c r="J857" s="5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spans="1:28" ht="13.2">
      <c r="A858" s="3"/>
      <c r="B858" s="50"/>
      <c r="C858" s="5"/>
      <c r="D858" s="5">
        <f>IF(C858="common",100,IF(C858="Uncommon",300,IF(C858="Rare",700,IF(C858="very rare",1100,IF(C858="Legendary",2000,0)))))</f>
        <v>0</v>
      </c>
      <c r="E858" s="5">
        <f>(F858*TRUNC(3+(15-3)*(TRUNC(MOD((A858*1103515245 +12345)/ 65536, 32768),0)/32768),0))+D858+(D858/10*F858)</f>
        <v>0</v>
      </c>
      <c r="F858" s="5"/>
      <c r="G858" s="5"/>
      <c r="H858" s="5"/>
      <c r="I858" s="5"/>
      <c r="J858" s="5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spans="1:28" ht="13.2">
      <c r="A859" s="3"/>
      <c r="B859" s="50"/>
      <c r="C859" s="5"/>
      <c r="D859" s="5">
        <f>IF(C859="common",100,IF(C859="Uncommon",300,IF(C859="Rare",700,IF(C859="very rare",1100,IF(C859="Legendary",2000,0)))))</f>
        <v>0</v>
      </c>
      <c r="E859" s="5">
        <f>(F859*TRUNC(3+(15-3)*(TRUNC(MOD((A859*1103515245 +12345)/ 65536, 32768),0)/32768),0))+D859+(D859/10*F859)</f>
        <v>0</v>
      </c>
      <c r="F859" s="5"/>
      <c r="G859" s="5"/>
      <c r="H859" s="5"/>
      <c r="I859" s="5"/>
      <c r="J859" s="5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spans="1:28" ht="13.2">
      <c r="A860" s="3"/>
      <c r="B860" s="50"/>
      <c r="C860" s="5"/>
      <c r="D860" s="5">
        <f>IF(C860="common",100,IF(C860="Uncommon",300,IF(C860="Rare",700,IF(C860="very rare",1100,IF(C860="Legendary",2000,0)))))</f>
        <v>0</v>
      </c>
      <c r="E860" s="5">
        <f>(F860*TRUNC(3+(15-3)*(TRUNC(MOD((A860*1103515245 +12345)/ 65536, 32768),0)/32768),0))+D860+(D860/10*F860)</f>
        <v>0</v>
      </c>
      <c r="F860" s="5"/>
      <c r="G860" s="5"/>
      <c r="H860" s="5"/>
      <c r="I860" s="5"/>
      <c r="J860" s="5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spans="1:28" ht="13.2">
      <c r="A861" s="3"/>
      <c r="B861" s="50"/>
      <c r="C861" s="5"/>
      <c r="D861" s="5">
        <f>IF(C861="common",100,IF(C861="Uncommon",300,IF(C861="Rare",700,IF(C861="very rare",1100,IF(C861="Legendary",2000,0)))))</f>
        <v>0</v>
      </c>
      <c r="E861" s="5">
        <f>(F861*TRUNC(3+(15-3)*(TRUNC(MOD((A861*1103515245 +12345)/ 65536, 32768),0)/32768),0))+D861+(D861/10*F861)</f>
        <v>0</v>
      </c>
      <c r="F861" s="5"/>
      <c r="G861" s="5"/>
      <c r="H861" s="5"/>
      <c r="I861" s="5"/>
      <c r="J861" s="5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spans="1:28" ht="13.2">
      <c r="A862" s="3"/>
      <c r="B862" s="50"/>
      <c r="C862" s="5"/>
      <c r="D862" s="5">
        <f>IF(C862="common",100,IF(C862="Uncommon",300,IF(C862="Rare",700,IF(C862="very rare",1100,IF(C862="Legendary",2000,0)))))</f>
        <v>0</v>
      </c>
      <c r="E862" s="5">
        <f>(F862*TRUNC(3+(15-3)*(TRUNC(MOD((A862*1103515245 +12345)/ 65536, 32768),0)/32768),0))+D862+(D862/10*F862)</f>
        <v>0</v>
      </c>
      <c r="F862" s="5"/>
      <c r="G862" s="5"/>
      <c r="H862" s="5"/>
      <c r="I862" s="5"/>
      <c r="J862" s="5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spans="1:28" ht="13.2">
      <c r="A863" s="3"/>
      <c r="B863" s="50"/>
      <c r="C863" s="5"/>
      <c r="D863" s="5">
        <f>IF(C863="common",100,IF(C863="Uncommon",300,IF(C863="Rare",700,IF(C863="very rare",1100,IF(C863="Legendary",2000,0)))))</f>
        <v>0</v>
      </c>
      <c r="E863" s="5">
        <f>(F863*TRUNC(3+(15-3)*(TRUNC(MOD((A863*1103515245 +12345)/ 65536, 32768),0)/32768),0))+D863+(D863/10*F863)</f>
        <v>0</v>
      </c>
      <c r="F863" s="5"/>
      <c r="G863" s="5"/>
      <c r="H863" s="5"/>
      <c r="I863" s="5"/>
      <c r="J863" s="5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spans="1:28" ht="13.2">
      <c r="A864" s="3"/>
      <c r="B864" s="50"/>
      <c r="C864" s="5"/>
      <c r="D864" s="5">
        <f>IF(C864="common",100,IF(C864="Uncommon",300,IF(C864="Rare",700,IF(C864="very rare",1100,IF(C864="Legendary",2000,0)))))</f>
        <v>0</v>
      </c>
      <c r="E864" s="5">
        <f>(F864*TRUNC(3+(15-3)*(TRUNC(MOD((A864*1103515245 +12345)/ 65536, 32768),0)/32768),0))+D864+(D864/10*F864)</f>
        <v>0</v>
      </c>
      <c r="F864" s="5"/>
      <c r="G864" s="5"/>
      <c r="H864" s="5"/>
      <c r="I864" s="5"/>
      <c r="J864" s="5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spans="1:28" ht="13.2">
      <c r="A865" s="3"/>
      <c r="B865" s="50"/>
      <c r="C865" s="5"/>
      <c r="D865" s="5">
        <f>IF(C865="common",100,IF(C865="Uncommon",300,IF(C865="Rare",700,IF(C865="very rare",1100,IF(C865="Legendary",2000,0)))))</f>
        <v>0</v>
      </c>
      <c r="E865" s="5">
        <f>(F865*TRUNC(3+(15-3)*(TRUNC(MOD((A865*1103515245 +12345)/ 65536, 32768),0)/32768),0))+D865+(D865/10*F865)</f>
        <v>0</v>
      </c>
      <c r="F865" s="5"/>
      <c r="G865" s="5"/>
      <c r="H865" s="5"/>
      <c r="I865" s="5"/>
      <c r="J865" s="5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spans="1:28" ht="13.2">
      <c r="A866" s="3"/>
      <c r="B866" s="50"/>
      <c r="C866" s="5"/>
      <c r="D866" s="5">
        <f>IF(C866="common",100,IF(C866="Uncommon",300,IF(C866="Rare",700,IF(C866="very rare",1100,IF(C866="Legendary",2000,0)))))</f>
        <v>0</v>
      </c>
      <c r="E866" s="5">
        <f>(F866*TRUNC(3+(15-3)*(TRUNC(MOD((A866*1103515245 +12345)/ 65536, 32768),0)/32768),0))+D866+(D866/10*F866)</f>
        <v>0</v>
      </c>
      <c r="F866" s="5"/>
      <c r="G866" s="5"/>
      <c r="H866" s="5"/>
      <c r="I866" s="5"/>
      <c r="J866" s="5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spans="1:28" ht="13.2">
      <c r="A867" s="3"/>
      <c r="B867" s="50"/>
      <c r="C867" s="5"/>
      <c r="D867" s="5">
        <f>IF(C867="common",100,IF(C867="Uncommon",300,IF(C867="Rare",700,IF(C867="very rare",1100,IF(C867="Legendary",2000,0)))))</f>
        <v>0</v>
      </c>
      <c r="E867" s="5">
        <f>(F867*TRUNC(3+(15-3)*(TRUNC(MOD((A867*1103515245 +12345)/ 65536, 32768),0)/32768),0))+D867+(D867/10*F867)</f>
        <v>0</v>
      </c>
      <c r="F867" s="5"/>
      <c r="G867" s="5"/>
      <c r="H867" s="5"/>
      <c r="I867" s="5"/>
      <c r="J867" s="5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spans="1:28" ht="13.2">
      <c r="A868" s="3"/>
      <c r="B868" s="50"/>
      <c r="C868" s="5"/>
      <c r="D868" s="5">
        <f>IF(C868="common",100,IF(C868="Uncommon",300,IF(C868="Rare",700,IF(C868="very rare",1100,IF(C868="Legendary",2000,0)))))</f>
        <v>0</v>
      </c>
      <c r="E868" s="5">
        <f>(F868*TRUNC(3+(15-3)*(TRUNC(MOD((A868*1103515245 +12345)/ 65536, 32768),0)/32768),0))+D868+(D868/10*F868)</f>
        <v>0</v>
      </c>
      <c r="F868" s="5"/>
      <c r="G868" s="5"/>
      <c r="H868" s="5"/>
      <c r="I868" s="5"/>
      <c r="J868" s="5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spans="1:28" ht="13.2">
      <c r="A869" s="3"/>
      <c r="B869" s="50"/>
      <c r="C869" s="5"/>
      <c r="D869" s="5">
        <f>IF(C869="common",100,IF(C869="Uncommon",300,IF(C869="Rare",700,IF(C869="very rare",1100,IF(C869="Legendary",2000,0)))))</f>
        <v>0</v>
      </c>
      <c r="E869" s="5">
        <f>(F869*TRUNC(3+(15-3)*(TRUNC(MOD((A869*1103515245 +12345)/ 65536, 32768),0)/32768),0))+D869+(D869/10*F869)</f>
        <v>0</v>
      </c>
      <c r="F869" s="5"/>
      <c r="G869" s="5"/>
      <c r="H869" s="5"/>
      <c r="I869" s="5"/>
      <c r="J869" s="5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spans="1:28" ht="13.2">
      <c r="A870" s="3"/>
      <c r="B870" s="50"/>
      <c r="C870" s="5"/>
      <c r="D870" s="5">
        <f>IF(C870="common",100,IF(C870="Uncommon",300,IF(C870="Rare",700,IF(C870="very rare",1100,IF(C870="Legendary",2000,0)))))</f>
        <v>0</v>
      </c>
      <c r="E870" s="5">
        <f>(F870*TRUNC(3+(15-3)*(TRUNC(MOD((A870*1103515245 +12345)/ 65536, 32768),0)/32768),0))+D870+(D870/10*F870)</f>
        <v>0</v>
      </c>
      <c r="F870" s="5"/>
      <c r="G870" s="5"/>
      <c r="H870" s="5"/>
      <c r="I870" s="5"/>
      <c r="J870" s="5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spans="1:28" ht="13.2">
      <c r="A871" s="3"/>
      <c r="B871" s="50"/>
      <c r="C871" s="5"/>
      <c r="D871" s="5">
        <f>IF(C871="common",100,IF(C871="Uncommon",300,IF(C871="Rare",700,IF(C871="very rare",1100,IF(C871="Legendary",2000,0)))))</f>
        <v>0</v>
      </c>
      <c r="E871" s="5">
        <f>(F871*TRUNC(3+(15-3)*(TRUNC(MOD((A871*1103515245 +12345)/ 65536, 32768),0)/32768),0))+D871+(D871/10*F871)</f>
        <v>0</v>
      </c>
      <c r="F871" s="5"/>
      <c r="G871" s="5"/>
      <c r="H871" s="5"/>
      <c r="I871" s="5"/>
      <c r="J871" s="5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spans="1:28" ht="13.2">
      <c r="A872" s="3"/>
      <c r="B872" s="50"/>
      <c r="C872" s="5"/>
      <c r="D872" s="5">
        <f>IF(C872="common",100,IF(C872="Uncommon",300,IF(C872="Rare",700,IF(C872="very rare",1100,IF(C872="Legendary",2000,0)))))</f>
        <v>0</v>
      </c>
      <c r="E872" s="5">
        <f>(F872*TRUNC(3+(15-3)*(TRUNC(MOD((A872*1103515245 +12345)/ 65536, 32768),0)/32768),0))+D872+(D872/10*F872)</f>
        <v>0</v>
      </c>
      <c r="F872" s="5"/>
      <c r="G872" s="5"/>
      <c r="H872" s="5"/>
      <c r="I872" s="5"/>
      <c r="J872" s="5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spans="1:28" ht="13.2">
      <c r="A873" s="3"/>
      <c r="B873" s="50"/>
      <c r="C873" s="5"/>
      <c r="D873" s="5">
        <f>IF(C873="common",100,IF(C873="Uncommon",300,IF(C873="Rare",700,IF(C873="very rare",1100,IF(C873="Legendary",2000,0)))))</f>
        <v>0</v>
      </c>
      <c r="E873" s="5">
        <f>(F873*TRUNC(3+(15-3)*(TRUNC(MOD((A873*1103515245 +12345)/ 65536, 32768),0)/32768),0))+D873+(D873/10*F873)</f>
        <v>0</v>
      </c>
      <c r="F873" s="5"/>
      <c r="G873" s="5"/>
      <c r="H873" s="5"/>
      <c r="I873" s="5"/>
      <c r="J873" s="5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spans="1:28" ht="13.2">
      <c r="A874" s="3"/>
      <c r="B874" s="50"/>
      <c r="C874" s="5"/>
      <c r="D874" s="5">
        <f>IF(C874="common",100,IF(C874="Uncommon",300,IF(C874="Rare",700,IF(C874="very rare",1100,IF(C874="Legendary",2000,0)))))</f>
        <v>0</v>
      </c>
      <c r="E874" s="5">
        <f>(F874*TRUNC(3+(15-3)*(TRUNC(MOD((A874*1103515245 +12345)/ 65536, 32768),0)/32768),0))+D874+(D874/10*F874)</f>
        <v>0</v>
      </c>
      <c r="F874" s="5"/>
      <c r="G874" s="5"/>
      <c r="H874" s="5"/>
      <c r="I874" s="5"/>
      <c r="J874" s="5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spans="1:28" ht="13.2">
      <c r="A875" s="3"/>
      <c r="B875" s="50"/>
      <c r="C875" s="5"/>
      <c r="D875" s="5">
        <f>IF(C875="common",100,IF(C875="Uncommon",300,IF(C875="Rare",700,IF(C875="very rare",1100,IF(C875="Legendary",2000,0)))))</f>
        <v>0</v>
      </c>
      <c r="E875" s="5">
        <f>(F875*TRUNC(3+(15-3)*(TRUNC(MOD((A875*1103515245 +12345)/ 65536, 32768),0)/32768),0))+D875+(D875/10*F875)</f>
        <v>0</v>
      </c>
      <c r="F875" s="5"/>
      <c r="G875" s="5"/>
      <c r="H875" s="5"/>
      <c r="I875" s="5"/>
      <c r="J875" s="5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spans="1:28" ht="13.2">
      <c r="A876" s="3"/>
      <c r="B876" s="50"/>
      <c r="C876" s="5"/>
      <c r="D876" s="5">
        <f>IF(C876="common",100,IF(C876="Uncommon",300,IF(C876="Rare",700,IF(C876="very rare",1100,IF(C876="Legendary",2000,0)))))</f>
        <v>0</v>
      </c>
      <c r="E876" s="5">
        <f>(F876*TRUNC(3+(15-3)*(TRUNC(MOD((A876*1103515245 +12345)/ 65536, 32768),0)/32768),0))+D876+(D876/10*F876)</f>
        <v>0</v>
      </c>
      <c r="F876" s="5"/>
      <c r="G876" s="5"/>
      <c r="H876" s="5"/>
      <c r="I876" s="5"/>
      <c r="J876" s="5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spans="1:28" ht="13.2">
      <c r="A877" s="3"/>
      <c r="B877" s="50"/>
      <c r="C877" s="5"/>
      <c r="D877" s="5">
        <f>IF(C877="common",100,IF(C877="Uncommon",300,IF(C877="Rare",700,IF(C877="very rare",1100,IF(C877="Legendary",2000,0)))))</f>
        <v>0</v>
      </c>
      <c r="E877" s="5">
        <f>(F877*TRUNC(3+(15-3)*(TRUNC(MOD((A877*1103515245 +12345)/ 65536, 32768),0)/32768),0))+D877+(D877/10*F877)</f>
        <v>0</v>
      </c>
      <c r="F877" s="5"/>
      <c r="G877" s="5"/>
      <c r="H877" s="5"/>
      <c r="I877" s="5"/>
      <c r="J877" s="5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spans="1:28" ht="13.2">
      <c r="A878" s="3"/>
      <c r="B878" s="50"/>
      <c r="C878" s="5"/>
      <c r="D878" s="5">
        <f>IF(C878="common",100,IF(C878="Uncommon",300,IF(C878="Rare",700,IF(C878="very rare",1100,IF(C878="Legendary",2000,0)))))</f>
        <v>0</v>
      </c>
      <c r="E878" s="5">
        <f>(F878*TRUNC(3+(15-3)*(TRUNC(MOD((A878*1103515245 +12345)/ 65536, 32768),0)/32768),0))+D878+(D878/10*F878)</f>
        <v>0</v>
      </c>
      <c r="F878" s="5"/>
      <c r="G878" s="5"/>
      <c r="H878" s="5"/>
      <c r="I878" s="5"/>
      <c r="J878" s="5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spans="1:28" ht="13.2">
      <c r="A879" s="3"/>
      <c r="B879" s="50"/>
      <c r="C879" s="5"/>
      <c r="D879" s="5">
        <f>IF(C879="common",100,IF(C879="Uncommon",300,IF(C879="Rare",700,IF(C879="very rare",1100,IF(C879="Legendary",2000,0)))))</f>
        <v>0</v>
      </c>
      <c r="E879" s="5">
        <f>(F879*TRUNC(3+(15-3)*(TRUNC(MOD((A879*1103515245 +12345)/ 65536, 32768),0)/32768),0))+D879+(D879/10*F879)</f>
        <v>0</v>
      </c>
      <c r="F879" s="5"/>
      <c r="G879" s="5"/>
      <c r="H879" s="5"/>
      <c r="I879" s="5"/>
      <c r="J879" s="5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spans="1:28" ht="13.2">
      <c r="A880" s="3"/>
      <c r="B880" s="50"/>
      <c r="C880" s="5"/>
      <c r="D880" s="5">
        <f>IF(C880="common",100,IF(C880="Uncommon",300,IF(C880="Rare",700,IF(C880="very rare",1100,IF(C880="Legendary",2000,0)))))</f>
        <v>0</v>
      </c>
      <c r="E880" s="5">
        <f>(F880*TRUNC(3+(15-3)*(TRUNC(MOD((A880*1103515245 +12345)/ 65536, 32768),0)/32768),0))+D880+(D880/10*F880)</f>
        <v>0</v>
      </c>
      <c r="F880" s="5"/>
      <c r="G880" s="5"/>
      <c r="H880" s="5"/>
      <c r="I880" s="5"/>
      <c r="J880" s="5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spans="1:28" ht="13.2">
      <c r="A881" s="3"/>
      <c r="B881" s="50"/>
      <c r="C881" s="5"/>
      <c r="D881" s="5">
        <f>IF(C881="common",100,IF(C881="Uncommon",300,IF(C881="Rare",700,IF(C881="very rare",1100,IF(C881="Legendary",2000,0)))))</f>
        <v>0</v>
      </c>
      <c r="E881" s="5">
        <f>(F881*TRUNC(3+(15-3)*(TRUNC(MOD((A881*1103515245 +12345)/ 65536, 32768),0)/32768),0))+D881+(D881/10*F881)</f>
        <v>0</v>
      </c>
      <c r="F881" s="5"/>
      <c r="G881" s="5"/>
      <c r="H881" s="5"/>
      <c r="I881" s="5"/>
      <c r="J881" s="5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spans="1:28" ht="13.2">
      <c r="A882" s="3"/>
      <c r="B882" s="50"/>
      <c r="C882" s="5"/>
      <c r="D882" s="5">
        <f>IF(C882="common",100,IF(C882="Uncommon",300,IF(C882="Rare",700,IF(C882="very rare",1100,IF(C882="Legendary",2000,0)))))</f>
        <v>0</v>
      </c>
      <c r="E882" s="5">
        <f>(F882*TRUNC(3+(15-3)*(TRUNC(MOD((A882*1103515245 +12345)/ 65536, 32768),0)/32768),0))+D882+(D882/10*F882)</f>
        <v>0</v>
      </c>
      <c r="F882" s="5"/>
      <c r="G882" s="5"/>
      <c r="H882" s="5"/>
      <c r="I882" s="5"/>
      <c r="J882" s="5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spans="1:28" ht="13.2">
      <c r="A883" s="3"/>
      <c r="B883" s="50"/>
      <c r="C883" s="5"/>
      <c r="D883" s="5">
        <f>IF(C883="common",100,IF(C883="Uncommon",300,IF(C883="Rare",700,IF(C883="very rare",1100,IF(C883="Legendary",2000,0)))))</f>
        <v>0</v>
      </c>
      <c r="E883" s="5">
        <f>(F883*TRUNC(3+(15-3)*(TRUNC(MOD((A883*1103515245 +12345)/ 65536, 32768),0)/32768),0))+D883+(D883/10*F883)</f>
        <v>0</v>
      </c>
      <c r="F883" s="5"/>
      <c r="G883" s="5"/>
      <c r="H883" s="5"/>
      <c r="I883" s="5"/>
      <c r="J883" s="5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spans="1:28" ht="13.2">
      <c r="A884" s="3"/>
      <c r="B884" s="50"/>
      <c r="C884" s="5"/>
      <c r="D884" s="5">
        <f>IF(C884="common",100,IF(C884="Uncommon",300,IF(C884="Rare",700,IF(C884="very rare",1100,IF(C884="Legendary",2000,0)))))</f>
        <v>0</v>
      </c>
      <c r="E884" s="5">
        <f>(F884*TRUNC(3+(15-3)*(TRUNC(MOD((A884*1103515245 +12345)/ 65536, 32768),0)/32768),0))+D884+(D884/10*F884)</f>
        <v>0</v>
      </c>
      <c r="F884" s="5"/>
      <c r="G884" s="5"/>
      <c r="H884" s="5"/>
      <c r="I884" s="5"/>
      <c r="J884" s="5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spans="1:28" ht="13.2">
      <c r="A885" s="3"/>
      <c r="B885" s="50"/>
      <c r="C885" s="5"/>
      <c r="D885" s="5">
        <f>IF(C885="common",100,IF(C885="Uncommon",300,IF(C885="Rare",700,IF(C885="very rare",1100,IF(C885="Legendary",2000,0)))))</f>
        <v>0</v>
      </c>
      <c r="E885" s="5">
        <f>(F885*TRUNC(3+(15-3)*(TRUNC(MOD((A885*1103515245 +12345)/ 65536, 32768),0)/32768),0))+D885+(D885/10*F885)</f>
        <v>0</v>
      </c>
      <c r="F885" s="5"/>
      <c r="G885" s="5"/>
      <c r="H885" s="5"/>
      <c r="I885" s="5"/>
      <c r="J885" s="5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spans="1:28" ht="13.2">
      <c r="A886" s="3"/>
      <c r="B886" s="50"/>
      <c r="C886" s="5"/>
      <c r="D886" s="5">
        <f>IF(C886="common",100,IF(C886="Uncommon",300,IF(C886="Rare",700,IF(C886="very rare",1100,IF(C886="Legendary",2000,0)))))</f>
        <v>0</v>
      </c>
      <c r="E886" s="5">
        <f>(F886*TRUNC(3+(15-3)*(TRUNC(MOD((A886*1103515245 +12345)/ 65536, 32768),0)/32768),0))+D886+(D886/10*F886)</f>
        <v>0</v>
      </c>
      <c r="F886" s="5"/>
      <c r="G886" s="5"/>
      <c r="H886" s="5"/>
      <c r="I886" s="5"/>
      <c r="J886" s="5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spans="1:28" ht="13.2">
      <c r="A887" s="3"/>
      <c r="B887" s="50"/>
      <c r="C887" s="5"/>
      <c r="D887" s="5">
        <f>IF(C887="common",100,IF(C887="Uncommon",300,IF(C887="Rare",700,IF(C887="very rare",1100,IF(C887="Legendary",2000,0)))))</f>
        <v>0</v>
      </c>
      <c r="E887" s="5">
        <f>(F887*TRUNC(3+(15-3)*(TRUNC(MOD((A887*1103515245 +12345)/ 65536, 32768),0)/32768),0))+D887+(D887/10*F887)</f>
        <v>0</v>
      </c>
      <c r="F887" s="5"/>
      <c r="G887" s="5"/>
      <c r="H887" s="5"/>
      <c r="I887" s="5"/>
      <c r="J887" s="5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spans="1:28" ht="13.2">
      <c r="A888" s="3"/>
      <c r="B888" s="50"/>
      <c r="C888" s="5"/>
      <c r="D888" s="5">
        <f>IF(C888="common",100,IF(C888="Uncommon",300,IF(C888="Rare",700,IF(C888="very rare",1100,IF(C888="Legendary",2000,0)))))</f>
        <v>0</v>
      </c>
      <c r="E888" s="5">
        <f>(F888*TRUNC(3+(15-3)*(TRUNC(MOD((A888*1103515245 +12345)/ 65536, 32768),0)/32768),0))+D888+(D888/10*F888)</f>
        <v>0</v>
      </c>
      <c r="F888" s="5"/>
      <c r="G888" s="5"/>
      <c r="H888" s="5"/>
      <c r="I888" s="5"/>
      <c r="J888" s="5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spans="1:28" ht="13.2">
      <c r="A889" s="3"/>
      <c r="B889" s="50"/>
      <c r="C889" s="5"/>
      <c r="D889" s="5">
        <f>IF(C889="common",100,IF(C889="Uncommon",300,IF(C889="Rare",700,IF(C889="very rare",1100,IF(C889="Legendary",2000,0)))))</f>
        <v>0</v>
      </c>
      <c r="E889" s="5">
        <f>(F889*TRUNC(3+(15-3)*(TRUNC(MOD((A889*1103515245 +12345)/ 65536, 32768),0)/32768),0))+D889+(D889/10*F889)</f>
        <v>0</v>
      </c>
      <c r="F889" s="5"/>
      <c r="G889" s="5"/>
      <c r="H889" s="5"/>
      <c r="I889" s="5"/>
      <c r="J889" s="5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spans="1:28" ht="13.2">
      <c r="A890" s="3"/>
      <c r="B890" s="50"/>
      <c r="C890" s="5"/>
      <c r="D890" s="5">
        <f>IF(C890="common",100,IF(C890="Uncommon",300,IF(C890="Rare",700,IF(C890="very rare",1100,IF(C890="Legendary",2000,0)))))</f>
        <v>0</v>
      </c>
      <c r="E890" s="5">
        <f>(F890*TRUNC(3+(15-3)*(TRUNC(MOD((A890*1103515245 +12345)/ 65536, 32768),0)/32768),0))+D890+(D890/10*F890)</f>
        <v>0</v>
      </c>
      <c r="F890" s="5"/>
      <c r="G890" s="5"/>
      <c r="H890" s="5"/>
      <c r="I890" s="5"/>
      <c r="J890" s="5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spans="1:28" ht="13.2">
      <c r="A891" s="3"/>
      <c r="B891" s="50"/>
      <c r="C891" s="5"/>
      <c r="D891" s="5">
        <f>IF(C891="common",100,IF(C891="Uncommon",300,IF(C891="Rare",700,IF(C891="very rare",1100,IF(C891="Legendary",2000,0)))))</f>
        <v>0</v>
      </c>
      <c r="E891" s="5">
        <f>(F891*TRUNC(3+(15-3)*(TRUNC(MOD((A891*1103515245 +12345)/ 65536, 32768),0)/32768),0))+D891+(D891/10*F891)</f>
        <v>0</v>
      </c>
      <c r="F891" s="5"/>
      <c r="G891" s="5"/>
      <c r="H891" s="5"/>
      <c r="I891" s="5"/>
      <c r="J891" s="5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spans="1:28" ht="13.2">
      <c r="A892" s="3"/>
      <c r="B892" s="50"/>
      <c r="C892" s="5"/>
      <c r="D892" s="5">
        <f>IF(C892="common",100,IF(C892="Uncommon",300,IF(C892="Rare",700,IF(C892="very rare",1100,IF(C892="Legendary",2000,0)))))</f>
        <v>0</v>
      </c>
      <c r="E892" s="5">
        <f>(F892*TRUNC(3+(15-3)*(TRUNC(MOD((A892*1103515245 +12345)/ 65536, 32768),0)/32768),0))+D892+(D892/10*F892)</f>
        <v>0</v>
      </c>
      <c r="F892" s="5"/>
      <c r="G892" s="5"/>
      <c r="H892" s="5"/>
      <c r="I892" s="5"/>
      <c r="J892" s="5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spans="1:28" ht="13.2">
      <c r="A893" s="3"/>
      <c r="B893" s="50"/>
      <c r="C893" s="5"/>
      <c r="D893" s="5">
        <f>IF(C893="common",100,IF(C893="Uncommon",300,IF(C893="Rare",700,IF(C893="very rare",1100,IF(C893="Legendary",2000,0)))))</f>
        <v>0</v>
      </c>
      <c r="E893" s="5">
        <f>(F893*TRUNC(3+(15-3)*(TRUNC(MOD((A893*1103515245 +12345)/ 65536, 32768),0)/32768),0))+D893+(D893/10*F893)</f>
        <v>0</v>
      </c>
      <c r="F893" s="5"/>
      <c r="G893" s="5"/>
      <c r="H893" s="5"/>
      <c r="I893" s="5"/>
      <c r="J893" s="5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spans="1:28" ht="13.2">
      <c r="A894" s="3"/>
      <c r="B894" s="50"/>
      <c r="C894" s="5"/>
      <c r="D894" s="5">
        <f>IF(C894="common",100,IF(C894="Uncommon",300,IF(C894="Rare",700,IF(C894="very rare",1100,IF(C894="Legendary",2000,0)))))</f>
        <v>0</v>
      </c>
      <c r="E894" s="5">
        <f>(F894*TRUNC(3+(15-3)*(TRUNC(MOD((A894*1103515245 +12345)/ 65536, 32768),0)/32768),0))+D894+(D894/10*F894)</f>
        <v>0</v>
      </c>
      <c r="F894" s="5"/>
      <c r="G894" s="5"/>
      <c r="H894" s="5"/>
      <c r="I894" s="5"/>
      <c r="J894" s="5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spans="1:28" ht="13.2">
      <c r="A895" s="3"/>
      <c r="B895" s="50"/>
      <c r="C895" s="5"/>
      <c r="D895" s="5">
        <f>IF(C895="common",100,IF(C895="Uncommon",300,IF(C895="Rare",700,IF(C895="very rare",1100,IF(C895="Legendary",2000,0)))))</f>
        <v>0</v>
      </c>
      <c r="E895" s="5">
        <f>(F895*TRUNC(3+(15-3)*(TRUNC(MOD((A895*1103515245 +12345)/ 65536, 32768),0)/32768),0))+D895+(D895/10*F895)</f>
        <v>0</v>
      </c>
      <c r="F895" s="5"/>
      <c r="G895" s="5"/>
      <c r="H895" s="5"/>
      <c r="I895" s="5"/>
      <c r="J895" s="5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spans="1:28" ht="13.2">
      <c r="A896" s="3"/>
      <c r="B896" s="50"/>
      <c r="C896" s="5"/>
      <c r="D896" s="5">
        <f>IF(C896="common",100,IF(C896="Uncommon",300,IF(C896="Rare",700,IF(C896="very rare",1100,IF(C896="Legendary",2000,0)))))</f>
        <v>0</v>
      </c>
      <c r="E896" s="5">
        <f>(F896*TRUNC(3+(15-3)*(TRUNC(MOD((A896*1103515245 +12345)/ 65536, 32768),0)/32768),0))+D896+(D896/10*F896)</f>
        <v>0</v>
      </c>
      <c r="F896" s="5"/>
      <c r="G896" s="5"/>
      <c r="H896" s="5"/>
      <c r="I896" s="5"/>
      <c r="J896" s="5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spans="1:28" ht="13.2">
      <c r="A897" s="3"/>
      <c r="B897" s="50"/>
      <c r="C897" s="5"/>
      <c r="D897" s="5">
        <f>IF(C897="common",100,IF(C897="Uncommon",300,IF(C897="Rare",700,IF(C897="very rare",1100,IF(C897="Legendary",2000,0)))))</f>
        <v>0</v>
      </c>
      <c r="E897" s="5">
        <f>(F897*TRUNC(3+(15-3)*(TRUNC(MOD((A897*1103515245 +12345)/ 65536, 32768),0)/32768),0))+D897+(D897/10*F897)</f>
        <v>0</v>
      </c>
      <c r="F897" s="5"/>
      <c r="G897" s="5"/>
      <c r="H897" s="5"/>
      <c r="I897" s="5"/>
      <c r="J897" s="5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spans="1:28" ht="13.2">
      <c r="A898" s="3"/>
      <c r="B898" s="50"/>
      <c r="C898" s="5"/>
      <c r="D898" s="5">
        <f>IF(C898="common",100,IF(C898="Uncommon",300,IF(C898="Rare",700,IF(C898="very rare",1100,IF(C898="Legendary",2000,0)))))</f>
        <v>0</v>
      </c>
      <c r="E898" s="5">
        <f>(F898*TRUNC(3+(15-3)*(TRUNC(MOD((A898*1103515245 +12345)/ 65536, 32768),0)/32768),0))+D898+(D898/10*F898)</f>
        <v>0</v>
      </c>
      <c r="F898" s="5"/>
      <c r="G898" s="5"/>
      <c r="H898" s="5"/>
      <c r="I898" s="5"/>
      <c r="J898" s="5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spans="1:28" ht="13.2">
      <c r="A899" s="3"/>
      <c r="B899" s="50"/>
      <c r="C899" s="5"/>
      <c r="D899" s="5">
        <f>IF(C899="common",100,IF(C899="Uncommon",300,IF(C899="Rare",700,IF(C899="very rare",1100,IF(C899="Legendary",2000,0)))))</f>
        <v>0</v>
      </c>
      <c r="E899" s="5">
        <f>(F899*TRUNC(3+(15-3)*(TRUNC(MOD((A899*1103515245 +12345)/ 65536, 32768),0)/32768),0))+D899+(D899/10*F899)</f>
        <v>0</v>
      </c>
      <c r="F899" s="5"/>
      <c r="G899" s="5"/>
      <c r="H899" s="5"/>
      <c r="I899" s="5"/>
      <c r="J899" s="5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spans="1:28" ht="13.2">
      <c r="A900" s="3"/>
      <c r="B900" s="50"/>
      <c r="C900" s="5"/>
      <c r="D900" s="5">
        <f>IF(C900="common",100,IF(C900="Uncommon",300,IF(C900="Rare",700,IF(C900="very rare",1100,IF(C900="Legendary",2000,0)))))</f>
        <v>0</v>
      </c>
      <c r="E900" s="5">
        <f>(F900*TRUNC(3+(15-3)*(TRUNC(MOD((A900*1103515245 +12345)/ 65536, 32768),0)/32768),0))+D900+(D900/10*F900)</f>
        <v>0</v>
      </c>
      <c r="F900" s="5"/>
      <c r="G900" s="5"/>
      <c r="H900" s="5"/>
      <c r="I900" s="5"/>
      <c r="J900" s="5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spans="1:28" ht="13.2">
      <c r="A901" s="3"/>
      <c r="B901" s="50"/>
      <c r="C901" s="5"/>
      <c r="D901" s="5">
        <f>IF(C901="common",100,IF(C901="Uncommon",300,IF(C901="Rare",700,IF(C901="very rare",1100,IF(C901="Legendary",2000,0)))))</f>
        <v>0</v>
      </c>
      <c r="E901" s="5">
        <f>(F901*TRUNC(3+(15-3)*(TRUNC(MOD((A901*1103515245 +12345)/ 65536, 32768),0)/32768),0))+D901+(D901/10*F901)</f>
        <v>0</v>
      </c>
      <c r="F901" s="5"/>
      <c r="G901" s="5"/>
      <c r="H901" s="5"/>
      <c r="I901" s="5"/>
      <c r="J901" s="5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spans="1:28" ht="13.2">
      <c r="A902" s="3"/>
      <c r="B902" s="50"/>
      <c r="C902" s="5"/>
      <c r="D902" s="5">
        <f>IF(C902="common",100,IF(C902="Uncommon",300,IF(C902="Rare",700,IF(C902="very rare",1100,IF(C902="Legendary",2000,0)))))</f>
        <v>0</v>
      </c>
      <c r="E902" s="5">
        <f>(F902*TRUNC(3+(15-3)*(TRUNC(MOD((A902*1103515245 +12345)/ 65536, 32768),0)/32768),0))+D902+(D902/10*F902)</f>
        <v>0</v>
      </c>
      <c r="F902" s="5"/>
      <c r="G902" s="5"/>
      <c r="H902" s="5"/>
      <c r="I902" s="5"/>
      <c r="J902" s="5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spans="1:28" ht="13.2">
      <c r="A903" s="3"/>
      <c r="B903" s="50"/>
      <c r="C903" s="5"/>
      <c r="D903" s="5">
        <f>IF(C903="common",100,IF(C903="Uncommon",300,IF(C903="Rare",700,IF(C903="very rare",1100,IF(C903="Legendary",2000,0)))))</f>
        <v>0</v>
      </c>
      <c r="E903" s="5">
        <f>(F903*TRUNC(3+(15-3)*(TRUNC(MOD((A903*1103515245 +12345)/ 65536, 32768),0)/32768),0))+D903+(D903/10*F903)</f>
        <v>0</v>
      </c>
      <c r="F903" s="5"/>
      <c r="G903" s="5"/>
      <c r="H903" s="5"/>
      <c r="I903" s="5"/>
      <c r="J903" s="5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spans="1:28" ht="13.2">
      <c r="A904" s="3"/>
      <c r="B904" s="50"/>
      <c r="C904" s="5"/>
      <c r="D904" s="5">
        <f>IF(C904="common",100,IF(C904="Uncommon",300,IF(C904="Rare",700,IF(C904="very rare",1100,IF(C904="Legendary",2000,0)))))</f>
        <v>0</v>
      </c>
      <c r="E904" s="5">
        <f>(F904*TRUNC(3+(15-3)*(TRUNC(MOD((A904*1103515245 +12345)/ 65536, 32768),0)/32768),0))+D904+(D904/10*F904)</f>
        <v>0</v>
      </c>
      <c r="F904" s="5"/>
      <c r="G904" s="5"/>
      <c r="H904" s="5"/>
      <c r="I904" s="5"/>
      <c r="J904" s="5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spans="1:28" ht="13.2">
      <c r="A905" s="3"/>
      <c r="B905" s="50"/>
      <c r="C905" s="5"/>
      <c r="D905" s="5">
        <f>IF(C905="common",100,IF(C905="Uncommon",300,IF(C905="Rare",700,IF(C905="very rare",1100,IF(C905="Legendary",2000,0)))))</f>
        <v>0</v>
      </c>
      <c r="E905" s="5">
        <f>(F905*TRUNC(3+(15-3)*(TRUNC(MOD((A905*1103515245 +12345)/ 65536, 32768),0)/32768),0))+D905+(D905/10*F905)</f>
        <v>0</v>
      </c>
      <c r="F905" s="5"/>
      <c r="G905" s="5"/>
      <c r="H905" s="5"/>
      <c r="I905" s="5"/>
      <c r="J905" s="5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spans="1:28" ht="13.2">
      <c r="A906" s="3"/>
      <c r="B906" s="50"/>
      <c r="C906" s="5"/>
      <c r="D906" s="5">
        <f>IF(C906="common",100,IF(C906="Uncommon",300,IF(C906="Rare",700,IF(C906="very rare",1100,IF(C906="Legendary",2000,0)))))</f>
        <v>0</v>
      </c>
      <c r="E906" s="5">
        <f>(F906*TRUNC(3+(15-3)*(TRUNC(MOD((A906*1103515245 +12345)/ 65536, 32768),0)/32768),0))+D906+(D906/10*F906)</f>
        <v>0</v>
      </c>
      <c r="F906" s="5"/>
      <c r="G906" s="5"/>
      <c r="H906" s="5"/>
      <c r="I906" s="5"/>
      <c r="J906" s="5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spans="1:28" ht="13.2">
      <c r="A907" s="3"/>
      <c r="B907" s="50"/>
      <c r="C907" s="5"/>
      <c r="D907" s="5">
        <f>IF(C907="common",100,IF(C907="Uncommon",300,IF(C907="Rare",700,IF(C907="very rare",1100,IF(C907="Legendary",2000,0)))))</f>
        <v>0</v>
      </c>
      <c r="E907" s="5">
        <f>(F907*TRUNC(3+(15-3)*(TRUNC(MOD((A907*1103515245 +12345)/ 65536, 32768),0)/32768),0))+D907+(D907/10*F907)</f>
        <v>0</v>
      </c>
      <c r="F907" s="5"/>
      <c r="G907" s="5"/>
      <c r="H907" s="5"/>
      <c r="I907" s="5"/>
      <c r="J907" s="5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spans="1:28" ht="13.2">
      <c r="A908" s="3"/>
      <c r="B908" s="50"/>
      <c r="C908" s="5"/>
      <c r="D908" s="5">
        <f>IF(C908="common",100,IF(C908="Uncommon",300,IF(C908="Rare",700,IF(C908="very rare",1100,IF(C908="Legendary",2000,0)))))</f>
        <v>0</v>
      </c>
      <c r="E908" s="5">
        <f>(F908*TRUNC(3+(15-3)*(TRUNC(MOD((A908*1103515245 +12345)/ 65536, 32768),0)/32768),0))+D908+(D908/10*F908)</f>
        <v>0</v>
      </c>
      <c r="F908" s="5"/>
      <c r="G908" s="5"/>
      <c r="H908" s="5"/>
      <c r="I908" s="5"/>
      <c r="J908" s="5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spans="1:28" ht="13.2">
      <c r="A909" s="3"/>
      <c r="B909" s="50"/>
      <c r="C909" s="5"/>
      <c r="D909" s="5">
        <f>IF(C909="common",100,IF(C909="Uncommon",300,IF(C909="Rare",700,IF(C909="very rare",1100,IF(C909="Legendary",2000,0)))))</f>
        <v>0</v>
      </c>
      <c r="E909" s="5">
        <f>(F909*TRUNC(3+(15-3)*(TRUNC(MOD((A909*1103515245 +12345)/ 65536, 32768),0)/32768),0))+D909+(D909/10*F909)</f>
        <v>0</v>
      </c>
      <c r="F909" s="5"/>
      <c r="G909" s="5"/>
      <c r="H909" s="5"/>
      <c r="I909" s="5"/>
      <c r="J909" s="5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spans="1:28" ht="13.2">
      <c r="A910" s="3"/>
      <c r="B910" s="50"/>
      <c r="C910" s="5"/>
      <c r="D910" s="5">
        <f>IF(C910="common",100,IF(C910="Uncommon",300,IF(C910="Rare",700,IF(C910="very rare",1100,IF(C910="Legendary",2000,0)))))</f>
        <v>0</v>
      </c>
      <c r="E910" s="5">
        <f>(F910*TRUNC(3+(15-3)*(TRUNC(MOD((A910*1103515245 +12345)/ 65536, 32768),0)/32768),0))+D910+(D910/10*F910)</f>
        <v>0</v>
      </c>
      <c r="F910" s="5"/>
      <c r="G910" s="5"/>
      <c r="H910" s="5"/>
      <c r="I910" s="5"/>
      <c r="J910" s="5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spans="1:28" ht="13.2">
      <c r="A911" s="3"/>
      <c r="B911" s="50"/>
      <c r="C911" s="5"/>
      <c r="D911" s="5">
        <f>IF(C911="common",100,IF(C911="Uncommon",300,IF(C911="Rare",700,IF(C911="very rare",1100,IF(C911="Legendary",2000,0)))))</f>
        <v>0</v>
      </c>
      <c r="E911" s="5">
        <f>(F911*TRUNC(3+(15-3)*(TRUNC(MOD((A911*1103515245 +12345)/ 65536, 32768),0)/32768),0))+D911+(D911/10*F911)</f>
        <v>0</v>
      </c>
      <c r="F911" s="5"/>
      <c r="G911" s="5"/>
      <c r="H911" s="5"/>
      <c r="I911" s="5"/>
      <c r="J911" s="5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spans="1:28" ht="13.2">
      <c r="A912" s="3"/>
      <c r="B912" s="50"/>
      <c r="C912" s="5"/>
      <c r="D912" s="5">
        <f>IF(C912="common",100,IF(C912="Uncommon",300,IF(C912="Rare",700,IF(C912="very rare",1100,IF(C912="Legendary",2000,0)))))</f>
        <v>0</v>
      </c>
      <c r="E912" s="5">
        <f>(F912*TRUNC(3+(15-3)*(TRUNC(MOD((A912*1103515245 +12345)/ 65536, 32768),0)/32768),0))+D912+(D912/10*F912)</f>
        <v>0</v>
      </c>
      <c r="F912" s="5"/>
      <c r="G912" s="5"/>
      <c r="H912" s="5"/>
      <c r="I912" s="5"/>
      <c r="J912" s="5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spans="1:28" ht="13.2">
      <c r="A913" s="3"/>
      <c r="B913" s="50"/>
      <c r="C913" s="5"/>
      <c r="D913" s="5">
        <f>IF(C913="common",100,IF(C913="Uncommon",300,IF(C913="Rare",700,IF(C913="very rare",1100,IF(C913="Legendary",2000,0)))))</f>
        <v>0</v>
      </c>
      <c r="E913" s="5">
        <f>(F913*TRUNC(3+(15-3)*(TRUNC(MOD((A913*1103515245 +12345)/ 65536, 32768),0)/32768),0))+D913+(D913/10*F913)</f>
        <v>0</v>
      </c>
      <c r="F913" s="5"/>
      <c r="G913" s="5"/>
      <c r="H913" s="5"/>
      <c r="I913" s="5"/>
      <c r="J913" s="5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spans="1:28" ht="13.2">
      <c r="A914" s="3"/>
      <c r="B914" s="50"/>
      <c r="C914" s="5"/>
      <c r="D914" s="5">
        <f>IF(C914="common",100,IF(C914="Uncommon",300,IF(C914="Rare",700,IF(C914="very rare",1100,IF(C914="Legendary",2000,0)))))</f>
        <v>0</v>
      </c>
      <c r="E914" s="5">
        <f>(F914*TRUNC(3+(15-3)*(TRUNC(MOD((A914*1103515245 +12345)/ 65536, 32768),0)/32768),0))+D914+(D914/10*F914)</f>
        <v>0</v>
      </c>
      <c r="F914" s="5"/>
      <c r="G914" s="5"/>
      <c r="H914" s="5"/>
      <c r="I914" s="5"/>
      <c r="J914" s="5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spans="1:28" ht="13.2">
      <c r="A915" s="3"/>
      <c r="B915" s="50"/>
      <c r="C915" s="5"/>
      <c r="D915" s="5">
        <f>IF(C915="common",100,IF(C915="Uncommon",300,IF(C915="Rare",700,IF(C915="very rare",1100,IF(C915="Legendary",2000,0)))))</f>
        <v>0</v>
      </c>
      <c r="E915" s="5">
        <f>(F915*TRUNC(3+(15-3)*(TRUNC(MOD((A915*1103515245 +12345)/ 65536, 32768),0)/32768),0))+D915+(D915/10*F915)</f>
        <v>0</v>
      </c>
      <c r="F915" s="5"/>
      <c r="G915" s="5"/>
      <c r="H915" s="5"/>
      <c r="I915" s="5"/>
      <c r="J915" s="5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spans="1:28" ht="13.2">
      <c r="A916" s="3"/>
      <c r="B916" s="50"/>
      <c r="C916" s="5"/>
      <c r="D916" s="5">
        <f>IF(C916="common",100,IF(C916="Uncommon",300,IF(C916="Rare",700,IF(C916="very rare",1100,IF(C916="Legendary",2000,0)))))</f>
        <v>0</v>
      </c>
      <c r="E916" s="5">
        <f>(F916*TRUNC(3+(15-3)*(TRUNC(MOD((A916*1103515245 +12345)/ 65536, 32768),0)/32768),0))+D916+(D916/10*F916)</f>
        <v>0</v>
      </c>
      <c r="F916" s="5"/>
      <c r="G916" s="5"/>
      <c r="H916" s="5"/>
      <c r="I916" s="5"/>
      <c r="J916" s="5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spans="1:28" ht="13.2">
      <c r="A917" s="3"/>
      <c r="B917" s="50"/>
      <c r="C917" s="5"/>
      <c r="D917" s="5">
        <f>IF(C917="common",100,IF(C917="Uncommon",300,IF(C917="Rare",700,IF(C917="very rare",1100,IF(C917="Legendary",2000,0)))))</f>
        <v>0</v>
      </c>
      <c r="E917" s="5">
        <f>(F917*TRUNC(3+(15-3)*(TRUNC(MOD((A917*1103515245 +12345)/ 65536, 32768),0)/32768),0))+D917+(D917/10*F917)</f>
        <v>0</v>
      </c>
      <c r="F917" s="5"/>
      <c r="G917" s="5"/>
      <c r="H917" s="5"/>
      <c r="I917" s="5"/>
      <c r="J917" s="5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spans="1:28" ht="13.2">
      <c r="A918" s="3"/>
      <c r="B918" s="50"/>
      <c r="C918" s="5"/>
      <c r="D918" s="5">
        <f>IF(C918="common",100,IF(C918="Uncommon",300,IF(C918="Rare",700,IF(C918="very rare",1100,IF(C918="Legendary",2000,0)))))</f>
        <v>0</v>
      </c>
      <c r="E918" s="5">
        <f>(F918*TRUNC(3+(15-3)*(TRUNC(MOD((A918*1103515245 +12345)/ 65536, 32768),0)/32768),0))+D918+(D918/10*F918)</f>
        <v>0</v>
      </c>
      <c r="F918" s="5"/>
      <c r="G918" s="5"/>
      <c r="H918" s="5"/>
      <c r="I918" s="5"/>
      <c r="J918" s="5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spans="1:28" ht="13.2">
      <c r="A919" s="3"/>
      <c r="B919" s="50"/>
      <c r="C919" s="5"/>
      <c r="D919" s="5">
        <f>IF(C919="common",100,IF(C919="Uncommon",300,IF(C919="Rare",700,IF(C919="very rare",1100,IF(C919="Legendary",2000,0)))))</f>
        <v>0</v>
      </c>
      <c r="E919" s="5">
        <f>(F919*TRUNC(3+(15-3)*(TRUNC(MOD((A919*1103515245 +12345)/ 65536, 32768),0)/32768),0))+D919+(D919/10*F919)</f>
        <v>0</v>
      </c>
      <c r="F919" s="5"/>
      <c r="G919" s="5"/>
      <c r="H919" s="5"/>
      <c r="I919" s="5"/>
      <c r="J919" s="5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spans="1:28" ht="13.2">
      <c r="A920" s="3"/>
      <c r="B920" s="50"/>
      <c r="C920" s="5"/>
      <c r="D920" s="5">
        <f>IF(C920="common",100,IF(C920="Uncommon",300,IF(C920="Rare",700,IF(C920="very rare",1100,IF(C920="Legendary",2000,0)))))</f>
        <v>0</v>
      </c>
      <c r="E920" s="5">
        <f>(F920*TRUNC(3+(15-3)*(TRUNC(MOD((A920*1103515245 +12345)/ 65536, 32768),0)/32768),0))+D920+(D920/10*F920)</f>
        <v>0</v>
      </c>
      <c r="F920" s="5"/>
      <c r="G920" s="5"/>
      <c r="H920" s="5"/>
      <c r="I920" s="5"/>
      <c r="J920" s="5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spans="1:28" ht="13.2">
      <c r="A921" s="3"/>
      <c r="B921" s="50"/>
      <c r="C921" s="5"/>
      <c r="D921" s="5">
        <f>IF(C921="common",100,IF(C921="Uncommon",300,IF(C921="Rare",700,IF(C921="very rare",1100,IF(C921="Legendary",2000,0)))))</f>
        <v>0</v>
      </c>
      <c r="E921" s="5">
        <f>(F921*TRUNC(3+(15-3)*(TRUNC(MOD((A921*1103515245 +12345)/ 65536, 32768),0)/32768),0))+D921+(D921/10*F921)</f>
        <v>0</v>
      </c>
      <c r="F921" s="5"/>
      <c r="G921" s="5"/>
      <c r="H921" s="5"/>
      <c r="I921" s="5"/>
      <c r="J921" s="5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spans="1:28" ht="13.2">
      <c r="A922" s="3"/>
      <c r="B922" s="50"/>
      <c r="C922" s="5"/>
      <c r="D922" s="5">
        <f>IF(C922="common",100,IF(C922="Uncommon",300,IF(C922="Rare",700,IF(C922="very rare",1100,IF(C922="Legendary",2000,0)))))</f>
        <v>0</v>
      </c>
      <c r="E922" s="5">
        <f>(F922*TRUNC(3+(15-3)*(TRUNC(MOD((A922*1103515245 +12345)/ 65536, 32768),0)/32768),0))+D922+(D922/10*F922)</f>
        <v>0</v>
      </c>
      <c r="F922" s="5"/>
      <c r="G922" s="5"/>
      <c r="H922" s="5"/>
      <c r="I922" s="5"/>
      <c r="J922" s="5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spans="1:28" ht="13.2">
      <c r="A923" s="3"/>
      <c r="B923" s="50"/>
      <c r="C923" s="5"/>
      <c r="D923" s="5">
        <f>IF(C923="common",100,IF(C923="Uncommon",300,IF(C923="Rare",700,IF(C923="very rare",1100,IF(C923="Legendary",2000,0)))))</f>
        <v>0</v>
      </c>
      <c r="E923" s="5">
        <f>(F923*TRUNC(3+(15-3)*(TRUNC(MOD((A923*1103515245 +12345)/ 65536, 32768),0)/32768),0))+D923+(D923/10*F923)</f>
        <v>0</v>
      </c>
      <c r="F923" s="5"/>
      <c r="G923" s="5"/>
      <c r="H923" s="5"/>
      <c r="I923" s="5"/>
      <c r="J923" s="5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spans="1:28" ht="13.2">
      <c r="A924" s="3"/>
      <c r="B924" s="50"/>
      <c r="C924" s="5"/>
      <c r="D924" s="5">
        <f>IF(C924="common",100,IF(C924="Uncommon",300,IF(C924="Rare",700,IF(C924="very rare",1100,IF(C924="Legendary",2000,0)))))</f>
        <v>0</v>
      </c>
      <c r="E924" s="5">
        <f>(F924*TRUNC(3+(15-3)*(TRUNC(MOD((A924*1103515245 +12345)/ 65536, 32768),0)/32768),0))+D924+(D924/10*F924)</f>
        <v>0</v>
      </c>
      <c r="F924" s="5"/>
      <c r="G924" s="5"/>
      <c r="H924" s="5"/>
      <c r="I924" s="5"/>
      <c r="J924" s="5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spans="1:28" ht="13.2">
      <c r="A925" s="3"/>
      <c r="B925" s="50"/>
      <c r="C925" s="5"/>
      <c r="D925" s="5">
        <f>IF(C925="common",100,IF(C925="Uncommon",300,IF(C925="Rare",700,IF(C925="very rare",1100,IF(C925="Legendary",2000,0)))))</f>
        <v>0</v>
      </c>
      <c r="E925" s="5">
        <f>(F925*TRUNC(3+(15-3)*(TRUNC(MOD((A925*1103515245 +12345)/ 65536, 32768),0)/32768),0))+D925+(D925/10*F925)</f>
        <v>0</v>
      </c>
      <c r="F925" s="5"/>
      <c r="G925" s="5"/>
      <c r="H925" s="5"/>
      <c r="I925" s="5"/>
      <c r="J925" s="5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spans="1:28" ht="13.2">
      <c r="A926" s="3"/>
      <c r="B926" s="50"/>
      <c r="C926" s="5"/>
      <c r="D926" s="5">
        <f>IF(C926="common",100,IF(C926="Uncommon",300,IF(C926="Rare",700,IF(C926="very rare",1100,IF(C926="Legendary",2000,0)))))</f>
        <v>0</v>
      </c>
      <c r="E926" s="5">
        <f>(F926*TRUNC(3+(15-3)*(TRUNC(MOD((A926*1103515245 +12345)/ 65536, 32768),0)/32768),0))+D926+(D926/10*F926)</f>
        <v>0</v>
      </c>
      <c r="F926" s="5"/>
      <c r="G926" s="5"/>
      <c r="H926" s="5"/>
      <c r="I926" s="5"/>
      <c r="J926" s="5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spans="1:28" ht="13.2">
      <c r="A927" s="3"/>
      <c r="B927" s="50"/>
      <c r="C927" s="5"/>
      <c r="D927" s="5">
        <f>IF(C927="common",100,IF(C927="Uncommon",300,IF(C927="Rare",700,IF(C927="very rare",1100,IF(C927="Legendary",2000,0)))))</f>
        <v>0</v>
      </c>
      <c r="E927" s="5">
        <f>(F927*TRUNC(3+(15-3)*(TRUNC(MOD((A927*1103515245 +12345)/ 65536, 32768),0)/32768),0))+D927+(D927/10*F927)</f>
        <v>0</v>
      </c>
      <c r="F927" s="5"/>
      <c r="G927" s="5"/>
      <c r="H927" s="5"/>
      <c r="I927" s="5"/>
      <c r="J927" s="5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spans="1:28" ht="13.2">
      <c r="A928" s="3"/>
      <c r="B928" s="50"/>
      <c r="C928" s="5"/>
      <c r="D928" s="5">
        <f>IF(C928="common",100,IF(C928="Uncommon",300,IF(C928="Rare",700,IF(C928="very rare",1100,IF(C928="Legendary",2000,0)))))</f>
        <v>0</v>
      </c>
      <c r="E928" s="5">
        <f>(F928*TRUNC(3+(15-3)*(TRUNC(MOD((A928*1103515245 +12345)/ 65536, 32768),0)/32768),0))+D928+(D928/10*F928)</f>
        <v>0</v>
      </c>
      <c r="F928" s="5"/>
      <c r="G928" s="5"/>
      <c r="H928" s="5"/>
      <c r="I928" s="5"/>
      <c r="J928" s="5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spans="1:28" ht="13.2">
      <c r="A929" s="3"/>
      <c r="B929" s="50"/>
      <c r="C929" s="5"/>
      <c r="D929" s="5">
        <f>IF(C929="common",100,IF(C929="Uncommon",300,IF(C929="Rare",700,IF(C929="very rare",1100,IF(C929="Legendary",2000,0)))))</f>
        <v>0</v>
      </c>
      <c r="E929" s="5">
        <f>(F929*TRUNC(3+(15-3)*(TRUNC(MOD((A929*1103515245 +12345)/ 65536, 32768),0)/32768),0))+D929+(D929/10*F929)</f>
        <v>0</v>
      </c>
      <c r="F929" s="5"/>
      <c r="G929" s="5"/>
      <c r="H929" s="5"/>
      <c r="I929" s="5"/>
      <c r="J929" s="5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spans="1:28" ht="13.2">
      <c r="A930" s="3"/>
      <c r="B930" s="50"/>
      <c r="C930" s="5"/>
      <c r="D930" s="5">
        <f>IF(C930="common",100,IF(C930="Uncommon",300,IF(C930="Rare",700,IF(C930="very rare",1100,IF(C930="Legendary",2000,0)))))</f>
        <v>0</v>
      </c>
      <c r="E930" s="5">
        <f>(F930*TRUNC(3+(15-3)*(TRUNC(MOD((A930*1103515245 +12345)/ 65536, 32768),0)/32768),0))+D930+(D930/10*F930)</f>
        <v>0</v>
      </c>
      <c r="F930" s="5"/>
      <c r="G930" s="5"/>
      <c r="H930" s="5"/>
      <c r="I930" s="5"/>
      <c r="J930" s="5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spans="1:28" ht="13.2">
      <c r="A931" s="3"/>
      <c r="B931" s="50"/>
      <c r="C931" s="5"/>
      <c r="D931" s="5">
        <f>IF(C931="common",100,IF(C931="Uncommon",300,IF(C931="Rare",700,IF(C931="very rare",1100,IF(C931="Legendary",2000,0)))))</f>
        <v>0</v>
      </c>
      <c r="E931" s="5">
        <f>(F931*TRUNC(3+(15-3)*(TRUNC(MOD((A931*1103515245 +12345)/ 65536, 32768),0)/32768),0))+D931+(D931/10*F931)</f>
        <v>0</v>
      </c>
      <c r="F931" s="5"/>
      <c r="G931" s="5"/>
      <c r="H931" s="5"/>
      <c r="I931" s="5"/>
      <c r="J931" s="5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spans="1:28" ht="13.2">
      <c r="A932" s="3"/>
      <c r="B932" s="50"/>
      <c r="C932" s="5"/>
      <c r="D932" s="5">
        <f>IF(C932="common",100,IF(C932="Uncommon",300,IF(C932="Rare",700,IF(C932="very rare",1100,IF(C932="Legendary",2000,0)))))</f>
        <v>0</v>
      </c>
      <c r="E932" s="5">
        <f>(F932*TRUNC(3+(15-3)*(TRUNC(MOD((A932*1103515245 +12345)/ 65536, 32768),0)/32768),0))+D932+(D932/10*F932)</f>
        <v>0</v>
      </c>
      <c r="F932" s="5"/>
      <c r="G932" s="5"/>
      <c r="H932" s="5"/>
      <c r="I932" s="5"/>
      <c r="J932" s="5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spans="1:28" ht="13.2">
      <c r="A933" s="3"/>
      <c r="B933" s="50"/>
      <c r="C933" s="5"/>
      <c r="D933" s="5">
        <f>IF(C933="common",100,IF(C933="Uncommon",300,IF(C933="Rare",700,IF(C933="very rare",1100,IF(C933="Legendary",2000,0)))))</f>
        <v>0</v>
      </c>
      <c r="E933" s="5">
        <f>(F933*TRUNC(3+(15-3)*(TRUNC(MOD((A933*1103515245 +12345)/ 65536, 32768),0)/32768),0))+D933+(D933/10*F933)</f>
        <v>0</v>
      </c>
      <c r="F933" s="5"/>
      <c r="G933" s="5"/>
      <c r="H933" s="5"/>
      <c r="I933" s="5"/>
      <c r="J933" s="5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spans="1:28" ht="13.2">
      <c r="A934" s="3"/>
      <c r="B934" s="50"/>
      <c r="C934" s="5"/>
      <c r="D934" s="5">
        <f>IF(C934="common",100,IF(C934="Uncommon",300,IF(C934="Rare",700,IF(C934="very rare",1100,IF(C934="Legendary",2000,0)))))</f>
        <v>0</v>
      </c>
      <c r="E934" s="5">
        <f>(F934*TRUNC(3+(15-3)*(TRUNC(MOD((A934*1103515245 +12345)/ 65536, 32768),0)/32768),0))+D934+(D934/10*F934)</f>
        <v>0</v>
      </c>
      <c r="F934" s="5"/>
      <c r="G934" s="5"/>
      <c r="H934" s="5"/>
      <c r="I934" s="5"/>
      <c r="J934" s="5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spans="1:28" ht="13.2">
      <c r="A935" s="3"/>
      <c r="B935" s="50"/>
      <c r="C935" s="5"/>
      <c r="D935" s="5">
        <f>IF(C935="common",100,IF(C935="Uncommon",300,IF(C935="Rare",700,IF(C935="very rare",1100,IF(C935="Legendary",2000,0)))))</f>
        <v>0</v>
      </c>
      <c r="E935" s="5">
        <f>(F935*TRUNC(3+(15-3)*(TRUNC(MOD((A935*1103515245 +12345)/ 65536, 32768),0)/32768),0))+D935+(D935/10*F935)</f>
        <v>0</v>
      </c>
      <c r="F935" s="5"/>
      <c r="G935" s="5"/>
      <c r="H935" s="5"/>
      <c r="I935" s="5"/>
      <c r="J935" s="5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spans="1:28" ht="13.2">
      <c r="A936" s="3"/>
      <c r="B936" s="50"/>
      <c r="C936" s="5"/>
      <c r="D936" s="5">
        <f>IF(C936="common",100,IF(C936="Uncommon",300,IF(C936="Rare",700,IF(C936="very rare",1100,IF(C936="Legendary",2000,0)))))</f>
        <v>0</v>
      </c>
      <c r="E936" s="5">
        <f>(F936*TRUNC(3+(15-3)*(TRUNC(MOD((A936*1103515245 +12345)/ 65536, 32768),0)/32768),0))+D936+(D936/10*F936)</f>
        <v>0</v>
      </c>
      <c r="F936" s="5"/>
      <c r="G936" s="5"/>
      <c r="H936" s="5"/>
      <c r="I936" s="5"/>
      <c r="J936" s="5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spans="1:28" ht="13.2">
      <c r="A937" s="3"/>
      <c r="B937" s="50"/>
      <c r="C937" s="5"/>
      <c r="D937" s="5">
        <f>IF(C937="common",100,IF(C937="Uncommon",300,IF(C937="Rare",700,IF(C937="very rare",1100,IF(C937="Legendary",2000,0)))))</f>
        <v>0</v>
      </c>
      <c r="E937" s="5">
        <f>(F937*TRUNC(3+(15-3)*(TRUNC(MOD((A937*1103515245 +12345)/ 65536, 32768),0)/32768),0))+D937+(D937/10*F937)</f>
        <v>0</v>
      </c>
      <c r="F937" s="5"/>
      <c r="G937" s="5"/>
      <c r="H937" s="5"/>
      <c r="I937" s="5"/>
      <c r="J937" s="5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spans="1:28" ht="13.2">
      <c r="A938" s="3"/>
      <c r="B938" s="50"/>
      <c r="C938" s="5"/>
      <c r="D938" s="5">
        <f>IF(C938="common",100,IF(C938="Uncommon",300,IF(C938="Rare",700,IF(C938="very rare",1100,IF(C938="Legendary",2000,0)))))</f>
        <v>0</v>
      </c>
      <c r="E938" s="5">
        <f>(F938*TRUNC(3+(15-3)*(TRUNC(MOD((A938*1103515245 +12345)/ 65536, 32768),0)/32768),0))+D938+(D938/10*F938)</f>
        <v>0</v>
      </c>
      <c r="F938" s="5"/>
      <c r="G938" s="5"/>
      <c r="H938" s="5"/>
      <c r="I938" s="5"/>
      <c r="J938" s="5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spans="1:28" ht="13.2">
      <c r="A939" s="3"/>
      <c r="B939" s="50"/>
      <c r="C939" s="5"/>
      <c r="D939" s="5">
        <f>IF(C939="common",100,IF(C939="Uncommon",300,IF(C939="Rare",700,IF(C939="very rare",1100,IF(C939="Legendary",2000,0)))))</f>
        <v>0</v>
      </c>
      <c r="E939" s="5">
        <f>(F939*TRUNC(3+(15-3)*(TRUNC(MOD((A939*1103515245 +12345)/ 65536, 32768),0)/32768),0))+D939+(D939/10*F939)</f>
        <v>0</v>
      </c>
      <c r="F939" s="5"/>
      <c r="G939" s="5"/>
      <c r="H939" s="5"/>
      <c r="I939" s="5"/>
      <c r="J939" s="5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spans="1:28" ht="13.2">
      <c r="A940" s="3"/>
      <c r="B940" s="50"/>
      <c r="C940" s="5"/>
      <c r="D940" s="5">
        <f>IF(C940="common",100,IF(C940="Uncommon",300,IF(C940="Rare",700,IF(C940="very rare",1100,IF(C940="Legendary",2000,0)))))</f>
        <v>0</v>
      </c>
      <c r="E940" s="5">
        <f>(F940*TRUNC(3+(15-3)*(TRUNC(MOD((A940*1103515245 +12345)/ 65536, 32768),0)/32768),0))+D940+(D940/10*F940)</f>
        <v>0</v>
      </c>
      <c r="F940" s="5"/>
      <c r="G940" s="5"/>
      <c r="H940" s="5"/>
      <c r="I940" s="5"/>
      <c r="J940" s="5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spans="1:28" ht="13.2">
      <c r="A941" s="3"/>
      <c r="B941" s="50"/>
      <c r="C941" s="5"/>
      <c r="D941" s="5">
        <f>IF(C941="common",100,IF(C941="Uncommon",300,IF(C941="Rare",700,IF(C941="very rare",1100,IF(C941="Legendary",2000,0)))))</f>
        <v>0</v>
      </c>
      <c r="E941" s="5">
        <f>(F941*TRUNC(3+(15-3)*(TRUNC(MOD((A941*1103515245 +12345)/ 65536, 32768),0)/32768),0))+D941+(D941/10*F941)</f>
        <v>0</v>
      </c>
      <c r="F941" s="5"/>
      <c r="G941" s="5"/>
      <c r="H941" s="5"/>
      <c r="I941" s="5"/>
      <c r="J941" s="5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spans="1:28" ht="13.2">
      <c r="A942" s="3"/>
      <c r="B942" s="50"/>
      <c r="C942" s="5"/>
      <c r="D942" s="5">
        <f>IF(C942="common",100,IF(C942="Uncommon",300,IF(C942="Rare",700,IF(C942="very rare",1100,IF(C942="Legendary",2000,0)))))</f>
        <v>0</v>
      </c>
      <c r="E942" s="5">
        <f>(F942*TRUNC(3+(15-3)*(TRUNC(MOD((A942*1103515245 +12345)/ 65536, 32768),0)/32768),0))+D942+(D942/10*F942)</f>
        <v>0</v>
      </c>
      <c r="F942" s="5"/>
      <c r="G942" s="5"/>
      <c r="H942" s="5"/>
      <c r="I942" s="5"/>
      <c r="J942" s="5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spans="1:28" ht="13.2">
      <c r="A943" s="3"/>
      <c r="B943" s="50"/>
      <c r="C943" s="5"/>
      <c r="D943" s="5">
        <f>IF(C943="common",100,IF(C943="Uncommon",300,IF(C943="Rare",700,IF(C943="very rare",1100,IF(C943="Legendary",2000,0)))))</f>
        <v>0</v>
      </c>
      <c r="E943" s="5">
        <f>(F943*TRUNC(3+(15-3)*(TRUNC(MOD((A943*1103515245 +12345)/ 65536, 32768),0)/32768),0))+D943+(D943/10*F943)</f>
        <v>0</v>
      </c>
      <c r="F943" s="5"/>
      <c r="G943" s="5"/>
      <c r="H943" s="5"/>
      <c r="I943" s="5"/>
      <c r="J943" s="5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spans="1:28" ht="13.2">
      <c r="A944" s="3"/>
      <c r="B944" s="50"/>
      <c r="C944" s="5"/>
      <c r="D944" s="5">
        <f>IF(C944="common",100,IF(C944="Uncommon",300,IF(C944="Rare",700,IF(C944="very rare",1100,IF(C944="Legendary",2000,0)))))</f>
        <v>0</v>
      </c>
      <c r="E944" s="5">
        <f>(F944*TRUNC(3+(15-3)*(TRUNC(MOD((A944*1103515245 +12345)/ 65536, 32768),0)/32768),0))+D944+(D944/10*F944)</f>
        <v>0</v>
      </c>
      <c r="F944" s="5"/>
      <c r="G944" s="5"/>
      <c r="H944" s="5"/>
      <c r="I944" s="5"/>
      <c r="J944" s="5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spans="1:28" ht="13.2">
      <c r="A945" s="3"/>
      <c r="B945" s="50"/>
      <c r="C945" s="5"/>
      <c r="D945" s="5">
        <f>IF(C945="common",100,IF(C945="Uncommon",300,IF(C945="Rare",700,IF(C945="very rare",1100,IF(C945="Legendary",2000,0)))))</f>
        <v>0</v>
      </c>
      <c r="E945" s="5">
        <f>(F945*TRUNC(3+(15-3)*(TRUNC(MOD((A945*1103515245 +12345)/ 65536, 32768),0)/32768),0))+D945+(D945/10*F945)</f>
        <v>0</v>
      </c>
      <c r="F945" s="5"/>
      <c r="G945" s="5"/>
      <c r="H945" s="5"/>
      <c r="I945" s="5"/>
      <c r="J945" s="5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spans="1:28" ht="13.2">
      <c r="A946" s="3"/>
      <c r="B946" s="50"/>
      <c r="C946" s="5"/>
      <c r="D946" s="5">
        <f>IF(C946="common",100,IF(C946="Uncommon",300,IF(C946="Rare",700,IF(C946="very rare",1100,IF(C946="Legendary",2000,0)))))</f>
        <v>0</v>
      </c>
      <c r="E946" s="5">
        <f>(F946*TRUNC(3+(15-3)*(TRUNC(MOD((A946*1103515245 +12345)/ 65536, 32768),0)/32768),0))+D946+(D946/10*F946)</f>
        <v>0</v>
      </c>
      <c r="F946" s="5"/>
      <c r="G946" s="5"/>
      <c r="H946" s="5"/>
      <c r="I946" s="5"/>
      <c r="J946" s="5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spans="1:28" ht="13.2">
      <c r="A947" s="3"/>
      <c r="B947" s="50"/>
      <c r="C947" s="5"/>
      <c r="D947" s="5">
        <f>IF(C947="common",100,IF(C947="Uncommon",300,IF(C947="Rare",700,IF(C947="very rare",1100,IF(C947="Legendary",2000,0)))))</f>
        <v>0</v>
      </c>
      <c r="E947" s="5">
        <f>(F947*TRUNC(3+(15-3)*(TRUNC(MOD((A947*1103515245 +12345)/ 65536, 32768),0)/32768),0))+D947+(D947/10*F947)</f>
        <v>0</v>
      </c>
      <c r="F947" s="5"/>
      <c r="G947" s="5"/>
      <c r="H947" s="5"/>
      <c r="I947" s="5"/>
      <c r="J947" s="5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spans="1:28" ht="13.2">
      <c r="A948" s="3"/>
      <c r="B948" s="50"/>
      <c r="C948" s="5"/>
      <c r="D948" s="5">
        <f>IF(C948="common",100,IF(C948="Uncommon",300,IF(C948="Rare",700,IF(C948="very rare",1100,IF(C948="Legendary",2000,0)))))</f>
        <v>0</v>
      </c>
      <c r="E948" s="5">
        <f>(F948*TRUNC(3+(15-3)*(TRUNC(MOD((A948*1103515245 +12345)/ 65536, 32768),0)/32768),0))+D948+(D948/10*F948)</f>
        <v>0</v>
      </c>
      <c r="F948" s="5"/>
      <c r="G948" s="5"/>
      <c r="H948" s="5"/>
      <c r="I948" s="5"/>
      <c r="J948" s="5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spans="1:28" ht="13.2">
      <c r="A949" s="3"/>
      <c r="B949" s="50"/>
      <c r="C949" s="5"/>
      <c r="D949" s="5">
        <f>IF(C949="common",100,IF(C949="Uncommon",300,IF(C949="Rare",700,IF(C949="very rare",1100,IF(C949="Legendary",2000,0)))))</f>
        <v>0</v>
      </c>
      <c r="E949" s="5">
        <f>(F949*TRUNC(3+(15-3)*(TRUNC(MOD((A949*1103515245 +12345)/ 65536, 32768),0)/32768),0))+D949+(D949/10*F949)</f>
        <v>0</v>
      </c>
      <c r="F949" s="5"/>
      <c r="G949" s="5"/>
      <c r="H949" s="5"/>
      <c r="I949" s="5"/>
      <c r="J949" s="5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spans="1:28" ht="13.2">
      <c r="A950" s="3"/>
      <c r="B950" s="50"/>
      <c r="C950" s="5"/>
      <c r="D950" s="5">
        <f>IF(C950="common",100,IF(C950="Uncommon",300,IF(C950="Rare",700,IF(C950="very rare",1100,IF(C950="Legendary",2000,0)))))</f>
        <v>0</v>
      </c>
      <c r="E950" s="5">
        <f>(F950*TRUNC(3+(15-3)*(TRUNC(MOD((A950*1103515245 +12345)/ 65536, 32768),0)/32768),0))+D950+(D950/10*F950)</f>
        <v>0</v>
      </c>
      <c r="F950" s="5"/>
      <c r="G950" s="5"/>
      <c r="H950" s="5"/>
      <c r="I950" s="5"/>
      <c r="J950" s="5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spans="1:28" ht="13.2">
      <c r="A951" s="3"/>
      <c r="B951" s="50"/>
      <c r="C951" s="5"/>
      <c r="D951" s="5">
        <f>IF(C951="common",100,IF(C951="Uncommon",300,IF(C951="Rare",700,IF(C951="very rare",1100,IF(C951="Legendary",2000,0)))))</f>
        <v>0</v>
      </c>
      <c r="E951" s="5">
        <f>(F951*TRUNC(3+(15-3)*(TRUNC(MOD((A951*1103515245 +12345)/ 65536, 32768),0)/32768),0))+D951+(D951/10*F951)</f>
        <v>0</v>
      </c>
      <c r="F951" s="5"/>
      <c r="G951" s="5"/>
      <c r="H951" s="5"/>
      <c r="I951" s="5"/>
      <c r="J951" s="5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spans="1:28" ht="13.2">
      <c r="A952" s="3"/>
      <c r="B952" s="50"/>
      <c r="C952" s="5"/>
      <c r="D952" s="5">
        <f>IF(C952="common",100,IF(C952="Uncommon",300,IF(C952="Rare",700,IF(C952="very rare",1100,IF(C952="Legendary",2000,0)))))</f>
        <v>0</v>
      </c>
      <c r="E952" s="5">
        <f>(F952*TRUNC(3+(15-3)*(TRUNC(MOD((A952*1103515245 +12345)/ 65536, 32768),0)/32768),0))+D952+(D952/10*F952)</f>
        <v>0</v>
      </c>
      <c r="F952" s="5"/>
      <c r="G952" s="5"/>
      <c r="H952" s="5"/>
      <c r="I952" s="5"/>
      <c r="J952" s="5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spans="1:28" ht="13.2">
      <c r="A953" s="3"/>
      <c r="B953" s="50"/>
      <c r="C953" s="5"/>
      <c r="D953" s="5">
        <f>IF(C953="common",100,IF(C953="Uncommon",300,IF(C953="Rare",700,IF(C953="very rare",1100,IF(C953="Legendary",2000,0)))))</f>
        <v>0</v>
      </c>
      <c r="E953" s="5">
        <f>(F953*TRUNC(3+(15-3)*(TRUNC(MOD((A953*1103515245 +12345)/ 65536, 32768),0)/32768),0))+D953+(D953/10*F953)</f>
        <v>0</v>
      </c>
      <c r="F953" s="5"/>
      <c r="G953" s="5"/>
      <c r="H953" s="5"/>
      <c r="I953" s="5"/>
      <c r="J953" s="5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spans="1:28" ht="13.2">
      <c r="A954" s="3"/>
      <c r="B954" s="50"/>
      <c r="C954" s="5"/>
      <c r="D954" s="5">
        <f>IF(C954="common",100,IF(C954="Uncommon",300,IF(C954="Rare",700,IF(C954="very rare",1100,IF(C954="Legendary",2000,0)))))</f>
        <v>0</v>
      </c>
      <c r="E954" s="5">
        <f>(F954*TRUNC(3+(15-3)*(TRUNC(MOD((A954*1103515245 +12345)/ 65536, 32768),0)/32768),0))+D954+(D954/10*F954)</f>
        <v>0</v>
      </c>
      <c r="F954" s="5"/>
      <c r="G954" s="5"/>
      <c r="H954" s="5"/>
      <c r="I954" s="5"/>
      <c r="J954" s="5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spans="1:28" ht="13.2">
      <c r="A955" s="3"/>
      <c r="B955" s="50"/>
      <c r="C955" s="5"/>
      <c r="D955" s="5">
        <f>IF(C955="common",100,IF(C955="Uncommon",300,IF(C955="Rare",700,IF(C955="very rare",1100,IF(C955="Legendary",2000,0)))))</f>
        <v>0</v>
      </c>
      <c r="E955" s="5">
        <f>(F955*TRUNC(3+(15-3)*(TRUNC(MOD((A955*1103515245 +12345)/ 65536, 32768),0)/32768),0))+D955+(D955/10*F955)</f>
        <v>0</v>
      </c>
      <c r="F955" s="5"/>
      <c r="G955" s="5"/>
      <c r="H955" s="5"/>
      <c r="I955" s="5"/>
      <c r="J955" s="5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spans="1:28" ht="13.2">
      <c r="A956" s="3"/>
      <c r="B956" s="50"/>
      <c r="C956" s="5"/>
      <c r="D956" s="5">
        <f>IF(C956="common",100,IF(C956="Uncommon",300,IF(C956="Rare",700,IF(C956="very rare",1100,IF(C956="Legendary",2000,0)))))</f>
        <v>0</v>
      </c>
      <c r="E956" s="5">
        <f>(F956*TRUNC(3+(15-3)*(TRUNC(MOD((A956*1103515245 +12345)/ 65536, 32768),0)/32768),0))+D956+(D956/10*F956)</f>
        <v>0</v>
      </c>
      <c r="F956" s="5"/>
      <c r="G956" s="5"/>
      <c r="H956" s="5"/>
      <c r="I956" s="5"/>
      <c r="J956" s="5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spans="1:28" ht="13.2">
      <c r="A957" s="3"/>
      <c r="B957" s="50"/>
      <c r="C957" s="5"/>
      <c r="D957" s="5">
        <f>IF(C957="common",100,IF(C957="Uncommon",300,IF(C957="Rare",700,IF(C957="very rare",1100,IF(C957="Legendary",2000,0)))))</f>
        <v>0</v>
      </c>
      <c r="E957" s="5">
        <f>(F957*TRUNC(3+(15-3)*(TRUNC(MOD((A957*1103515245 +12345)/ 65536, 32768),0)/32768),0))+D957+(D957/10*F957)</f>
        <v>0</v>
      </c>
      <c r="F957" s="5"/>
      <c r="G957" s="5"/>
      <c r="H957" s="5"/>
      <c r="I957" s="5"/>
      <c r="J957" s="5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spans="1:28" ht="13.2">
      <c r="A958" s="3"/>
      <c r="B958" s="50"/>
      <c r="C958" s="5"/>
      <c r="D958" s="5">
        <f>IF(C958="common",100,IF(C958="Uncommon",300,IF(C958="Rare",700,IF(C958="very rare",1100,IF(C958="Legendary",2000,0)))))</f>
        <v>0</v>
      </c>
      <c r="E958" s="5">
        <f>(F958*TRUNC(3+(15-3)*(TRUNC(MOD((A958*1103515245 +12345)/ 65536, 32768),0)/32768),0))+D958+(D958/10*F958)</f>
        <v>0</v>
      </c>
      <c r="F958" s="5"/>
      <c r="G958" s="5"/>
      <c r="H958" s="5"/>
      <c r="I958" s="5"/>
      <c r="J958" s="5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spans="1:28" ht="13.2">
      <c r="A959" s="3"/>
      <c r="B959" s="50"/>
      <c r="C959" s="5"/>
      <c r="D959" s="5">
        <f>IF(C959="common",100,IF(C959="Uncommon",300,IF(C959="Rare",700,IF(C959="very rare",1100,IF(C959="Legendary",2000,0)))))</f>
        <v>0</v>
      </c>
      <c r="E959" s="5">
        <f>(F959*TRUNC(3+(15-3)*(TRUNC(MOD((A959*1103515245 +12345)/ 65536, 32768),0)/32768),0))+D959+(D959/10*F959)</f>
        <v>0</v>
      </c>
      <c r="F959" s="5"/>
      <c r="G959" s="5"/>
      <c r="H959" s="5"/>
      <c r="I959" s="5"/>
      <c r="J959" s="5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spans="1:28" ht="13.2">
      <c r="A960" s="3"/>
      <c r="B960" s="50"/>
      <c r="C960" s="5"/>
      <c r="D960" s="5">
        <f>IF(C960="common",100,IF(C960="Uncommon",300,IF(C960="Rare",700,IF(C960="very rare",1100,IF(C960="Legendary",2000,0)))))</f>
        <v>0</v>
      </c>
      <c r="E960" s="5">
        <f>(F960*TRUNC(3+(15-3)*(TRUNC(MOD((A960*1103515245 +12345)/ 65536, 32768),0)/32768),0))+D960+(D960/10*F960)</f>
        <v>0</v>
      </c>
      <c r="F960" s="5"/>
      <c r="G960" s="5"/>
      <c r="H960" s="5"/>
      <c r="I960" s="5"/>
      <c r="J960" s="5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spans="1:28" ht="13.2">
      <c r="A961" s="3"/>
      <c r="B961" s="50"/>
      <c r="C961" s="5"/>
      <c r="D961" s="5">
        <f>IF(C961="common",100,IF(C961="Uncommon",300,IF(C961="Rare",700,IF(C961="very rare",1100,IF(C961="Legendary",2000,0)))))</f>
        <v>0</v>
      </c>
      <c r="E961" s="5">
        <f>(F961*TRUNC(3+(15-3)*(TRUNC(MOD((A961*1103515245 +12345)/ 65536, 32768),0)/32768),0))+D961+(D961/10*F961)</f>
        <v>0</v>
      </c>
      <c r="F961" s="5"/>
      <c r="G961" s="5"/>
      <c r="H961" s="5"/>
      <c r="I961" s="5"/>
      <c r="J961" s="5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spans="1:28" ht="13.2">
      <c r="A962" s="3"/>
      <c r="B962" s="50"/>
      <c r="C962" s="5"/>
      <c r="D962" s="5">
        <f>IF(C962="common",100,IF(C962="Uncommon",300,IF(C962="Rare",700,IF(C962="very rare",1100,IF(C962="Legendary",2000,0)))))</f>
        <v>0</v>
      </c>
      <c r="E962" s="5">
        <f>(F962*TRUNC(3+(15-3)*(TRUNC(MOD((A962*1103515245 +12345)/ 65536, 32768),0)/32768),0))+D962+(D962/10*F962)</f>
        <v>0</v>
      </c>
      <c r="F962" s="5"/>
      <c r="G962" s="5"/>
      <c r="H962" s="5"/>
      <c r="I962" s="5"/>
      <c r="J962" s="5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spans="1:28" ht="13.2">
      <c r="A963" s="3"/>
      <c r="B963" s="50"/>
      <c r="C963" s="5"/>
      <c r="D963" s="5">
        <f>IF(C963="common",100,IF(C963="Uncommon",300,IF(C963="Rare",700,IF(C963="very rare",1100,IF(C963="Legendary",2000,0)))))</f>
        <v>0</v>
      </c>
      <c r="E963" s="5">
        <f>(F963*TRUNC(3+(15-3)*(TRUNC(MOD((A963*1103515245 +12345)/ 65536, 32768),0)/32768),0))+D963+(D963/10*F963)</f>
        <v>0</v>
      </c>
      <c r="F963" s="5"/>
      <c r="G963" s="5"/>
      <c r="H963" s="5"/>
      <c r="I963" s="5"/>
      <c r="J963" s="5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spans="1:28" ht="13.2">
      <c r="A964" s="3"/>
      <c r="B964" s="50"/>
      <c r="C964" s="5"/>
      <c r="D964" s="5">
        <f>IF(C964="common",100,IF(C964="Uncommon",300,IF(C964="Rare",700,IF(C964="very rare",1100,IF(C964="Legendary",2000,0)))))</f>
        <v>0</v>
      </c>
      <c r="E964" s="5">
        <f>(F964*TRUNC(3+(15-3)*(TRUNC(MOD((A964*1103515245 +12345)/ 65536, 32768),0)/32768),0))+D964+(D964/10*F964)</f>
        <v>0</v>
      </c>
      <c r="F964" s="5"/>
      <c r="G964" s="5"/>
      <c r="H964" s="5"/>
      <c r="I964" s="5"/>
      <c r="J964" s="5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spans="1:28" ht="13.2">
      <c r="A965" s="3"/>
      <c r="B965" s="50"/>
      <c r="C965" s="5"/>
      <c r="D965" s="5">
        <f>IF(C965="common",100,IF(C965="Uncommon",300,IF(C965="Rare",700,IF(C965="very rare",1100,IF(C965="Legendary",2000,0)))))</f>
        <v>0</v>
      </c>
      <c r="E965" s="5">
        <f>(F965*TRUNC(3+(15-3)*(TRUNC(MOD((A965*1103515245 +12345)/ 65536, 32768),0)/32768),0))+D965+(D965/10*F965)</f>
        <v>0</v>
      </c>
      <c r="F965" s="5"/>
      <c r="G965" s="5"/>
      <c r="H965" s="5"/>
      <c r="I965" s="5"/>
      <c r="J965" s="5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spans="1:28" ht="13.2">
      <c r="A966" s="3"/>
      <c r="B966" s="50"/>
      <c r="C966" s="5"/>
      <c r="D966" s="5">
        <f>IF(C966="common",100,IF(C966="Uncommon",300,IF(C966="Rare",700,IF(C966="very rare",1100,IF(C966="Legendary",2000,0)))))</f>
        <v>0</v>
      </c>
      <c r="E966" s="5">
        <f>(F966*TRUNC(3+(15-3)*(TRUNC(MOD((A966*1103515245 +12345)/ 65536, 32768),0)/32768),0))+D966+(D966/10*F966)</f>
        <v>0</v>
      </c>
      <c r="F966" s="5"/>
      <c r="G966" s="5"/>
      <c r="H966" s="5"/>
      <c r="I966" s="5"/>
      <c r="J966" s="5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spans="1:28" ht="13.2">
      <c r="A967" s="3"/>
      <c r="B967" s="50"/>
      <c r="C967" s="5"/>
      <c r="D967" s="5">
        <f>IF(C967="common",100,IF(C967="Uncommon",300,IF(C967="Rare",700,IF(C967="very rare",1100,IF(C967="Legendary",2000,0)))))</f>
        <v>0</v>
      </c>
      <c r="E967" s="5">
        <f>(F967*TRUNC(3+(15-3)*(TRUNC(MOD((A967*1103515245 +12345)/ 65536, 32768),0)/32768),0))+D967+(D967/10*F967)</f>
        <v>0</v>
      </c>
      <c r="F967" s="5"/>
      <c r="G967" s="5"/>
      <c r="H967" s="5"/>
      <c r="I967" s="5"/>
      <c r="J967" s="5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spans="1:28" ht="13.2">
      <c r="A968" s="3"/>
      <c r="B968" s="50"/>
      <c r="C968" s="5"/>
      <c r="D968" s="5">
        <f>IF(C968="common",100,IF(C968="Uncommon",300,IF(C968="Rare",700,IF(C968="very rare",1100,IF(C968="Legendary",2000,0)))))</f>
        <v>0</v>
      </c>
      <c r="E968" s="5">
        <f>(F968*TRUNC(3+(15-3)*(TRUNC(MOD((A968*1103515245 +12345)/ 65536, 32768),0)/32768),0))+D968+(D968/10*F968)</f>
        <v>0</v>
      </c>
      <c r="F968" s="5"/>
      <c r="G968" s="5"/>
      <c r="H968" s="5"/>
      <c r="I968" s="5"/>
      <c r="J968" s="5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spans="1:28" ht="13.2">
      <c r="A969" s="3"/>
      <c r="B969" s="50"/>
      <c r="C969" s="5"/>
      <c r="D969" s="5">
        <f>IF(C969="common",100,IF(C969="Uncommon",300,IF(C969="Rare",700,IF(C969="very rare",1100,IF(C969="Legendary",2000,0)))))</f>
        <v>0</v>
      </c>
      <c r="E969" s="5">
        <f>(F969*TRUNC(3+(15-3)*(TRUNC(MOD((A969*1103515245 +12345)/ 65536, 32768),0)/32768),0))+D969+(D969/10*F969)</f>
        <v>0</v>
      </c>
      <c r="F969" s="5"/>
      <c r="G969" s="5"/>
      <c r="H969" s="5"/>
      <c r="I969" s="5"/>
      <c r="J969" s="5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spans="1:28" ht="13.2">
      <c r="A970" s="3"/>
      <c r="B970" s="50"/>
      <c r="C970" s="5"/>
      <c r="D970" s="5">
        <f>IF(C970="common",100,IF(C970="Uncommon",300,IF(C970="Rare",700,IF(C970="very rare",1100,IF(C970="Legendary",2000,0)))))</f>
        <v>0</v>
      </c>
      <c r="E970" s="5">
        <f>(F970*TRUNC(3+(15-3)*(TRUNC(MOD((A970*1103515245 +12345)/ 65536, 32768),0)/32768),0))+D970+(D970/10*F970)</f>
        <v>0</v>
      </c>
      <c r="F970" s="5"/>
      <c r="G970" s="5"/>
      <c r="H970" s="5"/>
      <c r="I970" s="5"/>
      <c r="J970" s="5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spans="1:28" ht="13.2">
      <c r="A971" s="3"/>
      <c r="B971" s="50"/>
      <c r="C971" s="5"/>
      <c r="D971" s="5">
        <f>IF(C971="common",100,IF(C971="Uncommon",300,IF(C971="Rare",700,IF(C971="very rare",1100,IF(C971="Legendary",2000,0)))))</f>
        <v>0</v>
      </c>
      <c r="E971" s="5">
        <f>(F971*TRUNC(3+(15-3)*(TRUNC(MOD((A971*1103515245 +12345)/ 65536, 32768),0)/32768),0))+D971+(D971/10*F971)</f>
        <v>0</v>
      </c>
      <c r="F971" s="5"/>
      <c r="G971" s="5"/>
      <c r="H971" s="5"/>
      <c r="I971" s="5"/>
      <c r="J971" s="5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spans="1:28" ht="13.2">
      <c r="A972" s="3"/>
      <c r="B972" s="50"/>
      <c r="C972" s="5"/>
      <c r="D972" s="5">
        <f>IF(C972="common",100,IF(C972="Uncommon",300,IF(C972="Rare",700,IF(C972="very rare",1100,IF(C972="Legendary",2000,0)))))</f>
        <v>0</v>
      </c>
      <c r="E972" s="5">
        <f>(F972*TRUNC(3+(15-3)*(TRUNC(MOD((A972*1103515245 +12345)/ 65536, 32768),0)/32768),0))+D972+(D972/10*F972)</f>
        <v>0</v>
      </c>
      <c r="F972" s="5"/>
      <c r="G972" s="5"/>
      <c r="H972" s="5"/>
      <c r="I972" s="5"/>
      <c r="J972" s="5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spans="1:28" ht="13.2">
      <c r="A973" s="3"/>
      <c r="B973" s="50"/>
      <c r="C973" s="5"/>
      <c r="D973" s="5">
        <f>IF(C973="common",100,IF(C973="Uncommon",300,IF(C973="Rare",700,IF(C973="very rare",1100,IF(C973="Legendary",2000,0)))))</f>
        <v>0</v>
      </c>
      <c r="E973" s="5">
        <f>(F973*TRUNC(3+(15-3)*(TRUNC(MOD((A973*1103515245 +12345)/ 65536, 32768),0)/32768),0))+D973+(D973/10*F973)</f>
        <v>0</v>
      </c>
      <c r="F973" s="5"/>
      <c r="G973" s="5"/>
      <c r="H973" s="5"/>
      <c r="I973" s="5"/>
      <c r="J973" s="5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spans="1:28" ht="13.2">
      <c r="A974" s="3"/>
      <c r="B974" s="50"/>
      <c r="C974" s="5"/>
      <c r="D974" s="5">
        <f>IF(C974="common",100,IF(C974="Uncommon",300,IF(C974="Rare",700,IF(C974="very rare",1100,IF(C974="Legendary",2000,0)))))</f>
        <v>0</v>
      </c>
      <c r="E974" s="5">
        <f>(F974*TRUNC(3+(15-3)*(TRUNC(MOD((A974*1103515245 +12345)/ 65536, 32768),0)/32768),0))+D974+(D974/10*F974)</f>
        <v>0</v>
      </c>
      <c r="F974" s="5"/>
      <c r="G974" s="5"/>
      <c r="H974" s="5"/>
      <c r="I974" s="5"/>
      <c r="J974" s="5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spans="1:28" ht="13.2">
      <c r="A975" s="3"/>
      <c r="B975" s="50"/>
      <c r="C975" s="5"/>
      <c r="D975" s="5">
        <f>IF(C975="common",100,IF(C975="Uncommon",300,IF(C975="Rare",700,IF(C975="very rare",1100,IF(C975="Legendary",2000,0)))))</f>
        <v>0</v>
      </c>
      <c r="E975" s="5">
        <f>(F975*TRUNC(3+(15-3)*(TRUNC(MOD((A975*1103515245 +12345)/ 65536, 32768),0)/32768),0))+D975+(D975/10*F975)</f>
        <v>0</v>
      </c>
      <c r="F975" s="5"/>
      <c r="G975" s="5"/>
      <c r="H975" s="5"/>
      <c r="I975" s="5"/>
      <c r="J975" s="5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spans="1:28" ht="13.2">
      <c r="A976" s="3"/>
      <c r="B976" s="50"/>
      <c r="C976" s="5"/>
      <c r="D976" s="5">
        <f>IF(C976="common",100,IF(C976="Uncommon",300,IF(C976="Rare",700,IF(C976="very rare",1100,IF(C976="Legendary",2000,0)))))</f>
        <v>0</v>
      </c>
      <c r="E976" s="5">
        <f>(F976*TRUNC(3+(15-3)*(TRUNC(MOD((A976*1103515245 +12345)/ 65536, 32768),0)/32768),0))+D976+(D976/10*F976)</f>
        <v>0</v>
      </c>
      <c r="F976" s="5"/>
      <c r="G976" s="5"/>
      <c r="H976" s="5"/>
      <c r="I976" s="5"/>
      <c r="J976" s="5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spans="1:28" ht="13.2">
      <c r="A977" s="3"/>
      <c r="B977" s="50"/>
      <c r="C977" s="5"/>
      <c r="D977" s="5">
        <f>IF(C977="common",100,IF(C977="Uncommon",300,IF(C977="Rare",700,IF(C977="very rare",1100,IF(C977="Legendary",2000,0)))))</f>
        <v>0</v>
      </c>
      <c r="E977" s="5">
        <f>(F977*TRUNC(3+(15-3)*(TRUNC(MOD((A977*1103515245 +12345)/ 65536, 32768),0)/32768),0))+D977+(D977/10*F977)</f>
        <v>0</v>
      </c>
      <c r="F977" s="5"/>
      <c r="G977" s="5"/>
      <c r="H977" s="5"/>
      <c r="I977" s="5"/>
      <c r="J977" s="5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spans="1:28" ht="13.2">
      <c r="A978" s="3"/>
      <c r="B978" s="50"/>
      <c r="C978" s="5"/>
      <c r="D978" s="5">
        <f>IF(C978="common",100,IF(C978="Uncommon",300,IF(C978="Rare",700,IF(C978="very rare",1100,IF(C978="Legendary",2000,0)))))</f>
        <v>0</v>
      </c>
      <c r="E978" s="5">
        <f>(F978*TRUNC(3+(15-3)*(TRUNC(MOD((A978*1103515245 +12345)/ 65536, 32768),0)/32768),0))+D978+(D978/10*F978)</f>
        <v>0</v>
      </c>
      <c r="F978" s="5"/>
      <c r="G978" s="5"/>
      <c r="H978" s="5"/>
      <c r="I978" s="5"/>
      <c r="J978" s="5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spans="1:28" ht="13.2">
      <c r="A979" s="3"/>
      <c r="B979" s="50"/>
      <c r="C979" s="5"/>
      <c r="D979" s="5">
        <f>IF(C979="common",100,IF(C979="Uncommon",300,IF(C979="Rare",700,IF(C979="very rare",1100,IF(C979="Legendary",2000,0)))))</f>
        <v>0</v>
      </c>
      <c r="E979" s="5">
        <f>(F979*TRUNC(3+(15-3)*(TRUNC(MOD((A979*1103515245 +12345)/ 65536, 32768),0)/32768),0))+D979+(D979/10*F979)</f>
        <v>0</v>
      </c>
      <c r="F979" s="5"/>
      <c r="G979" s="5"/>
      <c r="H979" s="5"/>
      <c r="I979" s="5"/>
      <c r="J979" s="5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spans="1:28" ht="13.2">
      <c r="A980" s="3"/>
      <c r="B980" s="50"/>
      <c r="C980" s="5"/>
      <c r="D980" s="5">
        <f>IF(C980="common",100,IF(C980="Uncommon",300,IF(C980="Rare",700,IF(C980="very rare",1100,IF(C980="Legendary",2000,0)))))</f>
        <v>0</v>
      </c>
      <c r="E980" s="5">
        <f>(F980*TRUNC(3+(15-3)*(TRUNC(MOD((A980*1103515245 +12345)/ 65536, 32768),0)/32768),0))+D980+(D980/10*F980)</f>
        <v>0</v>
      </c>
      <c r="F980" s="5"/>
      <c r="G980" s="5"/>
      <c r="H980" s="5"/>
      <c r="I980" s="5"/>
      <c r="J980" s="5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spans="1:28" ht="13.2">
      <c r="A981" s="3"/>
      <c r="B981" s="50"/>
      <c r="C981" s="5"/>
      <c r="D981" s="5">
        <f>IF(C981="common",100,IF(C981="Uncommon",300,IF(C981="Rare",700,IF(C981="very rare",1100,IF(C981="Legendary",2000,0)))))</f>
        <v>0</v>
      </c>
      <c r="E981" s="5">
        <f>(F981*TRUNC(3+(15-3)*(TRUNC(MOD((A981*1103515245 +12345)/ 65536, 32768),0)/32768),0))+D981+(D981/10*F981)</f>
        <v>0</v>
      </c>
      <c r="F981" s="5"/>
      <c r="G981" s="5"/>
      <c r="H981" s="5"/>
      <c r="I981" s="5"/>
      <c r="J981" s="5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spans="1:28" ht="13.2">
      <c r="A982" s="3"/>
      <c r="B982" s="50"/>
      <c r="C982" s="5"/>
      <c r="D982" s="5">
        <f>IF(C982="common",100,IF(C982="Uncommon",300,IF(C982="Rare",700,IF(C982="very rare",1100,IF(C982="Legendary",2000,0)))))</f>
        <v>0</v>
      </c>
      <c r="E982" s="5">
        <f>(F982*TRUNC(3+(15-3)*(TRUNC(MOD((A982*1103515245 +12345)/ 65536, 32768),0)/32768),0))+D982+(D982/10*F982)</f>
        <v>0</v>
      </c>
      <c r="F982" s="5"/>
      <c r="G982" s="5"/>
      <c r="H982" s="5"/>
      <c r="I982" s="5"/>
      <c r="J982" s="5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spans="1:28" ht="13.2">
      <c r="A983" s="3"/>
      <c r="B983" s="50"/>
      <c r="C983" s="5"/>
      <c r="D983" s="5">
        <f>IF(C983="common",100,IF(C983="Uncommon",300,IF(C983="Rare",700,IF(C983="very rare",1100,IF(C983="Legendary",2000,0)))))</f>
        <v>0</v>
      </c>
      <c r="E983" s="5">
        <f>(F983*TRUNC(3+(15-3)*(TRUNC(MOD((A983*1103515245 +12345)/ 65536, 32768),0)/32768),0))+D983+(D983/10*F983)</f>
        <v>0</v>
      </c>
      <c r="F983" s="5"/>
      <c r="G983" s="5"/>
      <c r="H983" s="5"/>
      <c r="I983" s="5"/>
      <c r="J983" s="5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spans="1:28" ht="13.2">
      <c r="A984" s="3"/>
      <c r="B984" s="50"/>
      <c r="C984" s="5"/>
      <c r="D984" s="5">
        <f>IF(C984="common",100,IF(C984="Uncommon",300,IF(C984="Rare",700,IF(C984="very rare",1100,IF(C984="Legendary",2000,0)))))</f>
        <v>0</v>
      </c>
      <c r="E984" s="5">
        <f>(F984*TRUNC(3+(15-3)*(TRUNC(MOD((A984*1103515245 +12345)/ 65536, 32768),0)/32768),0))+D984+(D984/10*F984)</f>
        <v>0</v>
      </c>
      <c r="F984" s="5"/>
      <c r="G984" s="5"/>
      <c r="H984" s="5"/>
      <c r="I984" s="5"/>
      <c r="J984" s="5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spans="1:28" ht="13.2">
      <c r="A985" s="3"/>
      <c r="B985" s="50"/>
      <c r="C985" s="5"/>
      <c r="D985" s="5">
        <f>IF(C985="common",100,IF(C985="Uncommon",300,IF(C985="Rare",700,IF(C985="very rare",1100,IF(C985="Legendary",2000,0)))))</f>
        <v>0</v>
      </c>
      <c r="E985" s="5">
        <f>(F985*TRUNC(3+(15-3)*(TRUNC(MOD((A985*1103515245 +12345)/ 65536, 32768),0)/32768),0))+D985+(D985/10*F985)</f>
        <v>0</v>
      </c>
      <c r="F985" s="5"/>
      <c r="G985" s="5"/>
      <c r="H985" s="5"/>
      <c r="I985" s="5"/>
      <c r="J985" s="5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spans="1:28" ht="13.2">
      <c r="A986" s="3"/>
      <c r="B986" s="50"/>
      <c r="C986" s="5"/>
      <c r="D986" s="5">
        <f>IF(C986="common",100,IF(C986="Uncommon",300,IF(C986="Rare",700,IF(C986="very rare",1100,IF(C986="Legendary",2000,0)))))</f>
        <v>0</v>
      </c>
      <c r="E986" s="5">
        <f>(F986*TRUNC(3+(15-3)*(TRUNC(MOD((A986*1103515245 +12345)/ 65536, 32768),0)/32768),0))+D986+(D986/10*F986)</f>
        <v>0</v>
      </c>
      <c r="F986" s="5"/>
      <c r="G986" s="5"/>
      <c r="H986" s="5"/>
      <c r="I986" s="5"/>
      <c r="J986" s="5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spans="1:28" ht="13.2">
      <c r="A987" s="3"/>
      <c r="B987" s="50"/>
      <c r="C987" s="5"/>
      <c r="D987" s="5">
        <f>IF(C987="common",100,IF(C987="Uncommon",300,IF(C987="Rare",700,IF(C987="very rare",1100,IF(C987="Legendary",2000,0)))))</f>
        <v>0</v>
      </c>
      <c r="E987" s="5">
        <f>(F987*TRUNC(3+(15-3)*(TRUNC(MOD((A987*1103515245 +12345)/ 65536, 32768),0)/32768),0))+D987+(D987/10*F987)</f>
        <v>0</v>
      </c>
      <c r="F987" s="5"/>
      <c r="G987" s="5"/>
      <c r="H987" s="5"/>
      <c r="I987" s="5"/>
      <c r="J987" s="5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spans="1:28" ht="13.2">
      <c r="A988" s="3"/>
      <c r="B988" s="50"/>
      <c r="C988" s="5"/>
      <c r="D988" s="5">
        <f>IF(C988="common",100,IF(C988="Uncommon",300,IF(C988="Rare",700,IF(C988="very rare",1100,IF(C988="Legendary",2000,0)))))</f>
        <v>0</v>
      </c>
      <c r="E988" s="5">
        <f>(F988*TRUNC(3+(15-3)*(TRUNC(MOD((A988*1103515245 +12345)/ 65536, 32768),0)/32768),0))+D988+(D988/10*F988)</f>
        <v>0</v>
      </c>
      <c r="F988" s="5"/>
      <c r="G988" s="5"/>
      <c r="H988" s="5"/>
      <c r="I988" s="5"/>
      <c r="J988" s="5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spans="1:28" ht="13.2">
      <c r="A989" s="3"/>
      <c r="B989" s="50"/>
      <c r="C989" s="5"/>
      <c r="D989" s="5">
        <f>IF(C989="common",100,IF(C989="Uncommon",300,IF(C989="Rare",700,IF(C989="very rare",1100,IF(C989="Legendary",2000,0)))))</f>
        <v>0</v>
      </c>
      <c r="E989" s="5">
        <f>(F989*TRUNC(3+(15-3)*(TRUNC(MOD((A989*1103515245 +12345)/ 65536, 32768),0)/32768),0))+D989+(D989/10*F989)</f>
        <v>0</v>
      </c>
      <c r="F989" s="5"/>
      <c r="G989" s="5"/>
      <c r="H989" s="5"/>
      <c r="I989" s="5"/>
      <c r="J989" s="5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spans="1:28" ht="13.2">
      <c r="A990" s="3"/>
      <c r="B990" s="50"/>
      <c r="C990" s="5"/>
      <c r="D990" s="5">
        <f>IF(C990="common",100,IF(C990="Uncommon",300,IF(C990="Rare",700,IF(C990="very rare",1100,IF(C990="Legendary",2000,0)))))</f>
        <v>0</v>
      </c>
      <c r="E990" s="5">
        <f>(F990*TRUNC(3+(15-3)*(TRUNC(MOD((A990*1103515245 +12345)/ 65536, 32768),0)/32768),0))+D990+(D990/10*F990)</f>
        <v>0</v>
      </c>
      <c r="F990" s="5"/>
      <c r="G990" s="5"/>
      <c r="H990" s="5"/>
      <c r="I990" s="5"/>
      <c r="J990" s="5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spans="1:28" ht="13.2">
      <c r="A991" s="3"/>
      <c r="B991" s="50"/>
      <c r="C991" s="5"/>
      <c r="D991" s="5">
        <f>IF(C991="common",100,IF(C991="Uncommon",300,IF(C991="Rare",700,IF(C991="very rare",1100,IF(C991="Legendary",2000,0)))))</f>
        <v>0</v>
      </c>
      <c r="E991" s="5">
        <f>(F991*TRUNC(3+(15-3)*(TRUNC(MOD((A991*1103515245 +12345)/ 65536, 32768),0)/32768),0))+D991+(D991/10*F991)</f>
        <v>0</v>
      </c>
      <c r="F991" s="5"/>
      <c r="G991" s="5"/>
      <c r="H991" s="5"/>
      <c r="I991" s="5"/>
      <c r="J991" s="5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spans="1:28" ht="13.2">
      <c r="A992" s="3"/>
      <c r="B992" s="50"/>
      <c r="C992" s="5"/>
      <c r="D992" s="5">
        <f>IF(C992="common",100,IF(C992="Uncommon",300,IF(C992="Rare",700,IF(C992="very rare",1100,IF(C992="Legendary",2000,0)))))</f>
        <v>0</v>
      </c>
      <c r="E992" s="5">
        <f>(F992*TRUNC(3+(15-3)*(TRUNC(MOD((A992*1103515245 +12345)/ 65536, 32768),0)/32768),0))+D992+(D992/10*F992)</f>
        <v>0</v>
      </c>
      <c r="F992" s="5"/>
      <c r="G992" s="5"/>
      <c r="H992" s="5"/>
      <c r="I992" s="5"/>
      <c r="J992" s="5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spans="1:28" ht="13.2">
      <c r="A993" s="3"/>
      <c r="B993" s="50"/>
      <c r="C993" s="5"/>
      <c r="D993" s="5">
        <f>IF(C993="common",100,IF(C993="Uncommon",300,IF(C993="Rare",700,IF(C993="very rare",1100,IF(C993="Legendary",2000,0)))))</f>
        <v>0</v>
      </c>
      <c r="E993" s="5">
        <f>(F993*TRUNC(3+(15-3)*(TRUNC(MOD((A993*1103515245 +12345)/ 65536, 32768),0)/32768),0))+D993+(D993/10*F993)</f>
        <v>0</v>
      </c>
      <c r="F993" s="5"/>
      <c r="G993" s="5"/>
      <c r="H993" s="5"/>
      <c r="I993" s="5"/>
      <c r="J993" s="5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spans="1:28" ht="13.2">
      <c r="A994" s="3"/>
      <c r="B994" s="50"/>
      <c r="C994" s="5"/>
      <c r="D994" s="5">
        <f>IF(C994="common",100,IF(C994="Uncommon",300,IF(C994="Rare",700,IF(C994="very rare",1100,IF(C994="Legendary",2000,0)))))</f>
        <v>0</v>
      </c>
      <c r="E994" s="5">
        <f>(F994*TRUNC(3+(15-3)*(TRUNC(MOD((A994*1103515245 +12345)/ 65536, 32768),0)/32768),0))+D994+(D994/10*F994)</f>
        <v>0</v>
      </c>
      <c r="F994" s="5"/>
      <c r="G994" s="5"/>
      <c r="H994" s="5"/>
      <c r="I994" s="5"/>
      <c r="J994" s="5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spans="1:28" ht="13.2">
      <c r="A995" s="3"/>
      <c r="B995" s="50"/>
      <c r="C995" s="5"/>
      <c r="D995" s="5">
        <f>IF(C995="common",100,IF(C995="Uncommon",300,IF(C995="Rare",700,IF(C995="very rare",1100,IF(C995="Legendary",2000,0)))))</f>
        <v>0</v>
      </c>
      <c r="E995" s="5">
        <f>(F995*TRUNC(3+(15-3)*(TRUNC(MOD((A995*1103515245 +12345)/ 65536, 32768),0)/32768),0))+D995+(D995/10*F995)</f>
        <v>0</v>
      </c>
      <c r="F995" s="5"/>
      <c r="G995" s="5"/>
      <c r="H995" s="5"/>
      <c r="I995" s="5"/>
      <c r="J995" s="5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spans="1:28" ht="13.2">
      <c r="A996" s="3"/>
      <c r="B996" s="50"/>
      <c r="C996" s="5"/>
      <c r="D996" s="5">
        <f>IF(C996="common",100,IF(C996="Uncommon",300,IF(C996="Rare",700,IF(C996="very rare",1100,IF(C996="Legendary",2000,0)))))</f>
        <v>0</v>
      </c>
      <c r="E996" s="5">
        <f>(F996*TRUNC(3+(15-3)*(TRUNC(MOD((A996*1103515245 +12345)/ 65536, 32768),0)/32768),0))+D996+(D996/10*F996)</f>
        <v>0</v>
      </c>
      <c r="F996" s="5"/>
      <c r="G996" s="5"/>
      <c r="H996" s="5"/>
      <c r="I996" s="5"/>
      <c r="J996" s="5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spans="1:28" ht="13.2">
      <c r="A997" s="3"/>
      <c r="B997" s="50"/>
      <c r="C997" s="5"/>
      <c r="D997" s="5">
        <f>IF(C997="common",100,IF(C997="Uncommon",300,IF(C997="Rare",700,IF(C997="very rare",1100,IF(C997="Legendary",2000,0)))))</f>
        <v>0</v>
      </c>
      <c r="E997" s="5">
        <f>(F997*TRUNC(3+(15-3)*(TRUNC(MOD((A997*1103515245 +12345)/ 65536, 32768),0)/32768),0))+D997+(D997/10*F997)</f>
        <v>0</v>
      </c>
      <c r="F997" s="5"/>
      <c r="G997" s="5"/>
      <c r="H997" s="5"/>
      <c r="I997" s="5"/>
      <c r="J997" s="5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spans="1:28" ht="13.2">
      <c r="A998" s="3"/>
      <c r="B998" s="50"/>
      <c r="C998" s="5"/>
      <c r="D998" s="5">
        <f>IF(C998="common",100,IF(C998="Uncommon",300,IF(C998="Rare",700,IF(C998="very rare",1100,IF(C998="Legendary",2000,0)))))</f>
        <v>0</v>
      </c>
      <c r="E998" s="5">
        <f>(F998*TRUNC(3+(15-3)*(TRUNC(MOD((A998*1103515245 +12345)/ 65536, 32768),0)/32768),0))+D998+(D998/10*F998)</f>
        <v>0</v>
      </c>
      <c r="F998" s="5"/>
      <c r="G998" s="5"/>
      <c r="H998" s="5"/>
      <c r="I998" s="5"/>
      <c r="J998" s="5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spans="1:28" ht="13.2">
      <c r="A999" s="3"/>
      <c r="B999" s="50"/>
      <c r="C999" s="5"/>
      <c r="D999" s="5">
        <f>IF(C999="common",100,IF(C999="Uncommon",300,IF(C999="Rare",700,IF(C999="very rare",1100,IF(C999="Legendary",2000,0)))))</f>
        <v>0</v>
      </c>
      <c r="E999" s="5">
        <f>(F999*TRUNC(3+(15-3)*(TRUNC(MOD((A999*1103515245 +12345)/ 65536, 32768),0)/32768),0))+D999+(D999/10*F999)</f>
        <v>0</v>
      </c>
      <c r="F999" s="5"/>
      <c r="G999" s="5"/>
      <c r="H999" s="5"/>
      <c r="I999" s="5"/>
      <c r="J999" s="5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spans="1:28" ht="13.2">
      <c r="B1000" s="50"/>
      <c r="C1000" s="5"/>
      <c r="D1000" s="5">
        <f>IF(C1000="common",100,IF(C1000="Uncommon",300,IF(C1000="Rare",700,IF(C1000="very rare",1100,IF(C1000="Legendary",2000,0)))))</f>
        <v>0</v>
      </c>
      <c r="E1000" s="5">
        <f>(F1000*TRUNC(3+(15-3)*(TRUNC(MOD((A1000*1103515245 +12345)/ 65536, 32768),0)/32768),0))+D1000+(D1000/10*F1000)</f>
        <v>0</v>
      </c>
      <c r="F1000" s="5"/>
      <c r="G1000" s="5"/>
      <c r="H1000" s="5"/>
      <c r="I1000" s="5"/>
      <c r="J1000" s="5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ySplit="1" topLeftCell="A11" activePane="bottomLeft" state="frozen"/>
      <selection pane="bottomLeft" activeCell="C14" sqref="C14"/>
    </sheetView>
  </sheetViews>
  <sheetFormatPr defaultColWidth="12.6640625" defaultRowHeight="15.75" customHeight="1"/>
  <cols>
    <col min="2" max="2" width="26" customWidth="1"/>
    <col min="4" max="4" width="25.1093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>
        <f ca="1">IFERROR(__xludf.DUMMYFUNCTION("IMPORTRANGE(""https://docs.google.com/spreadsheets/d/1cnoIUaGCI90pTTmapqcsNJ2qJYUaz66sCLTY1ER8oPo/edit#gid=0"", ""Export items!A2:D999"")"),1)</f>
        <v>1</v>
      </c>
      <c r="B2" s="5" t="str">
        <f ca="1">IFERROR(__xludf.DUMMYFUNCTION("""COMPUTED_VALUE"""),"Gauntlet")</f>
        <v>Gauntlet</v>
      </c>
      <c r="C2" s="5" t="str">
        <f ca="1">IFERROR(__xludf.DUMMYFUNCTION("""COMPUTED_VALUE"""),"Weapon")</f>
        <v>Weapon</v>
      </c>
      <c r="D2" s="6">
        <f ca="1">IFERROR(__xludf.DUMMYFUNCTION("""COMPUTED_VALUE"""),2)</f>
        <v>2</v>
      </c>
      <c r="E2" s="7"/>
      <c r="F2" s="7"/>
      <c r="G2" s="7"/>
      <c r="H2" s="7"/>
      <c r="I2" s="7"/>
    </row>
    <row r="3" spans="1:26" ht="15.75" customHeight="1">
      <c r="A3" s="5">
        <f ca="1">IFERROR(__xludf.DUMMYFUNCTION("""COMPUTED_VALUE"""),2)</f>
        <v>2</v>
      </c>
      <c r="B3" s="5" t="str">
        <f ca="1">IFERROR(__xludf.DUMMYFUNCTION("""COMPUTED_VALUE"""),"Unarmed strike")</f>
        <v>Unarmed strike</v>
      </c>
      <c r="C3" s="5" t="str">
        <f ca="1">IFERROR(__xludf.DUMMYFUNCTION("""COMPUTED_VALUE"""),"Weapon")</f>
        <v>Weapon</v>
      </c>
      <c r="D3" s="6">
        <f ca="1">IFERROR(__xludf.DUMMYFUNCTION("""COMPUTED_VALUE"""),0)</f>
        <v>0</v>
      </c>
      <c r="E3" s="7"/>
      <c r="F3" s="73" t="s">
        <v>4</v>
      </c>
      <c r="G3" s="74"/>
      <c r="H3" s="74"/>
      <c r="I3" s="7"/>
    </row>
    <row r="4" spans="1:26" ht="15.75" customHeight="1">
      <c r="A4" s="5">
        <f ca="1">IFERROR(__xludf.DUMMYFUNCTION("""COMPUTED_VALUE"""),3)</f>
        <v>3</v>
      </c>
      <c r="B4" s="5" t="str">
        <f ca="1">IFERROR(__xludf.DUMMYFUNCTION("""COMPUTED_VALUE"""),"Dagger")</f>
        <v>Dagger</v>
      </c>
      <c r="C4" s="5" t="str">
        <f ca="1">IFERROR(__xludf.DUMMYFUNCTION("""COMPUTED_VALUE"""),"Weapon")</f>
        <v>Weapon</v>
      </c>
      <c r="D4" s="6">
        <f ca="1">IFERROR(__xludf.DUMMYFUNCTION("""COMPUTED_VALUE"""),2)</f>
        <v>2</v>
      </c>
      <c r="E4" s="7"/>
      <c r="F4" s="74"/>
      <c r="G4" s="74"/>
      <c r="H4" s="74"/>
      <c r="I4" s="7"/>
    </row>
    <row r="5" spans="1:26" ht="15.75" customHeight="1">
      <c r="A5" s="5">
        <f ca="1">IFERROR(__xludf.DUMMYFUNCTION("""COMPUTED_VALUE"""),4)</f>
        <v>4</v>
      </c>
      <c r="B5" s="5" t="str">
        <f ca="1">IFERROR(__xludf.DUMMYFUNCTION("""COMPUTED_VALUE"""),"Dagger, punching")</f>
        <v>Dagger, punching</v>
      </c>
      <c r="C5" s="5" t="str">
        <f ca="1">IFERROR(__xludf.DUMMYFUNCTION("""COMPUTED_VALUE"""),"Weapon")</f>
        <v>Weapon</v>
      </c>
      <c r="D5" s="6">
        <f ca="1">IFERROR(__xludf.DUMMYFUNCTION("""COMPUTED_VALUE"""),2)</f>
        <v>2</v>
      </c>
      <c r="E5" s="7"/>
      <c r="F5" s="73" t="s">
        <v>5</v>
      </c>
      <c r="G5" s="74"/>
      <c r="H5" s="74"/>
      <c r="I5" s="7"/>
    </row>
    <row r="6" spans="1:26" ht="15.75" customHeight="1">
      <c r="A6" s="5">
        <f ca="1">IFERROR(__xludf.DUMMYFUNCTION("""COMPUTED_VALUE"""),5)</f>
        <v>5</v>
      </c>
      <c r="B6" s="5" t="str">
        <f ca="1">IFERROR(__xludf.DUMMYFUNCTION("""COMPUTED_VALUE"""),"Gauntlet, spiked")</f>
        <v>Gauntlet, spiked</v>
      </c>
      <c r="C6" s="5" t="str">
        <f ca="1">IFERROR(__xludf.DUMMYFUNCTION("""COMPUTED_VALUE"""),"Weapon")</f>
        <v>Weapon</v>
      </c>
      <c r="D6" s="6">
        <f ca="1">IFERROR(__xludf.DUMMYFUNCTION("""COMPUTED_VALUE"""),5)</f>
        <v>5</v>
      </c>
      <c r="E6" s="7"/>
      <c r="F6" s="74"/>
      <c r="G6" s="74"/>
      <c r="H6" s="74"/>
      <c r="I6" s="7"/>
    </row>
    <row r="7" spans="1:26" ht="15.75" customHeight="1">
      <c r="A7" s="5">
        <f ca="1">IFERROR(__xludf.DUMMYFUNCTION("""COMPUTED_VALUE"""),6)</f>
        <v>6</v>
      </c>
      <c r="B7" s="5" t="str">
        <f ca="1">IFERROR(__xludf.DUMMYFUNCTION("""COMPUTED_VALUE"""),"Mace, light")</f>
        <v>Mace, light</v>
      </c>
      <c r="C7" s="5" t="str">
        <f ca="1">IFERROR(__xludf.DUMMYFUNCTION("""COMPUTED_VALUE"""),"Weapon")</f>
        <v>Weapon</v>
      </c>
      <c r="D7" s="6">
        <f ca="1">IFERROR(__xludf.DUMMYFUNCTION("""COMPUTED_VALUE"""),5)</f>
        <v>5</v>
      </c>
      <c r="E7" s="7"/>
      <c r="F7" s="74"/>
      <c r="G7" s="74"/>
      <c r="H7" s="74"/>
      <c r="I7" s="7"/>
    </row>
    <row r="8" spans="1:26" ht="15.75" customHeight="1">
      <c r="A8" s="5">
        <f ca="1">IFERROR(__xludf.DUMMYFUNCTION("""COMPUTED_VALUE"""),7)</f>
        <v>7</v>
      </c>
      <c r="B8" s="5" t="str">
        <f ca="1">IFERROR(__xludf.DUMMYFUNCTION("""COMPUTED_VALUE"""),"Sickle")</f>
        <v>Sickle</v>
      </c>
      <c r="C8" s="5" t="str">
        <f ca="1">IFERROR(__xludf.DUMMYFUNCTION("""COMPUTED_VALUE"""),"Weapon")</f>
        <v>Weapon</v>
      </c>
      <c r="D8" s="6">
        <f ca="1">IFERROR(__xludf.DUMMYFUNCTION("""COMPUTED_VALUE"""),6)</f>
        <v>6</v>
      </c>
      <c r="E8" s="7"/>
      <c r="F8" s="75"/>
      <c r="G8" s="74"/>
      <c r="H8" s="74"/>
      <c r="I8" s="7"/>
    </row>
    <row r="9" spans="1:26" ht="15.75" customHeight="1">
      <c r="A9" s="5">
        <f ca="1">IFERROR(__xludf.DUMMYFUNCTION("""COMPUTED_VALUE"""),8)</f>
        <v>8</v>
      </c>
      <c r="B9" s="5" t="str">
        <f ca="1">IFERROR(__xludf.DUMMYFUNCTION("""COMPUTED_VALUE"""),"Club")</f>
        <v>Club</v>
      </c>
      <c r="C9" s="5" t="str">
        <f ca="1">IFERROR(__xludf.DUMMYFUNCTION("""COMPUTED_VALUE"""),"Weapon")</f>
        <v>Weapon</v>
      </c>
      <c r="D9" s="6">
        <f ca="1">IFERROR(__xludf.DUMMYFUNCTION("""COMPUTED_VALUE"""),0)</f>
        <v>0</v>
      </c>
      <c r="E9" s="7"/>
      <c r="F9" s="73" t="s">
        <v>6</v>
      </c>
      <c r="G9" s="74"/>
      <c r="H9" s="74"/>
      <c r="I9" s="7"/>
    </row>
    <row r="10" spans="1:26" ht="15.75" customHeight="1">
      <c r="A10" s="5">
        <f ca="1">IFERROR(__xludf.DUMMYFUNCTION("""COMPUTED_VALUE"""),9)</f>
        <v>9</v>
      </c>
      <c r="B10" s="5" t="str">
        <f ca="1">IFERROR(__xludf.DUMMYFUNCTION("""COMPUTED_VALUE"""),"Mace, heavy")</f>
        <v>Mace, heavy</v>
      </c>
      <c r="C10" s="5" t="str">
        <f ca="1">IFERROR(__xludf.DUMMYFUNCTION("""COMPUTED_VALUE"""),"Weapon")</f>
        <v>Weapon</v>
      </c>
      <c r="D10" s="6">
        <f ca="1">IFERROR(__xludf.DUMMYFUNCTION("""COMPUTED_VALUE"""),12)</f>
        <v>12</v>
      </c>
      <c r="E10" s="7"/>
      <c r="F10" s="74"/>
      <c r="G10" s="74"/>
      <c r="H10" s="74"/>
      <c r="I10" s="7"/>
    </row>
    <row r="11" spans="1:26" ht="15.75" customHeight="1">
      <c r="A11" s="5">
        <f ca="1">IFERROR(__xludf.DUMMYFUNCTION("""COMPUTED_VALUE"""),10)</f>
        <v>10</v>
      </c>
      <c r="B11" s="5" t="str">
        <f ca="1">IFERROR(__xludf.DUMMYFUNCTION("""COMPUTED_VALUE"""),"Morningstar")</f>
        <v>Morningstar</v>
      </c>
      <c r="C11" s="5" t="str">
        <f ca="1">IFERROR(__xludf.DUMMYFUNCTION("""COMPUTED_VALUE"""),"Weapon")</f>
        <v>Weapon</v>
      </c>
      <c r="D11" s="6">
        <f ca="1">IFERROR(__xludf.DUMMYFUNCTION("""COMPUTED_VALUE"""),8)</f>
        <v>8</v>
      </c>
      <c r="E11" s="7"/>
      <c r="F11" s="74"/>
      <c r="G11" s="74"/>
      <c r="H11" s="74"/>
      <c r="I11" s="7"/>
    </row>
    <row r="12" spans="1:26" ht="15.75" customHeight="1">
      <c r="A12" s="5">
        <f ca="1">IFERROR(__xludf.DUMMYFUNCTION("""COMPUTED_VALUE"""),11)</f>
        <v>11</v>
      </c>
      <c r="B12" s="5" t="str">
        <f ca="1">IFERROR(__xludf.DUMMYFUNCTION("""COMPUTED_VALUE"""),"Shortspear")</f>
        <v>Shortspear</v>
      </c>
      <c r="C12" s="5" t="str">
        <f ca="1">IFERROR(__xludf.DUMMYFUNCTION("""COMPUTED_VALUE"""),"Weapon")</f>
        <v>Weapon</v>
      </c>
      <c r="D12" s="6">
        <f ca="1">IFERROR(__xludf.DUMMYFUNCTION("""COMPUTED_VALUE"""),1)</f>
        <v>1</v>
      </c>
      <c r="E12" s="7"/>
      <c r="F12" s="74"/>
      <c r="G12" s="74"/>
      <c r="H12" s="74"/>
      <c r="I12" s="7"/>
    </row>
    <row r="13" spans="1:26" ht="15.75" customHeight="1">
      <c r="A13" s="5">
        <f ca="1">IFERROR(__xludf.DUMMYFUNCTION("""COMPUTED_VALUE"""),12)</f>
        <v>12</v>
      </c>
      <c r="B13" s="5" t="str">
        <f ca="1">IFERROR(__xludf.DUMMYFUNCTION("""COMPUTED_VALUE"""),"Longspear4")</f>
        <v>Longspear4</v>
      </c>
      <c r="C13" s="5" t="str">
        <f ca="1">IFERROR(__xludf.DUMMYFUNCTION("""COMPUTED_VALUE"""),"Weapon")</f>
        <v>Weapon</v>
      </c>
      <c r="D13" s="6">
        <f ca="1">IFERROR(__xludf.DUMMYFUNCTION("""COMPUTED_VALUE"""),5)</f>
        <v>5</v>
      </c>
      <c r="E13" s="7"/>
      <c r="F13" s="7"/>
      <c r="G13" s="7"/>
      <c r="H13" s="7"/>
      <c r="I13" s="7"/>
    </row>
    <row r="14" spans="1:26" ht="15.75" customHeight="1">
      <c r="A14" s="5">
        <f ca="1">IFERROR(__xludf.DUMMYFUNCTION("""COMPUTED_VALUE"""),13)</f>
        <v>13</v>
      </c>
      <c r="B14" s="5" t="str">
        <f ca="1">IFERROR(__xludf.DUMMYFUNCTION("""COMPUTED_VALUE"""),"Quarterstaff5")</f>
        <v>Quarterstaff5</v>
      </c>
      <c r="C14" s="5" t="str">
        <f ca="1">IFERROR(__xludf.DUMMYFUNCTION("""COMPUTED_VALUE"""),"Weapon")</f>
        <v>Weapon</v>
      </c>
      <c r="D14" s="6">
        <f ca="1">IFERROR(__xludf.DUMMYFUNCTION("""COMPUTED_VALUE"""),0.1)</f>
        <v>0.1</v>
      </c>
      <c r="E14" s="7"/>
      <c r="F14" s="7"/>
      <c r="G14" s="7"/>
      <c r="H14" s="7"/>
      <c r="I14" s="7"/>
    </row>
    <row r="15" spans="1:26" ht="15.75" customHeight="1">
      <c r="A15" s="5">
        <f ca="1">IFERROR(__xludf.DUMMYFUNCTION("""COMPUTED_VALUE"""),14)</f>
        <v>14</v>
      </c>
      <c r="B15" s="5" t="str">
        <f ca="1">IFERROR(__xludf.DUMMYFUNCTION("""COMPUTED_VALUE"""),"Spear")</f>
        <v>Spear</v>
      </c>
      <c r="C15" s="5" t="str">
        <f ca="1">IFERROR(__xludf.DUMMYFUNCTION("""COMPUTED_VALUE"""),"Weapon")</f>
        <v>Weapon</v>
      </c>
      <c r="D15" s="6">
        <f ca="1">IFERROR(__xludf.DUMMYFUNCTION("""COMPUTED_VALUE"""),2)</f>
        <v>2</v>
      </c>
      <c r="E15" s="7"/>
      <c r="F15" s="7"/>
      <c r="G15" s="7"/>
      <c r="H15" s="7"/>
      <c r="I15" s="7"/>
    </row>
    <row r="16" spans="1:26" ht="15.75" customHeight="1">
      <c r="A16" s="5">
        <f ca="1">IFERROR(__xludf.DUMMYFUNCTION("""COMPUTED_VALUE"""),15)</f>
        <v>15</v>
      </c>
      <c r="B16" s="5" t="str">
        <f ca="1">IFERROR(__xludf.DUMMYFUNCTION("""COMPUTED_VALUE"""),"Crossbow, heavy")</f>
        <v>Crossbow, heavy</v>
      </c>
      <c r="C16" s="5" t="str">
        <f ca="1">IFERROR(__xludf.DUMMYFUNCTION("""COMPUTED_VALUE"""),"Weapon")</f>
        <v>Weapon</v>
      </c>
      <c r="D16" s="6">
        <f ca="1">IFERROR(__xludf.DUMMYFUNCTION("""COMPUTED_VALUE"""),50)</f>
        <v>50</v>
      </c>
      <c r="E16" s="7"/>
      <c r="F16" s="7"/>
      <c r="G16" s="7"/>
      <c r="H16" s="7"/>
      <c r="I16" s="7"/>
    </row>
    <row r="17" spans="1:9" ht="15.75" customHeight="1">
      <c r="A17" s="5">
        <f ca="1">IFERROR(__xludf.DUMMYFUNCTION("""COMPUTED_VALUE"""),16)</f>
        <v>16</v>
      </c>
      <c r="B17" s="5" t="str">
        <f ca="1">IFERROR(__xludf.DUMMYFUNCTION("""COMPUTED_VALUE"""),"Bolts, crossbow (10)")</f>
        <v>Bolts, crossbow (10)</v>
      </c>
      <c r="C17" s="5" t="str">
        <f ca="1">IFERROR(__xludf.DUMMYFUNCTION("""COMPUTED_VALUE"""),"Weapon")</f>
        <v>Weapon</v>
      </c>
      <c r="D17" s="6">
        <f ca="1">IFERROR(__xludf.DUMMYFUNCTION("""COMPUTED_VALUE"""),1)</f>
        <v>1</v>
      </c>
      <c r="E17" s="7"/>
      <c r="F17" s="7"/>
      <c r="G17" s="7"/>
      <c r="H17" s="7"/>
      <c r="I17" s="7"/>
    </row>
    <row r="18" spans="1:9" ht="15.75" customHeight="1">
      <c r="A18" s="5">
        <f ca="1">IFERROR(__xludf.DUMMYFUNCTION("""COMPUTED_VALUE"""),17)</f>
        <v>17</v>
      </c>
      <c r="B18" s="5" t="str">
        <f ca="1">IFERROR(__xludf.DUMMYFUNCTION("""COMPUTED_VALUE"""),"Crossbow, light")</f>
        <v>Crossbow, light</v>
      </c>
      <c r="C18" s="5" t="str">
        <f ca="1">IFERROR(__xludf.DUMMYFUNCTION("""COMPUTED_VALUE"""),"Weapon")</f>
        <v>Weapon</v>
      </c>
      <c r="D18" s="6">
        <f ca="1">IFERROR(__xludf.DUMMYFUNCTION("""COMPUTED_VALUE"""),35)</f>
        <v>35</v>
      </c>
      <c r="E18" s="7"/>
      <c r="F18" s="7"/>
      <c r="G18" s="7"/>
      <c r="H18" s="7"/>
      <c r="I18" s="7"/>
    </row>
    <row r="19" spans="1:9" ht="15.75" customHeight="1">
      <c r="A19" s="5">
        <f ca="1">IFERROR(__xludf.DUMMYFUNCTION("""COMPUTED_VALUE"""),18)</f>
        <v>18</v>
      </c>
      <c r="B19" s="5" t="str">
        <f ca="1">IFERROR(__xludf.DUMMYFUNCTION("""COMPUTED_VALUE"""),"Dart")</f>
        <v>Dart</v>
      </c>
      <c r="C19" s="5" t="str">
        <f ca="1">IFERROR(__xludf.DUMMYFUNCTION("""COMPUTED_VALUE"""),"Weapon")</f>
        <v>Weapon</v>
      </c>
      <c r="D19" s="6">
        <f ca="1">IFERROR(__xludf.DUMMYFUNCTION("""COMPUTED_VALUE"""),0.05)</f>
        <v>0.05</v>
      </c>
      <c r="E19" s="7"/>
      <c r="F19" s="7"/>
      <c r="G19" s="7"/>
      <c r="H19" s="7"/>
      <c r="I19" s="7"/>
    </row>
    <row r="20" spans="1:9" ht="15.75" customHeight="1">
      <c r="A20" s="5">
        <f ca="1">IFERROR(__xludf.DUMMYFUNCTION("""COMPUTED_VALUE"""),19)</f>
        <v>19</v>
      </c>
      <c r="B20" s="5" t="str">
        <f ca="1">IFERROR(__xludf.DUMMYFUNCTION("""COMPUTED_VALUE"""),"Javelin")</f>
        <v>Javelin</v>
      </c>
      <c r="C20" s="5" t="str">
        <f ca="1">IFERROR(__xludf.DUMMYFUNCTION("""COMPUTED_VALUE"""),"Weapon")</f>
        <v>Weapon</v>
      </c>
      <c r="D20" s="6">
        <f ca="1">IFERROR(__xludf.DUMMYFUNCTION("""COMPUTED_VALUE"""),1)</f>
        <v>1</v>
      </c>
      <c r="E20" s="7"/>
      <c r="F20" s="7"/>
      <c r="G20" s="7"/>
      <c r="H20" s="7"/>
      <c r="I20" s="7"/>
    </row>
    <row r="21" spans="1:9" ht="15.75" customHeight="1">
      <c r="A21" s="5">
        <f ca="1">IFERROR(__xludf.DUMMYFUNCTION("""COMPUTED_VALUE"""),20)</f>
        <v>20</v>
      </c>
      <c r="B21" s="5" t="str">
        <f ca="1">IFERROR(__xludf.DUMMYFUNCTION("""COMPUTED_VALUE"""),"Sling")</f>
        <v>Sling</v>
      </c>
      <c r="C21" s="5" t="str">
        <f ca="1">IFERROR(__xludf.DUMMYFUNCTION("""COMPUTED_VALUE"""),"Weapon")</f>
        <v>Weapon</v>
      </c>
      <c r="D21" s="6">
        <f ca="1">IFERROR(__xludf.DUMMYFUNCTION("""COMPUTED_VALUE"""),0.01)</f>
        <v>0.01</v>
      </c>
      <c r="E21" s="7"/>
      <c r="F21" s="7"/>
      <c r="G21" s="7"/>
      <c r="H21" s="7"/>
      <c r="I21" s="7"/>
    </row>
    <row r="22" spans="1:9" ht="15.75" customHeight="1">
      <c r="A22" s="5">
        <f ca="1">IFERROR(__xludf.DUMMYFUNCTION("""COMPUTED_VALUE"""),21)</f>
        <v>21</v>
      </c>
      <c r="B22" s="5" t="str">
        <f ca="1">IFERROR(__xludf.DUMMYFUNCTION("""COMPUTED_VALUE"""),"Bullets, sling (10)")</f>
        <v>Bullets, sling (10)</v>
      </c>
      <c r="C22" s="5" t="str">
        <f ca="1">IFERROR(__xludf.DUMMYFUNCTION("""COMPUTED_VALUE"""),"Weapon")</f>
        <v>Weapon</v>
      </c>
      <c r="D22" s="6">
        <f ca="1">IFERROR(__xludf.DUMMYFUNCTION("""COMPUTED_VALUE"""),0.01)</f>
        <v>0.01</v>
      </c>
      <c r="E22" s="7"/>
      <c r="F22" s="7"/>
      <c r="G22" s="7"/>
      <c r="H22" s="7"/>
      <c r="I22" s="7"/>
    </row>
    <row r="23" spans="1:9" ht="15.75" customHeight="1">
      <c r="A23" s="5">
        <f ca="1">IFERROR(__xludf.DUMMYFUNCTION("""COMPUTED_VALUE"""),22)</f>
        <v>22</v>
      </c>
      <c r="B23" s="5" t="str">
        <f ca="1">IFERROR(__xludf.DUMMYFUNCTION("""COMPUTED_VALUE"""),"Axe, throwing")</f>
        <v>Axe, throwing</v>
      </c>
      <c r="C23" s="5" t="str">
        <f ca="1">IFERROR(__xludf.DUMMYFUNCTION("""COMPUTED_VALUE"""),"Weapon")</f>
        <v>Weapon</v>
      </c>
      <c r="D23" s="6">
        <f ca="1">IFERROR(__xludf.DUMMYFUNCTION("""COMPUTED_VALUE"""),8)</f>
        <v>8</v>
      </c>
      <c r="E23" s="7"/>
      <c r="F23" s="7"/>
      <c r="G23" s="7"/>
      <c r="H23" s="7"/>
      <c r="I23" s="7"/>
    </row>
    <row r="24" spans="1:9" ht="15.75" customHeight="1">
      <c r="A24" s="5">
        <f ca="1">IFERROR(__xludf.DUMMYFUNCTION("""COMPUTED_VALUE"""),23)</f>
        <v>23</v>
      </c>
      <c r="B24" s="5" t="str">
        <f ca="1">IFERROR(__xludf.DUMMYFUNCTION("""COMPUTED_VALUE"""),"Hammer, light")</f>
        <v>Hammer, light</v>
      </c>
      <c r="C24" s="5" t="str">
        <f ca="1">IFERROR(__xludf.DUMMYFUNCTION("""COMPUTED_VALUE"""),"Weapon")</f>
        <v>Weapon</v>
      </c>
      <c r="D24" s="6">
        <f ca="1">IFERROR(__xludf.DUMMYFUNCTION("""COMPUTED_VALUE"""),1)</f>
        <v>1</v>
      </c>
      <c r="E24" s="7"/>
      <c r="F24" s="7"/>
      <c r="G24" s="7"/>
      <c r="H24" s="7"/>
      <c r="I24" s="7"/>
    </row>
    <row r="25" spans="1:9" ht="15.75" customHeight="1">
      <c r="A25" s="5">
        <f ca="1">IFERROR(__xludf.DUMMYFUNCTION("""COMPUTED_VALUE"""),24)</f>
        <v>24</v>
      </c>
      <c r="B25" s="5" t="str">
        <f ca="1">IFERROR(__xludf.DUMMYFUNCTION("""COMPUTED_VALUE"""),"Handaxe")</f>
        <v>Handaxe</v>
      </c>
      <c r="C25" s="5" t="str">
        <f ca="1">IFERROR(__xludf.DUMMYFUNCTION("""COMPUTED_VALUE"""),"Weapon")</f>
        <v>Weapon</v>
      </c>
      <c r="D25" s="6">
        <f ca="1">IFERROR(__xludf.DUMMYFUNCTION("""COMPUTED_VALUE"""),6)</f>
        <v>6</v>
      </c>
      <c r="E25" s="7"/>
      <c r="F25" s="7"/>
      <c r="G25" s="7"/>
      <c r="H25" s="7"/>
      <c r="I25" s="7"/>
    </row>
    <row r="26" spans="1:9" ht="15.75" customHeight="1">
      <c r="A26" s="5">
        <f ca="1">IFERROR(__xludf.DUMMYFUNCTION("""COMPUTED_VALUE"""),25)</f>
        <v>25</v>
      </c>
      <c r="B26" s="5" t="str">
        <f ca="1">IFERROR(__xludf.DUMMYFUNCTION("""COMPUTED_VALUE"""),"Kukri")</f>
        <v>Kukri</v>
      </c>
      <c r="C26" s="5" t="str">
        <f ca="1">IFERROR(__xludf.DUMMYFUNCTION("""COMPUTED_VALUE"""),"Weapon")</f>
        <v>Weapon</v>
      </c>
      <c r="D26" s="6">
        <f ca="1">IFERROR(__xludf.DUMMYFUNCTION("""COMPUTED_VALUE"""),8)</f>
        <v>8</v>
      </c>
      <c r="E26" s="7"/>
      <c r="F26" s="7"/>
      <c r="G26" s="7"/>
      <c r="H26" s="7"/>
      <c r="I26" s="7"/>
    </row>
    <row r="27" spans="1:9" ht="15.75" customHeight="1">
      <c r="A27" s="5">
        <f ca="1">IFERROR(__xludf.DUMMYFUNCTION("""COMPUTED_VALUE"""),26)</f>
        <v>26</v>
      </c>
      <c r="B27" s="5" t="str">
        <f ca="1">IFERROR(__xludf.DUMMYFUNCTION("""COMPUTED_VALUE"""),"Pick, light")</f>
        <v>Pick, light</v>
      </c>
      <c r="C27" s="5" t="str">
        <f ca="1">IFERROR(__xludf.DUMMYFUNCTION("""COMPUTED_VALUE"""),"Weapon")</f>
        <v>Weapon</v>
      </c>
      <c r="D27" s="6">
        <f ca="1">IFERROR(__xludf.DUMMYFUNCTION("""COMPUTED_VALUE"""),4)</f>
        <v>4</v>
      </c>
      <c r="E27" s="7"/>
      <c r="F27" s="7"/>
      <c r="G27" s="7"/>
      <c r="H27" s="7"/>
      <c r="I27" s="7"/>
    </row>
    <row r="28" spans="1:9" ht="15.75" customHeight="1">
      <c r="A28" s="5">
        <f ca="1">IFERROR(__xludf.DUMMYFUNCTION("""COMPUTED_VALUE"""),27)</f>
        <v>27</v>
      </c>
      <c r="B28" s="5" t="str">
        <f ca="1">IFERROR(__xludf.DUMMYFUNCTION("""COMPUTED_VALUE"""),"Sap")</f>
        <v>Sap</v>
      </c>
      <c r="C28" s="5" t="str">
        <f ca="1">IFERROR(__xludf.DUMMYFUNCTION("""COMPUTED_VALUE"""),"Weapon")</f>
        <v>Weapon</v>
      </c>
      <c r="D28" s="6">
        <f ca="1">IFERROR(__xludf.DUMMYFUNCTION("""COMPUTED_VALUE"""),1)</f>
        <v>1</v>
      </c>
      <c r="E28" s="7"/>
      <c r="F28" s="7"/>
      <c r="G28" s="7"/>
      <c r="H28" s="7"/>
      <c r="I28" s="7"/>
    </row>
    <row r="29" spans="1:9" ht="13.2">
      <c r="A29" s="5">
        <f ca="1">IFERROR(__xludf.DUMMYFUNCTION("""COMPUTED_VALUE"""),28)</f>
        <v>28</v>
      </c>
      <c r="B29" s="5" t="str">
        <f ca="1">IFERROR(__xludf.DUMMYFUNCTION("""COMPUTED_VALUE"""),"Shield, light")</f>
        <v>Shield, light</v>
      </c>
      <c r="C29" s="5" t="str">
        <f ca="1">IFERROR(__xludf.DUMMYFUNCTION("""COMPUTED_VALUE"""),"Weapon")</f>
        <v>Weapon</v>
      </c>
      <c r="D29" s="6">
        <f ca="1">IFERROR(__xludf.DUMMYFUNCTION("""COMPUTED_VALUE"""),10)</f>
        <v>10</v>
      </c>
      <c r="E29" s="7"/>
      <c r="F29" s="7"/>
      <c r="G29" s="7"/>
      <c r="H29" s="7"/>
      <c r="I29" s="7"/>
    </row>
    <row r="30" spans="1:9" ht="13.2">
      <c r="A30" s="5">
        <f ca="1">IFERROR(__xludf.DUMMYFUNCTION("""COMPUTED_VALUE"""),29)</f>
        <v>29</v>
      </c>
      <c r="B30" s="5" t="str">
        <f ca="1">IFERROR(__xludf.DUMMYFUNCTION("""COMPUTED_VALUE"""),"Spiked armor")</f>
        <v>Spiked armor</v>
      </c>
      <c r="C30" s="5" t="str">
        <f ca="1">IFERROR(__xludf.DUMMYFUNCTION("""COMPUTED_VALUE"""),"Weapon")</f>
        <v>Weapon</v>
      </c>
      <c r="D30" s="6">
        <f ca="1">IFERROR(__xludf.DUMMYFUNCTION("""COMPUTED_VALUE"""),20)</f>
        <v>20</v>
      </c>
      <c r="E30" s="7"/>
      <c r="F30" s="7"/>
      <c r="G30" s="7"/>
      <c r="H30" s="7"/>
      <c r="I30" s="7"/>
    </row>
    <row r="31" spans="1:9" ht="13.2">
      <c r="A31" s="5">
        <f ca="1">IFERROR(__xludf.DUMMYFUNCTION("""COMPUTED_VALUE"""),30)</f>
        <v>30</v>
      </c>
      <c r="B31" s="5" t="str">
        <f ca="1">IFERROR(__xludf.DUMMYFUNCTION("""COMPUTED_VALUE"""),"Spiked shield, light")</f>
        <v>Spiked shield, light</v>
      </c>
      <c r="C31" s="5" t="str">
        <f ca="1">IFERROR(__xludf.DUMMYFUNCTION("""COMPUTED_VALUE"""),"Weapon")</f>
        <v>Weapon</v>
      </c>
      <c r="D31" s="6">
        <f ca="1">IFERROR(__xludf.DUMMYFUNCTION("""COMPUTED_VALUE"""),30)</f>
        <v>30</v>
      </c>
      <c r="E31" s="7"/>
      <c r="F31" s="7"/>
      <c r="G31" s="7"/>
      <c r="H31" s="7"/>
      <c r="I31" s="7"/>
    </row>
    <row r="32" spans="1:9" ht="13.2">
      <c r="A32" s="5">
        <f ca="1">IFERROR(__xludf.DUMMYFUNCTION("""COMPUTED_VALUE"""),31)</f>
        <v>31</v>
      </c>
      <c r="B32" s="5" t="str">
        <f ca="1">IFERROR(__xludf.DUMMYFUNCTION("""COMPUTED_VALUE"""),"Sword, short")</f>
        <v>Sword, short</v>
      </c>
      <c r="C32" s="5" t="str">
        <f ca="1">IFERROR(__xludf.DUMMYFUNCTION("""COMPUTED_VALUE"""),"Weapon")</f>
        <v>Weapon</v>
      </c>
      <c r="D32" s="6">
        <f ca="1">IFERROR(__xludf.DUMMYFUNCTION("""COMPUTED_VALUE"""),10)</f>
        <v>10</v>
      </c>
      <c r="E32" s="7"/>
      <c r="F32" s="7"/>
      <c r="G32" s="7"/>
      <c r="H32" s="7"/>
      <c r="I32" s="7"/>
    </row>
    <row r="33" spans="1:9" ht="13.2">
      <c r="A33" s="5">
        <f ca="1">IFERROR(__xludf.DUMMYFUNCTION("""COMPUTED_VALUE"""),32)</f>
        <v>32</v>
      </c>
      <c r="B33" s="5" t="str">
        <f ca="1">IFERROR(__xludf.DUMMYFUNCTION("""COMPUTED_VALUE"""),"Battleaxe")</f>
        <v>Battleaxe</v>
      </c>
      <c r="C33" s="5" t="str">
        <f ca="1">IFERROR(__xludf.DUMMYFUNCTION("""COMPUTED_VALUE"""),"Weapon")</f>
        <v>Weapon</v>
      </c>
      <c r="D33" s="6">
        <f ca="1">IFERROR(__xludf.DUMMYFUNCTION("""COMPUTED_VALUE"""),10)</f>
        <v>10</v>
      </c>
      <c r="E33" s="7"/>
      <c r="F33" s="7"/>
      <c r="G33" s="7"/>
      <c r="H33" s="7"/>
      <c r="I33" s="7"/>
    </row>
    <row r="34" spans="1:9" ht="13.2">
      <c r="A34" s="5">
        <f ca="1">IFERROR(__xludf.DUMMYFUNCTION("""COMPUTED_VALUE"""),33)</f>
        <v>33</v>
      </c>
      <c r="B34" s="5" t="str">
        <f ca="1">IFERROR(__xludf.DUMMYFUNCTION("""COMPUTED_VALUE"""),"Flail")</f>
        <v>Flail</v>
      </c>
      <c r="C34" s="5" t="str">
        <f ca="1">IFERROR(__xludf.DUMMYFUNCTION("""COMPUTED_VALUE"""),"Weapon")</f>
        <v>Weapon</v>
      </c>
      <c r="D34" s="6">
        <f ca="1">IFERROR(__xludf.DUMMYFUNCTION("""COMPUTED_VALUE"""),8)</f>
        <v>8</v>
      </c>
      <c r="E34" s="7"/>
      <c r="F34" s="7"/>
      <c r="G34" s="7"/>
      <c r="H34" s="7"/>
      <c r="I34" s="7"/>
    </row>
    <row r="35" spans="1:9" ht="13.2">
      <c r="A35" s="5">
        <f ca="1">IFERROR(__xludf.DUMMYFUNCTION("""COMPUTED_VALUE"""),34)</f>
        <v>34</v>
      </c>
      <c r="B35" s="5" t="str">
        <f ca="1">IFERROR(__xludf.DUMMYFUNCTION("""COMPUTED_VALUE"""),"Longsword")</f>
        <v>Longsword</v>
      </c>
      <c r="C35" s="5" t="str">
        <f ca="1">IFERROR(__xludf.DUMMYFUNCTION("""COMPUTED_VALUE"""),"Weapon")</f>
        <v>Weapon</v>
      </c>
      <c r="D35" s="6">
        <f ca="1">IFERROR(__xludf.DUMMYFUNCTION("""COMPUTED_VALUE"""),15)</f>
        <v>15</v>
      </c>
      <c r="E35" s="7"/>
      <c r="F35" s="7"/>
      <c r="G35" s="7"/>
      <c r="H35" s="7"/>
      <c r="I35" s="7"/>
    </row>
    <row r="36" spans="1:9" ht="13.2">
      <c r="A36" s="5">
        <f ca="1">IFERROR(__xludf.DUMMYFUNCTION("""COMPUTED_VALUE"""),35)</f>
        <v>35</v>
      </c>
      <c r="B36" s="5" t="str">
        <f ca="1">IFERROR(__xludf.DUMMYFUNCTION("""COMPUTED_VALUE"""),"Pick, heavy")</f>
        <v>Pick, heavy</v>
      </c>
      <c r="C36" s="5" t="str">
        <f ca="1">IFERROR(__xludf.DUMMYFUNCTION("""COMPUTED_VALUE"""),"Weapon")</f>
        <v>Weapon</v>
      </c>
      <c r="D36" s="6">
        <f ca="1">IFERROR(__xludf.DUMMYFUNCTION("""COMPUTED_VALUE"""),8)</f>
        <v>8</v>
      </c>
      <c r="E36" s="7"/>
      <c r="F36" s="7"/>
      <c r="G36" s="7"/>
      <c r="H36" s="7"/>
      <c r="I36" s="7"/>
    </row>
    <row r="37" spans="1:9" ht="13.2">
      <c r="A37" s="5">
        <f ca="1">IFERROR(__xludf.DUMMYFUNCTION("""COMPUTED_VALUE"""),36)</f>
        <v>36</v>
      </c>
      <c r="B37" s="5" t="str">
        <f ca="1">IFERROR(__xludf.DUMMYFUNCTION("""COMPUTED_VALUE"""),"Rapier")</f>
        <v>Rapier</v>
      </c>
      <c r="C37" s="5" t="str">
        <f ca="1">IFERROR(__xludf.DUMMYFUNCTION("""COMPUTED_VALUE"""),"Weapon")</f>
        <v>Weapon</v>
      </c>
      <c r="D37" s="6">
        <f ca="1">IFERROR(__xludf.DUMMYFUNCTION("""COMPUTED_VALUE"""),20)</f>
        <v>20</v>
      </c>
      <c r="E37" s="7"/>
      <c r="F37" s="7"/>
      <c r="G37" s="7"/>
      <c r="H37" s="7"/>
      <c r="I37" s="7"/>
    </row>
    <row r="38" spans="1:9" ht="13.2">
      <c r="A38" s="5">
        <f ca="1">IFERROR(__xludf.DUMMYFUNCTION("""COMPUTED_VALUE"""),37)</f>
        <v>37</v>
      </c>
      <c r="B38" s="5" t="str">
        <f ca="1">IFERROR(__xludf.DUMMYFUNCTION("""COMPUTED_VALUE"""),"Scimitar")</f>
        <v>Scimitar</v>
      </c>
      <c r="C38" s="5" t="str">
        <f ca="1">IFERROR(__xludf.DUMMYFUNCTION("""COMPUTED_VALUE"""),"Weapon")</f>
        <v>Weapon</v>
      </c>
      <c r="D38" s="6">
        <f ca="1">IFERROR(__xludf.DUMMYFUNCTION("""COMPUTED_VALUE"""),15)</f>
        <v>15</v>
      </c>
      <c r="E38" s="7"/>
      <c r="F38" s="7"/>
      <c r="G38" s="7"/>
      <c r="H38" s="7"/>
      <c r="I38" s="7"/>
    </row>
    <row r="39" spans="1:9" ht="13.2">
      <c r="A39" s="5">
        <f ca="1">IFERROR(__xludf.DUMMYFUNCTION("""COMPUTED_VALUE"""),38)</f>
        <v>38</v>
      </c>
      <c r="B39" s="5" t="str">
        <f ca="1">IFERROR(__xludf.DUMMYFUNCTION("""COMPUTED_VALUE"""),"Shield, heavy")</f>
        <v>Shield, heavy</v>
      </c>
      <c r="C39" s="5" t="str">
        <f ca="1">IFERROR(__xludf.DUMMYFUNCTION("""COMPUTED_VALUE"""),"Weapon")</f>
        <v>Weapon</v>
      </c>
      <c r="D39" s="6">
        <f ca="1">IFERROR(__xludf.DUMMYFUNCTION("""COMPUTED_VALUE"""),50)</f>
        <v>50</v>
      </c>
      <c r="E39" s="7"/>
      <c r="F39" s="7"/>
      <c r="G39" s="7"/>
      <c r="H39" s="7"/>
      <c r="I39" s="7"/>
    </row>
    <row r="40" spans="1:9" ht="13.2">
      <c r="A40" s="5">
        <f ca="1">IFERROR(__xludf.DUMMYFUNCTION("""COMPUTED_VALUE"""),39)</f>
        <v>39</v>
      </c>
      <c r="B40" s="5" t="str">
        <f ca="1">IFERROR(__xludf.DUMMYFUNCTION("""COMPUTED_VALUE"""),"Spiked shield, heavy")</f>
        <v>Spiked shield, heavy</v>
      </c>
      <c r="C40" s="5" t="str">
        <f ca="1">IFERROR(__xludf.DUMMYFUNCTION("""COMPUTED_VALUE"""),"Weapon")</f>
        <v>Weapon</v>
      </c>
      <c r="D40" s="6">
        <f ca="1">IFERROR(__xludf.DUMMYFUNCTION("""COMPUTED_VALUE"""),60)</f>
        <v>60</v>
      </c>
      <c r="E40" s="7"/>
      <c r="F40" s="7"/>
      <c r="G40" s="7"/>
      <c r="H40" s="7"/>
      <c r="I40" s="7"/>
    </row>
    <row r="41" spans="1:9" ht="13.2">
      <c r="A41" s="5">
        <f ca="1">IFERROR(__xludf.DUMMYFUNCTION("""COMPUTED_VALUE"""),40)</f>
        <v>40</v>
      </c>
      <c r="B41" s="5" t="str">
        <f ca="1">IFERROR(__xludf.DUMMYFUNCTION("""COMPUTED_VALUE"""),"Trident")</f>
        <v>Trident</v>
      </c>
      <c r="C41" s="5" t="str">
        <f ca="1">IFERROR(__xludf.DUMMYFUNCTION("""COMPUTED_VALUE"""),"Weapon")</f>
        <v>Weapon</v>
      </c>
      <c r="D41" s="6">
        <f ca="1">IFERROR(__xludf.DUMMYFUNCTION("""COMPUTED_VALUE"""),15)</f>
        <v>15</v>
      </c>
      <c r="E41" s="7"/>
      <c r="F41" s="7"/>
      <c r="G41" s="7"/>
      <c r="H41" s="7"/>
      <c r="I41" s="7"/>
    </row>
    <row r="42" spans="1:9" ht="13.2">
      <c r="A42" s="5">
        <f ca="1">IFERROR(__xludf.DUMMYFUNCTION("""COMPUTED_VALUE"""),41)</f>
        <v>41</v>
      </c>
      <c r="B42" s="5" t="str">
        <f ca="1">IFERROR(__xludf.DUMMYFUNCTION("""COMPUTED_VALUE"""),"Warhammer")</f>
        <v>Warhammer</v>
      </c>
      <c r="C42" s="5" t="str">
        <f ca="1">IFERROR(__xludf.DUMMYFUNCTION("""COMPUTED_VALUE"""),"Weapon")</f>
        <v>Weapon</v>
      </c>
      <c r="D42" s="6">
        <f ca="1">IFERROR(__xludf.DUMMYFUNCTION("""COMPUTED_VALUE"""),12)</f>
        <v>12</v>
      </c>
      <c r="E42" s="7"/>
      <c r="F42" s="7"/>
      <c r="G42" s="7"/>
      <c r="H42" s="7"/>
      <c r="I42" s="7"/>
    </row>
    <row r="43" spans="1:9" ht="13.2">
      <c r="A43" s="5">
        <f ca="1">IFERROR(__xludf.DUMMYFUNCTION("""COMPUTED_VALUE"""),42)</f>
        <v>42</v>
      </c>
      <c r="B43" s="5" t="str">
        <f ca="1">IFERROR(__xludf.DUMMYFUNCTION("""COMPUTED_VALUE"""),"Falchion")</f>
        <v>Falchion</v>
      </c>
      <c r="C43" s="5" t="str">
        <f ca="1">IFERROR(__xludf.DUMMYFUNCTION("""COMPUTED_VALUE"""),"Weapon")</f>
        <v>Weapon</v>
      </c>
      <c r="D43" s="6">
        <f ca="1">IFERROR(__xludf.DUMMYFUNCTION("""COMPUTED_VALUE"""),75)</f>
        <v>75</v>
      </c>
      <c r="E43" s="7"/>
      <c r="F43" s="7"/>
      <c r="G43" s="7"/>
      <c r="H43" s="7"/>
      <c r="I43" s="7"/>
    </row>
    <row r="44" spans="1:9" ht="13.2">
      <c r="A44" s="5">
        <f ca="1">IFERROR(__xludf.DUMMYFUNCTION("""COMPUTED_VALUE"""),43)</f>
        <v>43</v>
      </c>
      <c r="B44" s="5" t="str">
        <f ca="1">IFERROR(__xludf.DUMMYFUNCTION("""COMPUTED_VALUE"""),"Glaive")</f>
        <v>Glaive</v>
      </c>
      <c r="C44" s="5" t="str">
        <f ca="1">IFERROR(__xludf.DUMMYFUNCTION("""COMPUTED_VALUE"""),"Weapon")</f>
        <v>Weapon</v>
      </c>
      <c r="D44" s="6">
        <f ca="1">IFERROR(__xludf.DUMMYFUNCTION("""COMPUTED_VALUE"""),8)</f>
        <v>8</v>
      </c>
      <c r="E44" s="7"/>
      <c r="F44" s="7"/>
      <c r="G44" s="7"/>
      <c r="H44" s="7"/>
      <c r="I44" s="7"/>
    </row>
    <row r="45" spans="1:9" ht="13.2">
      <c r="A45" s="5">
        <f ca="1">IFERROR(__xludf.DUMMYFUNCTION("""COMPUTED_VALUE"""),44)</f>
        <v>44</v>
      </c>
      <c r="B45" s="5" t="str">
        <f ca="1">IFERROR(__xludf.DUMMYFUNCTION("""COMPUTED_VALUE"""),"Greataxe")</f>
        <v>Greataxe</v>
      </c>
      <c r="C45" s="5" t="str">
        <f ca="1">IFERROR(__xludf.DUMMYFUNCTION("""COMPUTED_VALUE"""),"Weapon")</f>
        <v>Weapon</v>
      </c>
      <c r="D45" s="6">
        <f ca="1">IFERROR(__xludf.DUMMYFUNCTION("""COMPUTED_VALUE"""),20)</f>
        <v>20</v>
      </c>
      <c r="E45" s="7"/>
      <c r="F45" s="7"/>
      <c r="G45" s="7"/>
      <c r="H45" s="7"/>
      <c r="I45" s="7"/>
    </row>
    <row r="46" spans="1:9" ht="13.2">
      <c r="A46" s="5">
        <f ca="1">IFERROR(__xludf.DUMMYFUNCTION("""COMPUTED_VALUE"""),45)</f>
        <v>45</v>
      </c>
      <c r="B46" s="5" t="str">
        <f ca="1">IFERROR(__xludf.DUMMYFUNCTION("""COMPUTED_VALUE"""),"Greatclub")</f>
        <v>Greatclub</v>
      </c>
      <c r="C46" s="5" t="str">
        <f ca="1">IFERROR(__xludf.DUMMYFUNCTION("""COMPUTED_VALUE"""),"Weapon")</f>
        <v>Weapon</v>
      </c>
      <c r="D46" s="6">
        <f ca="1">IFERROR(__xludf.DUMMYFUNCTION("""COMPUTED_VALUE"""),5)</f>
        <v>5</v>
      </c>
      <c r="E46" s="7"/>
      <c r="F46" s="7"/>
      <c r="G46" s="7"/>
      <c r="H46" s="7"/>
      <c r="I46" s="7"/>
    </row>
    <row r="47" spans="1:9" ht="13.2">
      <c r="A47" s="5">
        <f ca="1">IFERROR(__xludf.DUMMYFUNCTION("""COMPUTED_VALUE"""),46)</f>
        <v>46</v>
      </c>
      <c r="B47" s="5" t="str">
        <f ca="1">IFERROR(__xludf.DUMMYFUNCTION("""COMPUTED_VALUE"""),"Flail, heavy")</f>
        <v>Flail, heavy</v>
      </c>
      <c r="C47" s="5" t="str">
        <f ca="1">IFERROR(__xludf.DUMMYFUNCTION("""COMPUTED_VALUE"""),"Weapon")</f>
        <v>Weapon</v>
      </c>
      <c r="D47" s="6">
        <f ca="1">IFERROR(__xludf.DUMMYFUNCTION("""COMPUTED_VALUE"""),15)</f>
        <v>15</v>
      </c>
      <c r="E47" s="7"/>
      <c r="F47" s="7"/>
      <c r="G47" s="7"/>
      <c r="H47" s="7"/>
      <c r="I47" s="7"/>
    </row>
    <row r="48" spans="1:9" ht="13.2">
      <c r="A48" s="5">
        <f ca="1">IFERROR(__xludf.DUMMYFUNCTION("""COMPUTED_VALUE"""),47)</f>
        <v>47</v>
      </c>
      <c r="B48" s="5" t="str">
        <f ca="1">IFERROR(__xludf.DUMMYFUNCTION("""COMPUTED_VALUE"""),"Greatsword")</f>
        <v>Greatsword</v>
      </c>
      <c r="C48" s="5" t="str">
        <f ca="1">IFERROR(__xludf.DUMMYFUNCTION("""COMPUTED_VALUE"""),"Weapon")</f>
        <v>Weapon</v>
      </c>
      <c r="D48" s="6">
        <f ca="1">IFERROR(__xludf.DUMMYFUNCTION("""COMPUTED_VALUE"""),50)</f>
        <v>50</v>
      </c>
      <c r="E48" s="7"/>
      <c r="F48" s="7"/>
      <c r="G48" s="7"/>
      <c r="H48" s="7"/>
      <c r="I48" s="7"/>
    </row>
    <row r="49" spans="1:9" ht="13.2">
      <c r="A49" s="5">
        <f ca="1">IFERROR(__xludf.DUMMYFUNCTION("""COMPUTED_VALUE"""),48)</f>
        <v>48</v>
      </c>
      <c r="B49" s="5" t="str">
        <f ca="1">IFERROR(__xludf.DUMMYFUNCTION("""COMPUTED_VALUE"""),"Guisarme4")</f>
        <v>Guisarme4</v>
      </c>
      <c r="C49" s="5" t="str">
        <f ca="1">IFERROR(__xludf.DUMMYFUNCTION("""COMPUTED_VALUE"""),"Weapon")</f>
        <v>Weapon</v>
      </c>
      <c r="D49" s="6">
        <f ca="1">IFERROR(__xludf.DUMMYFUNCTION("""COMPUTED_VALUE"""),9)</f>
        <v>9</v>
      </c>
      <c r="E49" s="7"/>
      <c r="F49" s="7"/>
      <c r="G49" s="7"/>
      <c r="H49" s="7"/>
      <c r="I49" s="7"/>
    </row>
    <row r="50" spans="1:9" ht="13.2">
      <c r="A50" s="5">
        <f ca="1">IFERROR(__xludf.DUMMYFUNCTION("""COMPUTED_VALUE"""),49)</f>
        <v>49</v>
      </c>
      <c r="B50" s="5" t="str">
        <f ca="1">IFERROR(__xludf.DUMMYFUNCTION("""COMPUTED_VALUE"""),"Halberd")</f>
        <v>Halberd</v>
      </c>
      <c r="C50" s="5" t="str">
        <f ca="1">IFERROR(__xludf.DUMMYFUNCTION("""COMPUTED_VALUE"""),"Weapon")</f>
        <v>Weapon</v>
      </c>
      <c r="D50" s="6">
        <f ca="1">IFERROR(__xludf.DUMMYFUNCTION("""COMPUTED_VALUE"""),10)</f>
        <v>10</v>
      </c>
      <c r="E50" s="7"/>
      <c r="F50" s="7"/>
      <c r="G50" s="7"/>
      <c r="H50" s="7"/>
      <c r="I50" s="7"/>
    </row>
    <row r="51" spans="1:9" ht="13.2">
      <c r="A51" s="5">
        <f ca="1">IFERROR(__xludf.DUMMYFUNCTION("""COMPUTED_VALUE"""),50)</f>
        <v>50</v>
      </c>
      <c r="B51" s="5" t="str">
        <f ca="1">IFERROR(__xludf.DUMMYFUNCTION("""COMPUTED_VALUE"""),"Lance")</f>
        <v>Lance</v>
      </c>
      <c r="C51" s="5" t="str">
        <f ca="1">IFERROR(__xludf.DUMMYFUNCTION("""COMPUTED_VALUE"""),"Weapon")</f>
        <v>Weapon</v>
      </c>
      <c r="D51" s="6">
        <f ca="1">IFERROR(__xludf.DUMMYFUNCTION("""COMPUTED_VALUE"""),10)</f>
        <v>10</v>
      </c>
      <c r="E51" s="7"/>
      <c r="F51" s="7"/>
      <c r="G51" s="7"/>
      <c r="H51" s="7"/>
      <c r="I51" s="7"/>
    </row>
    <row r="52" spans="1:9" ht="13.2">
      <c r="A52" s="5">
        <f ca="1">IFERROR(__xludf.DUMMYFUNCTION("""COMPUTED_VALUE"""),51)</f>
        <v>51</v>
      </c>
      <c r="B52" s="5" t="str">
        <f ca="1">IFERROR(__xludf.DUMMYFUNCTION("""COMPUTED_VALUE"""),"Ranseur")</f>
        <v>Ranseur</v>
      </c>
      <c r="C52" s="5" t="str">
        <f ca="1">IFERROR(__xludf.DUMMYFUNCTION("""COMPUTED_VALUE"""),"Weapon")</f>
        <v>Weapon</v>
      </c>
      <c r="D52" s="6">
        <f ca="1">IFERROR(__xludf.DUMMYFUNCTION("""COMPUTED_VALUE"""),10)</f>
        <v>10</v>
      </c>
      <c r="E52" s="7"/>
      <c r="F52" s="7"/>
      <c r="G52" s="7"/>
      <c r="H52" s="7"/>
      <c r="I52" s="7"/>
    </row>
    <row r="53" spans="1:9" ht="13.2">
      <c r="A53" s="5">
        <f ca="1">IFERROR(__xludf.DUMMYFUNCTION("""COMPUTED_VALUE"""),52)</f>
        <v>52</v>
      </c>
      <c r="B53" s="5" t="str">
        <f ca="1">IFERROR(__xludf.DUMMYFUNCTION("""COMPUTED_VALUE"""),"Scythe")</f>
        <v>Scythe</v>
      </c>
      <c r="C53" s="5" t="str">
        <f ca="1">IFERROR(__xludf.DUMMYFUNCTION("""COMPUTED_VALUE"""),"Weapon")</f>
        <v>Weapon</v>
      </c>
      <c r="D53" s="6">
        <f ca="1">IFERROR(__xludf.DUMMYFUNCTION("""COMPUTED_VALUE"""),18)</f>
        <v>18</v>
      </c>
      <c r="E53" s="7"/>
      <c r="F53" s="7"/>
      <c r="G53" s="7"/>
      <c r="H53" s="7"/>
      <c r="I53" s="7"/>
    </row>
    <row r="54" spans="1:9" ht="13.2">
      <c r="A54" s="5">
        <f ca="1">IFERROR(__xludf.DUMMYFUNCTION("""COMPUTED_VALUE"""),53)</f>
        <v>53</v>
      </c>
      <c r="B54" s="5" t="str">
        <f ca="1">IFERROR(__xludf.DUMMYFUNCTION("""COMPUTED_VALUE"""),"Longbow")</f>
        <v>Longbow</v>
      </c>
      <c r="C54" s="5" t="str">
        <f ca="1">IFERROR(__xludf.DUMMYFUNCTION("""COMPUTED_VALUE"""),"Weapon")</f>
        <v>Weapon</v>
      </c>
      <c r="D54" s="6">
        <f ca="1">IFERROR(__xludf.DUMMYFUNCTION("""COMPUTED_VALUE"""),75)</f>
        <v>75</v>
      </c>
      <c r="E54" s="7"/>
      <c r="F54" s="7"/>
      <c r="G54" s="7"/>
      <c r="H54" s="7"/>
      <c r="I54" s="7"/>
    </row>
    <row r="55" spans="1:9" ht="13.2">
      <c r="A55" s="5">
        <f ca="1">IFERROR(__xludf.DUMMYFUNCTION("""COMPUTED_VALUE"""),54)</f>
        <v>54</v>
      </c>
      <c r="B55" s="5" t="str">
        <f ca="1">IFERROR(__xludf.DUMMYFUNCTION("""COMPUTED_VALUE"""),"Longbow, composite")</f>
        <v>Longbow, composite</v>
      </c>
      <c r="C55" s="5" t="str">
        <f ca="1">IFERROR(__xludf.DUMMYFUNCTION("""COMPUTED_VALUE"""),"Weapon")</f>
        <v>Weapon</v>
      </c>
      <c r="D55" s="6">
        <f ca="1">IFERROR(__xludf.DUMMYFUNCTION("""COMPUTED_VALUE"""),100)</f>
        <v>100</v>
      </c>
      <c r="E55" s="7"/>
      <c r="F55" s="7"/>
      <c r="G55" s="7"/>
      <c r="H55" s="7"/>
      <c r="I55" s="7"/>
    </row>
    <row r="56" spans="1:9" ht="13.2">
      <c r="A56" s="5">
        <f ca="1">IFERROR(__xludf.DUMMYFUNCTION("""COMPUTED_VALUE"""),55)</f>
        <v>55</v>
      </c>
      <c r="B56" s="5" t="str">
        <f ca="1">IFERROR(__xludf.DUMMYFUNCTION("""COMPUTED_VALUE"""),"Shortbow")</f>
        <v>Shortbow</v>
      </c>
      <c r="C56" s="5" t="str">
        <f ca="1">IFERROR(__xludf.DUMMYFUNCTION("""COMPUTED_VALUE"""),"Weapon")</f>
        <v>Weapon</v>
      </c>
      <c r="D56" s="6">
        <f ca="1">IFERROR(__xludf.DUMMYFUNCTION("""COMPUTED_VALUE"""),30)</f>
        <v>30</v>
      </c>
      <c r="E56" s="7"/>
      <c r="F56" s="7"/>
      <c r="G56" s="7"/>
      <c r="H56" s="7"/>
      <c r="I56" s="7"/>
    </row>
    <row r="57" spans="1:9" ht="13.2">
      <c r="A57" s="5">
        <f ca="1">IFERROR(__xludf.DUMMYFUNCTION("""COMPUTED_VALUE"""),56)</f>
        <v>56</v>
      </c>
      <c r="B57" s="5" t="str">
        <f ca="1">IFERROR(__xludf.DUMMYFUNCTION("""COMPUTED_VALUE"""),"Shortbow, composite")</f>
        <v>Shortbow, composite</v>
      </c>
      <c r="C57" s="5" t="str">
        <f ca="1">IFERROR(__xludf.DUMMYFUNCTION("""COMPUTED_VALUE"""),"Weapon")</f>
        <v>Weapon</v>
      </c>
      <c r="D57" s="6">
        <f ca="1">IFERROR(__xludf.DUMMYFUNCTION("""COMPUTED_VALUE"""),75)</f>
        <v>75</v>
      </c>
      <c r="E57" s="7"/>
      <c r="F57" s="7"/>
      <c r="G57" s="7"/>
      <c r="H57" s="7"/>
      <c r="I57" s="7"/>
    </row>
    <row r="58" spans="1:9" ht="13.2">
      <c r="A58" s="5">
        <f ca="1">IFERROR(__xludf.DUMMYFUNCTION("""COMPUTED_VALUE"""),57)</f>
        <v>57</v>
      </c>
      <c r="B58" s="5" t="str">
        <f ca="1">IFERROR(__xludf.DUMMYFUNCTION("""COMPUTED_VALUE"""),"Arrows (20)")</f>
        <v>Arrows (20)</v>
      </c>
      <c r="C58" s="5" t="str">
        <f ca="1">IFERROR(__xludf.DUMMYFUNCTION("""COMPUTED_VALUE"""),"Weapon")</f>
        <v>Weapon</v>
      </c>
      <c r="D58" s="6">
        <f ca="1">IFERROR(__xludf.DUMMYFUNCTION("""COMPUTED_VALUE"""),1)</f>
        <v>1</v>
      </c>
      <c r="E58" s="7"/>
      <c r="F58" s="7"/>
      <c r="G58" s="7"/>
      <c r="H58" s="7"/>
      <c r="I58" s="7"/>
    </row>
    <row r="59" spans="1:9" ht="13.2">
      <c r="A59" s="5">
        <f ca="1">IFERROR(__xludf.DUMMYFUNCTION("""COMPUTED_VALUE"""),58)</f>
        <v>58</v>
      </c>
      <c r="B59" s="5" t="str">
        <f ca="1">IFERROR(__xludf.DUMMYFUNCTION("""COMPUTED_VALUE"""),"Kama")</f>
        <v>Kama</v>
      </c>
      <c r="C59" s="5" t="str">
        <f ca="1">IFERROR(__xludf.DUMMYFUNCTION("""COMPUTED_VALUE"""),"Weapon")</f>
        <v>Weapon</v>
      </c>
      <c r="D59" s="6">
        <f ca="1">IFERROR(__xludf.DUMMYFUNCTION("""COMPUTED_VALUE"""),2)</f>
        <v>2</v>
      </c>
      <c r="E59" s="7"/>
      <c r="F59" s="7"/>
      <c r="G59" s="7"/>
      <c r="H59" s="7"/>
      <c r="I59" s="7"/>
    </row>
    <row r="60" spans="1:9" ht="13.2">
      <c r="A60" s="5">
        <f ca="1">IFERROR(__xludf.DUMMYFUNCTION("""COMPUTED_VALUE"""),59)</f>
        <v>59</v>
      </c>
      <c r="B60" s="5" t="str">
        <f ca="1">IFERROR(__xludf.DUMMYFUNCTION("""COMPUTED_VALUE"""),"Nunchaku")</f>
        <v>Nunchaku</v>
      </c>
      <c r="C60" s="5" t="str">
        <f ca="1">IFERROR(__xludf.DUMMYFUNCTION("""COMPUTED_VALUE"""),"Weapon")</f>
        <v>Weapon</v>
      </c>
      <c r="D60" s="6">
        <f ca="1">IFERROR(__xludf.DUMMYFUNCTION("""COMPUTED_VALUE"""),2)</f>
        <v>2</v>
      </c>
      <c r="E60" s="7"/>
      <c r="F60" s="7"/>
      <c r="G60" s="7"/>
      <c r="H60" s="7"/>
      <c r="I60" s="7"/>
    </row>
    <row r="61" spans="1:9" ht="13.2">
      <c r="A61" s="5">
        <f ca="1">IFERROR(__xludf.DUMMYFUNCTION("""COMPUTED_VALUE"""),60)</f>
        <v>60</v>
      </c>
      <c r="B61" s="5" t="str">
        <f ca="1">IFERROR(__xludf.DUMMYFUNCTION("""COMPUTED_VALUE"""),"Sai")</f>
        <v>Sai</v>
      </c>
      <c r="C61" s="5" t="str">
        <f ca="1">IFERROR(__xludf.DUMMYFUNCTION("""COMPUTED_VALUE"""),"Weapon")</f>
        <v>Weapon</v>
      </c>
      <c r="D61" s="6">
        <f ca="1">IFERROR(__xludf.DUMMYFUNCTION("""COMPUTED_VALUE"""),1)</f>
        <v>1</v>
      </c>
      <c r="E61" s="7"/>
      <c r="F61" s="7"/>
      <c r="G61" s="7"/>
      <c r="H61" s="7"/>
      <c r="I61" s="7"/>
    </row>
    <row r="62" spans="1:9" ht="13.2">
      <c r="A62" s="5">
        <f ca="1">IFERROR(__xludf.DUMMYFUNCTION("""COMPUTED_VALUE"""),61)</f>
        <v>61</v>
      </c>
      <c r="B62" s="5" t="str">
        <f ca="1">IFERROR(__xludf.DUMMYFUNCTION("""COMPUTED_VALUE"""),"Siangham")</f>
        <v>Siangham</v>
      </c>
      <c r="C62" s="5" t="str">
        <f ca="1">IFERROR(__xludf.DUMMYFUNCTION("""COMPUTED_VALUE"""),"Weapon")</f>
        <v>Weapon</v>
      </c>
      <c r="D62" s="6">
        <f ca="1">IFERROR(__xludf.DUMMYFUNCTION("""COMPUTED_VALUE"""),3)</f>
        <v>3</v>
      </c>
      <c r="E62" s="7"/>
      <c r="F62" s="7"/>
      <c r="G62" s="7"/>
      <c r="H62" s="7"/>
      <c r="I62" s="7"/>
    </row>
    <row r="63" spans="1:9" ht="13.2">
      <c r="A63" s="5">
        <f ca="1">IFERROR(__xludf.DUMMYFUNCTION("""COMPUTED_VALUE"""),62)</f>
        <v>62</v>
      </c>
      <c r="B63" s="5" t="str">
        <f ca="1">IFERROR(__xludf.DUMMYFUNCTION("""COMPUTED_VALUE"""),"Sword, bastard")</f>
        <v>Sword, bastard</v>
      </c>
      <c r="C63" s="5" t="str">
        <f ca="1">IFERROR(__xludf.DUMMYFUNCTION("""COMPUTED_VALUE"""),"Weapon")</f>
        <v>Weapon</v>
      </c>
      <c r="D63" s="6">
        <f ca="1">IFERROR(__xludf.DUMMYFUNCTION("""COMPUTED_VALUE"""),35)</f>
        <v>35</v>
      </c>
      <c r="E63" s="7"/>
      <c r="F63" s="7"/>
      <c r="G63" s="7"/>
      <c r="H63" s="7"/>
      <c r="I63" s="7"/>
    </row>
    <row r="64" spans="1:9" ht="13.2">
      <c r="A64" s="5">
        <f ca="1">IFERROR(__xludf.DUMMYFUNCTION("""COMPUTED_VALUE"""),63)</f>
        <v>63</v>
      </c>
      <c r="B64" s="5" t="str">
        <f ca="1">IFERROR(__xludf.DUMMYFUNCTION("""COMPUTED_VALUE"""),"Waraxe, dwarven")</f>
        <v>Waraxe, dwarven</v>
      </c>
      <c r="C64" s="5" t="str">
        <f ca="1">IFERROR(__xludf.DUMMYFUNCTION("""COMPUTED_VALUE"""),"Weapon")</f>
        <v>Weapon</v>
      </c>
      <c r="D64" s="6">
        <f ca="1">IFERROR(__xludf.DUMMYFUNCTION("""COMPUTED_VALUE"""),30)</f>
        <v>30</v>
      </c>
      <c r="E64" s="7"/>
      <c r="F64" s="7"/>
      <c r="G64" s="7"/>
      <c r="H64" s="7"/>
      <c r="I64" s="7"/>
    </row>
    <row r="65" spans="1:9" ht="13.2">
      <c r="A65" s="5">
        <f ca="1">IFERROR(__xludf.DUMMYFUNCTION("""COMPUTED_VALUE"""),64)</f>
        <v>64</v>
      </c>
      <c r="B65" s="5" t="str">
        <f ca="1">IFERROR(__xludf.DUMMYFUNCTION("""COMPUTED_VALUE"""),"Whip4")</f>
        <v>Whip4</v>
      </c>
      <c r="C65" s="5" t="str">
        <f ca="1">IFERROR(__xludf.DUMMYFUNCTION("""COMPUTED_VALUE"""),"Weapon")</f>
        <v>Weapon</v>
      </c>
      <c r="D65" s="6">
        <f ca="1">IFERROR(__xludf.DUMMYFUNCTION("""COMPUTED_VALUE"""),1)</f>
        <v>1</v>
      </c>
      <c r="E65" s="7"/>
      <c r="F65" s="7"/>
      <c r="G65" s="7"/>
      <c r="H65" s="7"/>
      <c r="I65" s="7"/>
    </row>
    <row r="66" spans="1:9" ht="13.2">
      <c r="A66" s="5">
        <f ca="1">IFERROR(__xludf.DUMMYFUNCTION("""COMPUTED_VALUE"""),65)</f>
        <v>65</v>
      </c>
      <c r="B66" s="5" t="str">
        <f ca="1">IFERROR(__xludf.DUMMYFUNCTION("""COMPUTED_VALUE"""),"Axe, orc double5")</f>
        <v>Axe, orc double5</v>
      </c>
      <c r="C66" s="5" t="str">
        <f ca="1">IFERROR(__xludf.DUMMYFUNCTION("""COMPUTED_VALUE"""),"Weapon")</f>
        <v>Weapon</v>
      </c>
      <c r="D66" s="6">
        <f ca="1">IFERROR(__xludf.DUMMYFUNCTION("""COMPUTED_VALUE"""),60)</f>
        <v>60</v>
      </c>
      <c r="E66" s="7"/>
      <c r="F66" s="7"/>
      <c r="G66" s="7"/>
      <c r="H66" s="7"/>
      <c r="I66" s="7"/>
    </row>
    <row r="67" spans="1:9" ht="13.2">
      <c r="A67" s="5">
        <f ca="1">IFERROR(__xludf.DUMMYFUNCTION("""COMPUTED_VALUE"""),66)</f>
        <v>66</v>
      </c>
      <c r="B67" s="5" t="str">
        <f ca="1">IFERROR(__xludf.DUMMYFUNCTION("""COMPUTED_VALUE"""),"Chain, spiked4")</f>
        <v>Chain, spiked4</v>
      </c>
      <c r="C67" s="5" t="str">
        <f ca="1">IFERROR(__xludf.DUMMYFUNCTION("""COMPUTED_VALUE"""),"Weapon")</f>
        <v>Weapon</v>
      </c>
      <c r="D67" s="6">
        <f ca="1">IFERROR(__xludf.DUMMYFUNCTION("""COMPUTED_VALUE"""),25)</f>
        <v>25</v>
      </c>
      <c r="E67" s="7"/>
      <c r="F67" s="7"/>
      <c r="G67" s="7"/>
      <c r="H67" s="7"/>
      <c r="I67" s="7"/>
    </row>
    <row r="68" spans="1:9" ht="13.2">
      <c r="A68" s="5">
        <f ca="1">IFERROR(__xludf.DUMMYFUNCTION("""COMPUTED_VALUE"""),67)</f>
        <v>67</v>
      </c>
      <c r="B68" s="5" t="str">
        <f ca="1">IFERROR(__xludf.DUMMYFUNCTION("""COMPUTED_VALUE"""),"Flail, dire5")</f>
        <v>Flail, dire5</v>
      </c>
      <c r="C68" s="5" t="str">
        <f ca="1">IFERROR(__xludf.DUMMYFUNCTION("""COMPUTED_VALUE"""),"Weapon")</f>
        <v>Weapon</v>
      </c>
      <c r="D68" s="6">
        <f ca="1">IFERROR(__xludf.DUMMYFUNCTION("""COMPUTED_VALUE"""),90)</f>
        <v>90</v>
      </c>
      <c r="E68" s="7"/>
      <c r="F68" s="7"/>
      <c r="G68" s="7"/>
      <c r="H68" s="7"/>
      <c r="I68" s="7"/>
    </row>
    <row r="69" spans="1:9" ht="13.2">
      <c r="A69" s="5">
        <f ca="1">IFERROR(__xludf.DUMMYFUNCTION("""COMPUTED_VALUE"""),68)</f>
        <v>68</v>
      </c>
      <c r="B69" s="5" t="str">
        <f ca="1">IFERROR(__xludf.DUMMYFUNCTION("""COMPUTED_VALUE"""),"Hammer, gnome hooked5")</f>
        <v>Hammer, gnome hooked5</v>
      </c>
      <c r="C69" s="5" t="str">
        <f ca="1">IFERROR(__xludf.DUMMYFUNCTION("""COMPUTED_VALUE"""),"Weapon")</f>
        <v>Weapon</v>
      </c>
      <c r="D69" s="6">
        <f ca="1">IFERROR(__xludf.DUMMYFUNCTION("""COMPUTED_VALUE"""),20)</f>
        <v>20</v>
      </c>
      <c r="E69" s="7"/>
      <c r="F69" s="7"/>
      <c r="G69" s="7"/>
      <c r="H69" s="7"/>
      <c r="I69" s="7"/>
    </row>
    <row r="70" spans="1:9" ht="13.2">
      <c r="A70" s="5">
        <f ca="1">IFERROR(__xludf.DUMMYFUNCTION("""COMPUTED_VALUE"""),69)</f>
        <v>69</v>
      </c>
      <c r="B70" s="5" t="str">
        <f ca="1">IFERROR(__xludf.DUMMYFUNCTION("""COMPUTED_VALUE"""),"Sword, two-bladed5")</f>
        <v>Sword, two-bladed5</v>
      </c>
      <c r="C70" s="5" t="str">
        <f ca="1">IFERROR(__xludf.DUMMYFUNCTION("""COMPUTED_VALUE"""),"Weapon")</f>
        <v>Weapon</v>
      </c>
      <c r="D70" s="6">
        <f ca="1">IFERROR(__xludf.DUMMYFUNCTION("""COMPUTED_VALUE"""),100)</f>
        <v>100</v>
      </c>
      <c r="E70" s="7"/>
      <c r="F70" s="7"/>
      <c r="G70" s="7"/>
      <c r="H70" s="7"/>
      <c r="I70" s="7"/>
    </row>
    <row r="71" spans="1:9" ht="13.2">
      <c r="A71" s="5">
        <f ca="1">IFERROR(__xludf.DUMMYFUNCTION("""COMPUTED_VALUE"""),70)</f>
        <v>70</v>
      </c>
      <c r="B71" s="5" t="str">
        <f ca="1">IFERROR(__xludf.DUMMYFUNCTION("""COMPUTED_VALUE"""),"Urgrosh, dwarven5")</f>
        <v>Urgrosh, dwarven5</v>
      </c>
      <c r="C71" s="5" t="str">
        <f ca="1">IFERROR(__xludf.DUMMYFUNCTION("""COMPUTED_VALUE"""),"Weapon")</f>
        <v>Weapon</v>
      </c>
      <c r="D71" s="6">
        <f ca="1">IFERROR(__xludf.DUMMYFUNCTION("""COMPUTED_VALUE"""),50)</f>
        <v>50</v>
      </c>
      <c r="E71" s="7"/>
      <c r="F71" s="7"/>
      <c r="G71" s="7"/>
      <c r="H71" s="7"/>
      <c r="I71" s="7"/>
    </row>
    <row r="72" spans="1:9" ht="13.2">
      <c r="A72" s="5">
        <f ca="1">IFERROR(__xludf.DUMMYFUNCTION("""COMPUTED_VALUE"""),71)</f>
        <v>71</v>
      </c>
      <c r="B72" s="5" t="str">
        <f ca="1">IFERROR(__xludf.DUMMYFUNCTION("""COMPUTED_VALUE"""),"Bolas")</f>
        <v>Bolas</v>
      </c>
      <c r="C72" s="5" t="str">
        <f ca="1">IFERROR(__xludf.DUMMYFUNCTION("""COMPUTED_VALUE"""),"Weapon")</f>
        <v>Weapon</v>
      </c>
      <c r="D72" s="6">
        <f ca="1">IFERROR(__xludf.DUMMYFUNCTION("""COMPUTED_VALUE"""),5)</f>
        <v>5</v>
      </c>
      <c r="E72" s="7"/>
      <c r="F72" s="7"/>
      <c r="G72" s="7"/>
      <c r="H72" s="7"/>
      <c r="I72" s="7"/>
    </row>
    <row r="73" spans="1:9" ht="13.2">
      <c r="A73" s="5">
        <f ca="1">IFERROR(__xludf.DUMMYFUNCTION("""COMPUTED_VALUE"""),72)</f>
        <v>72</v>
      </c>
      <c r="B73" s="5" t="str">
        <f ca="1">IFERROR(__xludf.DUMMYFUNCTION("""COMPUTED_VALUE"""),"Crossbow, hand")</f>
        <v>Crossbow, hand</v>
      </c>
      <c r="C73" s="5" t="str">
        <f ca="1">IFERROR(__xludf.DUMMYFUNCTION("""COMPUTED_VALUE"""),"Weapon")</f>
        <v>Weapon</v>
      </c>
      <c r="D73" s="6">
        <f ca="1">IFERROR(__xludf.DUMMYFUNCTION("""COMPUTED_VALUE"""),100)</f>
        <v>100</v>
      </c>
      <c r="E73" s="7"/>
      <c r="F73" s="7"/>
      <c r="G73" s="7"/>
      <c r="H73" s="7"/>
      <c r="I73" s="7"/>
    </row>
    <row r="74" spans="1:9" ht="13.2">
      <c r="A74" s="5">
        <f ca="1">IFERROR(__xludf.DUMMYFUNCTION("""COMPUTED_VALUE"""),73)</f>
        <v>73</v>
      </c>
      <c r="B74" s="5" t="str">
        <f ca="1">IFERROR(__xludf.DUMMYFUNCTION("""COMPUTED_VALUE"""),"Bolts (10)")</f>
        <v>Bolts (10)</v>
      </c>
      <c r="C74" s="5" t="str">
        <f ca="1">IFERROR(__xludf.DUMMYFUNCTION("""COMPUTED_VALUE"""),"Weapon")</f>
        <v>Weapon</v>
      </c>
      <c r="D74" s="6">
        <f ca="1">IFERROR(__xludf.DUMMYFUNCTION("""COMPUTED_VALUE"""),2)</f>
        <v>2</v>
      </c>
      <c r="E74" s="7"/>
      <c r="F74" s="7"/>
      <c r="G74" s="7"/>
      <c r="H74" s="7"/>
      <c r="I74" s="7"/>
    </row>
    <row r="75" spans="1:9" ht="13.2">
      <c r="A75" s="5">
        <f ca="1">IFERROR(__xludf.DUMMYFUNCTION("""COMPUTED_VALUE"""),74)</f>
        <v>74</v>
      </c>
      <c r="B75" s="5" t="str">
        <f ca="1">IFERROR(__xludf.DUMMYFUNCTION("""COMPUTED_VALUE"""),"Crossbow, repeating heavy")</f>
        <v>Crossbow, repeating heavy</v>
      </c>
      <c r="C75" s="5" t="str">
        <f ca="1">IFERROR(__xludf.DUMMYFUNCTION("""COMPUTED_VALUE"""),"Weapon")</f>
        <v>Weapon</v>
      </c>
      <c r="D75" s="6">
        <f ca="1">IFERROR(__xludf.DUMMYFUNCTION("""COMPUTED_VALUE"""),400)</f>
        <v>400</v>
      </c>
      <c r="E75" s="7"/>
      <c r="F75" s="7"/>
      <c r="G75" s="7"/>
      <c r="H75" s="7"/>
      <c r="I75" s="7"/>
    </row>
    <row r="76" spans="1:9" ht="13.2">
      <c r="A76" s="5">
        <f ca="1">IFERROR(__xludf.DUMMYFUNCTION("""COMPUTED_VALUE"""),75)</f>
        <v>75</v>
      </c>
      <c r="B76" s="5" t="str">
        <f ca="1">IFERROR(__xludf.DUMMYFUNCTION("""COMPUTED_VALUE"""),"Bolts (5)")</f>
        <v>Bolts (5)</v>
      </c>
      <c r="C76" s="5" t="str">
        <f ca="1">IFERROR(__xludf.DUMMYFUNCTION("""COMPUTED_VALUE"""),"Weapon")</f>
        <v>Weapon</v>
      </c>
      <c r="D76" s="6">
        <f ca="1">IFERROR(__xludf.DUMMYFUNCTION("""COMPUTED_VALUE"""),1)</f>
        <v>1</v>
      </c>
      <c r="E76" s="7"/>
      <c r="F76" s="7"/>
      <c r="G76" s="7"/>
      <c r="H76" s="7"/>
      <c r="I76" s="7"/>
    </row>
    <row r="77" spans="1:9" ht="13.2">
      <c r="A77" s="5">
        <f ca="1">IFERROR(__xludf.DUMMYFUNCTION("""COMPUTED_VALUE"""),76)</f>
        <v>76</v>
      </c>
      <c r="B77" s="5" t="str">
        <f ca="1">IFERROR(__xludf.DUMMYFUNCTION("""COMPUTED_VALUE"""),"Crossbow, repeating light")</f>
        <v>Crossbow, repeating light</v>
      </c>
      <c r="C77" s="5" t="str">
        <f ca="1">IFERROR(__xludf.DUMMYFUNCTION("""COMPUTED_VALUE"""),"Weapon")</f>
        <v>Weapon</v>
      </c>
      <c r="D77" s="6">
        <f ca="1">IFERROR(__xludf.DUMMYFUNCTION("""COMPUTED_VALUE"""),250)</f>
        <v>250</v>
      </c>
      <c r="E77" s="7"/>
      <c r="F77" s="7"/>
      <c r="G77" s="7"/>
      <c r="H77" s="7"/>
      <c r="I77" s="7"/>
    </row>
    <row r="78" spans="1:9" ht="13.2">
      <c r="A78" s="5">
        <f ca="1">IFERROR(__xludf.DUMMYFUNCTION("""COMPUTED_VALUE"""),77)</f>
        <v>77</v>
      </c>
      <c r="B78" s="5" t="str">
        <f ca="1">IFERROR(__xludf.DUMMYFUNCTION("""COMPUTED_VALUE"""),"Net")</f>
        <v>Net</v>
      </c>
      <c r="C78" s="5" t="str">
        <f ca="1">IFERROR(__xludf.DUMMYFUNCTION("""COMPUTED_VALUE"""),"Weapon")</f>
        <v>Weapon</v>
      </c>
      <c r="D78" s="6">
        <f ca="1">IFERROR(__xludf.DUMMYFUNCTION("""COMPUTED_VALUE"""),20)</f>
        <v>20</v>
      </c>
      <c r="E78" s="7"/>
      <c r="F78" s="7"/>
      <c r="G78" s="7"/>
      <c r="H78" s="7"/>
      <c r="I78" s="7"/>
    </row>
    <row r="79" spans="1:9" ht="13.2">
      <c r="A79" s="5">
        <f ca="1">IFERROR(__xludf.DUMMYFUNCTION("""COMPUTED_VALUE"""),78)</f>
        <v>78</v>
      </c>
      <c r="B79" s="5" t="str">
        <f ca="1">IFERROR(__xludf.DUMMYFUNCTION("""COMPUTED_VALUE"""),"Shuriken (5)")</f>
        <v>Shuriken (5)</v>
      </c>
      <c r="C79" s="5" t="str">
        <f ca="1">IFERROR(__xludf.DUMMYFUNCTION("""COMPUTED_VALUE"""),"Weapon")</f>
        <v>Weapon</v>
      </c>
      <c r="D79" s="6">
        <f ca="1">IFERROR(__xludf.DUMMYFUNCTION("""COMPUTED_VALUE"""),1)</f>
        <v>1</v>
      </c>
      <c r="E79" s="7"/>
      <c r="F79" s="7"/>
      <c r="G79" s="7"/>
      <c r="H79" s="7"/>
      <c r="I79" s="7"/>
    </row>
    <row r="80" spans="1:9" ht="13.2">
      <c r="A80" s="5">
        <f ca="1">IFERROR(__xludf.DUMMYFUNCTION("""COMPUTED_VALUE"""),79)</f>
        <v>79</v>
      </c>
      <c r="B80" s="5" t="str">
        <f ca="1">IFERROR(__xludf.DUMMYFUNCTION("""COMPUTED_VALUE"""),"Poop")</f>
        <v>Poop</v>
      </c>
      <c r="C80" s="5" t="str">
        <f ca="1">IFERROR(__xludf.DUMMYFUNCTION("""COMPUTED_VALUE"""),"Weapon")</f>
        <v>Weapon</v>
      </c>
      <c r="D80" s="6">
        <f ca="1">IFERROR(__xludf.DUMMYFUNCTION("""COMPUTED_VALUE"""),0.001)</f>
        <v>1E-3</v>
      </c>
      <c r="E80" s="7"/>
      <c r="F80" s="7"/>
      <c r="G80" s="7"/>
      <c r="H80" s="7"/>
      <c r="I80" s="7"/>
    </row>
    <row r="81" spans="1:9" ht="13.2">
      <c r="A81" s="5">
        <f ca="1">IFERROR(__xludf.DUMMYFUNCTION("""COMPUTED_VALUE"""),1)</f>
        <v>1</v>
      </c>
      <c r="B81" s="5" t="str">
        <f ca="1">IFERROR(__xludf.DUMMYFUNCTION("""COMPUTED_VALUE"""),"Padded")</f>
        <v>Padded</v>
      </c>
      <c r="C81" s="5" t="str">
        <f ca="1">IFERROR(__xludf.DUMMYFUNCTION("""COMPUTED_VALUE"""),"Armor")</f>
        <v>Armor</v>
      </c>
      <c r="D81" s="6">
        <f ca="1">IFERROR(__xludf.DUMMYFUNCTION("""COMPUTED_VALUE"""),5)</f>
        <v>5</v>
      </c>
      <c r="E81" s="7"/>
      <c r="F81" s="7"/>
      <c r="G81" s="7"/>
      <c r="H81" s="7"/>
      <c r="I81" s="7"/>
    </row>
    <row r="82" spans="1:9" ht="13.2">
      <c r="A82" s="5">
        <f ca="1">IFERROR(__xludf.DUMMYFUNCTION("""COMPUTED_VALUE"""),2)</f>
        <v>2</v>
      </c>
      <c r="B82" s="5" t="str">
        <f ca="1">IFERROR(__xludf.DUMMYFUNCTION("""COMPUTED_VALUE"""),"Leather")</f>
        <v>Leather</v>
      </c>
      <c r="C82" s="5" t="str">
        <f ca="1">IFERROR(__xludf.DUMMYFUNCTION("""COMPUTED_VALUE"""),"Armor")</f>
        <v>Armor</v>
      </c>
      <c r="D82" s="6">
        <f ca="1">IFERROR(__xludf.DUMMYFUNCTION("""COMPUTED_VALUE"""),10)</f>
        <v>10</v>
      </c>
      <c r="E82" s="7"/>
      <c r="F82" s="7"/>
      <c r="G82" s="7"/>
      <c r="H82" s="7"/>
      <c r="I82" s="7"/>
    </row>
    <row r="83" spans="1:9" ht="13.2">
      <c r="A83" s="5">
        <f ca="1">IFERROR(__xludf.DUMMYFUNCTION("""COMPUTED_VALUE"""),3)</f>
        <v>3</v>
      </c>
      <c r="B83" s="5" t="str">
        <f ca="1">IFERROR(__xludf.DUMMYFUNCTION("""COMPUTED_VALUE"""),"Studded leather")</f>
        <v>Studded leather</v>
      </c>
      <c r="C83" s="5" t="str">
        <f ca="1">IFERROR(__xludf.DUMMYFUNCTION("""COMPUTED_VALUE"""),"Armor")</f>
        <v>Armor</v>
      </c>
      <c r="D83" s="6">
        <f ca="1">IFERROR(__xludf.DUMMYFUNCTION("""COMPUTED_VALUE"""),25)</f>
        <v>25</v>
      </c>
      <c r="E83" s="7"/>
      <c r="F83" s="7"/>
      <c r="G83" s="7"/>
      <c r="H83" s="7"/>
      <c r="I83" s="7"/>
    </row>
    <row r="84" spans="1:9" ht="13.2">
      <c r="A84" s="5">
        <f ca="1">IFERROR(__xludf.DUMMYFUNCTION("""COMPUTED_VALUE"""),4)</f>
        <v>4</v>
      </c>
      <c r="B84" s="5" t="str">
        <f ca="1">IFERROR(__xludf.DUMMYFUNCTION("""COMPUTED_VALUE"""),"Chain shirt")</f>
        <v>Chain shirt</v>
      </c>
      <c r="C84" s="5" t="str">
        <f ca="1">IFERROR(__xludf.DUMMYFUNCTION("""COMPUTED_VALUE"""),"Armor")</f>
        <v>Armor</v>
      </c>
      <c r="D84" s="6">
        <f ca="1">IFERROR(__xludf.DUMMYFUNCTION("""COMPUTED_VALUE"""),100)</f>
        <v>100</v>
      </c>
      <c r="E84" s="7"/>
      <c r="F84" s="7"/>
      <c r="G84" s="7"/>
      <c r="H84" s="7"/>
      <c r="I84" s="7"/>
    </row>
    <row r="85" spans="1:9" ht="13.2">
      <c r="A85" s="5">
        <f ca="1">IFERROR(__xludf.DUMMYFUNCTION("""COMPUTED_VALUE"""),5)</f>
        <v>5</v>
      </c>
      <c r="B85" s="5" t="str">
        <f ca="1">IFERROR(__xludf.DUMMYFUNCTION("""COMPUTED_VALUE"""),"Hide")</f>
        <v>Hide</v>
      </c>
      <c r="C85" s="5" t="str">
        <f ca="1">IFERROR(__xludf.DUMMYFUNCTION("""COMPUTED_VALUE"""),"Armor")</f>
        <v>Armor</v>
      </c>
      <c r="D85" s="6">
        <f ca="1">IFERROR(__xludf.DUMMYFUNCTION("""COMPUTED_VALUE"""),15)</f>
        <v>15</v>
      </c>
      <c r="E85" s="7"/>
      <c r="F85" s="7"/>
      <c r="G85" s="7"/>
      <c r="H85" s="7"/>
      <c r="I85" s="7"/>
    </row>
    <row r="86" spans="1:9" ht="13.2">
      <c r="A86" s="5">
        <f ca="1">IFERROR(__xludf.DUMMYFUNCTION("""COMPUTED_VALUE"""),6)</f>
        <v>6</v>
      </c>
      <c r="B86" s="5" t="str">
        <f ca="1">IFERROR(__xludf.DUMMYFUNCTION("""COMPUTED_VALUE"""),"Scale mail")</f>
        <v>Scale mail</v>
      </c>
      <c r="C86" s="5" t="str">
        <f ca="1">IFERROR(__xludf.DUMMYFUNCTION("""COMPUTED_VALUE"""),"Armor")</f>
        <v>Armor</v>
      </c>
      <c r="D86" s="6">
        <f ca="1">IFERROR(__xludf.DUMMYFUNCTION("""COMPUTED_VALUE"""),50)</f>
        <v>50</v>
      </c>
      <c r="E86" s="7"/>
      <c r="F86" s="7"/>
      <c r="G86" s="7"/>
      <c r="H86" s="7"/>
      <c r="I86" s="7"/>
    </row>
    <row r="87" spans="1:9" ht="13.2">
      <c r="A87" s="5">
        <f ca="1">IFERROR(__xludf.DUMMYFUNCTION("""COMPUTED_VALUE"""),7)</f>
        <v>7</v>
      </c>
      <c r="B87" s="5" t="str">
        <f ca="1">IFERROR(__xludf.DUMMYFUNCTION("""COMPUTED_VALUE"""),"Chainmail")</f>
        <v>Chainmail</v>
      </c>
      <c r="C87" s="5" t="str">
        <f ca="1">IFERROR(__xludf.DUMMYFUNCTION("""COMPUTED_VALUE"""),"Armor")</f>
        <v>Armor</v>
      </c>
      <c r="D87" s="6">
        <f ca="1">IFERROR(__xludf.DUMMYFUNCTION("""COMPUTED_VALUE"""),150)</f>
        <v>150</v>
      </c>
      <c r="E87" s="7"/>
      <c r="F87" s="7"/>
      <c r="G87" s="7"/>
      <c r="H87" s="7"/>
      <c r="I87" s="7"/>
    </row>
    <row r="88" spans="1:9" ht="13.2">
      <c r="A88" s="5">
        <f ca="1">IFERROR(__xludf.DUMMYFUNCTION("""COMPUTED_VALUE"""),8)</f>
        <v>8</v>
      </c>
      <c r="B88" s="5" t="str">
        <f ca="1">IFERROR(__xludf.DUMMYFUNCTION("""COMPUTED_VALUE"""),"Breastplate")</f>
        <v>Breastplate</v>
      </c>
      <c r="C88" s="5" t="str">
        <f ca="1">IFERROR(__xludf.DUMMYFUNCTION("""COMPUTED_VALUE"""),"Armor")</f>
        <v>Armor</v>
      </c>
      <c r="D88" s="6">
        <f ca="1">IFERROR(__xludf.DUMMYFUNCTION("""COMPUTED_VALUE"""),200)</f>
        <v>200</v>
      </c>
      <c r="E88" s="7"/>
      <c r="F88" s="7"/>
      <c r="G88" s="7"/>
      <c r="H88" s="7"/>
      <c r="I88" s="7"/>
    </row>
    <row r="89" spans="1:9" ht="13.2">
      <c r="A89" s="5">
        <f ca="1">IFERROR(__xludf.DUMMYFUNCTION("""COMPUTED_VALUE"""),9)</f>
        <v>9</v>
      </c>
      <c r="B89" s="5" t="str">
        <f ca="1">IFERROR(__xludf.DUMMYFUNCTION("""COMPUTED_VALUE"""),"Splint mail")</f>
        <v>Splint mail</v>
      </c>
      <c r="C89" s="5" t="str">
        <f ca="1">IFERROR(__xludf.DUMMYFUNCTION("""COMPUTED_VALUE"""),"Armor")</f>
        <v>Armor</v>
      </c>
      <c r="D89" s="6">
        <f ca="1">IFERROR(__xludf.DUMMYFUNCTION("""COMPUTED_VALUE"""),200)</f>
        <v>200</v>
      </c>
      <c r="E89" s="7"/>
      <c r="F89" s="7"/>
      <c r="G89" s="7"/>
      <c r="H89" s="7"/>
      <c r="I89" s="7"/>
    </row>
    <row r="90" spans="1:9" ht="13.2">
      <c r="A90" s="5">
        <f ca="1">IFERROR(__xludf.DUMMYFUNCTION("""COMPUTED_VALUE"""),10)</f>
        <v>10</v>
      </c>
      <c r="B90" s="5" t="str">
        <f ca="1">IFERROR(__xludf.DUMMYFUNCTION("""COMPUTED_VALUE"""),"Banded mail")</f>
        <v>Banded mail</v>
      </c>
      <c r="C90" s="5" t="str">
        <f ca="1">IFERROR(__xludf.DUMMYFUNCTION("""COMPUTED_VALUE"""),"Armor")</f>
        <v>Armor</v>
      </c>
      <c r="D90" s="6">
        <f ca="1">IFERROR(__xludf.DUMMYFUNCTION("""COMPUTED_VALUE"""),250)</f>
        <v>250</v>
      </c>
      <c r="E90" s="7"/>
      <c r="F90" s="7"/>
      <c r="G90" s="7"/>
      <c r="H90" s="7"/>
      <c r="I90" s="7"/>
    </row>
    <row r="91" spans="1:9" ht="13.2">
      <c r="A91" s="5">
        <f ca="1">IFERROR(__xludf.DUMMYFUNCTION("""COMPUTED_VALUE"""),11)</f>
        <v>11</v>
      </c>
      <c r="B91" s="5" t="str">
        <f ca="1">IFERROR(__xludf.DUMMYFUNCTION("""COMPUTED_VALUE"""),"Half-plate")</f>
        <v>Half-plate</v>
      </c>
      <c r="C91" s="5" t="str">
        <f ca="1">IFERROR(__xludf.DUMMYFUNCTION("""COMPUTED_VALUE"""),"Armor")</f>
        <v>Armor</v>
      </c>
      <c r="D91" s="6">
        <f ca="1">IFERROR(__xludf.DUMMYFUNCTION("""COMPUTED_VALUE"""),600)</f>
        <v>600</v>
      </c>
      <c r="E91" s="7"/>
      <c r="F91" s="7"/>
      <c r="G91" s="7"/>
      <c r="H91" s="7"/>
      <c r="I91" s="7"/>
    </row>
    <row r="92" spans="1:9" ht="13.2">
      <c r="A92" s="5">
        <f ca="1">IFERROR(__xludf.DUMMYFUNCTION("""COMPUTED_VALUE"""),12)</f>
        <v>12</v>
      </c>
      <c r="B92" s="5" t="str">
        <f ca="1">IFERROR(__xludf.DUMMYFUNCTION("""COMPUTED_VALUE"""),"Full plate")</f>
        <v>Full plate</v>
      </c>
      <c r="C92" s="5" t="str">
        <f ca="1">IFERROR(__xludf.DUMMYFUNCTION("""COMPUTED_VALUE"""),"Armor")</f>
        <v>Armor</v>
      </c>
      <c r="D92" s="6">
        <f ca="1">IFERROR(__xludf.DUMMYFUNCTION("""COMPUTED_VALUE"""),1500)</f>
        <v>1500</v>
      </c>
      <c r="E92" s="7"/>
      <c r="F92" s="7"/>
      <c r="G92" s="7"/>
      <c r="H92" s="7"/>
      <c r="I92" s="7"/>
    </row>
    <row r="93" spans="1:9" ht="13.2">
      <c r="A93" s="5">
        <f ca="1">IFERROR(__xludf.DUMMYFUNCTION("""COMPUTED_VALUE"""),13)</f>
        <v>13</v>
      </c>
      <c r="B93" s="5" t="str">
        <f ca="1">IFERROR(__xludf.DUMMYFUNCTION("""COMPUTED_VALUE"""),"Buckler")</f>
        <v>Buckler</v>
      </c>
      <c r="C93" s="5" t="str">
        <f ca="1">IFERROR(__xludf.DUMMYFUNCTION("""COMPUTED_VALUE"""),"Armor")</f>
        <v>Armor</v>
      </c>
      <c r="D93" s="6">
        <f ca="1">IFERROR(__xludf.DUMMYFUNCTION("""COMPUTED_VALUE"""),15)</f>
        <v>15</v>
      </c>
      <c r="E93" s="7"/>
      <c r="F93" s="7"/>
      <c r="G93" s="7"/>
      <c r="H93" s="7"/>
      <c r="I93" s="7"/>
    </row>
    <row r="94" spans="1:9" ht="13.2">
      <c r="A94" s="5">
        <f ca="1">IFERROR(__xludf.DUMMYFUNCTION("""COMPUTED_VALUE"""),14)</f>
        <v>14</v>
      </c>
      <c r="B94" s="5" t="str">
        <f ca="1">IFERROR(__xludf.DUMMYFUNCTION("""COMPUTED_VALUE"""),"Shield, light wooden")</f>
        <v>Shield, light wooden</v>
      </c>
      <c r="C94" s="5" t="str">
        <f ca="1">IFERROR(__xludf.DUMMYFUNCTION("""COMPUTED_VALUE"""),"Armor")</f>
        <v>Armor</v>
      </c>
      <c r="D94" s="6">
        <f ca="1">IFERROR(__xludf.DUMMYFUNCTION("""COMPUTED_VALUE"""),3)</f>
        <v>3</v>
      </c>
      <c r="E94" s="7"/>
      <c r="F94" s="7"/>
      <c r="G94" s="7"/>
      <c r="H94" s="7"/>
      <c r="I94" s="7"/>
    </row>
    <row r="95" spans="1:9" ht="13.2">
      <c r="A95" s="5">
        <f ca="1">IFERROR(__xludf.DUMMYFUNCTION("""COMPUTED_VALUE"""),15)</f>
        <v>15</v>
      </c>
      <c r="B95" s="5" t="str">
        <f ca="1">IFERROR(__xludf.DUMMYFUNCTION("""COMPUTED_VALUE"""),"Shield, light steel")</f>
        <v>Shield, light steel</v>
      </c>
      <c r="C95" s="5" t="str">
        <f ca="1">IFERROR(__xludf.DUMMYFUNCTION("""COMPUTED_VALUE"""),"Armor")</f>
        <v>Armor</v>
      </c>
      <c r="D95" s="6">
        <f ca="1">IFERROR(__xludf.DUMMYFUNCTION("""COMPUTED_VALUE"""),9)</f>
        <v>9</v>
      </c>
      <c r="E95" s="7"/>
      <c r="F95" s="7"/>
      <c r="G95" s="7"/>
      <c r="H95" s="7"/>
      <c r="I95" s="7"/>
    </row>
    <row r="96" spans="1:9" ht="13.2">
      <c r="A96" s="5">
        <f ca="1">IFERROR(__xludf.DUMMYFUNCTION("""COMPUTED_VALUE"""),16)</f>
        <v>16</v>
      </c>
      <c r="B96" s="5" t="str">
        <f ca="1">IFERROR(__xludf.DUMMYFUNCTION("""COMPUTED_VALUE"""),"Shield, heavy wooden")</f>
        <v>Shield, heavy wooden</v>
      </c>
      <c r="C96" s="5" t="str">
        <f ca="1">IFERROR(__xludf.DUMMYFUNCTION("""COMPUTED_VALUE"""),"Armor")</f>
        <v>Armor</v>
      </c>
      <c r="D96" s="6">
        <f ca="1">IFERROR(__xludf.DUMMYFUNCTION("""COMPUTED_VALUE"""),7)</f>
        <v>7</v>
      </c>
      <c r="E96" s="7"/>
      <c r="F96" s="7"/>
      <c r="G96" s="7"/>
      <c r="H96" s="7"/>
      <c r="I96" s="7"/>
    </row>
    <row r="97" spans="1:9" ht="13.2">
      <c r="A97" s="5">
        <f ca="1">IFERROR(__xludf.DUMMYFUNCTION("""COMPUTED_VALUE"""),17)</f>
        <v>17</v>
      </c>
      <c r="B97" s="5" t="str">
        <f ca="1">IFERROR(__xludf.DUMMYFUNCTION("""COMPUTED_VALUE"""),"Shield, heavy steel")</f>
        <v>Shield, heavy steel</v>
      </c>
      <c r="C97" s="5" t="str">
        <f ca="1">IFERROR(__xludf.DUMMYFUNCTION("""COMPUTED_VALUE"""),"Armor")</f>
        <v>Armor</v>
      </c>
      <c r="D97" s="6">
        <f ca="1">IFERROR(__xludf.DUMMYFUNCTION("""COMPUTED_VALUE"""),20)</f>
        <v>20</v>
      </c>
      <c r="E97" s="7"/>
      <c r="F97" s="7"/>
      <c r="G97" s="7"/>
      <c r="H97" s="7"/>
      <c r="I97" s="7"/>
    </row>
    <row r="98" spans="1:9" ht="13.2">
      <c r="A98" s="5">
        <f ca="1">IFERROR(__xludf.DUMMYFUNCTION("""COMPUTED_VALUE"""),18)</f>
        <v>18</v>
      </c>
      <c r="B98" s="5" t="str">
        <f ca="1">IFERROR(__xludf.DUMMYFUNCTION("""COMPUTED_VALUE"""),"Shield, tower")</f>
        <v>Shield, tower</v>
      </c>
      <c r="C98" s="5" t="str">
        <f ca="1">IFERROR(__xludf.DUMMYFUNCTION("""COMPUTED_VALUE"""),"Armor")</f>
        <v>Armor</v>
      </c>
      <c r="D98" s="6">
        <f ca="1">IFERROR(__xludf.DUMMYFUNCTION("""COMPUTED_VALUE"""),30)</f>
        <v>30</v>
      </c>
      <c r="E98" s="7"/>
      <c r="F98" s="7"/>
      <c r="G98" s="7"/>
      <c r="H98" s="7"/>
      <c r="I98" s="7"/>
    </row>
    <row r="99" spans="1:9" ht="13.2">
      <c r="A99" s="5">
        <f ca="1">IFERROR(__xludf.DUMMYFUNCTION("""COMPUTED_VALUE"""),19)</f>
        <v>19</v>
      </c>
      <c r="B99" s="5" t="str">
        <f ca="1">IFERROR(__xludf.DUMMYFUNCTION("""COMPUTED_VALUE"""),"Armor spikes")</f>
        <v>Armor spikes</v>
      </c>
      <c r="C99" s="5" t="str">
        <f ca="1">IFERROR(__xludf.DUMMYFUNCTION("""COMPUTED_VALUE"""),"Armor")</f>
        <v>Armor</v>
      </c>
      <c r="D99" s="6">
        <f ca="1">IFERROR(__xludf.DUMMYFUNCTION("""COMPUTED_VALUE"""),50)</f>
        <v>50</v>
      </c>
      <c r="E99" s="7"/>
      <c r="F99" s="7"/>
      <c r="G99" s="7"/>
      <c r="H99" s="7"/>
      <c r="I99" s="7"/>
    </row>
    <row r="100" spans="1:9" ht="13.2">
      <c r="A100" s="5">
        <f ca="1">IFERROR(__xludf.DUMMYFUNCTION("""COMPUTED_VALUE"""),20)</f>
        <v>20</v>
      </c>
      <c r="B100" s="5" t="str">
        <f ca="1">IFERROR(__xludf.DUMMYFUNCTION("""COMPUTED_VALUE"""),"Gauntlet, locked")</f>
        <v>Gauntlet, locked</v>
      </c>
      <c r="C100" s="5" t="str">
        <f ca="1">IFERROR(__xludf.DUMMYFUNCTION("""COMPUTED_VALUE"""),"Armor")</f>
        <v>Armor</v>
      </c>
      <c r="D100" s="6">
        <f ca="1">IFERROR(__xludf.DUMMYFUNCTION("""COMPUTED_VALUE"""),8)</f>
        <v>8</v>
      </c>
      <c r="E100" s="7"/>
      <c r="F100" s="7"/>
      <c r="G100" s="7"/>
      <c r="H100" s="7"/>
      <c r="I100" s="7"/>
    </row>
    <row r="101" spans="1:9" ht="13.2">
      <c r="A101" s="5">
        <f ca="1">IFERROR(__xludf.DUMMYFUNCTION("""COMPUTED_VALUE"""),21)</f>
        <v>21</v>
      </c>
      <c r="B101" s="5" t="str">
        <f ca="1">IFERROR(__xludf.DUMMYFUNCTION("""COMPUTED_VALUE"""),"Shield Spikes, Light or Heavy")</f>
        <v>Shield Spikes, Light or Heavy</v>
      </c>
      <c r="C101" s="5" t="str">
        <f ca="1">IFERROR(__xludf.DUMMYFUNCTION("""COMPUTED_VALUE"""),"Armor")</f>
        <v>Armor</v>
      </c>
      <c r="D101" s="6">
        <f ca="1">IFERROR(__xludf.DUMMYFUNCTION("""COMPUTED_VALUE"""),10)</f>
        <v>10</v>
      </c>
      <c r="E101" s="7"/>
      <c r="F101" s="7"/>
      <c r="G101" s="7"/>
      <c r="H101" s="7"/>
      <c r="I101" s="7"/>
    </row>
    <row r="102" spans="1:9" ht="13.2">
      <c r="A102" s="5">
        <f ca="1">IFERROR(__xludf.DUMMYFUNCTION("""COMPUTED_VALUE"""),1)</f>
        <v>1</v>
      </c>
      <c r="B102" s="5" t="str">
        <f ca="1">IFERROR(__xludf.DUMMYFUNCTION("""COMPUTED_VALUE"""),"Backpack (empty)")</f>
        <v>Backpack (empty)</v>
      </c>
      <c r="C102" s="5" t="str">
        <f ca="1">IFERROR(__xludf.DUMMYFUNCTION("""COMPUTED_VALUE"""),"Adventure")</f>
        <v>Adventure</v>
      </c>
      <c r="D102" s="6">
        <f ca="1">IFERROR(__xludf.DUMMYFUNCTION("""COMPUTED_VALUE"""),2)</f>
        <v>2</v>
      </c>
      <c r="E102" s="7"/>
      <c r="F102" s="7"/>
      <c r="G102" s="7"/>
      <c r="H102" s="7"/>
      <c r="I102" s="7"/>
    </row>
    <row r="103" spans="1:9" ht="13.2">
      <c r="A103" s="5">
        <f ca="1">IFERROR(__xludf.DUMMYFUNCTION("""COMPUTED_VALUE"""),2)</f>
        <v>2</v>
      </c>
      <c r="B103" s="5" t="str">
        <f ca="1">IFERROR(__xludf.DUMMYFUNCTION("""COMPUTED_VALUE"""),"Barrel (empty)")</f>
        <v>Barrel (empty)</v>
      </c>
      <c r="C103" s="5" t="str">
        <f ca="1">IFERROR(__xludf.DUMMYFUNCTION("""COMPUTED_VALUE"""),"Adventure")</f>
        <v>Adventure</v>
      </c>
      <c r="D103" s="6">
        <f ca="1">IFERROR(__xludf.DUMMYFUNCTION("""COMPUTED_VALUE"""),2)</f>
        <v>2</v>
      </c>
      <c r="E103" s="7"/>
      <c r="F103" s="7"/>
      <c r="G103" s="7"/>
      <c r="H103" s="7"/>
      <c r="I103" s="7"/>
    </row>
    <row r="104" spans="1:9" ht="13.2">
      <c r="A104" s="5">
        <f ca="1">IFERROR(__xludf.DUMMYFUNCTION("""COMPUTED_VALUE"""),3)</f>
        <v>3</v>
      </c>
      <c r="B104" s="5" t="str">
        <f ca="1">IFERROR(__xludf.DUMMYFUNCTION("""COMPUTED_VALUE"""),"Basket (empty)")</f>
        <v>Basket (empty)</v>
      </c>
      <c r="C104" s="5" t="str">
        <f ca="1">IFERROR(__xludf.DUMMYFUNCTION("""COMPUTED_VALUE"""),"Adventure")</f>
        <v>Adventure</v>
      </c>
      <c r="D104" s="6">
        <f ca="1">IFERROR(__xludf.DUMMYFUNCTION("""COMPUTED_VALUE"""),0.4)</f>
        <v>0.4</v>
      </c>
      <c r="E104" s="7"/>
      <c r="F104" s="7"/>
      <c r="G104" s="7"/>
      <c r="H104" s="7"/>
      <c r="I104" s="7"/>
    </row>
    <row r="105" spans="1:9" ht="13.2">
      <c r="A105" s="5">
        <f ca="1">IFERROR(__xludf.DUMMYFUNCTION("""COMPUTED_VALUE"""),4)</f>
        <v>4</v>
      </c>
      <c r="B105" s="5" t="str">
        <f ca="1">IFERROR(__xludf.DUMMYFUNCTION("""COMPUTED_VALUE"""),"Bedroll")</f>
        <v>Bedroll</v>
      </c>
      <c r="C105" s="5" t="str">
        <f ca="1">IFERROR(__xludf.DUMMYFUNCTION("""COMPUTED_VALUE"""),"Adventure")</f>
        <v>Adventure</v>
      </c>
      <c r="D105" s="6">
        <f ca="1">IFERROR(__xludf.DUMMYFUNCTION("""COMPUTED_VALUE"""),0.1)</f>
        <v>0.1</v>
      </c>
      <c r="E105" s="7"/>
      <c r="F105" s="7"/>
      <c r="G105" s="7"/>
      <c r="H105" s="7"/>
      <c r="I105" s="7"/>
    </row>
    <row r="106" spans="1:9" ht="13.2">
      <c r="A106" s="5">
        <f ca="1">IFERROR(__xludf.DUMMYFUNCTION("""COMPUTED_VALUE"""),5)</f>
        <v>5</v>
      </c>
      <c r="B106" s="5" t="str">
        <f ca="1">IFERROR(__xludf.DUMMYFUNCTION("""COMPUTED_VALUE"""),"Bell")</f>
        <v>Bell</v>
      </c>
      <c r="C106" s="5" t="str">
        <f ca="1">IFERROR(__xludf.DUMMYFUNCTION("""COMPUTED_VALUE"""),"Adventure")</f>
        <v>Adventure</v>
      </c>
      <c r="D106" s="6">
        <f ca="1">IFERROR(__xludf.DUMMYFUNCTION("""COMPUTED_VALUE"""),1)</f>
        <v>1</v>
      </c>
      <c r="E106" s="7"/>
      <c r="F106" s="7"/>
      <c r="G106" s="7"/>
      <c r="H106" s="7"/>
      <c r="I106" s="7"/>
    </row>
    <row r="107" spans="1:9" ht="13.2">
      <c r="A107" s="5">
        <f ca="1">IFERROR(__xludf.DUMMYFUNCTION("""COMPUTED_VALUE"""),6)</f>
        <v>6</v>
      </c>
      <c r="B107" s="5" t="str">
        <f ca="1">IFERROR(__xludf.DUMMYFUNCTION("""COMPUTED_VALUE"""),"Blanket, winter")</f>
        <v>Blanket, winter</v>
      </c>
      <c r="C107" s="5" t="str">
        <f ca="1">IFERROR(__xludf.DUMMYFUNCTION("""COMPUTED_VALUE"""),"Adventure")</f>
        <v>Adventure</v>
      </c>
      <c r="D107" s="6">
        <f ca="1">IFERROR(__xludf.DUMMYFUNCTION("""COMPUTED_VALUE"""),0.5)</f>
        <v>0.5</v>
      </c>
      <c r="E107" s="7"/>
      <c r="F107" s="7"/>
      <c r="G107" s="7"/>
      <c r="H107" s="7"/>
      <c r="I107" s="7"/>
    </row>
    <row r="108" spans="1:9" ht="13.2">
      <c r="A108" s="5">
        <f ca="1">IFERROR(__xludf.DUMMYFUNCTION("""COMPUTED_VALUE"""),7)</f>
        <v>7</v>
      </c>
      <c r="B108" s="5" t="str">
        <f ca="1">IFERROR(__xludf.DUMMYFUNCTION("""COMPUTED_VALUE"""),"Block and tackle")</f>
        <v>Block and tackle</v>
      </c>
      <c r="C108" s="5" t="str">
        <f ca="1">IFERROR(__xludf.DUMMYFUNCTION("""COMPUTED_VALUE"""),"Adventure")</f>
        <v>Adventure</v>
      </c>
      <c r="D108" s="6">
        <f ca="1">IFERROR(__xludf.DUMMYFUNCTION("""COMPUTED_VALUE"""),5)</f>
        <v>5</v>
      </c>
      <c r="E108" s="7"/>
      <c r="F108" s="7"/>
      <c r="G108" s="7"/>
      <c r="H108" s="7"/>
      <c r="I108" s="7"/>
    </row>
    <row r="109" spans="1:9" ht="13.2">
      <c r="A109" s="5">
        <f ca="1">IFERROR(__xludf.DUMMYFUNCTION("""COMPUTED_VALUE"""),8)</f>
        <v>8</v>
      </c>
      <c r="B109" s="5" t="str">
        <f ca="1">IFERROR(__xludf.DUMMYFUNCTION("""COMPUTED_VALUE"""),"Bottle, wine, glass")</f>
        <v>Bottle, wine, glass</v>
      </c>
      <c r="C109" s="5" t="str">
        <f ca="1">IFERROR(__xludf.DUMMYFUNCTION("""COMPUTED_VALUE"""),"Adventure")</f>
        <v>Adventure</v>
      </c>
      <c r="D109" s="6">
        <f ca="1">IFERROR(__xludf.DUMMYFUNCTION("""COMPUTED_VALUE"""),2)</f>
        <v>2</v>
      </c>
      <c r="E109" s="7"/>
      <c r="F109" s="7"/>
      <c r="G109" s="7"/>
      <c r="H109" s="7"/>
      <c r="I109" s="7"/>
    </row>
    <row r="110" spans="1:9" ht="13.2">
      <c r="A110" s="5">
        <f ca="1">IFERROR(__xludf.DUMMYFUNCTION("""COMPUTED_VALUE"""),9)</f>
        <v>9</v>
      </c>
      <c r="B110" s="5" t="str">
        <f ca="1">IFERROR(__xludf.DUMMYFUNCTION("""COMPUTED_VALUE"""),"Bucket (empty)")</f>
        <v>Bucket (empty)</v>
      </c>
      <c r="C110" s="5" t="str">
        <f ca="1">IFERROR(__xludf.DUMMYFUNCTION("""COMPUTED_VALUE"""),"Adventure")</f>
        <v>Adventure</v>
      </c>
      <c r="D110" s="6">
        <f ca="1">IFERROR(__xludf.DUMMYFUNCTION("""COMPUTED_VALUE"""),0.05)</f>
        <v>0.05</v>
      </c>
      <c r="E110" s="7"/>
      <c r="F110" s="7"/>
      <c r="G110" s="7"/>
      <c r="H110" s="7"/>
      <c r="I110" s="7"/>
    </row>
    <row r="111" spans="1:9" ht="13.2">
      <c r="A111" s="5">
        <f ca="1">IFERROR(__xludf.DUMMYFUNCTION("""COMPUTED_VALUE"""),10)</f>
        <v>10</v>
      </c>
      <c r="B111" s="5" t="str">
        <f ca="1">IFERROR(__xludf.DUMMYFUNCTION("""COMPUTED_VALUE"""),"Caltrops")</f>
        <v>Caltrops</v>
      </c>
      <c r="C111" s="5" t="str">
        <f ca="1">IFERROR(__xludf.DUMMYFUNCTION("""COMPUTED_VALUE"""),"Adventure")</f>
        <v>Adventure</v>
      </c>
      <c r="D111" s="6">
        <f ca="1">IFERROR(__xludf.DUMMYFUNCTION("""COMPUTED_VALUE"""),0.1)</f>
        <v>0.1</v>
      </c>
      <c r="E111" s="7"/>
      <c r="F111" s="7"/>
      <c r="G111" s="7"/>
      <c r="H111" s="7"/>
      <c r="I111" s="7"/>
    </row>
    <row r="112" spans="1:9" ht="13.2">
      <c r="A112" s="5">
        <f ca="1">IFERROR(__xludf.DUMMYFUNCTION("""COMPUTED_VALUE"""),11)</f>
        <v>11</v>
      </c>
      <c r="B112" s="5" t="str">
        <f ca="1">IFERROR(__xludf.DUMMYFUNCTION("""COMPUTED_VALUE"""),"Candle")</f>
        <v>Candle</v>
      </c>
      <c r="C112" s="5" t="str">
        <f ca="1">IFERROR(__xludf.DUMMYFUNCTION("""COMPUTED_VALUE"""),"Adventure")</f>
        <v>Adventure</v>
      </c>
      <c r="D112" s="6">
        <f ca="1">IFERROR(__xludf.DUMMYFUNCTION("""COMPUTED_VALUE"""),0.1)</f>
        <v>0.1</v>
      </c>
      <c r="E112" s="7"/>
      <c r="F112" s="7"/>
      <c r="G112" s="7"/>
      <c r="H112" s="7"/>
      <c r="I112" s="7"/>
    </row>
    <row r="113" spans="1:9" ht="13.2">
      <c r="A113" s="5">
        <f ca="1">IFERROR(__xludf.DUMMYFUNCTION("""COMPUTED_VALUE"""),12)</f>
        <v>12</v>
      </c>
      <c r="B113" s="5" t="str">
        <f ca="1">IFERROR(__xludf.DUMMYFUNCTION("""COMPUTED_VALUE"""),"Canvas (sq. yd.)")</f>
        <v>Canvas (sq. yd.)</v>
      </c>
      <c r="C113" s="5" t="str">
        <f ca="1">IFERROR(__xludf.DUMMYFUNCTION("""COMPUTED_VALUE"""),"Adventure")</f>
        <v>Adventure</v>
      </c>
      <c r="D113" s="6">
        <f ca="1">IFERROR(__xludf.DUMMYFUNCTION("""COMPUTED_VALUE"""),0.1)</f>
        <v>0.1</v>
      </c>
      <c r="E113" s="7"/>
      <c r="F113" s="7"/>
      <c r="G113" s="7"/>
      <c r="H113" s="7"/>
      <c r="I113" s="7"/>
    </row>
    <row r="114" spans="1:9" ht="13.2">
      <c r="A114" s="5">
        <f ca="1">IFERROR(__xludf.DUMMYFUNCTION("""COMPUTED_VALUE"""),13)</f>
        <v>13</v>
      </c>
      <c r="B114" s="5" t="str">
        <f ca="1">IFERROR(__xludf.DUMMYFUNCTION("""COMPUTED_VALUE"""),"Case, map or scroll")</f>
        <v>Case, map or scroll</v>
      </c>
      <c r="C114" s="5" t="str">
        <f ca="1">IFERROR(__xludf.DUMMYFUNCTION("""COMPUTED_VALUE"""),"Adventure")</f>
        <v>Adventure</v>
      </c>
      <c r="D114" s="6">
        <f ca="1">IFERROR(__xludf.DUMMYFUNCTION("""COMPUTED_VALUE"""),1)</f>
        <v>1</v>
      </c>
      <c r="E114" s="7"/>
      <c r="F114" s="7"/>
      <c r="G114" s="7"/>
      <c r="H114" s="7"/>
      <c r="I114" s="7"/>
    </row>
    <row r="115" spans="1:9" ht="13.2">
      <c r="A115" s="5">
        <f ca="1">IFERROR(__xludf.DUMMYFUNCTION("""COMPUTED_VALUE"""),14)</f>
        <v>14</v>
      </c>
      <c r="B115" s="5" t="str">
        <f ca="1">IFERROR(__xludf.DUMMYFUNCTION("""COMPUTED_VALUE"""),"Chain (10 ft.)")</f>
        <v>Chain (10 ft.)</v>
      </c>
      <c r="C115" s="5" t="str">
        <f ca="1">IFERROR(__xludf.DUMMYFUNCTION("""COMPUTED_VALUE"""),"Adventure")</f>
        <v>Adventure</v>
      </c>
      <c r="D115" s="6">
        <f ca="1">IFERROR(__xludf.DUMMYFUNCTION("""COMPUTED_VALUE"""),30)</f>
        <v>30</v>
      </c>
      <c r="E115" s="7"/>
      <c r="F115" s="7"/>
      <c r="G115" s="7"/>
      <c r="H115" s="7"/>
      <c r="I115" s="7"/>
    </row>
    <row r="116" spans="1:9" ht="13.2">
      <c r="A116" s="5">
        <f ca="1">IFERROR(__xludf.DUMMYFUNCTION("""COMPUTED_VALUE"""),15)</f>
        <v>15</v>
      </c>
      <c r="B116" s="5" t="str">
        <f ca="1">IFERROR(__xludf.DUMMYFUNCTION("""COMPUTED_VALUE"""),"Chalk, 1 piece")</f>
        <v>Chalk, 1 piece</v>
      </c>
      <c r="C116" s="5" t="str">
        <f ca="1">IFERROR(__xludf.DUMMYFUNCTION("""COMPUTED_VALUE"""),"Adventure")</f>
        <v>Adventure</v>
      </c>
      <c r="D116" s="6">
        <f ca="1">IFERROR(__xludf.DUMMYFUNCTION("""COMPUTED_VALUE"""),0.01)</f>
        <v>0.01</v>
      </c>
      <c r="E116" s="7"/>
      <c r="F116" s="7"/>
      <c r="G116" s="7"/>
      <c r="H116" s="7"/>
      <c r="I116" s="7"/>
    </row>
    <row r="117" spans="1:9" ht="13.2">
      <c r="A117" s="5">
        <f ca="1">IFERROR(__xludf.DUMMYFUNCTION("""COMPUTED_VALUE"""),16)</f>
        <v>16</v>
      </c>
      <c r="B117" s="5" t="str">
        <f ca="1">IFERROR(__xludf.DUMMYFUNCTION("""COMPUTED_VALUE"""),"Chest (empty)")</f>
        <v>Chest (empty)</v>
      </c>
      <c r="C117" s="5" t="str">
        <f ca="1">IFERROR(__xludf.DUMMYFUNCTION("""COMPUTED_VALUE"""),"Adventure")</f>
        <v>Adventure</v>
      </c>
      <c r="D117" s="6">
        <f ca="1">IFERROR(__xludf.DUMMYFUNCTION("""COMPUTED_VALUE"""),2)</f>
        <v>2</v>
      </c>
      <c r="E117" s="7"/>
      <c r="F117" s="7"/>
      <c r="G117" s="7"/>
      <c r="H117" s="7"/>
      <c r="I117" s="7"/>
    </row>
    <row r="118" spans="1:9" ht="13.2">
      <c r="A118" s="5">
        <f ca="1">IFERROR(__xludf.DUMMYFUNCTION("""COMPUTED_VALUE"""),17)</f>
        <v>17</v>
      </c>
      <c r="B118" s="5" t="str">
        <f ca="1">IFERROR(__xludf.DUMMYFUNCTION("""COMPUTED_VALUE"""),"Crowbar")</f>
        <v>Crowbar</v>
      </c>
      <c r="C118" s="5" t="str">
        <f ca="1">IFERROR(__xludf.DUMMYFUNCTION("""COMPUTED_VALUE"""),"Adventure")</f>
        <v>Adventure</v>
      </c>
      <c r="D118" s="6">
        <f ca="1">IFERROR(__xludf.DUMMYFUNCTION("""COMPUTED_VALUE"""),2)</f>
        <v>2</v>
      </c>
      <c r="E118" s="7"/>
      <c r="F118" s="7"/>
      <c r="G118" s="7"/>
      <c r="H118" s="7"/>
      <c r="I118" s="7"/>
    </row>
    <row r="119" spans="1:9" ht="13.2">
      <c r="A119" s="5">
        <f ca="1">IFERROR(__xludf.DUMMYFUNCTION("""COMPUTED_VALUE"""),18)</f>
        <v>18</v>
      </c>
      <c r="B119" s="5" t="str">
        <f ca="1">IFERROR(__xludf.DUMMYFUNCTION("""COMPUTED_VALUE"""),"Firewood (per day)")</f>
        <v>Firewood (per day)</v>
      </c>
      <c r="C119" s="5" t="str">
        <f ca="1">IFERROR(__xludf.DUMMYFUNCTION("""COMPUTED_VALUE"""),"Adventure")</f>
        <v>Adventure</v>
      </c>
      <c r="D119" s="6">
        <f ca="1">IFERROR(__xludf.DUMMYFUNCTION("""COMPUTED_VALUE"""),0.01)</f>
        <v>0.01</v>
      </c>
      <c r="E119" s="7"/>
      <c r="F119" s="7"/>
      <c r="G119" s="7"/>
      <c r="H119" s="7"/>
      <c r="I119" s="7"/>
    </row>
    <row r="120" spans="1:9" ht="13.2">
      <c r="A120" s="5">
        <f ca="1">IFERROR(__xludf.DUMMYFUNCTION("""COMPUTED_VALUE"""),19)</f>
        <v>19</v>
      </c>
      <c r="B120" s="5" t="str">
        <f ca="1">IFERROR(__xludf.DUMMYFUNCTION("""COMPUTED_VALUE"""),"Fishhook")</f>
        <v>Fishhook</v>
      </c>
      <c r="C120" s="5" t="str">
        <f ca="1">IFERROR(__xludf.DUMMYFUNCTION("""COMPUTED_VALUE"""),"Adventure")</f>
        <v>Adventure</v>
      </c>
      <c r="D120" s="6">
        <f ca="1">IFERROR(__xludf.DUMMYFUNCTION("""COMPUTED_VALUE"""),0.1)</f>
        <v>0.1</v>
      </c>
      <c r="E120" s="7"/>
      <c r="F120" s="7"/>
      <c r="G120" s="7"/>
      <c r="H120" s="7"/>
      <c r="I120" s="7"/>
    </row>
    <row r="121" spans="1:9" ht="13.2">
      <c r="A121" s="5">
        <f ca="1">IFERROR(__xludf.DUMMYFUNCTION("""COMPUTED_VALUE"""),20)</f>
        <v>20</v>
      </c>
      <c r="B121" s="5" t="str">
        <f ca="1">IFERROR(__xludf.DUMMYFUNCTION("""COMPUTED_VALUE"""),"Fishing net, 25 sq. ft.")</f>
        <v>Fishing net, 25 sq. ft.</v>
      </c>
      <c r="C121" s="5" t="str">
        <f ca="1">IFERROR(__xludf.DUMMYFUNCTION("""COMPUTED_VALUE"""),"Adventure")</f>
        <v>Adventure</v>
      </c>
      <c r="D121" s="6">
        <f ca="1">IFERROR(__xludf.DUMMYFUNCTION("""COMPUTED_VALUE"""),4)</f>
        <v>4</v>
      </c>
      <c r="E121" s="7"/>
      <c r="F121" s="7"/>
      <c r="G121" s="7"/>
      <c r="H121" s="7"/>
      <c r="I121" s="7"/>
    </row>
    <row r="122" spans="1:9" ht="13.2">
      <c r="A122" s="5">
        <f ca="1">IFERROR(__xludf.DUMMYFUNCTION("""COMPUTED_VALUE"""),21)</f>
        <v>21</v>
      </c>
      <c r="B122" s="5" t="str">
        <f ca="1">IFERROR(__xludf.DUMMYFUNCTION("""COMPUTED_VALUE"""),"Flask (empty)")</f>
        <v>Flask (empty)</v>
      </c>
      <c r="C122" s="5" t="str">
        <f ca="1">IFERROR(__xludf.DUMMYFUNCTION("""COMPUTED_VALUE"""),"Adventure")</f>
        <v>Adventure</v>
      </c>
      <c r="D122" s="6">
        <f ca="1">IFERROR(__xludf.DUMMYFUNCTION("""COMPUTED_VALUE"""),0.03)</f>
        <v>0.03</v>
      </c>
      <c r="E122" s="7"/>
      <c r="F122" s="7"/>
      <c r="G122" s="7"/>
      <c r="H122" s="7"/>
      <c r="I122" s="7"/>
    </row>
    <row r="123" spans="1:9" ht="13.2">
      <c r="A123" s="5">
        <f ca="1">IFERROR(__xludf.DUMMYFUNCTION("""COMPUTED_VALUE"""),22)</f>
        <v>22</v>
      </c>
      <c r="B123" s="5" t="str">
        <f ca="1">IFERROR(__xludf.DUMMYFUNCTION("""COMPUTED_VALUE"""),"Flint and steel")</f>
        <v>Flint and steel</v>
      </c>
      <c r="C123" s="5" t="str">
        <f ca="1">IFERROR(__xludf.DUMMYFUNCTION("""COMPUTED_VALUE"""),"Adventure")</f>
        <v>Adventure</v>
      </c>
      <c r="D123" s="6">
        <f ca="1">IFERROR(__xludf.DUMMYFUNCTION("""COMPUTED_VALUE"""),1)</f>
        <v>1</v>
      </c>
      <c r="E123" s="7"/>
      <c r="F123" s="7"/>
      <c r="G123" s="7"/>
      <c r="H123" s="7"/>
      <c r="I123" s="7"/>
    </row>
    <row r="124" spans="1:9" ht="13.2">
      <c r="A124" s="5">
        <f ca="1">IFERROR(__xludf.DUMMYFUNCTION("""COMPUTED_VALUE"""),23)</f>
        <v>23</v>
      </c>
      <c r="B124" s="5" t="str">
        <f ca="1">IFERROR(__xludf.DUMMYFUNCTION("""COMPUTED_VALUE"""),"Grappling hook")</f>
        <v>Grappling hook</v>
      </c>
      <c r="C124" s="5" t="str">
        <f ca="1">IFERROR(__xludf.DUMMYFUNCTION("""COMPUTED_VALUE"""),"Adventure")</f>
        <v>Adventure</v>
      </c>
      <c r="D124" s="6">
        <f ca="1">IFERROR(__xludf.DUMMYFUNCTION("""COMPUTED_VALUE"""),1)</f>
        <v>1</v>
      </c>
      <c r="E124" s="7"/>
      <c r="F124" s="7"/>
      <c r="G124" s="7"/>
      <c r="H124" s="7"/>
      <c r="I124" s="7"/>
    </row>
    <row r="125" spans="1:9" ht="13.2">
      <c r="A125" s="5">
        <f ca="1">IFERROR(__xludf.DUMMYFUNCTION("""COMPUTED_VALUE"""),24)</f>
        <v>24</v>
      </c>
      <c r="B125" s="5" t="str">
        <f ca="1">IFERROR(__xludf.DUMMYFUNCTION("""COMPUTED_VALUE"""),"Hammer")</f>
        <v>Hammer</v>
      </c>
      <c r="C125" s="5" t="str">
        <f ca="1">IFERROR(__xludf.DUMMYFUNCTION("""COMPUTED_VALUE"""),"Adventure")</f>
        <v>Adventure</v>
      </c>
      <c r="D125" s="6">
        <f ca="1">IFERROR(__xludf.DUMMYFUNCTION("""COMPUTED_VALUE"""),0.5)</f>
        <v>0.5</v>
      </c>
      <c r="E125" s="7"/>
      <c r="F125" s="7"/>
      <c r="G125" s="7"/>
      <c r="H125" s="7"/>
      <c r="I125" s="7"/>
    </row>
    <row r="126" spans="1:9" ht="13.2">
      <c r="A126" s="5">
        <f ca="1">IFERROR(__xludf.DUMMYFUNCTION("""COMPUTED_VALUE"""),25)</f>
        <v>25</v>
      </c>
      <c r="B126" s="5" t="str">
        <f ca="1">IFERROR(__xludf.DUMMYFUNCTION("""COMPUTED_VALUE"""),"Ink (1 oz. vial)")</f>
        <v>Ink (1 oz. vial)</v>
      </c>
      <c r="C126" s="5" t="str">
        <f ca="1">IFERROR(__xludf.DUMMYFUNCTION("""COMPUTED_VALUE"""),"Adventure")</f>
        <v>Adventure</v>
      </c>
      <c r="D126" s="6">
        <f ca="1">IFERROR(__xludf.DUMMYFUNCTION("""COMPUTED_VALUE"""),8)</f>
        <v>8</v>
      </c>
      <c r="E126" s="7"/>
      <c r="F126" s="7"/>
      <c r="G126" s="7"/>
      <c r="H126" s="7"/>
      <c r="I126" s="7"/>
    </row>
    <row r="127" spans="1:9" ht="13.2">
      <c r="A127" s="5">
        <f ca="1">IFERROR(__xludf.DUMMYFUNCTION("""COMPUTED_VALUE"""),26)</f>
        <v>26</v>
      </c>
      <c r="B127" s="5" t="str">
        <f ca="1">IFERROR(__xludf.DUMMYFUNCTION("""COMPUTED_VALUE"""),"Inkpen")</f>
        <v>Inkpen</v>
      </c>
      <c r="C127" s="5" t="str">
        <f ca="1">IFERROR(__xludf.DUMMYFUNCTION("""COMPUTED_VALUE"""),"Adventure")</f>
        <v>Adventure</v>
      </c>
      <c r="D127" s="6">
        <f ca="1">IFERROR(__xludf.DUMMYFUNCTION("""COMPUTED_VALUE"""),0.1)</f>
        <v>0.1</v>
      </c>
      <c r="E127" s="7"/>
      <c r="F127" s="7"/>
      <c r="G127" s="7"/>
      <c r="H127" s="7"/>
      <c r="I127" s="7"/>
    </row>
    <row r="128" spans="1:9" ht="13.2">
      <c r="A128" s="5">
        <f ca="1">IFERROR(__xludf.DUMMYFUNCTION("""COMPUTED_VALUE"""),27)</f>
        <v>27</v>
      </c>
      <c r="B128" s="5" t="str">
        <f ca="1">IFERROR(__xludf.DUMMYFUNCTION("""COMPUTED_VALUE"""),"Jug, clay")</f>
        <v>Jug, clay</v>
      </c>
      <c r="C128" s="5" t="str">
        <f ca="1">IFERROR(__xludf.DUMMYFUNCTION("""COMPUTED_VALUE"""),"Adventure")</f>
        <v>Adventure</v>
      </c>
      <c r="D128" s="6">
        <f ca="1">IFERROR(__xludf.DUMMYFUNCTION("""COMPUTED_VALUE"""),0.04)</f>
        <v>0.04</v>
      </c>
      <c r="E128" s="7"/>
      <c r="F128" s="7"/>
      <c r="G128" s="7"/>
      <c r="H128" s="7"/>
      <c r="I128" s="7"/>
    </row>
    <row r="129" spans="1:9" ht="13.2">
      <c r="A129" s="5">
        <f ca="1">IFERROR(__xludf.DUMMYFUNCTION("""COMPUTED_VALUE"""),28)</f>
        <v>28</v>
      </c>
      <c r="B129" s="5" t="str">
        <f ca="1">IFERROR(__xludf.DUMMYFUNCTION("""COMPUTED_VALUE"""),"Ladder, 10-foot")</f>
        <v>Ladder, 10-foot</v>
      </c>
      <c r="C129" s="5" t="str">
        <f ca="1">IFERROR(__xludf.DUMMYFUNCTION("""COMPUTED_VALUE"""),"Adventure")</f>
        <v>Adventure</v>
      </c>
      <c r="D129" s="6">
        <f ca="1">IFERROR(__xludf.DUMMYFUNCTION("""COMPUTED_VALUE"""),0.05)</f>
        <v>0.05</v>
      </c>
      <c r="E129" s="7"/>
      <c r="F129" s="7"/>
      <c r="G129" s="7"/>
      <c r="H129" s="7"/>
      <c r="I129" s="7"/>
    </row>
    <row r="130" spans="1:9" ht="13.2">
      <c r="A130" s="5">
        <f ca="1">IFERROR(__xludf.DUMMYFUNCTION("""COMPUTED_VALUE"""),29)</f>
        <v>29</v>
      </c>
      <c r="B130" s="5" t="str">
        <f ca="1">IFERROR(__xludf.DUMMYFUNCTION("""COMPUTED_VALUE"""),"Lamp, common")</f>
        <v>Lamp, common</v>
      </c>
      <c r="C130" s="5" t="str">
        <f ca="1">IFERROR(__xludf.DUMMYFUNCTION("""COMPUTED_VALUE"""),"Adventure")</f>
        <v>Adventure</v>
      </c>
      <c r="D130" s="6">
        <f ca="1">IFERROR(__xludf.DUMMYFUNCTION("""COMPUTED_VALUE"""),0.1)</f>
        <v>0.1</v>
      </c>
      <c r="E130" s="7"/>
      <c r="F130" s="7"/>
      <c r="G130" s="7"/>
      <c r="H130" s="7"/>
      <c r="I130" s="7"/>
    </row>
    <row r="131" spans="1:9" ht="13.2">
      <c r="A131" s="5">
        <f ca="1">IFERROR(__xludf.DUMMYFUNCTION("""COMPUTED_VALUE"""),30)</f>
        <v>30</v>
      </c>
      <c r="B131" s="5" t="str">
        <f ca="1">IFERROR(__xludf.DUMMYFUNCTION("""COMPUTED_VALUE"""),"Lantern, bullseye")</f>
        <v>Lantern, bullseye</v>
      </c>
      <c r="C131" s="5" t="str">
        <f ca="1">IFERROR(__xludf.DUMMYFUNCTION("""COMPUTED_VALUE"""),"Adventure")</f>
        <v>Adventure</v>
      </c>
      <c r="D131" s="6">
        <f ca="1">IFERROR(__xludf.DUMMYFUNCTION("""COMPUTED_VALUE"""),12)</f>
        <v>12</v>
      </c>
      <c r="E131" s="7"/>
      <c r="F131" s="7"/>
      <c r="G131" s="7"/>
      <c r="H131" s="7"/>
      <c r="I131" s="7"/>
    </row>
    <row r="132" spans="1:9" ht="13.2">
      <c r="A132" s="5">
        <f ca="1">IFERROR(__xludf.DUMMYFUNCTION("""COMPUTED_VALUE"""),31)</f>
        <v>31</v>
      </c>
      <c r="B132" s="5" t="str">
        <f ca="1">IFERROR(__xludf.DUMMYFUNCTION("""COMPUTED_VALUE"""),"Lantern, hooded")</f>
        <v>Lantern, hooded</v>
      </c>
      <c r="C132" s="5" t="str">
        <f ca="1">IFERROR(__xludf.DUMMYFUNCTION("""COMPUTED_VALUE"""),"Adventure")</f>
        <v>Adventure</v>
      </c>
      <c r="D132" s="6">
        <f ca="1">IFERROR(__xludf.DUMMYFUNCTION("""COMPUTED_VALUE"""),7)</f>
        <v>7</v>
      </c>
      <c r="E132" s="7"/>
      <c r="F132" s="7"/>
      <c r="G132" s="7"/>
      <c r="H132" s="7"/>
      <c r="I132" s="7"/>
    </row>
    <row r="133" spans="1:9" ht="13.2">
      <c r="A133" s="5">
        <f ca="1">IFERROR(__xludf.DUMMYFUNCTION("""COMPUTED_VALUE"""),33)</f>
        <v>33</v>
      </c>
      <c r="B133" s="5" t="str">
        <f ca="1">IFERROR(__xludf.DUMMYFUNCTION("""COMPUTED_VALUE"""),"Lock - Very simple")</f>
        <v>Lock - Very simple</v>
      </c>
      <c r="C133" s="5" t="str">
        <f ca="1">IFERROR(__xludf.DUMMYFUNCTION("""COMPUTED_VALUE"""),"Adventure")</f>
        <v>Adventure</v>
      </c>
      <c r="D133" s="6">
        <f ca="1">IFERROR(__xludf.DUMMYFUNCTION("""COMPUTED_VALUE"""),20)</f>
        <v>20</v>
      </c>
      <c r="E133" s="7"/>
      <c r="F133" s="7"/>
      <c r="G133" s="7"/>
      <c r="H133" s="7"/>
      <c r="I133" s="7"/>
    </row>
    <row r="134" spans="1:9" ht="13.2">
      <c r="A134" s="5">
        <f ca="1">IFERROR(__xludf.DUMMYFUNCTION("""COMPUTED_VALUE"""),34)</f>
        <v>34</v>
      </c>
      <c r="B134" s="5" t="str">
        <f ca="1">IFERROR(__xludf.DUMMYFUNCTION("""COMPUTED_VALUE"""),"Lock - Average")</f>
        <v>Lock - Average</v>
      </c>
      <c r="C134" s="5" t="str">
        <f ca="1">IFERROR(__xludf.DUMMYFUNCTION("""COMPUTED_VALUE"""),"Adventure")</f>
        <v>Adventure</v>
      </c>
      <c r="D134" s="6">
        <f ca="1">IFERROR(__xludf.DUMMYFUNCTION("""COMPUTED_VALUE"""),40)</f>
        <v>40</v>
      </c>
      <c r="E134" s="7"/>
      <c r="F134" s="7"/>
      <c r="G134" s="7"/>
      <c r="H134" s="7"/>
      <c r="I134" s="7"/>
    </row>
    <row r="135" spans="1:9" ht="13.2">
      <c r="A135" s="5">
        <f ca="1">IFERROR(__xludf.DUMMYFUNCTION("""COMPUTED_VALUE"""),35)</f>
        <v>35</v>
      </c>
      <c r="B135" s="5" t="str">
        <f ca="1">IFERROR(__xludf.DUMMYFUNCTION("""COMPUTED_VALUE"""),"Lock - Good")</f>
        <v>Lock - Good</v>
      </c>
      <c r="C135" s="5" t="str">
        <f ca="1">IFERROR(__xludf.DUMMYFUNCTION("""COMPUTED_VALUE"""),"Adventure")</f>
        <v>Adventure</v>
      </c>
      <c r="D135" s="6">
        <f ca="1">IFERROR(__xludf.DUMMYFUNCTION("""COMPUTED_VALUE"""),80)</f>
        <v>80</v>
      </c>
      <c r="E135" s="7"/>
      <c r="F135" s="7"/>
      <c r="G135" s="7"/>
      <c r="H135" s="7"/>
      <c r="I135" s="7"/>
    </row>
    <row r="136" spans="1:9" ht="13.2">
      <c r="A136" s="5">
        <f ca="1">IFERROR(__xludf.DUMMYFUNCTION("""COMPUTED_VALUE"""),36)</f>
        <v>36</v>
      </c>
      <c r="B136" s="5" t="str">
        <f ca="1">IFERROR(__xludf.DUMMYFUNCTION("""COMPUTED_VALUE"""),"Lock - Amazing")</f>
        <v>Lock - Amazing</v>
      </c>
      <c r="C136" s="5" t="str">
        <f ca="1">IFERROR(__xludf.DUMMYFUNCTION("""COMPUTED_VALUE"""),"Adventure")</f>
        <v>Adventure</v>
      </c>
      <c r="D136" s="6">
        <f ca="1">IFERROR(__xludf.DUMMYFUNCTION("""COMPUTED_VALUE"""),150)</f>
        <v>150</v>
      </c>
      <c r="E136" s="7"/>
      <c r="F136" s="7"/>
      <c r="G136" s="7"/>
      <c r="H136" s="7"/>
      <c r="I136" s="7"/>
    </row>
    <row r="137" spans="1:9" ht="13.2">
      <c r="A137" s="5">
        <f ca="1">IFERROR(__xludf.DUMMYFUNCTION("""COMPUTED_VALUE"""),37)</f>
        <v>37</v>
      </c>
      <c r="B137" s="5" t="str">
        <f ca="1">IFERROR(__xludf.DUMMYFUNCTION("""COMPUTED_VALUE"""),"Manacles")</f>
        <v>Manacles</v>
      </c>
      <c r="C137" s="5" t="str">
        <f ca="1">IFERROR(__xludf.DUMMYFUNCTION("""COMPUTED_VALUE"""),"Adventure")</f>
        <v>Adventure</v>
      </c>
      <c r="D137" s="6">
        <f ca="1">IFERROR(__xludf.DUMMYFUNCTION("""COMPUTED_VALUE"""),15)</f>
        <v>15</v>
      </c>
      <c r="E137" s="7"/>
      <c r="F137" s="7"/>
      <c r="G137" s="7"/>
      <c r="H137" s="7"/>
      <c r="I137" s="7"/>
    </row>
    <row r="138" spans="1:9" ht="13.2">
      <c r="A138" s="5">
        <f ca="1">IFERROR(__xludf.DUMMYFUNCTION("""COMPUTED_VALUE"""),38)</f>
        <v>38</v>
      </c>
      <c r="B138" s="5" t="str">
        <f ca="1">IFERROR(__xludf.DUMMYFUNCTION("""COMPUTED_VALUE"""),"Manacles, masterwork")</f>
        <v>Manacles, masterwork</v>
      </c>
      <c r="C138" s="5" t="str">
        <f ca="1">IFERROR(__xludf.DUMMYFUNCTION("""COMPUTED_VALUE"""),"Adventure")</f>
        <v>Adventure</v>
      </c>
      <c r="D138" s="6">
        <f ca="1">IFERROR(__xludf.DUMMYFUNCTION("""COMPUTED_VALUE"""),50)</f>
        <v>50</v>
      </c>
      <c r="E138" s="7"/>
      <c r="F138" s="7"/>
      <c r="G138" s="7"/>
      <c r="H138" s="7"/>
      <c r="I138" s="7"/>
    </row>
    <row r="139" spans="1:9" ht="13.2">
      <c r="A139" s="5">
        <f ca="1">IFERROR(__xludf.DUMMYFUNCTION("""COMPUTED_VALUE"""),39)</f>
        <v>39</v>
      </c>
      <c r="B139" s="5" t="str">
        <f ca="1">IFERROR(__xludf.DUMMYFUNCTION("""COMPUTED_VALUE"""),"Mirror, small steel")</f>
        <v>Mirror, small steel</v>
      </c>
      <c r="C139" s="5" t="str">
        <f ca="1">IFERROR(__xludf.DUMMYFUNCTION("""COMPUTED_VALUE"""),"Adventure")</f>
        <v>Adventure</v>
      </c>
      <c r="D139" s="6">
        <f ca="1">IFERROR(__xludf.DUMMYFUNCTION("""COMPUTED_VALUE"""),10)</f>
        <v>10</v>
      </c>
      <c r="E139" s="7"/>
      <c r="F139" s="7"/>
      <c r="G139" s="7"/>
      <c r="H139" s="7"/>
      <c r="I139" s="7"/>
    </row>
    <row r="140" spans="1:9" ht="13.2">
      <c r="A140" s="5">
        <f ca="1">IFERROR(__xludf.DUMMYFUNCTION("""COMPUTED_VALUE"""),40)</f>
        <v>40</v>
      </c>
      <c r="B140" s="5" t="str">
        <f ca="1">IFERROR(__xludf.DUMMYFUNCTION("""COMPUTED_VALUE"""),"Mug/Tankard, clay")</f>
        <v>Mug/Tankard, clay</v>
      </c>
      <c r="C140" s="5" t="str">
        <f ca="1">IFERROR(__xludf.DUMMYFUNCTION("""COMPUTED_VALUE"""),"Adventure")</f>
        <v>Adventure</v>
      </c>
      <c r="D140" s="6">
        <f ca="1">IFERROR(__xludf.DUMMYFUNCTION("""COMPUTED_VALUE"""),0.002)</f>
        <v>2E-3</v>
      </c>
      <c r="E140" s="7"/>
      <c r="F140" s="7"/>
      <c r="G140" s="7"/>
      <c r="H140" s="7"/>
      <c r="I140" s="7"/>
    </row>
    <row r="141" spans="1:9" ht="13.2">
      <c r="A141" s="5">
        <f ca="1">IFERROR(__xludf.DUMMYFUNCTION("""COMPUTED_VALUE"""),41)</f>
        <v>41</v>
      </c>
      <c r="B141" s="5" t="str">
        <f ca="1">IFERROR(__xludf.DUMMYFUNCTION("""COMPUTED_VALUE"""),"Oil (1-pint flask)")</f>
        <v>Oil (1-pint flask)</v>
      </c>
      <c r="C141" s="5" t="str">
        <f ca="1">IFERROR(__xludf.DUMMYFUNCTION("""COMPUTED_VALUE"""),"Adventure")</f>
        <v>Adventure</v>
      </c>
      <c r="D141" s="6">
        <f ca="1">IFERROR(__xludf.DUMMYFUNCTION("""COMPUTED_VALUE"""),0.1)</f>
        <v>0.1</v>
      </c>
      <c r="E141" s="7"/>
      <c r="F141" s="7"/>
      <c r="G141" s="7"/>
      <c r="H141" s="7"/>
      <c r="I141" s="7"/>
    </row>
    <row r="142" spans="1:9" ht="13.2">
      <c r="A142" s="5">
        <f ca="1">IFERROR(__xludf.DUMMYFUNCTION("""COMPUTED_VALUE"""),42)</f>
        <v>42</v>
      </c>
      <c r="B142" s="5" t="str">
        <f ca="1">IFERROR(__xludf.DUMMYFUNCTION("""COMPUTED_VALUE"""),"Paper (sheet)")</f>
        <v>Paper (sheet)</v>
      </c>
      <c r="C142" s="5" t="str">
        <f ca="1">IFERROR(__xludf.DUMMYFUNCTION("""COMPUTED_VALUE"""),"Adventure")</f>
        <v>Adventure</v>
      </c>
      <c r="D142" s="6">
        <f ca="1">IFERROR(__xludf.DUMMYFUNCTION("""COMPUTED_VALUE"""),0.4)</f>
        <v>0.4</v>
      </c>
      <c r="E142" s="7"/>
      <c r="F142" s="7"/>
      <c r="G142" s="7"/>
      <c r="H142" s="7"/>
      <c r="I142" s="7"/>
    </row>
    <row r="143" spans="1:9" ht="13.2">
      <c r="A143" s="5">
        <f ca="1">IFERROR(__xludf.DUMMYFUNCTION("""COMPUTED_VALUE"""),43)</f>
        <v>43</v>
      </c>
      <c r="B143" s="5" t="str">
        <f ca="1">IFERROR(__xludf.DUMMYFUNCTION("""COMPUTED_VALUE"""),"Parchment (sheet)")</f>
        <v>Parchment (sheet)</v>
      </c>
      <c r="C143" s="5" t="str">
        <f ca="1">IFERROR(__xludf.DUMMYFUNCTION("""COMPUTED_VALUE"""),"Adventure")</f>
        <v>Adventure</v>
      </c>
      <c r="D143" s="6">
        <f ca="1">IFERROR(__xludf.DUMMYFUNCTION("""COMPUTED_VALUE"""),0.2)</f>
        <v>0.2</v>
      </c>
      <c r="E143" s="7"/>
      <c r="F143" s="7"/>
      <c r="G143" s="7"/>
      <c r="H143" s="7"/>
      <c r="I143" s="7"/>
    </row>
    <row r="144" spans="1:9" ht="13.2">
      <c r="A144" s="5">
        <f ca="1">IFERROR(__xludf.DUMMYFUNCTION("""COMPUTED_VALUE"""),44)</f>
        <v>44</v>
      </c>
      <c r="B144" s="5" t="str">
        <f ca="1">IFERROR(__xludf.DUMMYFUNCTION("""COMPUTED_VALUE"""),"Pick, miner’s")</f>
        <v>Pick, miner’s</v>
      </c>
      <c r="C144" s="5" t="str">
        <f ca="1">IFERROR(__xludf.DUMMYFUNCTION("""COMPUTED_VALUE"""),"Adventure")</f>
        <v>Adventure</v>
      </c>
      <c r="D144" s="6">
        <f ca="1">IFERROR(__xludf.DUMMYFUNCTION("""COMPUTED_VALUE"""),3)</f>
        <v>3</v>
      </c>
      <c r="E144" s="7"/>
      <c r="F144" s="7"/>
      <c r="G144" s="7"/>
      <c r="H144" s="7"/>
      <c r="I144" s="7"/>
    </row>
    <row r="145" spans="1:9" ht="13.2">
      <c r="A145" s="5">
        <f ca="1">IFERROR(__xludf.DUMMYFUNCTION("""COMPUTED_VALUE"""),45)</f>
        <v>45</v>
      </c>
      <c r="B145" s="5" t="str">
        <f ca="1">IFERROR(__xludf.DUMMYFUNCTION("""COMPUTED_VALUE"""),"Pitcher, clay")</f>
        <v>Pitcher, clay</v>
      </c>
      <c r="C145" s="5" t="str">
        <f ca="1">IFERROR(__xludf.DUMMYFUNCTION("""COMPUTED_VALUE"""),"Adventure")</f>
        <v>Adventure</v>
      </c>
      <c r="D145" s="6">
        <f ca="1">IFERROR(__xludf.DUMMYFUNCTION("""COMPUTED_VALUE"""),0.002)</f>
        <v>2E-3</v>
      </c>
      <c r="E145" s="7"/>
      <c r="F145" s="7"/>
      <c r="G145" s="7"/>
      <c r="H145" s="7"/>
      <c r="I145" s="7"/>
    </row>
    <row r="146" spans="1:9" ht="13.2">
      <c r="A146" s="5">
        <f ca="1">IFERROR(__xludf.DUMMYFUNCTION("""COMPUTED_VALUE"""),46)</f>
        <v>46</v>
      </c>
      <c r="B146" s="5" t="str">
        <f ca="1">IFERROR(__xludf.DUMMYFUNCTION("""COMPUTED_VALUE"""),"Piton")</f>
        <v>Piton</v>
      </c>
      <c r="C146" s="5" t="str">
        <f ca="1">IFERROR(__xludf.DUMMYFUNCTION("""COMPUTED_VALUE"""),"Adventure")</f>
        <v>Adventure</v>
      </c>
      <c r="D146" s="6">
        <f ca="1">IFERROR(__xludf.DUMMYFUNCTION("""COMPUTED_VALUE"""),0.1)</f>
        <v>0.1</v>
      </c>
      <c r="E146" s="7"/>
      <c r="F146" s="7"/>
      <c r="G146" s="7"/>
      <c r="H146" s="7"/>
      <c r="I146" s="7"/>
    </row>
    <row r="147" spans="1:9" ht="13.2">
      <c r="A147" s="5">
        <f ca="1">IFERROR(__xludf.DUMMYFUNCTION("""COMPUTED_VALUE"""),47)</f>
        <v>47</v>
      </c>
      <c r="B147" s="5" t="str">
        <f ca="1">IFERROR(__xludf.DUMMYFUNCTION("""COMPUTED_VALUE"""),"Pole, 10-foot")</f>
        <v>Pole, 10-foot</v>
      </c>
      <c r="C147" s="5" t="str">
        <f ca="1">IFERROR(__xludf.DUMMYFUNCTION("""COMPUTED_VALUE"""),"Adventure")</f>
        <v>Adventure</v>
      </c>
      <c r="D147" s="6">
        <f ca="1">IFERROR(__xludf.DUMMYFUNCTION("""COMPUTED_VALUE"""),0.02)</f>
        <v>0.02</v>
      </c>
      <c r="E147" s="7"/>
      <c r="F147" s="7"/>
      <c r="G147" s="7"/>
      <c r="H147" s="7"/>
      <c r="I147" s="7"/>
    </row>
    <row r="148" spans="1:9" ht="13.2">
      <c r="A148" s="5">
        <f ca="1">IFERROR(__xludf.DUMMYFUNCTION("""COMPUTED_VALUE"""),48)</f>
        <v>48</v>
      </c>
      <c r="B148" s="5" t="str">
        <f ca="1">IFERROR(__xludf.DUMMYFUNCTION("""COMPUTED_VALUE"""),"Pot, iron")</f>
        <v>Pot, iron</v>
      </c>
      <c r="C148" s="5" t="str">
        <f ca="1">IFERROR(__xludf.DUMMYFUNCTION("""COMPUTED_VALUE"""),"Adventure")</f>
        <v>Adventure</v>
      </c>
      <c r="D148" s="6">
        <f ca="1">IFERROR(__xludf.DUMMYFUNCTION("""COMPUTED_VALUE"""),0.05)</f>
        <v>0.05</v>
      </c>
      <c r="E148" s="7"/>
      <c r="F148" s="7"/>
      <c r="G148" s="7"/>
      <c r="H148" s="7"/>
      <c r="I148" s="7"/>
    </row>
    <row r="149" spans="1:9" ht="13.2">
      <c r="A149" s="5">
        <f ca="1">IFERROR(__xludf.DUMMYFUNCTION("""COMPUTED_VALUE"""),49)</f>
        <v>49</v>
      </c>
      <c r="B149" s="5" t="str">
        <f ca="1">IFERROR(__xludf.DUMMYFUNCTION("""COMPUTED_VALUE"""),"Pouch, belt (empty)")</f>
        <v>Pouch, belt (empty)</v>
      </c>
      <c r="C149" s="5" t="str">
        <f ca="1">IFERROR(__xludf.DUMMYFUNCTION("""COMPUTED_VALUE"""),"Adventure")</f>
        <v>Adventure</v>
      </c>
      <c r="D149" s="6">
        <f ca="1">IFERROR(__xludf.DUMMYFUNCTION("""COMPUTED_VALUE"""),1)</f>
        <v>1</v>
      </c>
      <c r="E149" s="7"/>
      <c r="F149" s="7"/>
      <c r="G149" s="7"/>
      <c r="H149" s="7"/>
      <c r="I149" s="7"/>
    </row>
    <row r="150" spans="1:9" ht="13.2">
      <c r="A150" s="5">
        <f ca="1">IFERROR(__xludf.DUMMYFUNCTION("""COMPUTED_VALUE"""),50)</f>
        <v>50</v>
      </c>
      <c r="B150" s="5" t="str">
        <f ca="1">IFERROR(__xludf.DUMMYFUNCTION("""COMPUTED_VALUE"""),"Ram, portable")</f>
        <v>Ram, portable</v>
      </c>
      <c r="C150" s="5" t="str">
        <f ca="1">IFERROR(__xludf.DUMMYFUNCTION("""COMPUTED_VALUE"""),"Adventure")</f>
        <v>Adventure</v>
      </c>
      <c r="D150" s="6">
        <f ca="1">IFERROR(__xludf.DUMMYFUNCTION("""COMPUTED_VALUE"""),10)</f>
        <v>10</v>
      </c>
      <c r="E150" s="7"/>
      <c r="F150" s="7"/>
      <c r="G150" s="7"/>
      <c r="H150" s="7"/>
      <c r="I150" s="7"/>
    </row>
    <row r="151" spans="1:9" ht="13.2">
      <c r="A151" s="5">
        <f ca="1">IFERROR(__xludf.DUMMYFUNCTION("""COMPUTED_VALUE"""),51)</f>
        <v>51</v>
      </c>
      <c r="B151" s="5" t="str">
        <f ca="1">IFERROR(__xludf.DUMMYFUNCTION("""COMPUTED_VALUE"""),"Rations, trail (per day)")</f>
        <v>Rations, trail (per day)</v>
      </c>
      <c r="C151" s="5" t="str">
        <f ca="1">IFERROR(__xludf.DUMMYFUNCTION("""COMPUTED_VALUE"""),"Adventure")</f>
        <v>Adventure</v>
      </c>
      <c r="D151" s="6">
        <f ca="1">IFERROR(__xludf.DUMMYFUNCTION("""COMPUTED_VALUE"""),0.05)</f>
        <v>0.05</v>
      </c>
      <c r="E151" s="7"/>
      <c r="F151" s="7"/>
      <c r="G151" s="7"/>
      <c r="H151" s="7"/>
      <c r="I151" s="7"/>
    </row>
    <row r="152" spans="1:9" ht="13.2">
      <c r="A152" s="5">
        <f ca="1">IFERROR(__xludf.DUMMYFUNCTION("""COMPUTED_VALUE"""),52)</f>
        <v>52</v>
      </c>
      <c r="B152" s="5" t="str">
        <f ca="1">IFERROR(__xludf.DUMMYFUNCTION("""COMPUTED_VALUE"""),"Rope, hempen (50 ft.)")</f>
        <v>Rope, hempen (50 ft.)</v>
      </c>
      <c r="C152" s="5" t="str">
        <f ca="1">IFERROR(__xludf.DUMMYFUNCTION("""COMPUTED_VALUE"""),"Adventure")</f>
        <v>Adventure</v>
      </c>
      <c r="D152" s="6">
        <f ca="1">IFERROR(__xludf.DUMMYFUNCTION("""COMPUTED_VALUE"""),1)</f>
        <v>1</v>
      </c>
      <c r="E152" s="7"/>
      <c r="F152" s="7"/>
      <c r="G152" s="7"/>
      <c r="H152" s="7"/>
      <c r="I152" s="7"/>
    </row>
    <row r="153" spans="1:9" ht="13.2">
      <c r="A153" s="5">
        <f ca="1">IFERROR(__xludf.DUMMYFUNCTION("""COMPUTED_VALUE"""),53)</f>
        <v>53</v>
      </c>
      <c r="B153" s="5" t="str">
        <f ca="1">IFERROR(__xludf.DUMMYFUNCTION("""COMPUTED_VALUE"""),"Rope, silk (50 ft.)")</f>
        <v>Rope, silk (50 ft.)</v>
      </c>
      <c r="C153" s="5" t="str">
        <f ca="1">IFERROR(__xludf.DUMMYFUNCTION("""COMPUTED_VALUE"""),"Adventure")</f>
        <v>Adventure</v>
      </c>
      <c r="D153" s="6">
        <f ca="1">IFERROR(__xludf.DUMMYFUNCTION("""COMPUTED_VALUE"""),10)</f>
        <v>10</v>
      </c>
      <c r="E153" s="7"/>
      <c r="F153" s="7"/>
      <c r="G153" s="7"/>
      <c r="H153" s="7"/>
      <c r="I153" s="7"/>
    </row>
    <row r="154" spans="1:9" ht="13.2">
      <c r="A154" s="5">
        <f ca="1">IFERROR(__xludf.DUMMYFUNCTION("""COMPUTED_VALUE"""),54)</f>
        <v>54</v>
      </c>
      <c r="B154" s="5" t="str">
        <f ca="1">IFERROR(__xludf.DUMMYFUNCTION("""COMPUTED_VALUE"""),"Sack (empty)")</f>
        <v>Sack (empty)</v>
      </c>
      <c r="C154" s="5" t="str">
        <f ca="1">IFERROR(__xludf.DUMMYFUNCTION("""COMPUTED_VALUE"""),"Adventure")</f>
        <v>Adventure</v>
      </c>
      <c r="D154" s="6">
        <f ca="1">IFERROR(__xludf.DUMMYFUNCTION("""COMPUTED_VALUE"""),0.01)</f>
        <v>0.01</v>
      </c>
      <c r="E154" s="7"/>
      <c r="F154" s="7"/>
      <c r="G154" s="7"/>
      <c r="H154" s="7"/>
      <c r="I154" s="7"/>
    </row>
    <row r="155" spans="1:9" ht="13.2">
      <c r="A155" s="5">
        <f ca="1">IFERROR(__xludf.DUMMYFUNCTION("""COMPUTED_VALUE"""),55)</f>
        <v>55</v>
      </c>
      <c r="B155" s="5" t="str">
        <f ca="1">IFERROR(__xludf.DUMMYFUNCTION("""COMPUTED_VALUE"""),"Sealing wax")</f>
        <v>Sealing wax</v>
      </c>
      <c r="C155" s="5" t="str">
        <f ca="1">IFERROR(__xludf.DUMMYFUNCTION("""COMPUTED_VALUE"""),"Adventure")</f>
        <v>Adventure</v>
      </c>
      <c r="D155" s="6">
        <f ca="1">IFERROR(__xludf.DUMMYFUNCTION("""COMPUTED_VALUE"""),1)</f>
        <v>1</v>
      </c>
      <c r="E155" s="7"/>
      <c r="F155" s="7"/>
      <c r="G155" s="7"/>
      <c r="H155" s="7"/>
      <c r="I155" s="7"/>
    </row>
    <row r="156" spans="1:9" ht="13.2">
      <c r="A156" s="5">
        <f ca="1">IFERROR(__xludf.DUMMYFUNCTION("""COMPUTED_VALUE"""),56)</f>
        <v>56</v>
      </c>
      <c r="B156" s="5" t="str">
        <f ca="1">IFERROR(__xludf.DUMMYFUNCTION("""COMPUTED_VALUE"""),"Sewing needle")</f>
        <v>Sewing needle</v>
      </c>
      <c r="C156" s="5" t="str">
        <f ca="1">IFERROR(__xludf.DUMMYFUNCTION("""COMPUTED_VALUE"""),"Adventure")</f>
        <v>Adventure</v>
      </c>
      <c r="D156" s="6">
        <f ca="1">IFERROR(__xludf.DUMMYFUNCTION("""COMPUTED_VALUE"""),0.05)</f>
        <v>0.05</v>
      </c>
      <c r="E156" s="7"/>
      <c r="F156" s="7"/>
      <c r="G156" s="7"/>
      <c r="H156" s="7"/>
      <c r="I156" s="7"/>
    </row>
    <row r="157" spans="1:9" ht="13.2">
      <c r="A157" s="5">
        <f ca="1">IFERROR(__xludf.DUMMYFUNCTION("""COMPUTED_VALUE"""),57)</f>
        <v>57</v>
      </c>
      <c r="B157" s="5" t="str">
        <f ca="1">IFERROR(__xludf.DUMMYFUNCTION("""COMPUTED_VALUE"""),"Signal whistle")</f>
        <v>Signal whistle</v>
      </c>
      <c r="C157" s="5" t="str">
        <f ca="1">IFERROR(__xludf.DUMMYFUNCTION("""COMPUTED_VALUE"""),"Adventure")</f>
        <v>Adventure</v>
      </c>
      <c r="D157" s="6">
        <f ca="1">IFERROR(__xludf.DUMMYFUNCTION("""COMPUTED_VALUE"""),0.08)</f>
        <v>0.08</v>
      </c>
      <c r="E157" s="7"/>
      <c r="F157" s="7"/>
      <c r="G157" s="7"/>
      <c r="H157" s="7"/>
      <c r="I157" s="7"/>
    </row>
    <row r="158" spans="1:9" ht="13.2">
      <c r="A158" s="5">
        <f ca="1">IFERROR(__xludf.DUMMYFUNCTION("""COMPUTED_VALUE"""),58)</f>
        <v>58</v>
      </c>
      <c r="B158" s="5" t="str">
        <f ca="1">IFERROR(__xludf.DUMMYFUNCTION("""COMPUTED_VALUE"""),"Signet ring")</f>
        <v>Signet ring</v>
      </c>
      <c r="C158" s="5" t="str">
        <f ca="1">IFERROR(__xludf.DUMMYFUNCTION("""COMPUTED_VALUE"""),"Adventure")</f>
        <v>Adventure</v>
      </c>
      <c r="D158" s="6">
        <f ca="1">IFERROR(__xludf.DUMMYFUNCTION("""COMPUTED_VALUE"""),5)</f>
        <v>5</v>
      </c>
      <c r="E158" s="7"/>
      <c r="F158" s="7"/>
      <c r="G158" s="7"/>
      <c r="H158" s="7"/>
      <c r="I158" s="7"/>
    </row>
    <row r="159" spans="1:9" ht="13.2">
      <c r="A159" s="5">
        <f ca="1">IFERROR(__xludf.DUMMYFUNCTION("""COMPUTED_VALUE"""),59)</f>
        <v>59</v>
      </c>
      <c r="B159" s="5" t="str">
        <f ca="1">IFERROR(__xludf.DUMMYFUNCTION("""COMPUTED_VALUE"""),"Sledge")</f>
        <v>Sledge</v>
      </c>
      <c r="C159" s="5" t="str">
        <f ca="1">IFERROR(__xludf.DUMMYFUNCTION("""COMPUTED_VALUE"""),"Adventure")</f>
        <v>Adventure</v>
      </c>
      <c r="D159" s="6">
        <f ca="1">IFERROR(__xludf.DUMMYFUNCTION("""COMPUTED_VALUE"""),1)</f>
        <v>1</v>
      </c>
      <c r="E159" s="7"/>
      <c r="F159" s="7"/>
      <c r="G159" s="7"/>
      <c r="H159" s="7"/>
      <c r="I159" s="7"/>
    </row>
    <row r="160" spans="1:9" ht="13.2">
      <c r="A160" s="5">
        <f ca="1">IFERROR(__xludf.DUMMYFUNCTION("""COMPUTED_VALUE"""),60)</f>
        <v>60</v>
      </c>
      <c r="B160" s="5" t="str">
        <f ca="1">IFERROR(__xludf.DUMMYFUNCTION("""COMPUTED_VALUE"""),"Soap (per lb.)")</f>
        <v>Soap (per lb.)</v>
      </c>
      <c r="C160" s="5" t="str">
        <f ca="1">IFERROR(__xludf.DUMMYFUNCTION("""COMPUTED_VALUE"""),"Adventure")</f>
        <v>Adventure</v>
      </c>
      <c r="D160" s="6">
        <f ca="1">IFERROR(__xludf.DUMMYFUNCTION("""COMPUTED_VALUE"""),0.05)</f>
        <v>0.05</v>
      </c>
      <c r="E160" s="7"/>
      <c r="F160" s="7"/>
      <c r="G160" s="7"/>
      <c r="H160" s="7"/>
      <c r="I160" s="7"/>
    </row>
    <row r="161" spans="1:9" ht="13.2">
      <c r="A161" s="5">
        <f ca="1">IFERROR(__xludf.DUMMYFUNCTION("""COMPUTED_VALUE"""),61)</f>
        <v>61</v>
      </c>
      <c r="B161" s="5" t="str">
        <f ca="1">IFERROR(__xludf.DUMMYFUNCTION("""COMPUTED_VALUE"""),"Spade or shovel")</f>
        <v>Spade or shovel</v>
      </c>
      <c r="C161" s="5" t="str">
        <f ca="1">IFERROR(__xludf.DUMMYFUNCTION("""COMPUTED_VALUE"""),"Adventure")</f>
        <v>Adventure</v>
      </c>
      <c r="D161" s="6">
        <f ca="1">IFERROR(__xludf.DUMMYFUNCTION("""COMPUTED_VALUE"""),2)</f>
        <v>2</v>
      </c>
      <c r="E161" s="7"/>
      <c r="F161" s="7"/>
      <c r="G161" s="7"/>
      <c r="H161" s="7"/>
      <c r="I161" s="7"/>
    </row>
    <row r="162" spans="1:9" ht="13.2">
      <c r="A162" s="5">
        <f ca="1">IFERROR(__xludf.DUMMYFUNCTION("""COMPUTED_VALUE"""),62)</f>
        <v>62</v>
      </c>
      <c r="B162" s="5" t="str">
        <f ca="1">IFERROR(__xludf.DUMMYFUNCTION("""COMPUTED_VALUE"""),"Spyglass")</f>
        <v>Spyglass</v>
      </c>
      <c r="C162" s="5" t="str">
        <f ca="1">IFERROR(__xludf.DUMMYFUNCTION("""COMPUTED_VALUE"""),"Adventure")</f>
        <v>Adventure</v>
      </c>
      <c r="D162" s="6">
        <f ca="1">IFERROR(__xludf.DUMMYFUNCTION("""COMPUTED_VALUE"""),1000)</f>
        <v>1000</v>
      </c>
      <c r="E162" s="7"/>
      <c r="F162" s="7"/>
      <c r="G162" s="7"/>
      <c r="H162" s="7"/>
      <c r="I162" s="7"/>
    </row>
    <row r="163" spans="1:9" ht="13.2">
      <c r="A163" s="5">
        <f ca="1">IFERROR(__xludf.DUMMYFUNCTION("""COMPUTED_VALUE"""),63)</f>
        <v>63</v>
      </c>
      <c r="B163" s="5" t="str">
        <f ca="1">IFERROR(__xludf.DUMMYFUNCTION("""COMPUTED_VALUE"""),"Tent")</f>
        <v>Tent</v>
      </c>
      <c r="C163" s="5" t="str">
        <f ca="1">IFERROR(__xludf.DUMMYFUNCTION("""COMPUTED_VALUE"""),"Adventure")</f>
        <v>Adventure</v>
      </c>
      <c r="D163" s="6">
        <f ca="1">IFERROR(__xludf.DUMMYFUNCTION("""COMPUTED_VALUE"""),10)</f>
        <v>10</v>
      </c>
      <c r="E163" s="7"/>
      <c r="F163" s="7"/>
      <c r="G163" s="7"/>
      <c r="H163" s="7"/>
      <c r="I163" s="7"/>
    </row>
    <row r="164" spans="1:9" ht="13.2">
      <c r="A164" s="5">
        <f ca="1">IFERROR(__xludf.DUMMYFUNCTION("""COMPUTED_VALUE"""),64)</f>
        <v>64</v>
      </c>
      <c r="B164" s="5" t="str">
        <f ca="1">IFERROR(__xludf.DUMMYFUNCTION("""COMPUTED_VALUE"""),"Torch")</f>
        <v>Torch</v>
      </c>
      <c r="C164" s="5" t="str">
        <f ca="1">IFERROR(__xludf.DUMMYFUNCTION("""COMPUTED_VALUE"""),"Adventure")</f>
        <v>Adventure</v>
      </c>
      <c r="D164" s="6">
        <f ca="1">IFERROR(__xludf.DUMMYFUNCTION("""COMPUTED_VALUE"""),0.001)</f>
        <v>1E-3</v>
      </c>
      <c r="E164" s="7"/>
      <c r="F164" s="7"/>
      <c r="G164" s="7"/>
      <c r="H164" s="7"/>
      <c r="I164" s="7"/>
    </row>
    <row r="165" spans="1:9" ht="13.2">
      <c r="A165" s="5">
        <f ca="1">IFERROR(__xludf.DUMMYFUNCTION("""COMPUTED_VALUE"""),65)</f>
        <v>65</v>
      </c>
      <c r="B165" s="5" t="str">
        <f ca="1">IFERROR(__xludf.DUMMYFUNCTION("""COMPUTED_VALUE"""),"Vial, ink or potion")</f>
        <v>Vial, ink or potion</v>
      </c>
      <c r="C165" s="5" t="str">
        <f ca="1">IFERROR(__xludf.DUMMYFUNCTION("""COMPUTED_VALUE"""),"Adventure")</f>
        <v>Adventure</v>
      </c>
      <c r="D165" s="6">
        <f ca="1">IFERROR(__xludf.DUMMYFUNCTION("""COMPUTED_VALUE"""),1)</f>
        <v>1</v>
      </c>
      <c r="E165" s="7"/>
      <c r="F165" s="7"/>
      <c r="G165" s="7"/>
      <c r="H165" s="7"/>
      <c r="I165" s="7"/>
    </row>
    <row r="166" spans="1:9" ht="13.2">
      <c r="A166" s="5">
        <f ca="1">IFERROR(__xludf.DUMMYFUNCTION("""COMPUTED_VALUE"""),66)</f>
        <v>66</v>
      </c>
      <c r="B166" s="5" t="str">
        <f ca="1">IFERROR(__xludf.DUMMYFUNCTION("""COMPUTED_VALUE"""),"Waterskin")</f>
        <v>Waterskin</v>
      </c>
      <c r="C166" s="5" t="str">
        <f ca="1">IFERROR(__xludf.DUMMYFUNCTION("""COMPUTED_VALUE"""),"Adventure")</f>
        <v>Adventure</v>
      </c>
      <c r="D166" s="6">
        <f ca="1">IFERROR(__xludf.DUMMYFUNCTION("""COMPUTED_VALUE"""),1)</f>
        <v>1</v>
      </c>
      <c r="E166" s="7"/>
      <c r="F166" s="7"/>
      <c r="G166" s="7"/>
      <c r="H166" s="7"/>
      <c r="I166" s="7"/>
    </row>
    <row r="167" spans="1:9" ht="13.2">
      <c r="A167" s="5">
        <f ca="1">IFERROR(__xludf.DUMMYFUNCTION("""COMPUTED_VALUE"""),67)</f>
        <v>67</v>
      </c>
      <c r="B167" s="5" t="str">
        <f ca="1">IFERROR(__xludf.DUMMYFUNCTION("""COMPUTED_VALUE"""),"Whetstone")</f>
        <v>Whetstone</v>
      </c>
      <c r="C167" s="5" t="str">
        <f ca="1">IFERROR(__xludf.DUMMYFUNCTION("""COMPUTED_VALUE"""),"Adventure")</f>
        <v>Adventure</v>
      </c>
      <c r="D167" s="6">
        <f ca="1">IFERROR(__xludf.DUMMYFUNCTION("""COMPUTED_VALUE"""),0.002)</f>
        <v>2E-3</v>
      </c>
      <c r="E167" s="7"/>
      <c r="F167" s="7"/>
      <c r="G167" s="7"/>
      <c r="H167" s="7"/>
      <c r="I167" s="7"/>
    </row>
    <row r="168" spans="1:9" ht="13.2">
      <c r="A168" s="5">
        <f ca="1">IFERROR(__xludf.DUMMYFUNCTION("""COMPUTED_VALUE"""),1)</f>
        <v>1</v>
      </c>
      <c r="B168" s="5" t="str">
        <f ca="1">IFERROR(__xludf.DUMMYFUNCTION("""COMPUTED_VALUE"""),"Adamantine armor")</f>
        <v>Adamantine armor</v>
      </c>
      <c r="C168" s="5" t="str">
        <f ca="1">IFERROR(__xludf.DUMMYFUNCTION("""COMPUTED_VALUE"""),"Magic")</f>
        <v>Magic</v>
      </c>
      <c r="D168" s="6">
        <f ca="1">IFERROR(__xludf.DUMMYFUNCTION("""COMPUTED_VALUE"""),378)</f>
        <v>378</v>
      </c>
      <c r="E168" s="7"/>
      <c r="F168" s="7"/>
      <c r="G168" s="7"/>
      <c r="H168" s="7"/>
      <c r="I168" s="7"/>
    </row>
    <row r="169" spans="1:9" ht="13.2">
      <c r="A169" s="5">
        <f ca="1">IFERROR(__xludf.DUMMYFUNCTION("""COMPUTED_VALUE"""),2)</f>
        <v>2</v>
      </c>
      <c r="B169" s="5" t="str">
        <f ca="1">IFERROR(__xludf.DUMMYFUNCTION("""COMPUTED_VALUE"""),"Alchemy jug")</f>
        <v>Alchemy jug</v>
      </c>
      <c r="C169" s="5" t="str">
        <f ca="1">IFERROR(__xludf.DUMMYFUNCTION("""COMPUTED_VALUE"""),"Magic")</f>
        <v>Magic</v>
      </c>
      <c r="D169" s="6">
        <f ca="1">IFERROR(__xludf.DUMMYFUNCTION("""COMPUTED_VALUE"""),366)</f>
        <v>366</v>
      </c>
      <c r="E169" s="7"/>
      <c r="F169" s="7"/>
      <c r="G169" s="7"/>
      <c r="H169" s="7"/>
      <c r="I169" s="7"/>
    </row>
    <row r="170" spans="1:9" ht="13.2">
      <c r="A170" s="5">
        <f ca="1">IFERROR(__xludf.DUMMYFUNCTION("""COMPUTED_VALUE"""),3)</f>
        <v>3</v>
      </c>
      <c r="B170" s="5" t="str">
        <f ca="1">IFERROR(__xludf.DUMMYFUNCTION("""COMPUTED_VALUE"""),"Ammunition +1")</f>
        <v>Ammunition +1</v>
      </c>
      <c r="C170" s="5" t="str">
        <f ca="1">IFERROR(__xludf.DUMMYFUNCTION("""COMPUTED_VALUE"""),"Magic")</f>
        <v>Magic</v>
      </c>
      <c r="D170" s="6">
        <f ca="1">IFERROR(__xludf.DUMMYFUNCTION("""COMPUTED_VALUE"""),378)</f>
        <v>378</v>
      </c>
      <c r="E170" s="7"/>
      <c r="F170" s="7"/>
      <c r="G170" s="7"/>
      <c r="H170" s="7"/>
      <c r="I170" s="7"/>
    </row>
    <row r="171" spans="1:9" ht="13.2">
      <c r="A171" s="5">
        <f ca="1">IFERROR(__xludf.DUMMYFUNCTION("""COMPUTED_VALUE"""),4)</f>
        <v>4</v>
      </c>
      <c r="B171" s="5" t="str">
        <f ca="1">IFERROR(__xludf.DUMMYFUNCTION("""COMPUTED_VALUE"""),"Ammunition +2")</f>
        <v>Ammunition +2</v>
      </c>
      <c r="C171" s="5" t="str">
        <f ca="1">IFERROR(__xludf.DUMMYFUNCTION("""COMPUTED_VALUE"""),"Magic")</f>
        <v>Magic</v>
      </c>
      <c r="D171" s="6">
        <f ca="1">IFERROR(__xludf.DUMMYFUNCTION("""COMPUTED_VALUE"""),919)</f>
        <v>919</v>
      </c>
      <c r="E171" s="7"/>
      <c r="F171" s="7"/>
      <c r="G171" s="7"/>
      <c r="H171" s="7"/>
      <c r="I171" s="7"/>
    </row>
    <row r="172" spans="1:9" ht="13.2">
      <c r="A172" s="5">
        <f ca="1">IFERROR(__xludf.DUMMYFUNCTION("""COMPUTED_VALUE"""),5)</f>
        <v>5</v>
      </c>
      <c r="B172" s="5" t="str">
        <f ca="1">IFERROR(__xludf.DUMMYFUNCTION("""COMPUTED_VALUE"""),"Ammunition +3")</f>
        <v>Ammunition +3</v>
      </c>
      <c r="C172" s="5" t="str">
        <f ca="1">IFERROR(__xludf.DUMMYFUNCTION("""COMPUTED_VALUE"""),"Magic")</f>
        <v>Magic</v>
      </c>
      <c r="D172" s="6">
        <f ca="1">IFERROR(__xludf.DUMMYFUNCTION("""COMPUTED_VALUE"""),1576)</f>
        <v>1576</v>
      </c>
      <c r="E172" s="7"/>
      <c r="F172" s="7"/>
      <c r="G172" s="7"/>
      <c r="H172" s="7"/>
      <c r="I172" s="7"/>
    </row>
    <row r="173" spans="1:9" ht="13.2">
      <c r="A173" s="5">
        <f ca="1">IFERROR(__xludf.DUMMYFUNCTION("""COMPUTED_VALUE"""),6)</f>
        <v>6</v>
      </c>
      <c r="B173" s="5" t="str">
        <f ca="1">IFERROR(__xludf.DUMMYFUNCTION("""COMPUTED_VALUE"""),"Amulet of health")</f>
        <v>Amulet of health</v>
      </c>
      <c r="C173" s="5" t="str">
        <f ca="1">IFERROR(__xludf.DUMMYFUNCTION("""COMPUTED_VALUE"""),"Magic")</f>
        <v>Magic</v>
      </c>
      <c r="D173" s="6">
        <f ca="1">IFERROR(__xludf.DUMMYFUNCTION("""COMPUTED_VALUE"""),919)</f>
        <v>919</v>
      </c>
      <c r="E173" s="7"/>
      <c r="F173" s="7"/>
      <c r="G173" s="7"/>
      <c r="H173" s="7"/>
      <c r="I173" s="7"/>
    </row>
    <row r="174" spans="1:9" ht="13.2">
      <c r="A174" s="5">
        <f ca="1">IFERROR(__xludf.DUMMYFUNCTION("""COMPUTED_VALUE"""),7)</f>
        <v>7</v>
      </c>
      <c r="B174" s="5" t="str">
        <f ca="1">IFERROR(__xludf.DUMMYFUNCTION("""COMPUTED_VALUE"""),"Amulet of proof against detection and location")</f>
        <v>Amulet of proof against detection and location</v>
      </c>
      <c r="C174" s="5" t="str">
        <f ca="1">IFERROR(__xludf.DUMMYFUNCTION("""COMPUTED_VALUE"""),"Magic")</f>
        <v>Magic</v>
      </c>
      <c r="D174" s="6">
        <f ca="1">IFERROR(__xludf.DUMMYFUNCTION("""COMPUTED_VALUE"""),380)</f>
        <v>380</v>
      </c>
      <c r="E174" s="7"/>
      <c r="F174" s="7"/>
      <c r="G174" s="7"/>
      <c r="H174" s="7"/>
      <c r="I174" s="7"/>
    </row>
    <row r="175" spans="1:9" ht="13.2">
      <c r="A175" s="5">
        <f ca="1">IFERROR(__xludf.DUMMYFUNCTION("""COMPUTED_VALUE"""),8)</f>
        <v>8</v>
      </c>
      <c r="B175" s="5" t="str">
        <f ca="1">IFERROR(__xludf.DUMMYFUNCTION("""COMPUTED_VALUE"""),"Amulet of the planes")</f>
        <v>Amulet of the planes</v>
      </c>
      <c r="C175" s="5" t="str">
        <f ca="1">IFERROR(__xludf.DUMMYFUNCTION("""COMPUTED_VALUE"""),"Magic")</f>
        <v>Magic</v>
      </c>
      <c r="D175" s="6">
        <f ca="1">IFERROR(__xludf.DUMMYFUNCTION("""COMPUTED_VALUE"""),1556)</f>
        <v>1556</v>
      </c>
      <c r="E175" s="7"/>
      <c r="F175" s="7"/>
      <c r="G175" s="7"/>
      <c r="H175" s="7"/>
      <c r="I175" s="7"/>
    </row>
    <row r="176" spans="1:9" ht="13.2">
      <c r="A176" s="5">
        <f ca="1">IFERROR(__xludf.DUMMYFUNCTION("""COMPUTED_VALUE"""),9)</f>
        <v>9</v>
      </c>
      <c r="B176" s="5" t="str">
        <f ca="1">IFERROR(__xludf.DUMMYFUNCTION("""COMPUTED_VALUE"""),"Animated shield")</f>
        <v>Animated shield</v>
      </c>
      <c r="C176" s="5" t="str">
        <f ca="1">IFERROR(__xludf.DUMMYFUNCTION("""COMPUTED_VALUE"""),"Magic")</f>
        <v>Magic</v>
      </c>
      <c r="D176" s="6">
        <f ca="1">IFERROR(__xludf.DUMMYFUNCTION("""COMPUTED_VALUE"""),1580)</f>
        <v>1580</v>
      </c>
      <c r="E176" s="7"/>
      <c r="F176" s="7"/>
      <c r="G176" s="7"/>
      <c r="H176" s="7"/>
      <c r="I176" s="7"/>
    </row>
    <row r="177" spans="1:9" ht="13.2">
      <c r="A177" s="5">
        <f ca="1">IFERROR(__xludf.DUMMYFUNCTION("""COMPUTED_VALUE"""),10)</f>
        <v>10</v>
      </c>
      <c r="B177" s="5" t="str">
        <f ca="1">IFERROR(__xludf.DUMMYFUNCTION("""COMPUTED_VALUE"""),"Apparatus of Kwalish")</f>
        <v>Apparatus of Kwalish</v>
      </c>
      <c r="C177" s="5" t="str">
        <f ca="1">IFERROR(__xludf.DUMMYFUNCTION("""COMPUTED_VALUE"""),"Magic")</f>
        <v>Magic</v>
      </c>
      <c r="D177" s="6">
        <f ca="1">IFERROR(__xludf.DUMMYFUNCTION("""COMPUTED_VALUE"""),3020)</f>
        <v>3020</v>
      </c>
      <c r="E177" s="7"/>
      <c r="F177" s="7"/>
      <c r="G177" s="7"/>
      <c r="H177" s="7"/>
      <c r="I177" s="7"/>
    </row>
    <row r="178" spans="1:9" ht="13.2">
      <c r="A178" s="5">
        <f ca="1">IFERROR(__xludf.DUMMYFUNCTION("""COMPUTED_VALUE"""),11)</f>
        <v>11</v>
      </c>
      <c r="B178" s="5" t="str">
        <f ca="1">IFERROR(__xludf.DUMMYFUNCTION("""COMPUTED_VALUE"""),"Armor +1")</f>
        <v>Armor +1</v>
      </c>
      <c r="C178" s="5" t="str">
        <f ca="1">IFERROR(__xludf.DUMMYFUNCTION("""COMPUTED_VALUE"""),"Magic")</f>
        <v>Magic</v>
      </c>
      <c r="D178" s="6">
        <f ca="1">IFERROR(__xludf.DUMMYFUNCTION("""COMPUTED_VALUE"""),940)</f>
        <v>940</v>
      </c>
      <c r="E178" s="7"/>
      <c r="F178" s="7"/>
      <c r="G178" s="7"/>
      <c r="H178" s="7"/>
      <c r="I178" s="7"/>
    </row>
    <row r="179" spans="1:9" ht="13.2">
      <c r="A179" s="5">
        <f ca="1">IFERROR(__xludf.DUMMYFUNCTION("""COMPUTED_VALUE"""),12)</f>
        <v>12</v>
      </c>
      <c r="B179" s="5" t="str">
        <f ca="1">IFERROR(__xludf.DUMMYFUNCTION("""COMPUTED_VALUE"""),"Armor +2")</f>
        <v>Armor +2</v>
      </c>
      <c r="C179" s="5" t="str">
        <f ca="1">IFERROR(__xludf.DUMMYFUNCTION("""COMPUTED_VALUE"""),"Magic")</f>
        <v>Magic</v>
      </c>
      <c r="D179" s="6">
        <f ca="1">IFERROR(__xludf.DUMMYFUNCTION("""COMPUTED_VALUE"""),1556)</f>
        <v>1556</v>
      </c>
      <c r="E179" s="7"/>
      <c r="F179" s="7"/>
      <c r="G179" s="7"/>
      <c r="H179" s="7"/>
      <c r="I179" s="7"/>
    </row>
    <row r="180" spans="1:9" ht="13.2">
      <c r="A180" s="5">
        <f ca="1">IFERROR(__xludf.DUMMYFUNCTION("""COMPUTED_VALUE"""),13)</f>
        <v>13</v>
      </c>
      <c r="B180" s="5" t="str">
        <f ca="1">IFERROR(__xludf.DUMMYFUNCTION("""COMPUTED_VALUE"""),"Armor +3")</f>
        <v>Armor +3</v>
      </c>
      <c r="C180" s="5" t="str">
        <f ca="1">IFERROR(__xludf.DUMMYFUNCTION("""COMPUTED_VALUE"""),"Magic")</f>
        <v>Magic</v>
      </c>
      <c r="D180" s="6">
        <f ca="1">IFERROR(__xludf.DUMMYFUNCTION("""COMPUTED_VALUE"""),3055)</f>
        <v>3055</v>
      </c>
      <c r="E180" s="7"/>
      <c r="F180" s="7"/>
      <c r="G180" s="7"/>
      <c r="H180" s="7"/>
      <c r="I180" s="7"/>
    </row>
    <row r="181" spans="1:9" ht="13.2">
      <c r="A181" s="5">
        <f ca="1">IFERROR(__xludf.DUMMYFUNCTION("""COMPUTED_VALUE"""),14)</f>
        <v>14</v>
      </c>
      <c r="B181" s="5" t="str">
        <f ca="1">IFERROR(__xludf.DUMMYFUNCTION("""COMPUTED_VALUE"""),"Armor of invulnerability")</f>
        <v>Armor of invulnerability</v>
      </c>
      <c r="C181" s="5" t="str">
        <f ca="1">IFERROR(__xludf.DUMMYFUNCTION("""COMPUTED_VALUE"""),"Magic")</f>
        <v>Magic</v>
      </c>
      <c r="D181" s="6">
        <f ca="1">IFERROR(__xludf.DUMMYFUNCTION("""COMPUTED_VALUE"""),3025)</f>
        <v>3025</v>
      </c>
      <c r="E181" s="7"/>
      <c r="F181" s="7"/>
      <c r="G181" s="7"/>
      <c r="H181" s="7"/>
      <c r="I181" s="7"/>
    </row>
    <row r="182" spans="1:9" ht="13.2">
      <c r="A182" s="5">
        <f ca="1">IFERROR(__xludf.DUMMYFUNCTION("""COMPUTED_VALUE"""),15)</f>
        <v>15</v>
      </c>
      <c r="B182" s="5" t="str">
        <f ca="1">IFERROR(__xludf.DUMMYFUNCTION("""COMPUTED_VALUE"""),"Armor of resistance")</f>
        <v>Armor of resistance</v>
      </c>
      <c r="C182" s="5" t="str">
        <f ca="1">IFERROR(__xludf.DUMMYFUNCTION("""COMPUTED_VALUE"""),"Magic")</f>
        <v>Magic</v>
      </c>
      <c r="D182" s="6">
        <f ca="1">IFERROR(__xludf.DUMMYFUNCTION("""COMPUTED_VALUE"""),943)</f>
        <v>943</v>
      </c>
      <c r="E182" s="7"/>
      <c r="F182" s="7"/>
      <c r="G182" s="7"/>
      <c r="H182" s="7"/>
      <c r="I182" s="7"/>
    </row>
    <row r="183" spans="1:9" ht="13.2">
      <c r="A183" s="5">
        <f ca="1">IFERROR(__xludf.DUMMYFUNCTION("""COMPUTED_VALUE"""),16)</f>
        <v>16</v>
      </c>
      <c r="B183" s="5" t="str">
        <f ca="1">IFERROR(__xludf.DUMMYFUNCTION("""COMPUTED_VALUE"""),"Armor of vulnerability")</f>
        <v>Armor of vulnerability</v>
      </c>
      <c r="C183" s="5" t="str">
        <f ca="1">IFERROR(__xludf.DUMMYFUNCTION("""COMPUTED_VALUE"""),"Magic")</f>
        <v>Magic</v>
      </c>
      <c r="D183" s="6">
        <f ca="1">IFERROR(__xludf.DUMMYFUNCTION("""COMPUTED_VALUE"""),925)</f>
        <v>925</v>
      </c>
      <c r="E183" s="7"/>
      <c r="F183" s="7"/>
      <c r="G183" s="7"/>
      <c r="H183" s="7"/>
      <c r="I183" s="7"/>
    </row>
    <row r="184" spans="1:9" ht="13.2">
      <c r="A184" s="5">
        <f ca="1">IFERROR(__xludf.DUMMYFUNCTION("""COMPUTED_VALUE"""),17)</f>
        <v>17</v>
      </c>
      <c r="B184" s="5" t="str">
        <f ca="1">IFERROR(__xludf.DUMMYFUNCTION("""COMPUTED_VALUE"""),"Arrow of slaying")</f>
        <v>Arrow of slaying</v>
      </c>
      <c r="C184" s="5" t="str">
        <f ca="1">IFERROR(__xludf.DUMMYFUNCTION("""COMPUTED_VALUE"""),"Magic")</f>
        <v>Magic</v>
      </c>
      <c r="D184" s="6">
        <f ca="1">IFERROR(__xludf.DUMMYFUNCTION("""COMPUTED_VALUE"""),1584)</f>
        <v>1584</v>
      </c>
      <c r="E184" s="7"/>
      <c r="F184" s="7"/>
      <c r="G184" s="7"/>
      <c r="H184" s="7"/>
      <c r="I184" s="7"/>
    </row>
    <row r="185" spans="1:9" ht="13.2">
      <c r="A185" s="5">
        <f ca="1">IFERROR(__xludf.DUMMYFUNCTION("""COMPUTED_VALUE"""),18)</f>
        <v>18</v>
      </c>
      <c r="B185" s="5" t="str">
        <f ca="1">IFERROR(__xludf.DUMMYFUNCTION("""COMPUTED_VALUE"""),"Arrow-catching shield")</f>
        <v>Arrow-catching shield</v>
      </c>
      <c r="C185" s="5" t="str">
        <f ca="1">IFERROR(__xludf.DUMMYFUNCTION("""COMPUTED_VALUE"""),"Magic")</f>
        <v>Magic</v>
      </c>
      <c r="D185" s="6">
        <f ca="1">IFERROR(__xludf.DUMMYFUNCTION("""COMPUTED_VALUE"""),925)</f>
        <v>925</v>
      </c>
      <c r="E185" s="7"/>
      <c r="F185" s="7"/>
      <c r="G185" s="7"/>
      <c r="H185" s="7"/>
      <c r="I185" s="7"/>
    </row>
    <row r="186" spans="1:9" ht="13.2">
      <c r="A186" s="5">
        <f ca="1">IFERROR(__xludf.DUMMYFUNCTION("""COMPUTED_VALUE"""),19)</f>
        <v>19</v>
      </c>
      <c r="B186" s="5" t="str">
        <f ca="1">IFERROR(__xludf.DUMMYFUNCTION("""COMPUTED_VALUE"""),"Bag of beans")</f>
        <v>Bag of beans</v>
      </c>
      <c r="C186" s="5" t="str">
        <f ca="1">IFERROR(__xludf.DUMMYFUNCTION("""COMPUTED_VALUE"""),"Magic")</f>
        <v>Magic</v>
      </c>
      <c r="D186" s="6">
        <f ca="1">IFERROR(__xludf.DUMMYFUNCTION("""COMPUTED_VALUE"""),946)</f>
        <v>946</v>
      </c>
      <c r="E186" s="7"/>
      <c r="F186" s="7"/>
      <c r="G186" s="7"/>
      <c r="H186" s="7"/>
      <c r="I186" s="7"/>
    </row>
    <row r="187" spans="1:9" ht="13.2">
      <c r="A187" s="5">
        <f ca="1">IFERROR(__xludf.DUMMYFUNCTION("""COMPUTED_VALUE"""),20)</f>
        <v>20</v>
      </c>
      <c r="B187" s="5" t="str">
        <f ca="1">IFERROR(__xludf.DUMMYFUNCTION("""COMPUTED_VALUE"""),"Bag of devouring")</f>
        <v>Bag of devouring</v>
      </c>
      <c r="C187" s="5" t="str">
        <f ca="1">IFERROR(__xludf.DUMMYFUNCTION("""COMPUTED_VALUE"""),"Magic")</f>
        <v>Magic</v>
      </c>
      <c r="D187" s="6">
        <f ca="1">IFERROR(__xludf.DUMMYFUNCTION("""COMPUTED_VALUE"""),1564)</f>
        <v>1564</v>
      </c>
      <c r="E187" s="7"/>
      <c r="F187" s="7"/>
      <c r="G187" s="7"/>
      <c r="H187" s="7"/>
      <c r="I187" s="7"/>
    </row>
    <row r="188" spans="1:9" ht="13.2">
      <c r="A188" s="5">
        <f ca="1">IFERROR(__xludf.DUMMYFUNCTION("""COMPUTED_VALUE"""),21)</f>
        <v>21</v>
      </c>
      <c r="B188" s="5" t="str">
        <f ca="1">IFERROR(__xludf.DUMMYFUNCTION("""COMPUTED_VALUE"""),"Bag of holding")</f>
        <v>Bag of holding</v>
      </c>
      <c r="C188" s="5" t="str">
        <f ca="1">IFERROR(__xludf.DUMMYFUNCTION("""COMPUTED_VALUE"""),"Magic")</f>
        <v>Magic</v>
      </c>
      <c r="D188" s="6">
        <f ca="1">IFERROR(__xludf.DUMMYFUNCTION("""COMPUTED_VALUE"""),384)</f>
        <v>384</v>
      </c>
      <c r="E188" s="7"/>
      <c r="F188" s="7"/>
      <c r="G188" s="7"/>
      <c r="H188" s="7"/>
      <c r="I188" s="7"/>
    </row>
    <row r="189" spans="1:9" ht="13.2">
      <c r="A189" s="5">
        <f ca="1">IFERROR(__xludf.DUMMYFUNCTION("""COMPUTED_VALUE"""),22)</f>
        <v>22</v>
      </c>
      <c r="B189" s="5" t="str">
        <f ca="1">IFERROR(__xludf.DUMMYFUNCTION("""COMPUTED_VALUE"""),"Bag of tricks")</f>
        <v>Bag of tricks</v>
      </c>
      <c r="C189" s="5" t="str">
        <f ca="1">IFERROR(__xludf.DUMMYFUNCTION("""COMPUTED_VALUE"""),"Magic")</f>
        <v>Magic</v>
      </c>
      <c r="D189" s="6">
        <f ca="1">IFERROR(__xludf.DUMMYFUNCTION("""COMPUTED_VALUE"""),372)</f>
        <v>372</v>
      </c>
      <c r="E189" s="7"/>
      <c r="F189" s="7"/>
      <c r="G189" s="7"/>
      <c r="H189" s="7"/>
      <c r="I189" s="7"/>
    </row>
    <row r="190" spans="1:9" ht="13.2">
      <c r="A190" s="5">
        <f ca="1">IFERROR(__xludf.DUMMYFUNCTION("""COMPUTED_VALUE"""),23)</f>
        <v>23</v>
      </c>
      <c r="B190" s="5" t="str">
        <f ca="1">IFERROR(__xludf.DUMMYFUNCTION("""COMPUTED_VALUE"""),"Bead of force")</f>
        <v>Bead of force</v>
      </c>
      <c r="C190" s="5" t="str">
        <f ca="1">IFERROR(__xludf.DUMMYFUNCTION("""COMPUTED_VALUE"""),"Magic")</f>
        <v>Magic</v>
      </c>
      <c r="D190" s="6">
        <f ca="1">IFERROR(__xludf.DUMMYFUNCTION("""COMPUTED_VALUE"""),946)</f>
        <v>946</v>
      </c>
      <c r="E190" s="7"/>
      <c r="F190" s="7"/>
      <c r="G190" s="7"/>
      <c r="H190" s="7"/>
      <c r="I190" s="7"/>
    </row>
    <row r="191" spans="1:9" ht="13.2">
      <c r="A191" s="5">
        <f ca="1">IFERROR(__xludf.DUMMYFUNCTION("""COMPUTED_VALUE"""),24)</f>
        <v>24</v>
      </c>
      <c r="B191" s="5" t="str">
        <f ca="1">IFERROR(__xludf.DUMMYFUNCTION("""COMPUTED_VALUE"""),"Belt of dwarvenkind")</f>
        <v>Belt of dwarvenkind</v>
      </c>
      <c r="C191" s="5" t="str">
        <f ca="1">IFERROR(__xludf.DUMMYFUNCTION("""COMPUTED_VALUE"""),"Magic")</f>
        <v>Magic</v>
      </c>
      <c r="D191" s="6">
        <f ca="1">IFERROR(__xludf.DUMMYFUNCTION("""COMPUTED_VALUE"""),928)</f>
        <v>928</v>
      </c>
      <c r="E191" s="7"/>
      <c r="F191" s="7"/>
      <c r="G191" s="7"/>
      <c r="H191" s="7"/>
      <c r="I191" s="7"/>
    </row>
    <row r="192" spans="1:9" ht="13.2">
      <c r="A192" s="5">
        <f ca="1">IFERROR(__xludf.DUMMYFUNCTION("""COMPUTED_VALUE"""),25)</f>
        <v>25</v>
      </c>
      <c r="B192" s="5" t="str">
        <f ca="1">IFERROR(__xludf.DUMMYFUNCTION("""COMPUTED_VALUE"""),"Belt of giant strength (cloud giant)")</f>
        <v>Belt of giant strength (cloud giant)</v>
      </c>
      <c r="C192" s="5" t="str">
        <f ca="1">IFERROR(__xludf.DUMMYFUNCTION("""COMPUTED_VALUE"""),"Magic")</f>
        <v>Magic</v>
      </c>
      <c r="D192" s="6">
        <f ca="1">IFERROR(__xludf.DUMMYFUNCTION("""COMPUTED_VALUE"""),3065)</f>
        <v>3065</v>
      </c>
      <c r="E192" s="7"/>
      <c r="F192" s="7"/>
      <c r="G192" s="7"/>
      <c r="H192" s="7"/>
      <c r="I192" s="7"/>
    </row>
    <row r="193" spans="1:9" ht="13.2">
      <c r="A193" s="5">
        <f ca="1">IFERROR(__xludf.DUMMYFUNCTION("""COMPUTED_VALUE"""),26)</f>
        <v>26</v>
      </c>
      <c r="B193" s="5" t="str">
        <f ca="1">IFERROR(__xludf.DUMMYFUNCTION("""COMPUTED_VALUE"""),"Belt of giant strength (fire giant)")</f>
        <v>Belt of giant strength (fire giant)</v>
      </c>
      <c r="C193" s="5" t="str">
        <f ca="1">IFERROR(__xludf.DUMMYFUNCTION("""COMPUTED_VALUE"""),"Magic")</f>
        <v>Magic</v>
      </c>
      <c r="D193" s="6">
        <f ca="1">IFERROR(__xludf.DUMMYFUNCTION("""COMPUTED_VALUE"""),1568)</f>
        <v>1568</v>
      </c>
      <c r="E193" s="7"/>
      <c r="F193" s="7"/>
      <c r="G193" s="7"/>
      <c r="H193" s="7"/>
      <c r="I193" s="7"/>
    </row>
    <row r="194" spans="1:9" ht="13.2">
      <c r="A194" s="5">
        <f ca="1">IFERROR(__xludf.DUMMYFUNCTION("""COMPUTED_VALUE"""),27)</f>
        <v>27</v>
      </c>
      <c r="B194" s="5" t="str">
        <f ca="1">IFERROR(__xludf.DUMMYFUNCTION("""COMPUTED_VALUE"""),"Belt of giant strength (frost or stone giant)")</f>
        <v>Belt of giant strength (frost or stone giant)</v>
      </c>
      <c r="C194" s="5" t="str">
        <f ca="1">IFERROR(__xludf.DUMMYFUNCTION("""COMPUTED_VALUE"""),"Magic")</f>
        <v>Magic</v>
      </c>
      <c r="D194" s="6">
        <f ca="1">IFERROR(__xludf.DUMMYFUNCTION("""COMPUTED_VALUE"""),1592)</f>
        <v>1592</v>
      </c>
      <c r="E194" s="7"/>
      <c r="F194" s="7"/>
      <c r="G194" s="7"/>
      <c r="H194" s="7"/>
      <c r="I194" s="7"/>
    </row>
    <row r="195" spans="1:9" ht="13.2">
      <c r="A195" s="5">
        <f ca="1">IFERROR(__xludf.DUMMYFUNCTION("""COMPUTED_VALUE"""),28)</f>
        <v>28</v>
      </c>
      <c r="B195" s="5" t="str">
        <f ca="1">IFERROR(__xludf.DUMMYFUNCTION("""COMPUTED_VALUE"""),"Belt of giant strength (hill giant)")</f>
        <v>Belt of giant strength (hill giant)</v>
      </c>
      <c r="C195" s="5" t="str">
        <f ca="1">IFERROR(__xludf.DUMMYFUNCTION("""COMPUTED_VALUE"""),"Magic")</f>
        <v>Magic</v>
      </c>
      <c r="D195" s="6">
        <f ca="1">IFERROR(__xludf.DUMMYFUNCTION("""COMPUTED_VALUE"""),931)</f>
        <v>931</v>
      </c>
      <c r="E195" s="7"/>
      <c r="F195" s="7"/>
      <c r="G195" s="7"/>
      <c r="H195" s="7"/>
      <c r="I195" s="7"/>
    </row>
    <row r="196" spans="1:9" ht="13.2">
      <c r="A196" s="5">
        <f ca="1">IFERROR(__xludf.DUMMYFUNCTION("""COMPUTED_VALUE"""),29)</f>
        <v>29</v>
      </c>
      <c r="B196" s="5" t="str">
        <f ca="1">IFERROR(__xludf.DUMMYFUNCTION("""COMPUTED_VALUE"""),"Belt of giant strength (storm giant)")</f>
        <v>Belt of giant strength (storm giant)</v>
      </c>
      <c r="C196" s="5" t="str">
        <f ca="1">IFERROR(__xludf.DUMMYFUNCTION("""COMPUTED_VALUE"""),"Magic")</f>
        <v>Magic</v>
      </c>
      <c r="D196" s="6">
        <f ca="1">IFERROR(__xludf.DUMMYFUNCTION("""COMPUTED_VALUE"""),3065)</f>
        <v>3065</v>
      </c>
      <c r="E196" s="7"/>
      <c r="F196" s="7"/>
      <c r="G196" s="7"/>
      <c r="H196" s="7"/>
      <c r="I196" s="7"/>
    </row>
    <row r="197" spans="1:9" ht="13.2">
      <c r="A197" s="5">
        <f ca="1">IFERROR(__xludf.DUMMYFUNCTION("""COMPUTED_VALUE"""),30)</f>
        <v>30</v>
      </c>
      <c r="B197" s="5" t="str">
        <f ca="1">IFERROR(__xludf.DUMMYFUNCTION("""COMPUTED_VALUE"""),"Berserker axe")</f>
        <v>Berserker axe</v>
      </c>
      <c r="C197" s="5" t="str">
        <f ca="1">IFERROR(__xludf.DUMMYFUNCTION("""COMPUTED_VALUE"""),"Magic")</f>
        <v>Magic</v>
      </c>
      <c r="D197" s="6">
        <f ca="1">IFERROR(__xludf.DUMMYFUNCTION("""COMPUTED_VALUE"""),931)</f>
        <v>931</v>
      </c>
      <c r="E197" s="7"/>
      <c r="F197" s="7"/>
      <c r="G197" s="7"/>
      <c r="H197" s="7"/>
      <c r="I197" s="7"/>
    </row>
    <row r="198" spans="1:9" ht="13.2">
      <c r="A198" s="5">
        <f ca="1">IFERROR(__xludf.DUMMYFUNCTION("""COMPUTED_VALUE"""),31)</f>
        <v>31</v>
      </c>
      <c r="B198" s="5" t="str">
        <f ca="1">IFERROR(__xludf.DUMMYFUNCTION("""COMPUTED_VALUE"""),"Boots of elvenkind")</f>
        <v>Boots of elvenkind</v>
      </c>
      <c r="C198" s="5" t="str">
        <f ca="1">IFERROR(__xludf.DUMMYFUNCTION("""COMPUTED_VALUE"""),"Magic")</f>
        <v>Magic</v>
      </c>
      <c r="D198" s="6">
        <f ca="1">IFERROR(__xludf.DUMMYFUNCTION("""COMPUTED_VALUE"""),388)</f>
        <v>388</v>
      </c>
      <c r="E198" s="7"/>
      <c r="F198" s="7"/>
      <c r="G198" s="7"/>
      <c r="H198" s="7"/>
      <c r="I198" s="7"/>
    </row>
    <row r="199" spans="1:9" ht="13.2">
      <c r="A199" s="5">
        <f ca="1">IFERROR(__xludf.DUMMYFUNCTION("""COMPUTED_VALUE"""),32)</f>
        <v>32</v>
      </c>
      <c r="B199" s="5" t="str">
        <f ca="1">IFERROR(__xludf.DUMMYFUNCTION("""COMPUTED_VALUE"""),"Boots of levitation")</f>
        <v>Boots of levitation</v>
      </c>
      <c r="C199" s="5" t="str">
        <f ca="1">IFERROR(__xludf.DUMMYFUNCTION("""COMPUTED_VALUE"""),"Magic")</f>
        <v>Magic</v>
      </c>
      <c r="D199" s="6">
        <f ca="1">IFERROR(__xludf.DUMMYFUNCTION("""COMPUTED_VALUE"""),934)</f>
        <v>934</v>
      </c>
      <c r="E199" s="7"/>
      <c r="F199" s="7"/>
      <c r="G199" s="7"/>
      <c r="H199" s="7"/>
      <c r="I199" s="7"/>
    </row>
    <row r="200" spans="1:9" ht="13.2">
      <c r="A200" s="5">
        <f ca="1">IFERROR(__xludf.DUMMYFUNCTION("""COMPUTED_VALUE"""),33)</f>
        <v>33</v>
      </c>
      <c r="B200" s="5" t="str">
        <f ca="1">IFERROR(__xludf.DUMMYFUNCTION("""COMPUTED_VALUE"""),"Boots of speed")</f>
        <v>Boots of speed</v>
      </c>
      <c r="C200" s="5" t="str">
        <f ca="1">IFERROR(__xludf.DUMMYFUNCTION("""COMPUTED_VALUE"""),"Magic")</f>
        <v>Magic</v>
      </c>
      <c r="D200" s="6">
        <f ca="1">IFERROR(__xludf.DUMMYFUNCTION("""COMPUTED_VALUE"""),952)</f>
        <v>952</v>
      </c>
      <c r="E200" s="7"/>
      <c r="F200" s="7"/>
      <c r="G200" s="7"/>
      <c r="H200" s="7"/>
      <c r="I200" s="7"/>
    </row>
    <row r="201" spans="1:9" ht="13.2">
      <c r="A201" s="5">
        <f ca="1">IFERROR(__xludf.DUMMYFUNCTION("""COMPUTED_VALUE"""),34)</f>
        <v>34</v>
      </c>
      <c r="B201" s="5" t="str">
        <f ca="1">IFERROR(__xludf.DUMMYFUNCTION("""COMPUTED_VALUE"""),"Boots of striding and springing")</f>
        <v>Boots of striding and springing</v>
      </c>
      <c r="C201" s="5" t="str">
        <f ca="1">IFERROR(__xludf.DUMMYFUNCTION("""COMPUTED_VALUE"""),"Magic")</f>
        <v>Magic</v>
      </c>
      <c r="D201" s="6">
        <f ca="1">IFERROR(__xludf.DUMMYFUNCTION("""COMPUTED_VALUE"""),376)</f>
        <v>376</v>
      </c>
      <c r="E201" s="7"/>
      <c r="F201" s="7"/>
      <c r="G201" s="7"/>
      <c r="H201" s="7"/>
      <c r="I201" s="7"/>
    </row>
    <row r="202" spans="1:9" ht="13.2">
      <c r="A202" s="5">
        <f ca="1">IFERROR(__xludf.DUMMYFUNCTION("""COMPUTED_VALUE"""),35)</f>
        <v>35</v>
      </c>
      <c r="B202" s="5" t="str">
        <f ca="1">IFERROR(__xludf.DUMMYFUNCTION("""COMPUTED_VALUE"""),"Boots of the winterlands")</f>
        <v>Boots of the winterlands</v>
      </c>
      <c r="C202" s="5" t="str">
        <f ca="1">IFERROR(__xludf.DUMMYFUNCTION("""COMPUTED_VALUE"""),"Magic")</f>
        <v>Magic</v>
      </c>
      <c r="D202" s="6">
        <f ca="1">IFERROR(__xludf.DUMMYFUNCTION("""COMPUTED_VALUE"""),388)</f>
        <v>388</v>
      </c>
      <c r="E202" s="7"/>
      <c r="F202" s="7"/>
      <c r="G202" s="7"/>
      <c r="H202" s="7"/>
      <c r="I202" s="7"/>
    </row>
    <row r="203" spans="1:9" ht="13.2">
      <c r="A203" s="5">
        <f ca="1">IFERROR(__xludf.DUMMYFUNCTION("""COMPUTED_VALUE"""),36)</f>
        <v>36</v>
      </c>
      <c r="B203" s="5" t="str">
        <f ca="1">IFERROR(__xludf.DUMMYFUNCTION("""COMPUTED_VALUE"""),"Bowl of commanding water elementals")</f>
        <v>Bowl of commanding water elementals</v>
      </c>
      <c r="C203" s="5" t="str">
        <f ca="1">IFERROR(__xludf.DUMMYFUNCTION("""COMPUTED_VALUE"""),"Magic")</f>
        <v>Magic</v>
      </c>
      <c r="D203" s="6">
        <f ca="1">IFERROR(__xludf.DUMMYFUNCTION("""COMPUTED_VALUE"""),934)</f>
        <v>934</v>
      </c>
      <c r="E203" s="7"/>
      <c r="F203" s="7"/>
      <c r="G203" s="7"/>
      <c r="H203" s="7"/>
      <c r="I203" s="7"/>
    </row>
    <row r="204" spans="1:9" ht="13.2">
      <c r="A204" s="5">
        <f ca="1">IFERROR(__xludf.DUMMYFUNCTION("""COMPUTED_VALUE"""),37)</f>
        <v>37</v>
      </c>
      <c r="B204" s="5" t="str">
        <f ca="1">IFERROR(__xludf.DUMMYFUNCTION("""COMPUTED_VALUE"""),"Bracers of archery")</f>
        <v>Bracers of archery</v>
      </c>
      <c r="C204" s="5" t="str">
        <f ca="1">IFERROR(__xludf.DUMMYFUNCTION("""COMPUTED_VALUE"""),"Magic")</f>
        <v>Magic</v>
      </c>
      <c r="D204" s="6">
        <f ca="1">IFERROR(__xludf.DUMMYFUNCTION("""COMPUTED_VALUE"""),366)</f>
        <v>366</v>
      </c>
      <c r="E204" s="7"/>
      <c r="F204" s="7"/>
      <c r="G204" s="7"/>
      <c r="H204" s="7"/>
      <c r="I204" s="7"/>
    </row>
    <row r="205" spans="1:9" ht="13.2">
      <c r="A205" s="5">
        <f ca="1">IFERROR(__xludf.DUMMYFUNCTION("""COMPUTED_VALUE"""),38)</f>
        <v>38</v>
      </c>
      <c r="B205" s="5" t="str">
        <f ca="1">IFERROR(__xludf.DUMMYFUNCTION("""COMPUTED_VALUE"""),"Bracers of defense")</f>
        <v>Bracers of defense</v>
      </c>
      <c r="C205" s="5" t="str">
        <f ca="1">IFERROR(__xludf.DUMMYFUNCTION("""COMPUTED_VALUE"""),"Magic")</f>
        <v>Magic</v>
      </c>
      <c r="D205" s="6">
        <f ca="1">IFERROR(__xludf.DUMMYFUNCTION("""COMPUTED_VALUE"""),937)</f>
        <v>937</v>
      </c>
      <c r="E205" s="7"/>
      <c r="F205" s="7"/>
      <c r="G205" s="7"/>
      <c r="H205" s="7"/>
      <c r="I205" s="7"/>
    </row>
    <row r="206" spans="1:9" ht="13.2">
      <c r="A206" s="5">
        <f ca="1">IFERROR(__xludf.DUMMYFUNCTION("""COMPUTED_VALUE"""),39)</f>
        <v>39</v>
      </c>
      <c r="B206" s="5" t="str">
        <f ca="1">IFERROR(__xludf.DUMMYFUNCTION("""COMPUTED_VALUE"""),"Brazier of commanding fire elementals")</f>
        <v>Brazier of commanding fire elementals</v>
      </c>
      <c r="C206" s="5" t="str">
        <f ca="1">IFERROR(__xludf.DUMMYFUNCTION("""COMPUTED_VALUE"""),"Magic")</f>
        <v>Magic</v>
      </c>
      <c r="D206" s="6">
        <f ca="1">IFERROR(__xludf.DUMMYFUNCTION("""COMPUTED_VALUE"""),919)</f>
        <v>919</v>
      </c>
      <c r="E206" s="7"/>
      <c r="F206" s="7"/>
      <c r="G206" s="7"/>
      <c r="H206" s="7"/>
      <c r="I206" s="7"/>
    </row>
    <row r="207" spans="1:9" ht="13.2">
      <c r="A207" s="5">
        <f ca="1">IFERROR(__xludf.DUMMYFUNCTION("""COMPUTED_VALUE"""),40)</f>
        <v>40</v>
      </c>
      <c r="B207" s="5" t="str">
        <f ca="1">IFERROR(__xludf.DUMMYFUNCTION("""COMPUTED_VALUE"""),"Brooch of shielding")</f>
        <v>Brooch of shielding</v>
      </c>
      <c r="C207" s="5" t="str">
        <f ca="1">IFERROR(__xludf.DUMMYFUNCTION("""COMPUTED_VALUE"""),"Magic")</f>
        <v>Magic</v>
      </c>
      <c r="D207" s="6">
        <f ca="1">IFERROR(__xludf.DUMMYFUNCTION("""COMPUTED_VALUE"""),378)</f>
        <v>378</v>
      </c>
      <c r="E207" s="7"/>
      <c r="F207" s="7"/>
      <c r="G207" s="7"/>
      <c r="H207" s="7"/>
      <c r="I207" s="7"/>
    </row>
    <row r="208" spans="1:9" ht="13.2">
      <c r="A208" s="5">
        <f ca="1">IFERROR(__xludf.DUMMYFUNCTION("""COMPUTED_VALUE"""),41)</f>
        <v>41</v>
      </c>
      <c r="B208" s="5" t="str">
        <f ca="1">IFERROR(__xludf.DUMMYFUNCTION("""COMPUTED_VALUE"""),"Broom of flying")</f>
        <v>Broom of flying</v>
      </c>
      <c r="C208" s="5" t="str">
        <f ca="1">IFERROR(__xludf.DUMMYFUNCTION("""COMPUTED_VALUE"""),"Magic")</f>
        <v>Magic</v>
      </c>
      <c r="D208" s="6">
        <f ca="1">IFERROR(__xludf.DUMMYFUNCTION("""COMPUTED_VALUE"""),366)</f>
        <v>366</v>
      </c>
      <c r="E208" s="7"/>
      <c r="F208" s="7"/>
      <c r="G208" s="7"/>
      <c r="H208" s="7"/>
      <c r="I208" s="7"/>
    </row>
    <row r="209" spans="1:9" ht="13.2">
      <c r="A209" s="5">
        <f ca="1">IFERROR(__xludf.DUMMYFUNCTION("""COMPUTED_VALUE"""),42)</f>
        <v>42</v>
      </c>
      <c r="B209" s="5" t="str">
        <f ca="1">IFERROR(__xludf.DUMMYFUNCTION("""COMPUTED_VALUE"""),"Candle of invocation")</f>
        <v>Candle of invocation</v>
      </c>
      <c r="C209" s="5" t="str">
        <f ca="1">IFERROR(__xludf.DUMMYFUNCTION("""COMPUTED_VALUE"""),"Magic")</f>
        <v>Magic</v>
      </c>
      <c r="D209" s="6">
        <f ca="1">IFERROR(__xludf.DUMMYFUNCTION("""COMPUTED_VALUE"""),1576)</f>
        <v>1576</v>
      </c>
      <c r="E209" s="7"/>
      <c r="F209" s="7"/>
      <c r="G209" s="7"/>
      <c r="H209" s="7"/>
      <c r="I209" s="7"/>
    </row>
    <row r="210" spans="1:9" ht="13.2">
      <c r="A210" s="5">
        <f ca="1">IFERROR(__xludf.DUMMYFUNCTION("""COMPUTED_VALUE"""),43)</f>
        <v>43</v>
      </c>
      <c r="B210" s="5" t="str">
        <f ca="1">IFERROR(__xludf.DUMMYFUNCTION("""COMPUTED_VALUE"""),"Cap of water breathing")</f>
        <v>Cap of water breathing</v>
      </c>
      <c r="C210" s="5" t="str">
        <f ca="1">IFERROR(__xludf.DUMMYFUNCTION("""COMPUTED_VALUE"""),"Magic")</f>
        <v>Magic</v>
      </c>
      <c r="D210" s="6">
        <f ca="1">IFERROR(__xludf.DUMMYFUNCTION("""COMPUTED_VALUE"""),368)</f>
        <v>368</v>
      </c>
      <c r="E210" s="7"/>
      <c r="F210" s="7"/>
      <c r="G210" s="7"/>
      <c r="H210" s="7"/>
      <c r="I210" s="7"/>
    </row>
    <row r="211" spans="1:9" ht="13.2">
      <c r="A211" s="5">
        <f ca="1">IFERROR(__xludf.DUMMYFUNCTION("""COMPUTED_VALUE"""),44)</f>
        <v>44</v>
      </c>
      <c r="B211" s="5" t="str">
        <f ca="1">IFERROR(__xludf.DUMMYFUNCTION("""COMPUTED_VALUE"""),"Cape of the mountebank")</f>
        <v>Cape of the mountebank</v>
      </c>
      <c r="C211" s="5" t="str">
        <f ca="1">IFERROR(__xludf.DUMMYFUNCTION("""COMPUTED_VALUE"""),"Magic")</f>
        <v>Magic</v>
      </c>
      <c r="D211" s="6">
        <f ca="1">IFERROR(__xludf.DUMMYFUNCTION("""COMPUTED_VALUE"""),940)</f>
        <v>940</v>
      </c>
      <c r="E211" s="7"/>
      <c r="F211" s="7"/>
      <c r="G211" s="7"/>
      <c r="H211" s="7"/>
      <c r="I211" s="7"/>
    </row>
    <row r="212" spans="1:9" ht="13.2">
      <c r="A212" s="5">
        <f ca="1">IFERROR(__xludf.DUMMYFUNCTION("""COMPUTED_VALUE"""),45)</f>
        <v>45</v>
      </c>
      <c r="B212" s="5" t="str">
        <f ca="1">IFERROR(__xludf.DUMMYFUNCTION("""COMPUTED_VALUE"""),"Carpet of flying")</f>
        <v>Carpet of flying</v>
      </c>
      <c r="C212" s="5" t="str">
        <f ca="1">IFERROR(__xludf.DUMMYFUNCTION("""COMPUTED_VALUE"""),"Magic")</f>
        <v>Magic</v>
      </c>
      <c r="D212" s="6">
        <f ca="1">IFERROR(__xludf.DUMMYFUNCTION("""COMPUTED_VALUE"""),1556)</f>
        <v>1556</v>
      </c>
      <c r="E212" s="7"/>
      <c r="F212" s="7"/>
      <c r="G212" s="7"/>
      <c r="H212" s="7"/>
      <c r="I212" s="7"/>
    </row>
    <row r="213" spans="1:9" ht="13.2">
      <c r="A213" s="5">
        <f ca="1">IFERROR(__xludf.DUMMYFUNCTION("""COMPUTED_VALUE"""),46)</f>
        <v>46</v>
      </c>
      <c r="B213" s="5" t="str">
        <f ca="1">IFERROR(__xludf.DUMMYFUNCTION("""COMPUTED_VALUE"""),"Censer of controlling air elementals")</f>
        <v>Censer of controlling air elementals</v>
      </c>
      <c r="C213" s="5" t="str">
        <f ca="1">IFERROR(__xludf.DUMMYFUNCTION("""COMPUTED_VALUE"""),"Magic")</f>
        <v>Magic</v>
      </c>
      <c r="D213" s="6">
        <f ca="1">IFERROR(__xludf.DUMMYFUNCTION("""COMPUTED_VALUE"""),940)</f>
        <v>940</v>
      </c>
      <c r="E213" s="7"/>
      <c r="F213" s="7"/>
      <c r="G213" s="7"/>
      <c r="H213" s="7"/>
      <c r="I213" s="7"/>
    </row>
    <row r="214" spans="1:9" ht="13.2">
      <c r="A214" s="5">
        <f ca="1">IFERROR(__xludf.DUMMYFUNCTION("""COMPUTED_VALUE"""),47)</f>
        <v>47</v>
      </c>
      <c r="B214" s="5" t="str">
        <f ca="1">IFERROR(__xludf.DUMMYFUNCTION("""COMPUTED_VALUE"""),"Chime of opening")</f>
        <v>Chime of opening</v>
      </c>
      <c r="C214" s="5" t="str">
        <f ca="1">IFERROR(__xludf.DUMMYFUNCTION("""COMPUTED_VALUE"""),"Magic")</f>
        <v>Magic</v>
      </c>
      <c r="D214" s="6">
        <f ca="1">IFERROR(__xludf.DUMMYFUNCTION("""COMPUTED_VALUE"""),922)</f>
        <v>922</v>
      </c>
      <c r="E214" s="7"/>
      <c r="F214" s="7"/>
      <c r="G214" s="7"/>
      <c r="H214" s="7"/>
      <c r="I214" s="7"/>
    </row>
    <row r="215" spans="1:9" ht="13.2">
      <c r="A215" s="5">
        <f ca="1">IFERROR(__xludf.DUMMYFUNCTION("""COMPUTED_VALUE"""),48)</f>
        <v>48</v>
      </c>
      <c r="B215" s="5" t="str">
        <f ca="1">IFERROR(__xludf.DUMMYFUNCTION("""COMPUTED_VALUE"""),"Circlet of blasting")</f>
        <v>Circlet of blasting</v>
      </c>
      <c r="C215" s="5" t="str">
        <f ca="1">IFERROR(__xludf.DUMMYFUNCTION("""COMPUTED_VALUE"""),"Magic")</f>
        <v>Magic</v>
      </c>
      <c r="D215" s="6">
        <f ca="1">IFERROR(__xludf.DUMMYFUNCTION("""COMPUTED_VALUE"""),380)</f>
        <v>380</v>
      </c>
      <c r="E215" s="7"/>
      <c r="F215" s="7"/>
      <c r="G215" s="7"/>
      <c r="H215" s="7"/>
      <c r="I215" s="7"/>
    </row>
    <row r="216" spans="1:9" ht="13.2">
      <c r="A216" s="5">
        <f ca="1">IFERROR(__xludf.DUMMYFUNCTION("""COMPUTED_VALUE"""),49)</f>
        <v>49</v>
      </c>
      <c r="B216" s="5" t="str">
        <f ca="1">IFERROR(__xludf.DUMMYFUNCTION("""COMPUTED_VALUE"""),"Cloak of arachnida")</f>
        <v>Cloak of arachnida</v>
      </c>
      <c r="C216" s="5" t="str">
        <f ca="1">IFERROR(__xludf.DUMMYFUNCTION("""COMPUTED_VALUE"""),"Magic")</f>
        <v>Magic</v>
      </c>
      <c r="D216" s="6">
        <f ca="1">IFERROR(__xludf.DUMMYFUNCTION("""COMPUTED_VALUE"""),1560)</f>
        <v>1560</v>
      </c>
      <c r="E216" s="7"/>
      <c r="F216" s="7"/>
      <c r="G216" s="7"/>
      <c r="H216" s="7"/>
      <c r="I216" s="7"/>
    </row>
    <row r="217" spans="1:9" ht="13.2">
      <c r="A217" s="5">
        <f ca="1">IFERROR(__xludf.DUMMYFUNCTION("""COMPUTED_VALUE"""),50)</f>
        <v>50</v>
      </c>
      <c r="B217" s="5" t="str">
        <f ca="1">IFERROR(__xludf.DUMMYFUNCTION("""COMPUTED_VALUE"""),"Cloak of displacement")</f>
        <v>Cloak of displacement</v>
      </c>
      <c r="C217" s="5" t="str">
        <f ca="1">IFERROR(__xludf.DUMMYFUNCTION("""COMPUTED_VALUE"""),"Magic")</f>
        <v>Magic</v>
      </c>
      <c r="D217" s="6">
        <f ca="1">IFERROR(__xludf.DUMMYFUNCTION("""COMPUTED_VALUE"""),943)</f>
        <v>943</v>
      </c>
      <c r="E217" s="7"/>
      <c r="F217" s="7"/>
      <c r="G217" s="7"/>
      <c r="H217" s="7"/>
      <c r="I217" s="7"/>
    </row>
    <row r="218" spans="1:9" ht="13.2">
      <c r="A218" s="5">
        <f ca="1">IFERROR(__xludf.DUMMYFUNCTION("""COMPUTED_VALUE"""),51)</f>
        <v>51</v>
      </c>
      <c r="B218" s="5" t="str">
        <f ca="1">IFERROR(__xludf.DUMMYFUNCTION("""COMPUTED_VALUE"""),"Cloak of elvenkind")</f>
        <v>Cloak of elvenkind</v>
      </c>
      <c r="C218" s="5" t="str">
        <f ca="1">IFERROR(__xludf.DUMMYFUNCTION("""COMPUTED_VALUE"""),"Magic")</f>
        <v>Magic</v>
      </c>
      <c r="D218" s="6">
        <f ca="1">IFERROR(__xludf.DUMMYFUNCTION("""COMPUTED_VALUE"""),370)</f>
        <v>370</v>
      </c>
      <c r="E218" s="7"/>
      <c r="F218" s="7"/>
      <c r="G218" s="7"/>
      <c r="H218" s="7"/>
      <c r="I218" s="7"/>
    </row>
    <row r="219" spans="1:9" ht="13.2">
      <c r="A219" s="5">
        <f ca="1">IFERROR(__xludf.DUMMYFUNCTION("""COMPUTED_VALUE"""),52)</f>
        <v>52</v>
      </c>
      <c r="B219" s="5" t="str">
        <f ca="1">IFERROR(__xludf.DUMMYFUNCTION("""COMPUTED_VALUE"""),"Cloak of invisibility")</f>
        <v>Cloak of invisibility</v>
      </c>
      <c r="C219" s="5" t="str">
        <f ca="1">IFERROR(__xludf.DUMMYFUNCTION("""COMPUTED_VALUE"""),"Magic")</f>
        <v>Magic</v>
      </c>
      <c r="D219" s="6">
        <f ca="1">IFERROR(__xludf.DUMMYFUNCTION("""COMPUTED_VALUE"""),3055)</f>
        <v>3055</v>
      </c>
      <c r="E219" s="7"/>
      <c r="F219" s="7"/>
      <c r="G219" s="7"/>
      <c r="H219" s="7"/>
      <c r="I219" s="7"/>
    </row>
    <row r="220" spans="1:9" ht="13.2">
      <c r="A220" s="5">
        <f ca="1">IFERROR(__xludf.DUMMYFUNCTION("""COMPUTED_VALUE"""),53)</f>
        <v>53</v>
      </c>
      <c r="B220" s="5" t="str">
        <f ca="1">IFERROR(__xludf.DUMMYFUNCTION("""COMPUTED_VALUE"""),"Cloak of protection")</f>
        <v>Cloak of protection</v>
      </c>
      <c r="C220" s="5" t="str">
        <f ca="1">IFERROR(__xludf.DUMMYFUNCTION("""COMPUTED_VALUE"""),"Magic")</f>
        <v>Magic</v>
      </c>
      <c r="D220" s="6">
        <f ca="1">IFERROR(__xludf.DUMMYFUNCTION("""COMPUTED_VALUE"""),370)</f>
        <v>370</v>
      </c>
      <c r="E220" s="7"/>
      <c r="F220" s="7"/>
      <c r="G220" s="7"/>
      <c r="H220" s="7"/>
      <c r="I220" s="7"/>
    </row>
    <row r="221" spans="1:9" ht="13.2">
      <c r="A221" s="5">
        <f ca="1">IFERROR(__xludf.DUMMYFUNCTION("""COMPUTED_VALUE"""),54)</f>
        <v>54</v>
      </c>
      <c r="B221" s="5" t="str">
        <f ca="1">IFERROR(__xludf.DUMMYFUNCTION("""COMPUTED_VALUE"""),"Cloak of the bat")</f>
        <v>Cloak of the bat</v>
      </c>
      <c r="C221" s="5" t="str">
        <f ca="1">IFERROR(__xludf.DUMMYFUNCTION("""COMPUTED_VALUE"""),"Magic")</f>
        <v>Magic</v>
      </c>
      <c r="D221" s="6">
        <f ca="1">IFERROR(__xludf.DUMMYFUNCTION("""COMPUTED_VALUE"""),943)</f>
        <v>943</v>
      </c>
      <c r="E221" s="7"/>
      <c r="F221" s="7"/>
      <c r="G221" s="7"/>
      <c r="H221" s="7"/>
      <c r="I221" s="7"/>
    </row>
    <row r="222" spans="1:9" ht="13.2">
      <c r="A222" s="5">
        <f ca="1">IFERROR(__xludf.DUMMYFUNCTION("""COMPUTED_VALUE"""),55)</f>
        <v>55</v>
      </c>
      <c r="B222" s="5" t="str">
        <f ca="1">IFERROR(__xludf.DUMMYFUNCTION("""COMPUTED_VALUE"""),"Cloak of the manta ray")</f>
        <v>Cloak of the manta ray</v>
      </c>
      <c r="C222" s="5" t="str">
        <f ca="1">IFERROR(__xludf.DUMMYFUNCTION("""COMPUTED_VALUE"""),"Magic")</f>
        <v>Magic</v>
      </c>
      <c r="D222" s="6">
        <f ca="1">IFERROR(__xludf.DUMMYFUNCTION("""COMPUTED_VALUE"""),372)</f>
        <v>372</v>
      </c>
      <c r="E222" s="7"/>
      <c r="F222" s="7"/>
      <c r="G222" s="7"/>
      <c r="H222" s="7"/>
      <c r="I222" s="7"/>
    </row>
    <row r="223" spans="1:9" ht="13.2">
      <c r="A223" s="5">
        <f ca="1">IFERROR(__xludf.DUMMYFUNCTION("""COMPUTED_VALUE"""),56)</f>
        <v>56</v>
      </c>
      <c r="B223" s="5" t="str">
        <f ca="1">IFERROR(__xludf.DUMMYFUNCTION("""COMPUTED_VALUE"""),"Crystal ball")</f>
        <v>Crystal ball</v>
      </c>
      <c r="C223" s="5" t="str">
        <f ca="1">IFERROR(__xludf.DUMMYFUNCTION("""COMPUTED_VALUE"""),"Magic")</f>
        <v>Magic</v>
      </c>
      <c r="D223" s="6">
        <f ca="1">IFERROR(__xludf.DUMMYFUNCTION("""COMPUTED_VALUE"""),1588)</f>
        <v>1588</v>
      </c>
      <c r="E223" s="7"/>
      <c r="F223" s="7"/>
      <c r="G223" s="7"/>
      <c r="H223" s="7"/>
      <c r="I223" s="7"/>
    </row>
    <row r="224" spans="1:9" ht="13.2">
      <c r="A224" s="5">
        <f ca="1">IFERROR(__xludf.DUMMYFUNCTION("""COMPUTED_VALUE"""),57)</f>
        <v>57</v>
      </c>
      <c r="B224" s="5" t="str">
        <f ca="1">IFERROR(__xludf.DUMMYFUNCTION("""COMPUTED_VALUE"""),"Crystal ball")</f>
        <v>Crystal ball</v>
      </c>
      <c r="C224" s="5" t="str">
        <f ca="1">IFERROR(__xludf.DUMMYFUNCTION("""COMPUTED_VALUE"""),"Magic")</f>
        <v>Magic</v>
      </c>
      <c r="D224" s="6">
        <f ca="1">IFERROR(__xludf.DUMMYFUNCTION("""COMPUTED_VALUE"""),3030)</f>
        <v>3030</v>
      </c>
      <c r="E224" s="7"/>
      <c r="F224" s="7"/>
      <c r="G224" s="7"/>
      <c r="H224" s="7"/>
      <c r="I224" s="7"/>
    </row>
    <row r="225" spans="1:9" ht="13.2">
      <c r="A225" s="5">
        <f ca="1">IFERROR(__xludf.DUMMYFUNCTION("""COMPUTED_VALUE"""),58)</f>
        <v>58</v>
      </c>
      <c r="B225" s="5" t="str">
        <f ca="1">IFERROR(__xludf.DUMMYFUNCTION("""COMPUTED_VALUE"""),"Cube of force")</f>
        <v>Cube of force</v>
      </c>
      <c r="C225" s="5" t="str">
        <f ca="1">IFERROR(__xludf.DUMMYFUNCTION("""COMPUTED_VALUE"""),"Magic")</f>
        <v>Magic</v>
      </c>
      <c r="D225" s="6">
        <f ca="1">IFERROR(__xludf.DUMMYFUNCTION("""COMPUTED_VALUE"""),946)</f>
        <v>946</v>
      </c>
      <c r="E225" s="7"/>
      <c r="F225" s="7"/>
      <c r="G225" s="7"/>
      <c r="H225" s="7"/>
      <c r="I225" s="7"/>
    </row>
    <row r="226" spans="1:9" ht="13.2">
      <c r="A226" s="5">
        <f ca="1">IFERROR(__xludf.DUMMYFUNCTION("""COMPUTED_VALUE"""),59)</f>
        <v>59</v>
      </c>
      <c r="B226" s="5" t="str">
        <f ca="1">IFERROR(__xludf.DUMMYFUNCTION("""COMPUTED_VALUE"""),"Cubic gate")</f>
        <v>Cubic gate</v>
      </c>
      <c r="C226" s="5" t="str">
        <f ca="1">IFERROR(__xludf.DUMMYFUNCTION("""COMPUTED_VALUE"""),"Magic")</f>
        <v>Magic</v>
      </c>
      <c r="D226" s="6">
        <f ca="1">IFERROR(__xludf.DUMMYFUNCTION("""COMPUTED_VALUE"""),3030)</f>
        <v>3030</v>
      </c>
      <c r="E226" s="7"/>
      <c r="F226" s="7"/>
      <c r="G226" s="7"/>
      <c r="H226" s="7"/>
      <c r="I226" s="7"/>
    </row>
    <row r="227" spans="1:9" ht="13.2">
      <c r="A227" s="5">
        <f ca="1">IFERROR(__xludf.DUMMYFUNCTION("""COMPUTED_VALUE"""),60)</f>
        <v>60</v>
      </c>
      <c r="B227" s="5" t="str">
        <f ca="1">IFERROR(__xludf.DUMMYFUNCTION("""COMPUTED_VALUE"""),"Daern’s instant fortress")</f>
        <v>Daern’s instant fortress</v>
      </c>
      <c r="C227" s="5" t="str">
        <f ca="1">IFERROR(__xludf.DUMMYFUNCTION("""COMPUTED_VALUE"""),"Magic")</f>
        <v>Magic</v>
      </c>
      <c r="D227" s="6">
        <f ca="1">IFERROR(__xludf.DUMMYFUNCTION("""COMPUTED_VALUE"""),946)</f>
        <v>946</v>
      </c>
      <c r="E227" s="7"/>
      <c r="F227" s="7"/>
      <c r="G227" s="7"/>
      <c r="H227" s="7"/>
      <c r="I227" s="7"/>
    </row>
    <row r="228" spans="1:9" ht="13.2">
      <c r="A228" s="5">
        <f ca="1">IFERROR(__xludf.DUMMYFUNCTION("""COMPUTED_VALUE"""),61)</f>
        <v>61</v>
      </c>
      <c r="B228" s="5" t="str">
        <f ca="1">IFERROR(__xludf.DUMMYFUNCTION("""COMPUTED_VALUE"""),"Dagger of venom")</f>
        <v>Dagger of venom</v>
      </c>
      <c r="C228" s="5" t="str">
        <f ca="1">IFERROR(__xludf.DUMMYFUNCTION("""COMPUTED_VALUE"""),"Magic")</f>
        <v>Magic</v>
      </c>
      <c r="D228" s="6">
        <f ca="1">IFERROR(__xludf.DUMMYFUNCTION("""COMPUTED_VALUE"""),931)</f>
        <v>931</v>
      </c>
      <c r="E228" s="7"/>
      <c r="F228" s="7"/>
      <c r="G228" s="7"/>
      <c r="H228" s="7"/>
      <c r="I228" s="7"/>
    </row>
    <row r="229" spans="1:9" ht="13.2">
      <c r="A229" s="5">
        <f ca="1">IFERROR(__xludf.DUMMYFUNCTION("""COMPUTED_VALUE"""),62)</f>
        <v>62</v>
      </c>
      <c r="B229" s="5" t="str">
        <f ca="1">IFERROR(__xludf.DUMMYFUNCTION("""COMPUTED_VALUE"""),"Dancing sword")</f>
        <v>Dancing sword</v>
      </c>
      <c r="C229" s="5" t="str">
        <f ca="1">IFERROR(__xludf.DUMMYFUNCTION("""COMPUTED_VALUE"""),"Magic")</f>
        <v>Magic</v>
      </c>
      <c r="D229" s="6">
        <f ca="1">IFERROR(__xludf.DUMMYFUNCTION("""COMPUTED_VALUE"""),1592)</f>
        <v>1592</v>
      </c>
      <c r="E229" s="7"/>
      <c r="F229" s="7"/>
      <c r="G229" s="7"/>
      <c r="H229" s="7"/>
      <c r="I229" s="7"/>
    </row>
    <row r="230" spans="1:9" ht="13.2">
      <c r="A230" s="5">
        <f ca="1">IFERROR(__xludf.DUMMYFUNCTION("""COMPUTED_VALUE"""),63)</f>
        <v>63</v>
      </c>
      <c r="B230" s="5" t="str">
        <f ca="1">IFERROR(__xludf.DUMMYFUNCTION("""COMPUTED_VALUE"""),"Decanter of endless water")</f>
        <v>Decanter of endless water</v>
      </c>
      <c r="C230" s="5" t="str">
        <f ca="1">IFERROR(__xludf.DUMMYFUNCTION("""COMPUTED_VALUE"""),"Magic")</f>
        <v>Magic</v>
      </c>
      <c r="D230" s="6">
        <f ca="1">IFERROR(__xludf.DUMMYFUNCTION("""COMPUTED_VALUE"""),374)</f>
        <v>374</v>
      </c>
      <c r="E230" s="7"/>
      <c r="F230" s="7"/>
      <c r="G230" s="7"/>
      <c r="H230" s="7"/>
      <c r="I230" s="7"/>
    </row>
    <row r="231" spans="1:9" ht="13.2">
      <c r="A231" s="5">
        <f ca="1">IFERROR(__xludf.DUMMYFUNCTION("""COMPUTED_VALUE"""),64)</f>
        <v>64</v>
      </c>
      <c r="B231" s="5" t="str">
        <f ca="1">IFERROR(__xludf.DUMMYFUNCTION("""COMPUTED_VALUE"""),"Deck of illusions")</f>
        <v>Deck of illusions</v>
      </c>
      <c r="C231" s="5" t="str">
        <f ca="1">IFERROR(__xludf.DUMMYFUNCTION("""COMPUTED_VALUE"""),"Magic")</f>
        <v>Magic</v>
      </c>
      <c r="D231" s="6">
        <f ca="1">IFERROR(__xludf.DUMMYFUNCTION("""COMPUTED_VALUE"""),386)</f>
        <v>386</v>
      </c>
      <c r="E231" s="7"/>
      <c r="F231" s="7"/>
      <c r="G231" s="7"/>
      <c r="H231" s="7"/>
      <c r="I231" s="7"/>
    </row>
    <row r="232" spans="1:9" ht="13.2">
      <c r="A232" s="5">
        <f ca="1">IFERROR(__xludf.DUMMYFUNCTION("""COMPUTED_VALUE"""),65)</f>
        <v>65</v>
      </c>
      <c r="B232" s="5" t="str">
        <f ca="1">IFERROR(__xludf.DUMMYFUNCTION("""COMPUTED_VALUE"""),"Deck of many things")</f>
        <v>Deck of many things</v>
      </c>
      <c r="C232" s="5" t="str">
        <f ca="1">IFERROR(__xludf.DUMMYFUNCTION("""COMPUTED_VALUE"""),"Magic")</f>
        <v>Magic</v>
      </c>
      <c r="D232" s="6">
        <f ca="1">IFERROR(__xludf.DUMMYFUNCTION("""COMPUTED_VALUE"""),3035)</f>
        <v>3035</v>
      </c>
      <c r="E232" s="7"/>
      <c r="F232" s="7"/>
      <c r="G232" s="7"/>
      <c r="H232" s="7"/>
      <c r="I232" s="7"/>
    </row>
    <row r="233" spans="1:9" ht="13.2">
      <c r="A233" s="5">
        <f ca="1">IFERROR(__xludf.DUMMYFUNCTION("""COMPUTED_VALUE"""),66)</f>
        <v>66</v>
      </c>
      <c r="B233" s="5" t="str">
        <f ca="1">IFERROR(__xludf.DUMMYFUNCTION("""COMPUTED_VALUE"""),"Defender")</f>
        <v>Defender</v>
      </c>
      <c r="C233" s="5" t="str">
        <f ca="1">IFERROR(__xludf.DUMMYFUNCTION("""COMPUTED_VALUE"""),"Magic")</f>
        <v>Magic</v>
      </c>
      <c r="D233" s="6">
        <f ca="1">IFERROR(__xludf.DUMMYFUNCTION("""COMPUTED_VALUE"""),3065)</f>
        <v>3065</v>
      </c>
      <c r="E233" s="7"/>
      <c r="F233" s="7"/>
      <c r="G233" s="7"/>
      <c r="H233" s="7"/>
      <c r="I233" s="7"/>
    </row>
    <row r="234" spans="1:9" ht="13.2">
      <c r="A234" s="5">
        <f ca="1">IFERROR(__xludf.DUMMYFUNCTION("""COMPUTED_VALUE"""),67)</f>
        <v>67</v>
      </c>
      <c r="B234" s="5" t="str">
        <f ca="1">IFERROR(__xludf.DUMMYFUNCTION("""COMPUTED_VALUE"""),"Demon armor")</f>
        <v>Demon armor</v>
      </c>
      <c r="C234" s="5" t="str">
        <f ca="1">IFERROR(__xludf.DUMMYFUNCTION("""COMPUTED_VALUE"""),"Magic")</f>
        <v>Magic</v>
      </c>
      <c r="D234" s="6">
        <f ca="1">IFERROR(__xludf.DUMMYFUNCTION("""COMPUTED_VALUE"""),1572)</f>
        <v>1572</v>
      </c>
      <c r="E234" s="7"/>
      <c r="F234" s="7"/>
      <c r="G234" s="7"/>
      <c r="H234" s="7"/>
      <c r="I234" s="7"/>
    </row>
    <row r="235" spans="1:9" ht="13.2">
      <c r="A235" s="5">
        <f ca="1">IFERROR(__xludf.DUMMYFUNCTION("""COMPUTED_VALUE"""),68)</f>
        <v>68</v>
      </c>
      <c r="B235" s="5" t="str">
        <f ca="1">IFERROR(__xludf.DUMMYFUNCTION("""COMPUTED_VALUE"""),"Dimensional shackles")</f>
        <v>Dimensional shackles</v>
      </c>
      <c r="C235" s="5" t="str">
        <f ca="1">IFERROR(__xludf.DUMMYFUNCTION("""COMPUTED_VALUE"""),"Magic")</f>
        <v>Magic</v>
      </c>
      <c r="D235" s="6">
        <f ca="1">IFERROR(__xludf.DUMMYFUNCTION("""COMPUTED_VALUE"""),952)</f>
        <v>952</v>
      </c>
      <c r="E235" s="7"/>
      <c r="F235" s="7"/>
      <c r="G235" s="7"/>
      <c r="H235" s="7"/>
      <c r="I235" s="7"/>
    </row>
    <row r="236" spans="1:9" ht="13.2">
      <c r="A236" s="5">
        <f ca="1">IFERROR(__xludf.DUMMYFUNCTION("""COMPUTED_VALUE"""),69)</f>
        <v>69</v>
      </c>
      <c r="B236" s="5" t="str">
        <f ca="1">IFERROR(__xludf.DUMMYFUNCTION("""COMPUTED_VALUE"""),"Dragon scale mail")</f>
        <v>Dragon scale mail</v>
      </c>
      <c r="C236" s="5" t="str">
        <f ca="1">IFERROR(__xludf.DUMMYFUNCTION("""COMPUTED_VALUE"""),"Magic")</f>
        <v>Magic</v>
      </c>
      <c r="D236" s="6">
        <f ca="1">IFERROR(__xludf.DUMMYFUNCTION("""COMPUTED_VALUE"""),1572)</f>
        <v>1572</v>
      </c>
      <c r="E236" s="7"/>
      <c r="F236" s="7"/>
      <c r="G236" s="7"/>
      <c r="H236" s="7"/>
      <c r="I236" s="7"/>
    </row>
    <row r="237" spans="1:9" ht="13.2">
      <c r="A237" s="5">
        <f ca="1">IFERROR(__xludf.DUMMYFUNCTION("""COMPUTED_VALUE"""),70)</f>
        <v>70</v>
      </c>
      <c r="B237" s="5" t="str">
        <f ca="1">IFERROR(__xludf.DUMMYFUNCTION("""COMPUTED_VALUE"""),"Dragon slayer")</f>
        <v>Dragon slayer</v>
      </c>
      <c r="C237" s="5" t="str">
        <f ca="1">IFERROR(__xludf.DUMMYFUNCTION("""COMPUTED_VALUE"""),"Magic")</f>
        <v>Magic</v>
      </c>
      <c r="D237" s="6">
        <f ca="1">IFERROR(__xludf.DUMMYFUNCTION("""COMPUTED_VALUE"""),952)</f>
        <v>952</v>
      </c>
      <c r="E237" s="7"/>
      <c r="F237" s="7"/>
      <c r="G237" s="7"/>
      <c r="H237" s="7"/>
      <c r="I237" s="7"/>
    </row>
    <row r="238" spans="1:9" ht="13.2">
      <c r="A238" s="5">
        <f ca="1">IFERROR(__xludf.DUMMYFUNCTION("""COMPUTED_VALUE"""),71)</f>
        <v>71</v>
      </c>
      <c r="B238" s="5" t="str">
        <f ca="1">IFERROR(__xludf.DUMMYFUNCTION("""COMPUTED_VALUE"""),"Driftglobe")</f>
        <v>Driftglobe</v>
      </c>
      <c r="C238" s="5" t="str">
        <f ca="1">IFERROR(__xludf.DUMMYFUNCTION("""COMPUTED_VALUE"""),"Magic")</f>
        <v>Magic</v>
      </c>
      <c r="D238" s="6">
        <f ca="1">IFERROR(__xludf.DUMMYFUNCTION("""COMPUTED_VALUE"""),376)</f>
        <v>376</v>
      </c>
      <c r="E238" s="7"/>
      <c r="F238" s="7"/>
      <c r="G238" s="7"/>
      <c r="H238" s="7"/>
      <c r="I238" s="7"/>
    </row>
    <row r="239" spans="1:9" ht="13.2">
      <c r="A239" s="5">
        <f ca="1">IFERROR(__xludf.DUMMYFUNCTION("""COMPUTED_VALUE"""),72)</f>
        <v>72</v>
      </c>
      <c r="B239" s="5" t="str">
        <f ca="1">IFERROR(__xludf.DUMMYFUNCTION("""COMPUTED_VALUE"""),"Dust of disappearance")</f>
        <v>Dust of disappearance</v>
      </c>
      <c r="C239" s="5" t="str">
        <f ca="1">IFERROR(__xludf.DUMMYFUNCTION("""COMPUTED_VALUE"""),"Magic")</f>
        <v>Magic</v>
      </c>
      <c r="D239" s="6">
        <f ca="1">IFERROR(__xludf.DUMMYFUNCTION("""COMPUTED_VALUE"""),388)</f>
        <v>388</v>
      </c>
      <c r="E239" s="7"/>
      <c r="F239" s="7"/>
      <c r="G239" s="7"/>
      <c r="H239" s="7"/>
      <c r="I239" s="7"/>
    </row>
    <row r="240" spans="1:9" ht="13.2">
      <c r="A240" s="5">
        <f ca="1">IFERROR(__xludf.DUMMYFUNCTION("""COMPUTED_VALUE"""),73)</f>
        <v>73</v>
      </c>
      <c r="B240" s="5" t="str">
        <f ca="1">IFERROR(__xludf.DUMMYFUNCTION("""COMPUTED_VALUE"""),"Dust of dryness")</f>
        <v>Dust of dryness</v>
      </c>
      <c r="C240" s="5" t="str">
        <f ca="1">IFERROR(__xludf.DUMMYFUNCTION("""COMPUTED_VALUE"""),"Magic")</f>
        <v>Magic</v>
      </c>
      <c r="D240" s="6">
        <f ca="1">IFERROR(__xludf.DUMMYFUNCTION("""COMPUTED_VALUE"""),378)</f>
        <v>378</v>
      </c>
      <c r="E240" s="7"/>
      <c r="F240" s="7"/>
      <c r="G240" s="7"/>
      <c r="H240" s="7"/>
      <c r="I240" s="7"/>
    </row>
    <row r="241" spans="1:9" ht="13.2">
      <c r="A241" s="5">
        <f ca="1">IFERROR(__xludf.DUMMYFUNCTION("""COMPUTED_VALUE"""),74)</f>
        <v>74</v>
      </c>
      <c r="B241" s="5" t="str">
        <f ca="1">IFERROR(__xludf.DUMMYFUNCTION("""COMPUTED_VALUE"""),"Dust of sneezing and choking")</f>
        <v>Dust of sneezing and choking</v>
      </c>
      <c r="C241" s="5" t="str">
        <f ca="1">IFERROR(__xludf.DUMMYFUNCTION("""COMPUTED_VALUE"""),"Magic")</f>
        <v>Magic</v>
      </c>
      <c r="D241" s="6">
        <f ca="1">IFERROR(__xludf.DUMMYFUNCTION("""COMPUTED_VALUE"""),366)</f>
        <v>366</v>
      </c>
      <c r="E241" s="7"/>
      <c r="F241" s="7"/>
      <c r="G241" s="7"/>
      <c r="H241" s="7"/>
      <c r="I241" s="7"/>
    </row>
    <row r="242" spans="1:9" ht="13.2">
      <c r="A242" s="5">
        <f ca="1">IFERROR(__xludf.DUMMYFUNCTION("""COMPUTED_VALUE"""),75)</f>
        <v>75</v>
      </c>
      <c r="B242" s="5" t="str">
        <f ca="1">IFERROR(__xludf.DUMMYFUNCTION("""COMPUTED_VALUE"""),"Dwarven plate")</f>
        <v>Dwarven plate</v>
      </c>
      <c r="C242" s="5" t="str">
        <f ca="1">IFERROR(__xludf.DUMMYFUNCTION("""COMPUTED_VALUE"""),"Magic")</f>
        <v>Magic</v>
      </c>
      <c r="D242" s="6">
        <f ca="1">IFERROR(__xludf.DUMMYFUNCTION("""COMPUTED_VALUE"""),1576)</f>
        <v>1576</v>
      </c>
      <c r="E242" s="7"/>
      <c r="F242" s="7"/>
      <c r="G242" s="7"/>
      <c r="H242" s="7"/>
      <c r="I242" s="7"/>
    </row>
    <row r="243" spans="1:9" ht="13.2">
      <c r="A243" s="5">
        <f ca="1">IFERROR(__xludf.DUMMYFUNCTION("""COMPUTED_VALUE"""),76)</f>
        <v>76</v>
      </c>
      <c r="B243" s="5" t="str">
        <f ca="1">IFERROR(__xludf.DUMMYFUNCTION("""COMPUTED_VALUE"""),"Dwarven thrower")</f>
        <v>Dwarven thrower</v>
      </c>
      <c r="C243" s="5" t="str">
        <f ca="1">IFERROR(__xludf.DUMMYFUNCTION("""COMPUTED_VALUE"""),"Magic")</f>
        <v>Magic</v>
      </c>
      <c r="D243" s="6">
        <f ca="1">IFERROR(__xludf.DUMMYFUNCTION("""COMPUTED_VALUE"""),1552)</f>
        <v>1552</v>
      </c>
      <c r="E243" s="7"/>
      <c r="F243" s="7"/>
      <c r="G243" s="7"/>
      <c r="H243" s="7"/>
      <c r="I243" s="7"/>
    </row>
    <row r="244" spans="1:9" ht="13.2">
      <c r="A244" s="5">
        <f ca="1">IFERROR(__xludf.DUMMYFUNCTION("""COMPUTED_VALUE"""),77)</f>
        <v>77</v>
      </c>
      <c r="B244" s="5" t="str">
        <f ca="1">IFERROR(__xludf.DUMMYFUNCTION("""COMPUTED_VALUE"""),"Efreeti bottle")</f>
        <v>Efreeti bottle</v>
      </c>
      <c r="C244" s="5" t="str">
        <f ca="1">IFERROR(__xludf.DUMMYFUNCTION("""COMPUTED_VALUE"""),"Magic")</f>
        <v>Magic</v>
      </c>
      <c r="D244" s="6">
        <f ca="1">IFERROR(__xludf.DUMMYFUNCTION("""COMPUTED_VALUE"""),1576)</f>
        <v>1576</v>
      </c>
      <c r="E244" s="7"/>
      <c r="F244" s="7"/>
      <c r="G244" s="7"/>
      <c r="H244" s="7"/>
      <c r="I244" s="7"/>
    </row>
    <row r="245" spans="1:9" ht="13.2">
      <c r="A245" s="5">
        <f ca="1">IFERROR(__xludf.DUMMYFUNCTION("""COMPUTED_VALUE"""),78)</f>
        <v>78</v>
      </c>
      <c r="B245" s="5" t="str">
        <f ca="1">IFERROR(__xludf.DUMMYFUNCTION("""COMPUTED_VALUE"""),"Efreeti chain")</f>
        <v>Efreeti chain</v>
      </c>
      <c r="C245" s="5" t="str">
        <f ca="1">IFERROR(__xludf.DUMMYFUNCTION("""COMPUTED_VALUE"""),"Magic")</f>
        <v>Magic</v>
      </c>
      <c r="D245" s="6">
        <f ca="1">IFERROR(__xludf.DUMMYFUNCTION("""COMPUTED_VALUE"""),3015)</f>
        <v>3015</v>
      </c>
      <c r="E245" s="7"/>
      <c r="F245" s="7"/>
      <c r="G245" s="7"/>
      <c r="H245" s="7"/>
      <c r="I245" s="7"/>
    </row>
    <row r="246" spans="1:9" ht="13.2">
      <c r="A246" s="5">
        <f ca="1">IFERROR(__xludf.DUMMYFUNCTION("""COMPUTED_VALUE"""),79)</f>
        <v>79</v>
      </c>
      <c r="B246" s="5" t="str">
        <f ca="1">IFERROR(__xludf.DUMMYFUNCTION("""COMPUTED_VALUE"""),"Elemental gem")</f>
        <v>Elemental gem</v>
      </c>
      <c r="C246" s="5" t="str">
        <f ca="1">IFERROR(__xludf.DUMMYFUNCTION("""COMPUTED_VALUE"""),"Magic")</f>
        <v>Magic</v>
      </c>
      <c r="D246" s="6">
        <f ca="1">IFERROR(__xludf.DUMMYFUNCTION("""COMPUTED_VALUE"""),380)</f>
        <v>380</v>
      </c>
      <c r="E246" s="7"/>
      <c r="F246" s="7"/>
      <c r="G246" s="7"/>
      <c r="H246" s="7"/>
      <c r="I246" s="7"/>
    </row>
    <row r="247" spans="1:9" ht="13.2">
      <c r="A247" s="5">
        <f ca="1">IFERROR(__xludf.DUMMYFUNCTION("""COMPUTED_VALUE"""),80)</f>
        <v>80</v>
      </c>
      <c r="B247" s="5" t="str">
        <f ca="1">IFERROR(__xludf.DUMMYFUNCTION("""COMPUTED_VALUE"""),"Elixir of health")</f>
        <v>Elixir of health</v>
      </c>
      <c r="C247" s="5" t="str">
        <f ca="1">IFERROR(__xludf.DUMMYFUNCTION("""COMPUTED_VALUE"""),"Magic")</f>
        <v>Magic</v>
      </c>
      <c r="D247" s="6">
        <f ca="1">IFERROR(__xludf.DUMMYFUNCTION("""COMPUTED_VALUE"""),922)</f>
        <v>922</v>
      </c>
      <c r="E247" s="7"/>
      <c r="F247" s="7"/>
      <c r="G247" s="7"/>
      <c r="H247" s="7"/>
      <c r="I247" s="7"/>
    </row>
    <row r="248" spans="1:9" ht="13.2">
      <c r="A248" s="5">
        <f ca="1">IFERROR(__xludf.DUMMYFUNCTION("""COMPUTED_VALUE"""),81)</f>
        <v>81</v>
      </c>
      <c r="B248" s="5" t="str">
        <f ca="1">IFERROR(__xludf.DUMMYFUNCTION("""COMPUTED_VALUE"""),"Elven chain")</f>
        <v>Elven chain</v>
      </c>
      <c r="C248" s="5" t="str">
        <f ca="1">IFERROR(__xludf.DUMMYFUNCTION("""COMPUTED_VALUE"""),"Magic")</f>
        <v>Magic</v>
      </c>
      <c r="D248" s="6">
        <f ca="1">IFERROR(__xludf.DUMMYFUNCTION("""COMPUTED_VALUE"""),940)</f>
        <v>940</v>
      </c>
      <c r="E248" s="7"/>
      <c r="F248" s="7"/>
      <c r="G248" s="7"/>
      <c r="H248" s="7"/>
      <c r="I248" s="7"/>
    </row>
    <row r="249" spans="1:9" ht="13.2">
      <c r="A249" s="5">
        <f ca="1">IFERROR(__xludf.DUMMYFUNCTION("""COMPUTED_VALUE"""),82)</f>
        <v>82</v>
      </c>
      <c r="B249" s="5" t="str">
        <f ca="1">IFERROR(__xludf.DUMMYFUNCTION("""COMPUTED_VALUE"""),"Eversmoking bottle")</f>
        <v>Eversmoking bottle</v>
      </c>
      <c r="C249" s="5" t="str">
        <f ca="1">IFERROR(__xludf.DUMMYFUNCTION("""COMPUTED_VALUE"""),"Magic")</f>
        <v>Magic</v>
      </c>
      <c r="D249" s="6">
        <f ca="1">IFERROR(__xludf.DUMMYFUNCTION("""COMPUTED_VALUE"""),368)</f>
        <v>368</v>
      </c>
      <c r="E249" s="7"/>
      <c r="F249" s="7"/>
      <c r="G249" s="7"/>
      <c r="H249" s="7"/>
      <c r="I249" s="7"/>
    </row>
    <row r="250" spans="1:9" ht="13.2">
      <c r="A250" s="5">
        <f ca="1">IFERROR(__xludf.DUMMYFUNCTION("""COMPUTED_VALUE"""),83)</f>
        <v>83</v>
      </c>
      <c r="B250" s="5" t="str">
        <f ca="1">IFERROR(__xludf.DUMMYFUNCTION("""COMPUTED_VALUE"""),"Eyes of charming")</f>
        <v>Eyes of charming</v>
      </c>
      <c r="C250" s="5" t="str">
        <f ca="1">IFERROR(__xludf.DUMMYFUNCTION("""COMPUTED_VALUE"""),"Magic")</f>
        <v>Magic</v>
      </c>
      <c r="D250" s="6">
        <f ca="1">IFERROR(__xludf.DUMMYFUNCTION("""COMPUTED_VALUE"""),380)</f>
        <v>380</v>
      </c>
      <c r="E250" s="7"/>
      <c r="F250" s="7"/>
      <c r="G250" s="7"/>
      <c r="H250" s="7"/>
      <c r="I250" s="7"/>
    </row>
    <row r="251" spans="1:9" ht="13.2">
      <c r="A251" s="5">
        <f ca="1">IFERROR(__xludf.DUMMYFUNCTION("""COMPUTED_VALUE"""),84)</f>
        <v>84</v>
      </c>
      <c r="B251" s="5" t="str">
        <f ca="1">IFERROR(__xludf.DUMMYFUNCTION("""COMPUTED_VALUE"""),"Eyes of minute seeing")</f>
        <v>Eyes of minute seeing</v>
      </c>
      <c r="C251" s="5" t="str">
        <f ca="1">IFERROR(__xludf.DUMMYFUNCTION("""COMPUTED_VALUE"""),"Magic")</f>
        <v>Magic</v>
      </c>
      <c r="D251" s="6">
        <f ca="1">IFERROR(__xludf.DUMMYFUNCTION("""COMPUTED_VALUE"""),368)</f>
        <v>368</v>
      </c>
      <c r="E251" s="7"/>
      <c r="F251" s="7"/>
      <c r="G251" s="7"/>
      <c r="H251" s="7"/>
      <c r="I251" s="7"/>
    </row>
    <row r="252" spans="1:9" ht="13.2">
      <c r="A252" s="5">
        <f ca="1">IFERROR(__xludf.DUMMYFUNCTION("""COMPUTED_VALUE"""),85)</f>
        <v>85</v>
      </c>
      <c r="B252" s="5" t="str">
        <f ca="1">IFERROR(__xludf.DUMMYFUNCTION("""COMPUTED_VALUE"""),"Eyes of the eagle")</f>
        <v>Eyes of the eagle</v>
      </c>
      <c r="C252" s="5" t="str">
        <f ca="1">IFERROR(__xludf.DUMMYFUNCTION("""COMPUTED_VALUE"""),"Magic")</f>
        <v>Magic</v>
      </c>
      <c r="D252" s="6">
        <f ca="1">IFERROR(__xludf.DUMMYFUNCTION("""COMPUTED_VALUE"""),382)</f>
        <v>382</v>
      </c>
      <c r="E252" s="7"/>
      <c r="F252" s="7"/>
      <c r="G252" s="7"/>
      <c r="H252" s="7"/>
      <c r="I252" s="7"/>
    </row>
    <row r="253" spans="1:9" ht="13.2">
      <c r="A253" s="5">
        <f ca="1">IFERROR(__xludf.DUMMYFUNCTION("""COMPUTED_VALUE"""),86)</f>
        <v>86</v>
      </c>
      <c r="B253" s="5" t="str">
        <f ca="1">IFERROR(__xludf.DUMMYFUNCTION("""COMPUTED_VALUE"""),"Figurine of wondrous power (bronze griffon)")</f>
        <v>Figurine of wondrous power (bronze griffon)</v>
      </c>
      <c r="C253" s="5" t="str">
        <f ca="1">IFERROR(__xludf.DUMMYFUNCTION("""COMPUTED_VALUE"""),"Magic")</f>
        <v>Magic</v>
      </c>
      <c r="D253" s="6">
        <f ca="1">IFERROR(__xludf.DUMMYFUNCTION("""COMPUTED_VALUE"""),925)</f>
        <v>925</v>
      </c>
      <c r="E253" s="7"/>
      <c r="F253" s="7"/>
      <c r="G253" s="7"/>
      <c r="H253" s="7"/>
      <c r="I253" s="7"/>
    </row>
    <row r="254" spans="1:9" ht="13.2">
      <c r="A254" s="5">
        <f ca="1">IFERROR(__xludf.DUMMYFUNCTION("""COMPUTED_VALUE"""),87)</f>
        <v>87</v>
      </c>
      <c r="B254" s="5" t="str">
        <f ca="1">IFERROR(__xludf.DUMMYFUNCTION("""COMPUTED_VALUE"""),"Figurine of wondrous power (ebony fly)")</f>
        <v>Figurine of wondrous power (ebony fly)</v>
      </c>
      <c r="C254" s="5" t="str">
        <f ca="1">IFERROR(__xludf.DUMMYFUNCTION("""COMPUTED_VALUE"""),"Magic")</f>
        <v>Magic</v>
      </c>
      <c r="D254" s="6">
        <f ca="1">IFERROR(__xludf.DUMMYFUNCTION("""COMPUTED_VALUE"""),943)</f>
        <v>943</v>
      </c>
      <c r="E254" s="7"/>
      <c r="F254" s="7"/>
      <c r="G254" s="7"/>
      <c r="H254" s="7"/>
      <c r="I254" s="7"/>
    </row>
    <row r="255" spans="1:9" ht="13.2">
      <c r="A255" s="5">
        <f ca="1">IFERROR(__xludf.DUMMYFUNCTION("""COMPUTED_VALUE"""),88)</f>
        <v>88</v>
      </c>
      <c r="B255" s="5" t="str">
        <f ca="1">IFERROR(__xludf.DUMMYFUNCTION("""COMPUTED_VALUE"""),"Figurine of wondrous power (golden lions)")</f>
        <v>Figurine of wondrous power (golden lions)</v>
      </c>
      <c r="C255" s="5" t="str">
        <f ca="1">IFERROR(__xludf.DUMMYFUNCTION("""COMPUTED_VALUE"""),"Magic")</f>
        <v>Magic</v>
      </c>
      <c r="D255" s="6">
        <f ca="1">IFERROR(__xludf.DUMMYFUNCTION("""COMPUTED_VALUE"""),925)</f>
        <v>925</v>
      </c>
      <c r="E255" s="7"/>
      <c r="F255" s="7"/>
      <c r="G255" s="7"/>
      <c r="H255" s="7"/>
      <c r="I255" s="7"/>
    </row>
    <row r="256" spans="1:9" ht="13.2">
      <c r="A256" s="5">
        <f ca="1">IFERROR(__xludf.DUMMYFUNCTION("""COMPUTED_VALUE"""),89)</f>
        <v>89</v>
      </c>
      <c r="B256" s="5" t="str">
        <f ca="1">IFERROR(__xludf.DUMMYFUNCTION("""COMPUTED_VALUE"""),"Figurine of wondrous power (ivory goats)")</f>
        <v>Figurine of wondrous power (ivory goats)</v>
      </c>
      <c r="C256" s="5" t="str">
        <f ca="1">IFERROR(__xludf.DUMMYFUNCTION("""COMPUTED_VALUE"""),"Magic")</f>
        <v>Magic</v>
      </c>
      <c r="D256" s="6">
        <f ca="1">IFERROR(__xludf.DUMMYFUNCTION("""COMPUTED_VALUE"""),943)</f>
        <v>943</v>
      </c>
      <c r="E256" s="7"/>
      <c r="F256" s="7"/>
      <c r="G256" s="7"/>
      <c r="H256" s="7"/>
      <c r="I256" s="7"/>
    </row>
    <row r="257" spans="1:9" ht="13.2">
      <c r="A257" s="5">
        <f ca="1">IFERROR(__xludf.DUMMYFUNCTION("""COMPUTED_VALUE"""),90)</f>
        <v>90</v>
      </c>
      <c r="B257" s="5" t="str">
        <f ca="1">IFERROR(__xludf.DUMMYFUNCTION("""COMPUTED_VALUE"""),"Figurine of wondrous power (marble elephant)")</f>
        <v>Figurine of wondrous power (marble elephant)</v>
      </c>
      <c r="C257" s="5" t="str">
        <f ca="1">IFERROR(__xludf.DUMMYFUNCTION("""COMPUTED_VALUE"""),"Magic")</f>
        <v>Magic</v>
      </c>
      <c r="D257" s="6">
        <f ca="1">IFERROR(__xludf.DUMMYFUNCTION("""COMPUTED_VALUE"""),925)</f>
        <v>925</v>
      </c>
      <c r="E257" s="7"/>
      <c r="F257" s="7"/>
      <c r="G257" s="7"/>
      <c r="H257" s="7"/>
      <c r="I257" s="7"/>
    </row>
    <row r="258" spans="1:9" ht="13.2">
      <c r="A258" s="5">
        <f ca="1">IFERROR(__xludf.DUMMYFUNCTION("""COMPUTED_VALUE"""),91)</f>
        <v>91</v>
      </c>
      <c r="B258" s="5" t="str">
        <f ca="1">IFERROR(__xludf.DUMMYFUNCTION("""COMPUTED_VALUE"""),"Figurine of wondrous power (obsidian steed)")</f>
        <v>Figurine of wondrous power (obsidian steed)</v>
      </c>
      <c r="C258" s="5" t="str">
        <f ca="1">IFERROR(__xludf.DUMMYFUNCTION("""COMPUTED_VALUE"""),"Magic")</f>
        <v>Magic</v>
      </c>
      <c r="D258" s="6">
        <f ca="1">IFERROR(__xludf.DUMMYFUNCTION("""COMPUTED_VALUE"""),1588)</f>
        <v>1588</v>
      </c>
      <c r="E258" s="7"/>
      <c r="F258" s="7"/>
      <c r="G258" s="7"/>
      <c r="H258" s="7"/>
      <c r="I258" s="7"/>
    </row>
    <row r="259" spans="1:9" ht="13.2">
      <c r="A259" s="5">
        <f ca="1">IFERROR(__xludf.DUMMYFUNCTION("""COMPUTED_VALUE"""),92)</f>
        <v>92</v>
      </c>
      <c r="B259" s="5" t="str">
        <f ca="1">IFERROR(__xludf.DUMMYFUNCTION("""COMPUTED_VALUE"""),"Figurine of wondrous power (onyx dog)")</f>
        <v>Figurine of wondrous power (onyx dog)</v>
      </c>
      <c r="C259" s="5" t="str">
        <f ca="1">IFERROR(__xludf.DUMMYFUNCTION("""COMPUTED_VALUE"""),"Magic")</f>
        <v>Magic</v>
      </c>
      <c r="D259" s="6">
        <f ca="1">IFERROR(__xludf.DUMMYFUNCTION("""COMPUTED_VALUE"""),928)</f>
        <v>928</v>
      </c>
      <c r="E259" s="7"/>
      <c r="F259" s="7"/>
      <c r="G259" s="7"/>
      <c r="H259" s="7"/>
      <c r="I259" s="7"/>
    </row>
    <row r="260" spans="1:9" ht="13.2">
      <c r="A260" s="5">
        <f ca="1">IFERROR(__xludf.DUMMYFUNCTION("""COMPUTED_VALUE"""),93)</f>
        <v>93</v>
      </c>
      <c r="B260" s="5" t="str">
        <f ca="1">IFERROR(__xludf.DUMMYFUNCTION("""COMPUTED_VALUE"""),"Figurine of wondrous power (serpentine owl)")</f>
        <v>Figurine of wondrous power (serpentine owl)</v>
      </c>
      <c r="C260" s="5" t="str">
        <f ca="1">IFERROR(__xludf.DUMMYFUNCTION("""COMPUTED_VALUE"""),"Magic")</f>
        <v>Magic</v>
      </c>
      <c r="D260" s="6">
        <f ca="1">IFERROR(__xludf.DUMMYFUNCTION("""COMPUTED_VALUE"""),946)</f>
        <v>946</v>
      </c>
      <c r="E260" s="7"/>
      <c r="F260" s="7"/>
      <c r="G260" s="7"/>
      <c r="H260" s="7"/>
      <c r="I260" s="7"/>
    </row>
    <row r="261" spans="1:9" ht="13.2">
      <c r="A261" s="5">
        <f ca="1">IFERROR(__xludf.DUMMYFUNCTION("""COMPUTED_VALUE"""),94)</f>
        <v>94</v>
      </c>
      <c r="B261" s="5" t="str">
        <f ca="1">IFERROR(__xludf.DUMMYFUNCTION("""COMPUTED_VALUE"""),"Figurine of wondrous power (silver raven)")</f>
        <v>Figurine of wondrous power (silver raven)</v>
      </c>
      <c r="C261" s="5" t="str">
        <f ca="1">IFERROR(__xludf.DUMMYFUNCTION("""COMPUTED_VALUE"""),"Magic")</f>
        <v>Magic</v>
      </c>
      <c r="D261" s="6">
        <f ca="1">IFERROR(__xludf.DUMMYFUNCTION("""COMPUTED_VALUE"""),372)</f>
        <v>372</v>
      </c>
      <c r="E261" s="7"/>
      <c r="F261" s="7"/>
      <c r="G261" s="7"/>
      <c r="H261" s="7"/>
      <c r="I261" s="7"/>
    </row>
    <row r="262" spans="1:9" ht="13.2">
      <c r="A262" s="5">
        <f ca="1">IFERROR(__xludf.DUMMYFUNCTION("""COMPUTED_VALUE"""),95)</f>
        <v>95</v>
      </c>
      <c r="B262" s="5" t="str">
        <f ca="1">IFERROR(__xludf.DUMMYFUNCTION("""COMPUTED_VALUE"""),"Flame tongue")</f>
        <v>Flame tongue</v>
      </c>
      <c r="C262" s="5" t="str">
        <f ca="1">IFERROR(__xludf.DUMMYFUNCTION("""COMPUTED_VALUE"""),"Magic")</f>
        <v>Magic</v>
      </c>
      <c r="D262" s="6">
        <f ca="1">IFERROR(__xludf.DUMMYFUNCTION("""COMPUTED_VALUE"""),946)</f>
        <v>946</v>
      </c>
      <c r="E262" s="7"/>
      <c r="F262" s="7"/>
      <c r="G262" s="7"/>
      <c r="H262" s="7"/>
      <c r="I262" s="7"/>
    </row>
    <row r="263" spans="1:9" ht="13.2">
      <c r="A263" s="5">
        <f ca="1">IFERROR(__xludf.DUMMYFUNCTION("""COMPUTED_VALUE"""),96)</f>
        <v>96</v>
      </c>
      <c r="B263" s="5" t="str">
        <f ca="1">IFERROR(__xludf.DUMMYFUNCTION("""COMPUTED_VALUE"""),"Folding boat")</f>
        <v>Folding boat</v>
      </c>
      <c r="C263" s="5" t="str">
        <f ca="1">IFERROR(__xludf.DUMMYFUNCTION("""COMPUTED_VALUE"""),"Magic")</f>
        <v>Magic</v>
      </c>
      <c r="D263" s="6">
        <f ca="1">IFERROR(__xludf.DUMMYFUNCTION("""COMPUTED_VALUE"""),928)</f>
        <v>928</v>
      </c>
      <c r="E263" s="7"/>
      <c r="F263" s="7"/>
      <c r="G263" s="7"/>
      <c r="H263" s="7"/>
      <c r="I263" s="7"/>
    </row>
    <row r="264" spans="1:9" ht="13.2">
      <c r="A264" s="5">
        <f ca="1">IFERROR(__xludf.DUMMYFUNCTION("""COMPUTED_VALUE"""),97)</f>
        <v>97</v>
      </c>
      <c r="B264" s="5" t="str">
        <f ca="1">IFERROR(__xludf.DUMMYFUNCTION("""COMPUTED_VALUE"""),"Frost brand")</f>
        <v>Frost brand</v>
      </c>
      <c r="C264" s="5" t="str">
        <f ca="1">IFERROR(__xludf.DUMMYFUNCTION("""COMPUTED_VALUE"""),"Magic")</f>
        <v>Magic</v>
      </c>
      <c r="D264" s="6">
        <f ca="1">IFERROR(__xludf.DUMMYFUNCTION("""COMPUTED_VALUE"""),1592)</f>
        <v>1592</v>
      </c>
      <c r="E264" s="7"/>
      <c r="F264" s="7"/>
      <c r="G264" s="7"/>
      <c r="H264" s="7"/>
      <c r="I264" s="7"/>
    </row>
    <row r="265" spans="1:9" ht="13.2">
      <c r="A265" s="5">
        <f ca="1">IFERROR(__xludf.DUMMYFUNCTION("""COMPUTED_VALUE"""),98)</f>
        <v>98</v>
      </c>
      <c r="B265" s="5" t="str">
        <f ca="1">IFERROR(__xludf.DUMMYFUNCTION("""COMPUTED_VALUE"""),"Gauntlets of ogre power")</f>
        <v>Gauntlets of ogre power</v>
      </c>
      <c r="C265" s="5" t="str">
        <f ca="1">IFERROR(__xludf.DUMMYFUNCTION("""COMPUTED_VALUE"""),"Magic")</f>
        <v>Magic</v>
      </c>
      <c r="D265" s="6">
        <f ca="1">IFERROR(__xludf.DUMMYFUNCTION("""COMPUTED_VALUE"""),374)</f>
        <v>374</v>
      </c>
      <c r="E265" s="7"/>
      <c r="F265" s="7"/>
      <c r="G265" s="7"/>
      <c r="H265" s="7"/>
      <c r="I265" s="7"/>
    </row>
    <row r="266" spans="1:9" ht="13.2">
      <c r="A266" s="5">
        <f ca="1">IFERROR(__xludf.DUMMYFUNCTION("""COMPUTED_VALUE"""),99)</f>
        <v>99</v>
      </c>
      <c r="B266" s="5" t="str">
        <f ca="1">IFERROR(__xludf.DUMMYFUNCTION("""COMPUTED_VALUE"""),"Gem of brightness")</f>
        <v>Gem of brightness</v>
      </c>
      <c r="C266" s="5" t="str">
        <f ca="1">IFERROR(__xludf.DUMMYFUNCTION("""COMPUTED_VALUE"""),"Magic")</f>
        <v>Magic</v>
      </c>
      <c r="D266" s="6">
        <f ca="1">IFERROR(__xludf.DUMMYFUNCTION("""COMPUTED_VALUE"""),386)</f>
        <v>386</v>
      </c>
      <c r="E266" s="7"/>
      <c r="F266" s="7"/>
      <c r="G266" s="7"/>
      <c r="H266" s="7"/>
      <c r="I266" s="7"/>
    </row>
    <row r="267" spans="1:9" ht="13.2">
      <c r="A267" s="5">
        <f ca="1">IFERROR(__xludf.DUMMYFUNCTION("""COMPUTED_VALUE"""),100)</f>
        <v>100</v>
      </c>
      <c r="B267" s="5" t="str">
        <f ca="1">IFERROR(__xludf.DUMMYFUNCTION("""COMPUTED_VALUE"""),"Gem of seeing")</f>
        <v>Gem of seeing</v>
      </c>
      <c r="C267" s="5" t="str">
        <f ca="1">IFERROR(__xludf.DUMMYFUNCTION("""COMPUTED_VALUE"""),"Magic")</f>
        <v>Magic</v>
      </c>
      <c r="D267" s="6">
        <f ca="1">IFERROR(__xludf.DUMMYFUNCTION("""COMPUTED_VALUE"""),931)</f>
        <v>931</v>
      </c>
      <c r="E267" s="7"/>
      <c r="F267" s="7"/>
      <c r="G267" s="7"/>
      <c r="H267" s="7"/>
      <c r="I267" s="7"/>
    </row>
    <row r="268" spans="1:9" ht="13.2">
      <c r="A268" s="5">
        <f ca="1">IFERROR(__xludf.DUMMYFUNCTION("""COMPUTED_VALUE"""),101)</f>
        <v>101</v>
      </c>
      <c r="B268" s="5" t="str">
        <f ca="1">IFERROR(__xludf.DUMMYFUNCTION("""COMPUTED_VALUE"""),"Giant slayer")</f>
        <v>Giant slayer</v>
      </c>
      <c r="C268" s="5" t="str">
        <f ca="1">IFERROR(__xludf.DUMMYFUNCTION("""COMPUTED_VALUE"""),"Magic")</f>
        <v>Magic</v>
      </c>
      <c r="D268" s="6">
        <f ca="1">IFERROR(__xludf.DUMMYFUNCTION("""COMPUTED_VALUE"""),949)</f>
        <v>949</v>
      </c>
      <c r="E268" s="7"/>
      <c r="F268" s="7"/>
      <c r="G268" s="7"/>
      <c r="H268" s="7"/>
      <c r="I268" s="7"/>
    </row>
    <row r="269" spans="1:9" ht="13.2">
      <c r="A269" s="5">
        <f ca="1">IFERROR(__xludf.DUMMYFUNCTION("""COMPUTED_VALUE"""),102)</f>
        <v>102</v>
      </c>
      <c r="B269" s="5" t="str">
        <f ca="1">IFERROR(__xludf.DUMMYFUNCTION("""COMPUTED_VALUE"""),"Glamoured studded leather")</f>
        <v>Glamoured studded leather</v>
      </c>
      <c r="C269" s="5" t="str">
        <f ca="1">IFERROR(__xludf.DUMMYFUNCTION("""COMPUTED_VALUE"""),"Magic")</f>
        <v>Magic</v>
      </c>
      <c r="D269" s="6">
        <f ca="1">IFERROR(__xludf.DUMMYFUNCTION("""COMPUTED_VALUE"""),931)</f>
        <v>931</v>
      </c>
      <c r="E269" s="7"/>
      <c r="F269" s="7"/>
      <c r="G269" s="7"/>
      <c r="H269" s="7"/>
      <c r="I269" s="7"/>
    </row>
    <row r="270" spans="1:9" ht="13.2">
      <c r="A270" s="5">
        <f ca="1">IFERROR(__xludf.DUMMYFUNCTION("""COMPUTED_VALUE"""),103)</f>
        <v>103</v>
      </c>
      <c r="B270" s="5" t="str">
        <f ca="1">IFERROR(__xludf.DUMMYFUNCTION("""COMPUTED_VALUE"""),"Gloves of missile snaring")</f>
        <v>Gloves of missile snaring</v>
      </c>
      <c r="C270" s="5" t="str">
        <f ca="1">IFERROR(__xludf.DUMMYFUNCTION("""COMPUTED_VALUE"""),"Magic")</f>
        <v>Magic</v>
      </c>
      <c r="D270" s="6">
        <f ca="1">IFERROR(__xludf.DUMMYFUNCTION("""COMPUTED_VALUE"""),388)</f>
        <v>388</v>
      </c>
      <c r="E270" s="7"/>
      <c r="F270" s="7"/>
      <c r="G270" s="7"/>
      <c r="H270" s="7"/>
      <c r="I270" s="7"/>
    </row>
    <row r="271" spans="1:9" ht="13.2">
      <c r="A271" s="5">
        <f ca="1">IFERROR(__xludf.DUMMYFUNCTION("""COMPUTED_VALUE"""),104)</f>
        <v>104</v>
      </c>
      <c r="B271" s="5" t="str">
        <f ca="1">IFERROR(__xludf.DUMMYFUNCTION("""COMPUTED_VALUE"""),"Gloves of swimming and climbing")</f>
        <v>Gloves of swimming and climbing</v>
      </c>
      <c r="C271" s="5" t="str">
        <f ca="1">IFERROR(__xludf.DUMMYFUNCTION("""COMPUTED_VALUE"""),"Magic")</f>
        <v>Magic</v>
      </c>
      <c r="D271" s="6">
        <f ca="1">IFERROR(__xludf.DUMMYFUNCTION("""COMPUTED_VALUE"""),376)</f>
        <v>376</v>
      </c>
      <c r="E271" s="7"/>
      <c r="F271" s="7"/>
      <c r="G271" s="7"/>
      <c r="H271" s="7"/>
      <c r="I271" s="7"/>
    </row>
    <row r="272" spans="1:9" ht="13.2">
      <c r="A272" s="5">
        <f ca="1">IFERROR(__xludf.DUMMYFUNCTION("""COMPUTED_VALUE"""),105)</f>
        <v>105</v>
      </c>
      <c r="B272" s="5" t="str">
        <f ca="1">IFERROR(__xludf.DUMMYFUNCTION("""COMPUTED_VALUE"""),"Gloves of thievery")</f>
        <v>Gloves of thievery</v>
      </c>
      <c r="C272" s="5" t="str">
        <f ca="1">IFERROR(__xludf.DUMMYFUNCTION("""COMPUTED_VALUE"""),"Magic")</f>
        <v>Magic</v>
      </c>
      <c r="D272" s="6">
        <f ca="1">IFERROR(__xludf.DUMMYFUNCTION("""COMPUTED_VALUE"""),388)</f>
        <v>388</v>
      </c>
      <c r="E272" s="7"/>
      <c r="F272" s="7"/>
      <c r="G272" s="7"/>
      <c r="H272" s="7"/>
      <c r="I272" s="7"/>
    </row>
    <row r="273" spans="1:9" ht="13.2">
      <c r="A273" s="5">
        <f ca="1">IFERROR(__xludf.DUMMYFUNCTION("""COMPUTED_VALUE"""),106)</f>
        <v>106</v>
      </c>
      <c r="B273" s="5" t="str">
        <f ca="1">IFERROR(__xludf.DUMMYFUNCTION("""COMPUTED_VALUE"""),"Goggles of night")</f>
        <v>Goggles of night</v>
      </c>
      <c r="C273" s="5" t="str">
        <f ca="1">IFERROR(__xludf.DUMMYFUNCTION("""COMPUTED_VALUE"""),"Magic")</f>
        <v>Magic</v>
      </c>
      <c r="D273" s="6">
        <f ca="1">IFERROR(__xludf.DUMMYFUNCTION("""COMPUTED_VALUE"""),376)</f>
        <v>376</v>
      </c>
      <c r="E273" s="7"/>
      <c r="F273" s="7"/>
      <c r="G273" s="7"/>
      <c r="H273" s="7"/>
      <c r="I273" s="7"/>
    </row>
    <row r="274" spans="1:9" ht="13.2">
      <c r="A274" s="5">
        <f ca="1">IFERROR(__xludf.DUMMYFUNCTION("""COMPUTED_VALUE"""),107)</f>
        <v>107</v>
      </c>
      <c r="B274" s="5" t="str">
        <f ca="1">IFERROR(__xludf.DUMMYFUNCTION("""COMPUTED_VALUE"""),"Hammer of thunderbolts")</f>
        <v>Hammer of thunderbolts</v>
      </c>
      <c r="C274" s="5" t="str">
        <f ca="1">IFERROR(__xludf.DUMMYFUNCTION("""COMPUTED_VALUE"""),"Magic")</f>
        <v>Magic</v>
      </c>
      <c r="D274" s="6">
        <f ca="1">IFERROR(__xludf.DUMMYFUNCTION("""COMPUTED_VALUE"""),3070)</f>
        <v>3070</v>
      </c>
      <c r="E274" s="7"/>
      <c r="F274" s="7"/>
      <c r="G274" s="7"/>
      <c r="H274" s="7"/>
      <c r="I274" s="7"/>
    </row>
    <row r="275" spans="1:9" ht="13.2">
      <c r="A275" s="5">
        <f ca="1">IFERROR(__xludf.DUMMYFUNCTION("""COMPUTED_VALUE"""),108)</f>
        <v>108</v>
      </c>
      <c r="B275" s="5" t="str">
        <f ca="1">IFERROR(__xludf.DUMMYFUNCTION("""COMPUTED_VALUE"""),"Hat of disguise")</f>
        <v>Hat of disguise</v>
      </c>
      <c r="C275" s="5" t="str">
        <f ca="1">IFERROR(__xludf.DUMMYFUNCTION("""COMPUTED_VALUE"""),"Magic")</f>
        <v>Magic</v>
      </c>
      <c r="D275" s="6">
        <f ca="1">IFERROR(__xludf.DUMMYFUNCTION("""COMPUTED_VALUE"""),376)</f>
        <v>376</v>
      </c>
      <c r="E275" s="7"/>
      <c r="F275" s="7"/>
      <c r="G275" s="7"/>
      <c r="H275" s="7"/>
      <c r="I275" s="7"/>
    </row>
    <row r="276" spans="1:9" ht="13.2">
      <c r="A276" s="5">
        <f ca="1">IFERROR(__xludf.DUMMYFUNCTION("""COMPUTED_VALUE"""),109)</f>
        <v>109</v>
      </c>
      <c r="B276" s="5" t="str">
        <f ca="1">IFERROR(__xludf.DUMMYFUNCTION("""COMPUTED_VALUE"""),"Headband of intellect")</f>
        <v>Headband of intellect</v>
      </c>
      <c r="C276" s="5" t="str">
        <f ca="1">IFERROR(__xludf.DUMMYFUNCTION("""COMPUTED_VALUE"""),"Magic")</f>
        <v>Magic</v>
      </c>
      <c r="D276" s="6">
        <f ca="1">IFERROR(__xludf.DUMMYFUNCTION("""COMPUTED_VALUE"""),366)</f>
        <v>366</v>
      </c>
      <c r="E276" s="7"/>
      <c r="F276" s="7"/>
      <c r="G276" s="7"/>
      <c r="H276" s="7"/>
      <c r="I276" s="7"/>
    </row>
    <row r="277" spans="1:9" ht="13.2">
      <c r="A277" s="5">
        <f ca="1">IFERROR(__xludf.DUMMYFUNCTION("""COMPUTED_VALUE"""),110)</f>
        <v>110</v>
      </c>
      <c r="B277" s="5" t="str">
        <f ca="1">IFERROR(__xludf.DUMMYFUNCTION("""COMPUTED_VALUE"""),"Helm of brilliance")</f>
        <v>Helm of brilliance</v>
      </c>
      <c r="C277" s="5" t="str">
        <f ca="1">IFERROR(__xludf.DUMMYFUNCTION("""COMPUTED_VALUE"""),"Magic")</f>
        <v>Magic</v>
      </c>
      <c r="D277" s="6">
        <f ca="1">IFERROR(__xludf.DUMMYFUNCTION("""COMPUTED_VALUE"""),1576)</f>
        <v>1576</v>
      </c>
      <c r="E277" s="7"/>
      <c r="F277" s="7"/>
      <c r="G277" s="7"/>
      <c r="H277" s="7"/>
      <c r="I277" s="7"/>
    </row>
    <row r="278" spans="1:9" ht="13.2">
      <c r="A278" s="5">
        <f ca="1">IFERROR(__xludf.DUMMYFUNCTION("""COMPUTED_VALUE"""),111)</f>
        <v>111</v>
      </c>
      <c r="B278" s="5" t="str">
        <f ca="1">IFERROR(__xludf.DUMMYFUNCTION("""COMPUTED_VALUE"""),"Helm of comprehending languages")</f>
        <v>Helm of comprehending languages</v>
      </c>
      <c r="C278" s="5" t="str">
        <f ca="1">IFERROR(__xludf.DUMMYFUNCTION("""COMPUTED_VALUE"""),"Magic")</f>
        <v>Magic</v>
      </c>
      <c r="D278" s="6">
        <f ca="1">IFERROR(__xludf.DUMMYFUNCTION("""COMPUTED_VALUE"""),366)</f>
        <v>366</v>
      </c>
      <c r="E278" s="7"/>
      <c r="F278" s="7"/>
      <c r="G278" s="7"/>
      <c r="H278" s="7"/>
      <c r="I278" s="7"/>
    </row>
    <row r="279" spans="1:9" ht="13.2">
      <c r="A279" s="5">
        <f ca="1">IFERROR(__xludf.DUMMYFUNCTION("""COMPUTED_VALUE"""),112)</f>
        <v>112</v>
      </c>
      <c r="B279" s="5" t="str">
        <f ca="1">IFERROR(__xludf.DUMMYFUNCTION("""COMPUTED_VALUE"""),"Helm of telepathy")</f>
        <v>Helm of telepathy</v>
      </c>
      <c r="C279" s="5" t="str">
        <f ca="1">IFERROR(__xludf.DUMMYFUNCTION("""COMPUTED_VALUE"""),"Magic")</f>
        <v>Magic</v>
      </c>
      <c r="D279" s="6">
        <f ca="1">IFERROR(__xludf.DUMMYFUNCTION("""COMPUTED_VALUE"""),378)</f>
        <v>378</v>
      </c>
      <c r="E279" s="7"/>
      <c r="F279" s="7"/>
      <c r="G279" s="7"/>
      <c r="H279" s="7"/>
      <c r="I279" s="7"/>
    </row>
    <row r="280" spans="1:9" ht="13.2">
      <c r="A280" s="5">
        <f ca="1">IFERROR(__xludf.DUMMYFUNCTION("""COMPUTED_VALUE"""),113)</f>
        <v>113</v>
      </c>
      <c r="B280" s="5" t="str">
        <f ca="1">IFERROR(__xludf.DUMMYFUNCTION("""COMPUTED_VALUE"""),"Helm of teleportation")</f>
        <v>Helm of teleportation</v>
      </c>
      <c r="C280" s="5" t="str">
        <f ca="1">IFERROR(__xludf.DUMMYFUNCTION("""COMPUTED_VALUE"""),"Magic")</f>
        <v>Magic</v>
      </c>
      <c r="D280" s="6">
        <f ca="1">IFERROR(__xludf.DUMMYFUNCTION("""COMPUTED_VALUE"""),919)</f>
        <v>919</v>
      </c>
      <c r="E280" s="7"/>
      <c r="F280" s="7"/>
      <c r="G280" s="7"/>
      <c r="H280" s="7"/>
      <c r="I280" s="7"/>
    </row>
    <row r="281" spans="1:9" ht="13.2">
      <c r="A281" s="5">
        <f ca="1">IFERROR(__xludf.DUMMYFUNCTION("""COMPUTED_VALUE"""),114)</f>
        <v>114</v>
      </c>
      <c r="B281" s="5" t="str">
        <f ca="1">IFERROR(__xludf.DUMMYFUNCTION("""COMPUTED_VALUE"""),"Heward’s handy haversack")</f>
        <v>Heward’s handy haversack</v>
      </c>
      <c r="C281" s="5" t="str">
        <f ca="1">IFERROR(__xludf.DUMMYFUNCTION("""COMPUTED_VALUE"""),"Magic")</f>
        <v>Magic</v>
      </c>
      <c r="D281" s="6">
        <f ca="1">IFERROR(__xludf.DUMMYFUNCTION("""COMPUTED_VALUE"""),937)</f>
        <v>937</v>
      </c>
      <c r="E281" s="7"/>
      <c r="F281" s="7"/>
      <c r="G281" s="7"/>
      <c r="H281" s="7"/>
      <c r="I281" s="7"/>
    </row>
    <row r="282" spans="1:9" ht="13.2">
      <c r="A282" s="5">
        <f ca="1">IFERROR(__xludf.DUMMYFUNCTION("""COMPUTED_VALUE"""),115)</f>
        <v>115</v>
      </c>
      <c r="B282" s="5" t="str">
        <f ca="1">IFERROR(__xludf.DUMMYFUNCTION("""COMPUTED_VALUE"""),"Holy avenger")</f>
        <v>Holy avenger</v>
      </c>
      <c r="C282" s="5" t="str">
        <f ca="1">IFERROR(__xludf.DUMMYFUNCTION("""COMPUTED_VALUE"""),"Magic")</f>
        <v>Magic</v>
      </c>
      <c r="D282" s="6">
        <f ca="1">IFERROR(__xludf.DUMMYFUNCTION("""COMPUTED_VALUE"""),3020)</f>
        <v>3020</v>
      </c>
      <c r="E282" s="7"/>
      <c r="F282" s="7"/>
      <c r="G282" s="7"/>
      <c r="H282" s="7"/>
      <c r="I282" s="7"/>
    </row>
    <row r="283" spans="1:9" ht="13.2">
      <c r="A283" s="5">
        <f ca="1">IFERROR(__xludf.DUMMYFUNCTION("""COMPUTED_VALUE"""),116)</f>
        <v>116</v>
      </c>
      <c r="B283" s="5" t="str">
        <f ca="1">IFERROR(__xludf.DUMMYFUNCTION("""COMPUTED_VALUE"""),"Horn of blasting")</f>
        <v>Horn of blasting</v>
      </c>
      <c r="C283" s="5" t="str">
        <f ca="1">IFERROR(__xludf.DUMMYFUNCTION("""COMPUTED_VALUE"""),"Magic")</f>
        <v>Magic</v>
      </c>
      <c r="D283" s="6">
        <f ca="1">IFERROR(__xludf.DUMMYFUNCTION("""COMPUTED_VALUE"""),940)</f>
        <v>940</v>
      </c>
      <c r="E283" s="7"/>
      <c r="F283" s="7"/>
      <c r="G283" s="7"/>
      <c r="H283" s="7"/>
      <c r="I283" s="7"/>
    </row>
    <row r="284" spans="1:9" ht="13.2">
      <c r="A284" s="5">
        <f ca="1">IFERROR(__xludf.DUMMYFUNCTION("""COMPUTED_VALUE"""),117)</f>
        <v>117</v>
      </c>
      <c r="B284" s="5" t="str">
        <f ca="1">IFERROR(__xludf.DUMMYFUNCTION("""COMPUTED_VALUE"""),"Horn of valhalla (bronze)")</f>
        <v>Horn of valhalla (bronze)</v>
      </c>
      <c r="C284" s="5" t="str">
        <f ca="1">IFERROR(__xludf.DUMMYFUNCTION("""COMPUTED_VALUE"""),"Magic")</f>
        <v>Magic</v>
      </c>
      <c r="D284" s="6">
        <f ca="1">IFERROR(__xludf.DUMMYFUNCTION("""COMPUTED_VALUE"""),1556)</f>
        <v>1556</v>
      </c>
      <c r="E284" s="7"/>
      <c r="F284" s="7"/>
      <c r="G284" s="7"/>
      <c r="H284" s="7"/>
      <c r="I284" s="7"/>
    </row>
    <row r="285" spans="1:9" ht="13.2">
      <c r="A285" s="5">
        <f ca="1">IFERROR(__xludf.DUMMYFUNCTION("""COMPUTED_VALUE"""),118)</f>
        <v>118</v>
      </c>
      <c r="B285" s="5" t="str">
        <f ca="1">IFERROR(__xludf.DUMMYFUNCTION("""COMPUTED_VALUE"""),"Horn of valhalla (iron)")</f>
        <v>Horn of valhalla (iron)</v>
      </c>
      <c r="C285" s="5" t="str">
        <f ca="1">IFERROR(__xludf.DUMMYFUNCTION("""COMPUTED_VALUE"""),"Magic")</f>
        <v>Magic</v>
      </c>
      <c r="D285" s="6">
        <f ca="1">IFERROR(__xludf.DUMMYFUNCTION("""COMPUTED_VALUE"""),3050)</f>
        <v>3050</v>
      </c>
      <c r="E285" s="7"/>
      <c r="F285" s="7"/>
      <c r="G285" s="7"/>
      <c r="H285" s="7"/>
      <c r="I285" s="7"/>
    </row>
    <row r="286" spans="1:9" ht="13.2">
      <c r="A286" s="5">
        <f ca="1">IFERROR(__xludf.DUMMYFUNCTION("""COMPUTED_VALUE"""),119)</f>
        <v>119</v>
      </c>
      <c r="B286" s="5" t="str">
        <f ca="1">IFERROR(__xludf.DUMMYFUNCTION("""COMPUTED_VALUE"""),"Horn of valhalla (silver or brass)")</f>
        <v>Horn of valhalla (silver or brass)</v>
      </c>
      <c r="C286" s="5" t="str">
        <f ca="1">IFERROR(__xludf.DUMMYFUNCTION("""COMPUTED_VALUE"""),"Magic")</f>
        <v>Magic</v>
      </c>
      <c r="D286" s="6">
        <f ca="1">IFERROR(__xludf.DUMMYFUNCTION("""COMPUTED_VALUE"""),922)</f>
        <v>922</v>
      </c>
      <c r="E286" s="7"/>
      <c r="F286" s="7"/>
      <c r="G286" s="7"/>
      <c r="H286" s="7"/>
      <c r="I286" s="7"/>
    </row>
    <row r="287" spans="1:9" ht="13.2">
      <c r="A287" s="5">
        <f ca="1">IFERROR(__xludf.DUMMYFUNCTION("""COMPUTED_VALUE"""),120)</f>
        <v>120</v>
      </c>
      <c r="B287" s="5" t="str">
        <f ca="1">IFERROR(__xludf.DUMMYFUNCTION("""COMPUTED_VALUE"""),"Horseshoes of a zephyr")</f>
        <v>Horseshoes of a zephyr</v>
      </c>
      <c r="C287" s="5" t="str">
        <f ca="1">IFERROR(__xludf.DUMMYFUNCTION("""COMPUTED_VALUE"""),"Magic")</f>
        <v>Magic</v>
      </c>
      <c r="D287" s="6">
        <f ca="1">IFERROR(__xludf.DUMMYFUNCTION("""COMPUTED_VALUE"""),1580)</f>
        <v>1580</v>
      </c>
      <c r="E287" s="7"/>
      <c r="F287" s="7"/>
      <c r="G287" s="7"/>
      <c r="H287" s="7"/>
      <c r="I287" s="7"/>
    </row>
    <row r="288" spans="1:9" ht="13.2">
      <c r="A288" s="5">
        <f ca="1">IFERROR(__xludf.DUMMYFUNCTION("""COMPUTED_VALUE"""),121)</f>
        <v>121</v>
      </c>
      <c r="B288" s="5" t="str">
        <f ca="1">IFERROR(__xludf.DUMMYFUNCTION("""COMPUTED_VALUE"""),"Horseshoes of speed")</f>
        <v>Horseshoes of speed</v>
      </c>
      <c r="C288" s="5" t="str">
        <f ca="1">IFERROR(__xludf.DUMMYFUNCTION("""COMPUTED_VALUE"""),"Magic")</f>
        <v>Magic</v>
      </c>
      <c r="D288" s="6">
        <f ca="1">IFERROR(__xludf.DUMMYFUNCTION("""COMPUTED_VALUE"""),925)</f>
        <v>925</v>
      </c>
      <c r="E288" s="7"/>
      <c r="F288" s="7"/>
      <c r="G288" s="7"/>
      <c r="H288" s="7"/>
      <c r="I288" s="7"/>
    </row>
    <row r="289" spans="1:9" ht="13.2">
      <c r="A289" s="5">
        <f ca="1">IFERROR(__xludf.DUMMYFUNCTION("""COMPUTED_VALUE"""),122)</f>
        <v>122</v>
      </c>
      <c r="B289" s="5" t="str">
        <f ca="1">IFERROR(__xludf.DUMMYFUNCTION("""COMPUTED_VALUE"""),"Immovable rod")</f>
        <v>Immovable rod</v>
      </c>
      <c r="C289" s="5" t="str">
        <f ca="1">IFERROR(__xludf.DUMMYFUNCTION("""COMPUTED_VALUE"""),"Magic")</f>
        <v>Magic</v>
      </c>
      <c r="D289" s="6">
        <f ca="1">IFERROR(__xludf.DUMMYFUNCTION("""COMPUTED_VALUE"""),382)</f>
        <v>382</v>
      </c>
      <c r="E289" s="7"/>
      <c r="F289" s="7"/>
      <c r="G289" s="7"/>
      <c r="H289" s="7"/>
      <c r="I289" s="7"/>
    </row>
    <row r="290" spans="1:9" ht="13.2">
      <c r="A290" s="5">
        <f ca="1">IFERROR(__xludf.DUMMYFUNCTION("""COMPUTED_VALUE"""),123)</f>
        <v>123</v>
      </c>
      <c r="B290" s="5" t="str">
        <f ca="1">IFERROR(__xludf.DUMMYFUNCTION("""COMPUTED_VALUE"""),"Instrument of the bard (Anstruth harp)")</f>
        <v>Instrument of the bard (Anstruth harp)</v>
      </c>
      <c r="C290" s="5" t="str">
        <f ca="1">IFERROR(__xludf.DUMMYFUNCTION("""COMPUTED_VALUE"""),"Magic")</f>
        <v>Magic</v>
      </c>
      <c r="D290" s="6">
        <f ca="1">IFERROR(__xludf.DUMMYFUNCTION("""COMPUTED_VALUE"""),1560)</f>
        <v>1560</v>
      </c>
      <c r="E290" s="7"/>
      <c r="F290" s="7"/>
      <c r="G290" s="7"/>
      <c r="H290" s="7"/>
      <c r="I290" s="7"/>
    </row>
    <row r="291" spans="1:9" ht="13.2">
      <c r="A291" s="5">
        <f ca="1">IFERROR(__xludf.DUMMYFUNCTION("""COMPUTED_VALUE"""),124)</f>
        <v>124</v>
      </c>
      <c r="B291" s="5" t="str">
        <f ca="1">IFERROR(__xludf.DUMMYFUNCTION("""COMPUTED_VALUE"""),"Instrument of the bard (Canaith mandolin)")</f>
        <v>Instrument of the bard (Canaith mandolin)</v>
      </c>
      <c r="C291" s="5" t="str">
        <f ca="1">IFERROR(__xludf.DUMMYFUNCTION("""COMPUTED_VALUE"""),"Magic")</f>
        <v>Magic</v>
      </c>
      <c r="D291" s="6">
        <f ca="1">IFERROR(__xludf.DUMMYFUNCTION("""COMPUTED_VALUE"""),943)</f>
        <v>943</v>
      </c>
      <c r="E291" s="7"/>
      <c r="F291" s="7"/>
      <c r="G291" s="7"/>
      <c r="H291" s="7"/>
      <c r="I291" s="7"/>
    </row>
    <row r="292" spans="1:9" ht="13.2">
      <c r="A292" s="5">
        <f ca="1">IFERROR(__xludf.DUMMYFUNCTION("""COMPUTED_VALUE"""),125)</f>
        <v>125</v>
      </c>
      <c r="B292" s="5" t="str">
        <f ca="1">IFERROR(__xludf.DUMMYFUNCTION("""COMPUTED_VALUE"""),"Instrument of the bard (Cli lyre)")</f>
        <v>Instrument of the bard (Cli lyre)</v>
      </c>
      <c r="C292" s="5" t="str">
        <f ca="1">IFERROR(__xludf.DUMMYFUNCTION("""COMPUTED_VALUE"""),"Magic")</f>
        <v>Magic</v>
      </c>
      <c r="D292" s="6">
        <f ca="1">IFERROR(__xludf.DUMMYFUNCTION("""COMPUTED_VALUE"""),925)</f>
        <v>925</v>
      </c>
      <c r="E292" s="7"/>
      <c r="F292" s="7"/>
      <c r="G292" s="7"/>
      <c r="H292" s="7"/>
      <c r="I292" s="7"/>
    </row>
    <row r="293" spans="1:9" ht="13.2">
      <c r="A293" s="5">
        <f ca="1">IFERROR(__xludf.DUMMYFUNCTION("""COMPUTED_VALUE"""),126)</f>
        <v>126</v>
      </c>
      <c r="B293" s="5" t="str">
        <f ca="1">IFERROR(__xludf.DUMMYFUNCTION("""COMPUTED_VALUE"""),"Instrument of the bard (Doss lute)")</f>
        <v>Instrument of the bard (Doss lute)</v>
      </c>
      <c r="C293" s="5" t="str">
        <f ca="1">IFERROR(__xludf.DUMMYFUNCTION("""COMPUTED_VALUE"""),"Magic")</f>
        <v>Magic</v>
      </c>
      <c r="D293" s="6">
        <f ca="1">IFERROR(__xludf.DUMMYFUNCTION("""COMPUTED_VALUE"""),382)</f>
        <v>382</v>
      </c>
      <c r="E293" s="7"/>
      <c r="F293" s="7"/>
      <c r="G293" s="7"/>
      <c r="H293" s="7"/>
      <c r="I293" s="7"/>
    </row>
    <row r="294" spans="1:9" ht="13.2">
      <c r="A294" s="5">
        <f ca="1">IFERROR(__xludf.DUMMYFUNCTION("""COMPUTED_VALUE"""),127)</f>
        <v>127</v>
      </c>
      <c r="B294" s="5" t="str">
        <f ca="1">IFERROR(__xludf.DUMMYFUNCTION("""COMPUTED_VALUE"""),"Instrument of the bard (Fochlucan bandore)")</f>
        <v>Instrument of the bard (Fochlucan bandore)</v>
      </c>
      <c r="C294" s="5" t="str">
        <f ca="1">IFERROR(__xludf.DUMMYFUNCTION("""COMPUTED_VALUE"""),"Magic")</f>
        <v>Magic</v>
      </c>
      <c r="D294" s="6">
        <f ca="1">IFERROR(__xludf.DUMMYFUNCTION("""COMPUTED_VALUE"""),372)</f>
        <v>372</v>
      </c>
      <c r="E294" s="7"/>
      <c r="F294" s="7"/>
      <c r="G294" s="7"/>
      <c r="H294" s="7"/>
      <c r="I294" s="7"/>
    </row>
    <row r="295" spans="1:9" ht="13.2">
      <c r="A295" s="5">
        <f ca="1">IFERROR(__xludf.DUMMYFUNCTION("""COMPUTED_VALUE"""),128)</f>
        <v>128</v>
      </c>
      <c r="B295" s="5" t="str">
        <f ca="1">IFERROR(__xludf.DUMMYFUNCTION("""COMPUTED_VALUE"""),"Instrument of the bard (Mac-Fuirmidh cittern)")</f>
        <v>Instrument of the bard (Mac-Fuirmidh cittern)</v>
      </c>
      <c r="C295" s="5" t="str">
        <f ca="1">IFERROR(__xludf.DUMMYFUNCTION("""COMPUTED_VALUE"""),"Magic")</f>
        <v>Magic</v>
      </c>
      <c r="D295" s="6">
        <f ca="1">IFERROR(__xludf.DUMMYFUNCTION("""COMPUTED_VALUE"""),384)</f>
        <v>384</v>
      </c>
      <c r="E295" s="7"/>
      <c r="F295" s="7"/>
      <c r="G295" s="7"/>
      <c r="H295" s="7"/>
      <c r="I295" s="7"/>
    </row>
    <row r="296" spans="1:9" ht="13.2">
      <c r="A296" s="5">
        <f ca="1">IFERROR(__xludf.DUMMYFUNCTION("""COMPUTED_VALUE"""),129)</f>
        <v>129</v>
      </c>
      <c r="B296" s="5" t="str">
        <f ca="1">IFERROR(__xludf.DUMMYFUNCTION("""COMPUTED_VALUE"""),"Instrument of the bard (Ollamh harp)")</f>
        <v>Instrument of the bard (Ollamh harp)</v>
      </c>
      <c r="C296" s="5" t="str">
        <f ca="1">IFERROR(__xludf.DUMMYFUNCTION("""COMPUTED_VALUE"""),"Magic")</f>
        <v>Magic</v>
      </c>
      <c r="D296" s="6">
        <f ca="1">IFERROR(__xludf.DUMMYFUNCTION("""COMPUTED_VALUE"""),3030)</f>
        <v>3030</v>
      </c>
      <c r="E296" s="7"/>
      <c r="F296" s="7"/>
      <c r="G296" s="7"/>
      <c r="H296" s="7"/>
      <c r="I296" s="7"/>
    </row>
    <row r="297" spans="1:9" ht="13.2">
      <c r="A297" s="5">
        <f ca="1">IFERROR(__xludf.DUMMYFUNCTION("""COMPUTED_VALUE"""),130)</f>
        <v>130</v>
      </c>
      <c r="B297" s="5" t="str">
        <f ca="1">IFERROR(__xludf.DUMMYFUNCTION("""COMPUTED_VALUE"""),"Ioun stone (absorption)")</f>
        <v>Ioun stone (absorption)</v>
      </c>
      <c r="C297" s="5" t="str">
        <f ca="1">IFERROR(__xludf.DUMMYFUNCTION("""COMPUTED_VALUE"""),"Magic")</f>
        <v>Magic</v>
      </c>
      <c r="D297" s="6">
        <f ca="1">IFERROR(__xludf.DUMMYFUNCTION("""COMPUTED_VALUE"""),1588)</f>
        <v>1588</v>
      </c>
      <c r="E297" s="7"/>
      <c r="F297" s="7"/>
      <c r="G297" s="7"/>
      <c r="H297" s="7"/>
      <c r="I297" s="7"/>
    </row>
    <row r="298" spans="1:9" ht="13.2">
      <c r="A298" s="5">
        <f ca="1">IFERROR(__xludf.DUMMYFUNCTION("""COMPUTED_VALUE"""),131)</f>
        <v>131</v>
      </c>
      <c r="B298" s="5" t="str">
        <f ca="1">IFERROR(__xludf.DUMMYFUNCTION("""COMPUTED_VALUE"""),"Ioun stone (agility)")</f>
        <v>Ioun stone (agility)</v>
      </c>
      <c r="C298" s="5" t="str">
        <f ca="1">IFERROR(__xludf.DUMMYFUNCTION("""COMPUTED_VALUE"""),"Magic")</f>
        <v>Magic</v>
      </c>
      <c r="D298" s="6">
        <f ca="1">IFERROR(__xludf.DUMMYFUNCTION("""COMPUTED_VALUE"""),1564)</f>
        <v>1564</v>
      </c>
      <c r="E298" s="7"/>
      <c r="F298" s="7"/>
      <c r="G298" s="7"/>
      <c r="H298" s="7"/>
      <c r="I298" s="7"/>
    </row>
    <row r="299" spans="1:9" ht="13.2">
      <c r="A299" s="5">
        <f ca="1">IFERROR(__xludf.DUMMYFUNCTION("""COMPUTED_VALUE"""),132)</f>
        <v>132</v>
      </c>
      <c r="B299" s="5" t="str">
        <f ca="1">IFERROR(__xludf.DUMMYFUNCTION("""COMPUTED_VALUE"""),"Ioun stone (awareness)")</f>
        <v>Ioun stone (awareness)</v>
      </c>
      <c r="C299" s="5" t="str">
        <f ca="1">IFERROR(__xludf.DUMMYFUNCTION("""COMPUTED_VALUE"""),"Magic")</f>
        <v>Magic</v>
      </c>
      <c r="D299" s="6">
        <f ca="1">IFERROR(__xludf.DUMMYFUNCTION("""COMPUTED_VALUE"""),946)</f>
        <v>946</v>
      </c>
      <c r="E299" s="7"/>
      <c r="F299" s="7"/>
      <c r="G299" s="7"/>
      <c r="H299" s="7"/>
      <c r="I299" s="7"/>
    </row>
    <row r="300" spans="1:9" ht="13.2">
      <c r="A300" s="5">
        <f ca="1">IFERROR(__xludf.DUMMYFUNCTION("""COMPUTED_VALUE"""),133)</f>
        <v>133</v>
      </c>
      <c r="B300" s="5" t="str">
        <f ca="1">IFERROR(__xludf.DUMMYFUNCTION("""COMPUTED_VALUE"""),"Ioun stone (fortitude)")</f>
        <v>Ioun stone (fortitude)</v>
      </c>
      <c r="C300" s="5" t="str">
        <f ca="1">IFERROR(__xludf.DUMMYFUNCTION("""COMPUTED_VALUE"""),"Magic")</f>
        <v>Magic</v>
      </c>
      <c r="D300" s="6">
        <f ca="1">IFERROR(__xludf.DUMMYFUNCTION("""COMPUTED_VALUE"""),1568)</f>
        <v>1568</v>
      </c>
      <c r="E300" s="7"/>
      <c r="F300" s="7"/>
      <c r="G300" s="7"/>
      <c r="H300" s="7"/>
      <c r="I300" s="7"/>
    </row>
    <row r="301" spans="1:9" ht="13.2">
      <c r="A301" s="5">
        <f ca="1">IFERROR(__xludf.DUMMYFUNCTION("""COMPUTED_VALUE"""),134)</f>
        <v>134</v>
      </c>
      <c r="B301" s="5" t="str">
        <f ca="1">IFERROR(__xludf.DUMMYFUNCTION("""COMPUTED_VALUE"""),"Ioun stone (greater absorption)")</f>
        <v>Ioun stone (greater absorption)</v>
      </c>
      <c r="C301" s="5" t="str">
        <f ca="1">IFERROR(__xludf.DUMMYFUNCTION("""COMPUTED_VALUE"""),"Magic")</f>
        <v>Magic</v>
      </c>
      <c r="D301" s="6">
        <f ca="1">IFERROR(__xludf.DUMMYFUNCTION("""COMPUTED_VALUE"""),3065)</f>
        <v>3065</v>
      </c>
      <c r="E301" s="7"/>
      <c r="F301" s="7"/>
      <c r="G301" s="7"/>
      <c r="H301" s="7"/>
      <c r="I301" s="7"/>
    </row>
    <row r="302" spans="1:9" ht="13.2">
      <c r="A302" s="5">
        <f ca="1">IFERROR(__xludf.DUMMYFUNCTION("""COMPUTED_VALUE"""),135)</f>
        <v>135</v>
      </c>
      <c r="B302" s="5" t="str">
        <f ca="1">IFERROR(__xludf.DUMMYFUNCTION("""COMPUTED_VALUE"""),"Ioun stone (insight)")</f>
        <v>Ioun stone (insight)</v>
      </c>
      <c r="C302" s="5" t="str">
        <f ca="1">IFERROR(__xludf.DUMMYFUNCTION("""COMPUTED_VALUE"""),"Magic")</f>
        <v>Magic</v>
      </c>
      <c r="D302" s="6">
        <f ca="1">IFERROR(__xludf.DUMMYFUNCTION("""COMPUTED_VALUE"""),1568)</f>
        <v>1568</v>
      </c>
      <c r="E302" s="7"/>
      <c r="F302" s="7"/>
      <c r="G302" s="7"/>
      <c r="H302" s="7"/>
      <c r="I302" s="7"/>
    </row>
    <row r="303" spans="1:9" ht="13.2">
      <c r="A303" s="5">
        <f ca="1">IFERROR(__xludf.DUMMYFUNCTION("""COMPUTED_VALUE"""),136)</f>
        <v>136</v>
      </c>
      <c r="B303" s="5" t="str">
        <f ca="1">IFERROR(__xludf.DUMMYFUNCTION("""COMPUTED_VALUE"""),"Ioun stone (intellect)")</f>
        <v>Ioun stone (intellect)</v>
      </c>
      <c r="C303" s="5" t="str">
        <f ca="1">IFERROR(__xludf.DUMMYFUNCTION("""COMPUTED_VALUE"""),"Magic")</f>
        <v>Magic</v>
      </c>
      <c r="D303" s="6">
        <f ca="1">IFERROR(__xludf.DUMMYFUNCTION("""COMPUTED_VALUE"""),1592)</f>
        <v>1592</v>
      </c>
      <c r="E303" s="7"/>
      <c r="F303" s="7"/>
      <c r="G303" s="7"/>
      <c r="H303" s="7"/>
      <c r="I303" s="7"/>
    </row>
    <row r="304" spans="1:9" ht="13.2">
      <c r="A304" s="5">
        <f ca="1">IFERROR(__xludf.DUMMYFUNCTION("""COMPUTED_VALUE"""),137)</f>
        <v>137</v>
      </c>
      <c r="B304" s="5" t="str">
        <f ca="1">IFERROR(__xludf.DUMMYFUNCTION("""COMPUTED_VALUE"""),"Ioun stone (leadership)")</f>
        <v>Ioun stone (leadership)</v>
      </c>
      <c r="C304" s="5" t="str">
        <f ca="1">IFERROR(__xludf.DUMMYFUNCTION("""COMPUTED_VALUE"""),"Magic")</f>
        <v>Magic</v>
      </c>
      <c r="D304" s="6">
        <f ca="1">IFERROR(__xludf.DUMMYFUNCTION("""COMPUTED_VALUE"""),1568)</f>
        <v>1568</v>
      </c>
      <c r="E304" s="7"/>
      <c r="F304" s="7"/>
      <c r="G304" s="7"/>
      <c r="H304" s="7"/>
      <c r="I304" s="7"/>
    </row>
    <row r="305" spans="1:9" ht="13.2">
      <c r="A305" s="5">
        <f ca="1">IFERROR(__xludf.DUMMYFUNCTION("""COMPUTED_VALUE"""),138)</f>
        <v>138</v>
      </c>
      <c r="B305" s="5" t="str">
        <f ca="1">IFERROR(__xludf.DUMMYFUNCTION("""COMPUTED_VALUE"""),"Ioun stone (mastery)")</f>
        <v>Ioun stone (mastery)</v>
      </c>
      <c r="C305" s="5" t="str">
        <f ca="1">IFERROR(__xludf.DUMMYFUNCTION("""COMPUTED_VALUE"""),"Magic")</f>
        <v>Magic</v>
      </c>
      <c r="D305" s="6">
        <f ca="1">IFERROR(__xludf.DUMMYFUNCTION("""COMPUTED_VALUE"""),3065)</f>
        <v>3065</v>
      </c>
      <c r="E305" s="7"/>
      <c r="F305" s="7"/>
      <c r="G305" s="7"/>
      <c r="H305" s="7"/>
      <c r="I305" s="7"/>
    </row>
    <row r="306" spans="1:9" ht="13.2">
      <c r="A306" s="5">
        <f ca="1">IFERROR(__xludf.DUMMYFUNCTION("""COMPUTED_VALUE"""),139)</f>
        <v>139</v>
      </c>
      <c r="B306" s="5" t="str">
        <f ca="1">IFERROR(__xludf.DUMMYFUNCTION("""COMPUTED_VALUE"""),"Ioun stone (protection)")</f>
        <v>Ioun stone (protection)</v>
      </c>
      <c r="C306" s="5" t="str">
        <f ca="1">IFERROR(__xludf.DUMMYFUNCTION("""COMPUTED_VALUE"""),"Magic")</f>
        <v>Magic</v>
      </c>
      <c r="D306" s="6">
        <f ca="1">IFERROR(__xludf.DUMMYFUNCTION("""COMPUTED_VALUE"""),934)</f>
        <v>934</v>
      </c>
      <c r="E306" s="7"/>
      <c r="F306" s="7"/>
      <c r="G306" s="7"/>
      <c r="H306" s="7"/>
      <c r="I306" s="7"/>
    </row>
    <row r="307" spans="1:9" ht="13.2">
      <c r="A307" s="5">
        <f ca="1">IFERROR(__xludf.DUMMYFUNCTION("""COMPUTED_VALUE"""),140)</f>
        <v>140</v>
      </c>
      <c r="B307" s="5" t="str">
        <f ca="1">IFERROR(__xludf.DUMMYFUNCTION("""COMPUTED_VALUE"""),"Ioun stone (regeneration)")</f>
        <v>Ioun stone (regeneration)</v>
      </c>
      <c r="C307" s="5" t="str">
        <f ca="1">IFERROR(__xludf.DUMMYFUNCTION("""COMPUTED_VALUE"""),"Magic")</f>
        <v>Magic</v>
      </c>
      <c r="D307" s="6">
        <f ca="1">IFERROR(__xludf.DUMMYFUNCTION("""COMPUTED_VALUE"""),3070)</f>
        <v>3070</v>
      </c>
      <c r="E307" s="7"/>
      <c r="F307" s="7"/>
      <c r="G307" s="7"/>
      <c r="H307" s="7"/>
      <c r="I307" s="7"/>
    </row>
    <row r="308" spans="1:9" ht="13.2">
      <c r="A308" s="5">
        <f ca="1">IFERROR(__xludf.DUMMYFUNCTION("""COMPUTED_VALUE"""),141)</f>
        <v>141</v>
      </c>
      <c r="B308" s="5" t="str">
        <f ca="1">IFERROR(__xludf.DUMMYFUNCTION("""COMPUTED_VALUE"""),"Ioun stone (reserve)")</f>
        <v>Ioun stone (reserve)</v>
      </c>
      <c r="C308" s="5" t="str">
        <f ca="1">IFERROR(__xludf.DUMMYFUNCTION("""COMPUTED_VALUE"""),"Magic")</f>
        <v>Magic</v>
      </c>
      <c r="D308" s="6">
        <f ca="1">IFERROR(__xludf.DUMMYFUNCTION("""COMPUTED_VALUE"""),934)</f>
        <v>934</v>
      </c>
      <c r="E308" s="7"/>
      <c r="F308" s="7"/>
      <c r="G308" s="7"/>
      <c r="H308" s="7"/>
      <c r="I308" s="7"/>
    </row>
    <row r="309" spans="1:9" ht="13.2">
      <c r="A309" s="5">
        <f ca="1">IFERROR(__xludf.DUMMYFUNCTION("""COMPUTED_VALUE"""),142)</f>
        <v>142</v>
      </c>
      <c r="B309" s="5" t="str">
        <f ca="1">IFERROR(__xludf.DUMMYFUNCTION("""COMPUTED_VALUE"""),"Ioun stone (strength)")</f>
        <v>Ioun stone (strength)</v>
      </c>
      <c r="C309" s="5" t="str">
        <f ca="1">IFERROR(__xludf.DUMMYFUNCTION("""COMPUTED_VALUE"""),"Magic")</f>
        <v>Magic</v>
      </c>
      <c r="D309" s="6">
        <f ca="1">IFERROR(__xludf.DUMMYFUNCTION("""COMPUTED_VALUE"""),1596)</f>
        <v>1596</v>
      </c>
      <c r="E309" s="7"/>
      <c r="F309" s="7"/>
      <c r="G309" s="7"/>
      <c r="H309" s="7"/>
      <c r="I309" s="7"/>
    </row>
    <row r="310" spans="1:9" ht="13.2">
      <c r="A310" s="5">
        <f ca="1">IFERROR(__xludf.DUMMYFUNCTION("""COMPUTED_VALUE"""),143)</f>
        <v>143</v>
      </c>
      <c r="B310" s="5" t="str">
        <f ca="1">IFERROR(__xludf.DUMMYFUNCTION("""COMPUTED_VALUE"""),"Ioun stone (sustenance)")</f>
        <v>Ioun stone (sustenance)</v>
      </c>
      <c r="C310" s="5" t="str">
        <f ca="1">IFERROR(__xludf.DUMMYFUNCTION("""COMPUTED_VALUE"""),"Magic")</f>
        <v>Magic</v>
      </c>
      <c r="D310" s="6">
        <f ca="1">IFERROR(__xludf.DUMMYFUNCTION("""COMPUTED_VALUE"""),934)</f>
        <v>934</v>
      </c>
      <c r="E310" s="7"/>
      <c r="F310" s="7"/>
      <c r="G310" s="7"/>
      <c r="H310" s="7"/>
      <c r="I310" s="7"/>
    </row>
    <row r="311" spans="1:9" ht="13.2">
      <c r="A311" s="5">
        <f ca="1">IFERROR(__xludf.DUMMYFUNCTION("""COMPUTED_VALUE"""),144)</f>
        <v>144</v>
      </c>
      <c r="B311" s="5" t="str">
        <f ca="1">IFERROR(__xludf.DUMMYFUNCTION("""COMPUTED_VALUE"""),"Iron bands of bilarro")</f>
        <v>Iron bands of bilarro</v>
      </c>
      <c r="C311" s="5" t="str">
        <f ca="1">IFERROR(__xludf.DUMMYFUNCTION("""COMPUTED_VALUE"""),"Magic")</f>
        <v>Magic</v>
      </c>
      <c r="D311" s="6">
        <f ca="1">IFERROR(__xludf.DUMMYFUNCTION("""COMPUTED_VALUE"""),952)</f>
        <v>952</v>
      </c>
      <c r="E311" s="7"/>
      <c r="F311" s="7"/>
      <c r="G311" s="7"/>
      <c r="H311" s="7"/>
      <c r="I311" s="7"/>
    </row>
    <row r="312" spans="1:9" ht="13.2">
      <c r="A312" s="5">
        <f ca="1">IFERROR(__xludf.DUMMYFUNCTION("""COMPUTED_VALUE"""),145)</f>
        <v>145</v>
      </c>
      <c r="B312" s="5" t="str">
        <f ca="1">IFERROR(__xludf.DUMMYFUNCTION("""COMPUTED_VALUE"""),"Iron flask")</f>
        <v>Iron flask</v>
      </c>
      <c r="C312" s="5" t="str">
        <f ca="1">IFERROR(__xludf.DUMMYFUNCTION("""COMPUTED_VALUE"""),"Magic")</f>
        <v>Magic</v>
      </c>
      <c r="D312" s="6">
        <f ca="1">IFERROR(__xludf.DUMMYFUNCTION("""COMPUTED_VALUE"""),3045)</f>
        <v>3045</v>
      </c>
      <c r="E312" s="7"/>
      <c r="F312" s="7"/>
      <c r="G312" s="7"/>
      <c r="H312" s="7"/>
      <c r="I312" s="7"/>
    </row>
    <row r="313" spans="1:9" ht="13.2">
      <c r="A313" s="5">
        <f ca="1">IFERROR(__xludf.DUMMYFUNCTION("""COMPUTED_VALUE"""),146)</f>
        <v>146</v>
      </c>
      <c r="B313" s="5" t="str">
        <f ca="1">IFERROR(__xludf.DUMMYFUNCTION("""COMPUTED_VALUE"""),"Javelin of lightning")</f>
        <v>Javelin of lightning</v>
      </c>
      <c r="C313" s="5" t="str">
        <f ca="1">IFERROR(__xludf.DUMMYFUNCTION("""COMPUTED_VALUE"""),"Magic")</f>
        <v>Magic</v>
      </c>
      <c r="D313" s="6">
        <f ca="1">IFERROR(__xludf.DUMMYFUNCTION("""COMPUTED_VALUE"""),366)</f>
        <v>366</v>
      </c>
      <c r="E313" s="7"/>
      <c r="F313" s="7"/>
      <c r="G313" s="7"/>
      <c r="H313" s="7"/>
      <c r="I313" s="7"/>
    </row>
    <row r="314" spans="1:9" ht="13.2">
      <c r="A314" s="5">
        <f ca="1">IFERROR(__xludf.DUMMYFUNCTION("""COMPUTED_VALUE"""),147)</f>
        <v>147</v>
      </c>
      <c r="B314" s="5" t="str">
        <f ca="1">IFERROR(__xludf.DUMMYFUNCTION("""COMPUTED_VALUE"""),"Keoghtom’s ointment")</f>
        <v>Keoghtom’s ointment</v>
      </c>
      <c r="C314" s="5" t="str">
        <f ca="1">IFERROR(__xludf.DUMMYFUNCTION("""COMPUTED_VALUE"""),"Magic")</f>
        <v>Magic</v>
      </c>
      <c r="D314" s="6">
        <f ca="1">IFERROR(__xludf.DUMMYFUNCTION("""COMPUTED_VALUE"""),378)</f>
        <v>378</v>
      </c>
      <c r="E314" s="7"/>
      <c r="F314" s="7"/>
      <c r="G314" s="7"/>
      <c r="H314" s="7"/>
      <c r="I314" s="7"/>
    </row>
    <row r="315" spans="1:9" ht="13.2">
      <c r="A315" s="5">
        <f ca="1">IFERROR(__xludf.DUMMYFUNCTION("""COMPUTED_VALUE"""),148)</f>
        <v>148</v>
      </c>
      <c r="B315" s="5" t="str">
        <f ca="1">IFERROR(__xludf.DUMMYFUNCTION("""COMPUTED_VALUE"""),"Lantern of revealing")</f>
        <v>Lantern of revealing</v>
      </c>
      <c r="C315" s="5" t="str">
        <f ca="1">IFERROR(__xludf.DUMMYFUNCTION("""COMPUTED_VALUE"""),"Magic")</f>
        <v>Magic</v>
      </c>
      <c r="D315" s="6">
        <f ca="1">IFERROR(__xludf.DUMMYFUNCTION("""COMPUTED_VALUE"""),366)</f>
        <v>366</v>
      </c>
      <c r="E315" s="7"/>
      <c r="F315" s="7"/>
      <c r="G315" s="7"/>
      <c r="H315" s="7"/>
      <c r="I315" s="7"/>
    </row>
    <row r="316" spans="1:9" ht="13.2">
      <c r="A316" s="5">
        <f ca="1">IFERROR(__xludf.DUMMYFUNCTION("""COMPUTED_VALUE"""),149)</f>
        <v>149</v>
      </c>
      <c r="B316" s="5" t="str">
        <f ca="1">IFERROR(__xludf.DUMMYFUNCTION("""COMPUTED_VALUE"""),"Luck blade")</f>
        <v>Luck blade</v>
      </c>
      <c r="C316" s="5" t="str">
        <f ca="1">IFERROR(__xludf.DUMMYFUNCTION("""COMPUTED_VALUE"""),"Magic")</f>
        <v>Magic</v>
      </c>
      <c r="D316" s="6">
        <f ca="1">IFERROR(__xludf.DUMMYFUNCTION("""COMPUTED_VALUE"""),3045)</f>
        <v>3045</v>
      </c>
      <c r="E316" s="7"/>
      <c r="F316" s="7"/>
      <c r="G316" s="7"/>
      <c r="H316" s="7"/>
      <c r="I316" s="7"/>
    </row>
    <row r="317" spans="1:9" ht="13.2">
      <c r="A317" s="5">
        <f ca="1">IFERROR(__xludf.DUMMYFUNCTION("""COMPUTED_VALUE"""),150)</f>
        <v>150</v>
      </c>
      <c r="B317" s="5" t="str">
        <f ca="1">IFERROR(__xludf.DUMMYFUNCTION("""COMPUTED_VALUE"""),"Mace of disruption")</f>
        <v>Mace of disruption</v>
      </c>
      <c r="C317" s="5" t="str">
        <f ca="1">IFERROR(__xludf.DUMMYFUNCTION("""COMPUTED_VALUE"""),"Magic")</f>
        <v>Magic</v>
      </c>
      <c r="D317" s="6">
        <f ca="1">IFERROR(__xludf.DUMMYFUNCTION("""COMPUTED_VALUE"""),919)</f>
        <v>919</v>
      </c>
      <c r="E317" s="7"/>
      <c r="F317" s="7"/>
      <c r="G317" s="7"/>
      <c r="H317" s="7"/>
      <c r="I317" s="7"/>
    </row>
    <row r="318" spans="1:9" ht="13.2">
      <c r="A318" s="5">
        <f ca="1">IFERROR(__xludf.DUMMYFUNCTION("""COMPUTED_VALUE"""),151)</f>
        <v>151</v>
      </c>
      <c r="B318" s="5" t="str">
        <f ca="1">IFERROR(__xludf.DUMMYFUNCTION("""COMPUTED_VALUE"""),"Mace of smiting")</f>
        <v>Mace of smiting</v>
      </c>
      <c r="C318" s="5" t="str">
        <f ca="1">IFERROR(__xludf.DUMMYFUNCTION("""COMPUTED_VALUE"""),"Magic")</f>
        <v>Magic</v>
      </c>
      <c r="D318" s="6">
        <f ca="1">IFERROR(__xludf.DUMMYFUNCTION("""COMPUTED_VALUE"""),940)</f>
        <v>940</v>
      </c>
      <c r="E318" s="7"/>
      <c r="F318" s="7"/>
      <c r="G318" s="7"/>
      <c r="H318" s="7"/>
      <c r="I318" s="7"/>
    </row>
    <row r="319" spans="1:9" ht="13.2">
      <c r="A319" s="5">
        <f ca="1">IFERROR(__xludf.DUMMYFUNCTION("""COMPUTED_VALUE"""),152)</f>
        <v>152</v>
      </c>
      <c r="B319" s="5" t="str">
        <f ca="1">IFERROR(__xludf.DUMMYFUNCTION("""COMPUTED_VALUE"""),"Mace of terror")</f>
        <v>Mace of terror</v>
      </c>
      <c r="C319" s="5" t="str">
        <f ca="1">IFERROR(__xludf.DUMMYFUNCTION("""COMPUTED_VALUE"""),"Magic")</f>
        <v>Magic</v>
      </c>
      <c r="D319" s="6">
        <f ca="1">IFERROR(__xludf.DUMMYFUNCTION("""COMPUTED_VALUE"""),922)</f>
        <v>922</v>
      </c>
      <c r="E319" s="7"/>
      <c r="F319" s="7"/>
      <c r="G319" s="7"/>
      <c r="H319" s="7"/>
      <c r="I319" s="7"/>
    </row>
    <row r="320" spans="1:9" ht="13.2">
      <c r="A320" s="5">
        <f ca="1">IFERROR(__xludf.DUMMYFUNCTION("""COMPUTED_VALUE"""),153)</f>
        <v>153</v>
      </c>
      <c r="B320" s="5" t="str">
        <f ca="1">IFERROR(__xludf.DUMMYFUNCTION("""COMPUTED_VALUE"""),"Mantle of spell resistance")</f>
        <v>Mantle of spell resistance</v>
      </c>
      <c r="C320" s="5" t="str">
        <f ca="1">IFERROR(__xludf.DUMMYFUNCTION("""COMPUTED_VALUE"""),"Magic")</f>
        <v>Magic</v>
      </c>
      <c r="D320" s="6">
        <f ca="1">IFERROR(__xludf.DUMMYFUNCTION("""COMPUTED_VALUE"""),940)</f>
        <v>940</v>
      </c>
      <c r="E320" s="7"/>
      <c r="F320" s="7"/>
      <c r="G320" s="7"/>
      <c r="H320" s="7"/>
      <c r="I320" s="7"/>
    </row>
    <row r="321" spans="1:9" ht="13.2">
      <c r="A321" s="5">
        <f ca="1">IFERROR(__xludf.DUMMYFUNCTION("""COMPUTED_VALUE"""),154)</f>
        <v>154</v>
      </c>
      <c r="B321" s="5" t="str">
        <f ca="1">IFERROR(__xludf.DUMMYFUNCTION("""COMPUTED_VALUE"""),"Manual of bodily health")</f>
        <v>Manual of bodily health</v>
      </c>
      <c r="C321" s="5" t="str">
        <f ca="1">IFERROR(__xludf.DUMMYFUNCTION("""COMPUTED_VALUE"""),"Magic")</f>
        <v>Magic</v>
      </c>
      <c r="D321" s="6">
        <f ca="1">IFERROR(__xludf.DUMMYFUNCTION("""COMPUTED_VALUE"""),1556)</f>
        <v>1556</v>
      </c>
      <c r="E321" s="7"/>
      <c r="F321" s="7"/>
      <c r="G321" s="7"/>
      <c r="H321" s="7"/>
      <c r="I321" s="7"/>
    </row>
    <row r="322" spans="1:9" ht="13.2">
      <c r="A322" s="5">
        <f ca="1">IFERROR(__xludf.DUMMYFUNCTION("""COMPUTED_VALUE"""),155)</f>
        <v>155</v>
      </c>
      <c r="B322" s="5" t="str">
        <f ca="1">IFERROR(__xludf.DUMMYFUNCTION("""COMPUTED_VALUE"""),"Manual of gainful exercise")</f>
        <v>Manual of gainful exercise</v>
      </c>
      <c r="C322" s="5" t="str">
        <f ca="1">IFERROR(__xludf.DUMMYFUNCTION("""COMPUTED_VALUE"""),"Magic")</f>
        <v>Magic</v>
      </c>
      <c r="D322" s="6">
        <f ca="1">IFERROR(__xludf.DUMMYFUNCTION("""COMPUTED_VALUE"""),1580)</f>
        <v>1580</v>
      </c>
      <c r="E322" s="7"/>
      <c r="F322" s="7"/>
      <c r="G322" s="7"/>
      <c r="H322" s="7"/>
      <c r="I322" s="7"/>
    </row>
    <row r="323" spans="1:9" ht="13.2">
      <c r="A323" s="5">
        <f ca="1">IFERROR(__xludf.DUMMYFUNCTION("""COMPUTED_VALUE"""),156)</f>
        <v>156</v>
      </c>
      <c r="B323" s="5" t="str">
        <f ca="1">IFERROR(__xludf.DUMMYFUNCTION("""COMPUTED_VALUE"""),"Manual of golems")</f>
        <v>Manual of golems</v>
      </c>
      <c r="C323" s="5" t="str">
        <f ca="1">IFERROR(__xludf.DUMMYFUNCTION("""COMPUTED_VALUE"""),"Magic")</f>
        <v>Magic</v>
      </c>
      <c r="D323" s="6">
        <f ca="1">IFERROR(__xludf.DUMMYFUNCTION("""COMPUTED_VALUE"""),1556)</f>
        <v>1556</v>
      </c>
      <c r="E323" s="7"/>
      <c r="F323" s="7"/>
      <c r="G323" s="7"/>
      <c r="H323" s="7"/>
      <c r="I323" s="7"/>
    </row>
    <row r="324" spans="1:9" ht="13.2">
      <c r="A324" s="5">
        <f ca="1">IFERROR(__xludf.DUMMYFUNCTION("""COMPUTED_VALUE"""),157)</f>
        <v>157</v>
      </c>
      <c r="B324" s="5" t="str">
        <f ca="1">IFERROR(__xludf.DUMMYFUNCTION("""COMPUTED_VALUE"""),"Manual of quickness of action")</f>
        <v>Manual of quickness of action</v>
      </c>
      <c r="C324" s="5" t="str">
        <f ca="1">IFERROR(__xludf.DUMMYFUNCTION("""COMPUTED_VALUE"""),"Magic")</f>
        <v>Magic</v>
      </c>
      <c r="D324" s="6">
        <f ca="1">IFERROR(__xludf.DUMMYFUNCTION("""COMPUTED_VALUE"""),1584)</f>
        <v>1584</v>
      </c>
      <c r="E324" s="7"/>
      <c r="F324" s="7"/>
      <c r="G324" s="7"/>
      <c r="H324" s="7"/>
      <c r="I324" s="7"/>
    </row>
    <row r="325" spans="1:9" ht="13.2">
      <c r="A325" s="5">
        <f ca="1">IFERROR(__xludf.DUMMYFUNCTION("""COMPUTED_VALUE"""),158)</f>
        <v>158</v>
      </c>
      <c r="B325" s="5" t="str">
        <f ca="1">IFERROR(__xludf.DUMMYFUNCTION("""COMPUTED_VALUE"""),"Mariner’s armor")</f>
        <v>Mariner’s armor</v>
      </c>
      <c r="C325" s="5" t="str">
        <f ca="1">IFERROR(__xludf.DUMMYFUNCTION("""COMPUTED_VALUE"""),"Magic")</f>
        <v>Magic</v>
      </c>
      <c r="D325" s="6">
        <f ca="1">IFERROR(__xludf.DUMMYFUNCTION("""COMPUTED_VALUE"""),370)</f>
        <v>370</v>
      </c>
      <c r="E325" s="7"/>
      <c r="F325" s="7"/>
      <c r="G325" s="7"/>
      <c r="H325" s="7"/>
      <c r="I325" s="7"/>
    </row>
    <row r="326" spans="1:9" ht="13.2">
      <c r="A326" s="5">
        <f ca="1">IFERROR(__xludf.DUMMYFUNCTION("""COMPUTED_VALUE"""),159)</f>
        <v>159</v>
      </c>
      <c r="B326" s="5" t="str">
        <f ca="1">IFERROR(__xludf.DUMMYFUNCTION("""COMPUTED_VALUE"""),"Medallion of thoughts")</f>
        <v>Medallion of thoughts</v>
      </c>
      <c r="C326" s="5" t="str">
        <f ca="1">IFERROR(__xludf.DUMMYFUNCTION("""COMPUTED_VALUE"""),"Magic")</f>
        <v>Magic</v>
      </c>
      <c r="D326" s="6">
        <f ca="1">IFERROR(__xludf.DUMMYFUNCTION("""COMPUTED_VALUE"""),382)</f>
        <v>382</v>
      </c>
      <c r="E326" s="7"/>
      <c r="F326" s="7"/>
      <c r="G326" s="7"/>
      <c r="H326" s="7"/>
      <c r="I326" s="7"/>
    </row>
    <row r="327" spans="1:9" ht="13.2">
      <c r="A327" s="5">
        <f ca="1">IFERROR(__xludf.DUMMYFUNCTION("""COMPUTED_VALUE"""),160)</f>
        <v>160</v>
      </c>
      <c r="B327" s="5" t="str">
        <f ca="1">IFERROR(__xludf.DUMMYFUNCTION("""COMPUTED_VALUE"""),"Mirror of life trapping")</f>
        <v>Mirror of life trapping</v>
      </c>
      <c r="C327" s="5" t="str">
        <f ca="1">IFERROR(__xludf.DUMMYFUNCTION("""COMPUTED_VALUE"""),"Magic")</f>
        <v>Magic</v>
      </c>
      <c r="D327" s="6">
        <f ca="1">IFERROR(__xludf.DUMMYFUNCTION("""COMPUTED_VALUE"""),1560)</f>
        <v>1560</v>
      </c>
      <c r="E327" s="7"/>
      <c r="F327" s="7"/>
      <c r="G327" s="7"/>
      <c r="H327" s="7"/>
      <c r="I327" s="7"/>
    </row>
    <row r="328" spans="1:9" ht="13.2">
      <c r="A328" s="5">
        <f ca="1">IFERROR(__xludf.DUMMYFUNCTION("""COMPUTED_VALUE"""),161)</f>
        <v>161</v>
      </c>
      <c r="B328" s="5" t="str">
        <f ca="1">IFERROR(__xludf.DUMMYFUNCTION("""COMPUTED_VALUE"""),"Mithral armor")</f>
        <v>Mithral armor</v>
      </c>
      <c r="C328" s="5" t="str">
        <f ca="1">IFERROR(__xludf.DUMMYFUNCTION("""COMPUTED_VALUE"""),"Magic")</f>
        <v>Magic</v>
      </c>
      <c r="D328" s="6">
        <f ca="1">IFERROR(__xludf.DUMMYFUNCTION("""COMPUTED_VALUE"""),382)</f>
        <v>382</v>
      </c>
      <c r="E328" s="7"/>
      <c r="F328" s="7"/>
      <c r="G328" s="7"/>
      <c r="H328" s="7"/>
      <c r="I328" s="7"/>
    </row>
    <row r="329" spans="1:9" ht="13.2">
      <c r="A329" s="5">
        <f ca="1">IFERROR(__xludf.DUMMYFUNCTION("""COMPUTED_VALUE"""),162)</f>
        <v>162</v>
      </c>
      <c r="B329" s="5" t="str">
        <f ca="1">IFERROR(__xludf.DUMMYFUNCTION("""COMPUTED_VALUE"""),"Necklace of adaptation")</f>
        <v>Necklace of adaptation</v>
      </c>
      <c r="C329" s="5" t="str">
        <f ca="1">IFERROR(__xludf.DUMMYFUNCTION("""COMPUTED_VALUE"""),"Magic")</f>
        <v>Magic</v>
      </c>
      <c r="D329" s="6">
        <f ca="1">IFERROR(__xludf.DUMMYFUNCTION("""COMPUTED_VALUE"""),370)</f>
        <v>370</v>
      </c>
      <c r="E329" s="7"/>
      <c r="F329" s="7"/>
      <c r="G329" s="7"/>
      <c r="H329" s="7"/>
      <c r="I329" s="7"/>
    </row>
    <row r="330" spans="1:9" ht="13.2">
      <c r="A330" s="5">
        <f ca="1">IFERROR(__xludf.DUMMYFUNCTION("""COMPUTED_VALUE"""),163)</f>
        <v>163</v>
      </c>
      <c r="B330" s="5" t="str">
        <f ca="1">IFERROR(__xludf.DUMMYFUNCTION("""COMPUTED_VALUE"""),"Necklace of fireballs")</f>
        <v>Necklace of fireballs</v>
      </c>
      <c r="C330" s="5" t="str">
        <f ca="1">IFERROR(__xludf.DUMMYFUNCTION("""COMPUTED_VALUE"""),"Magic")</f>
        <v>Magic</v>
      </c>
      <c r="D330" s="6">
        <f ca="1">IFERROR(__xludf.DUMMYFUNCTION("""COMPUTED_VALUE"""),946)</f>
        <v>946</v>
      </c>
      <c r="E330" s="7"/>
      <c r="F330" s="7"/>
      <c r="G330" s="7"/>
      <c r="H330" s="7"/>
      <c r="I330" s="7"/>
    </row>
    <row r="331" spans="1:9" ht="13.2">
      <c r="A331" s="5">
        <f ca="1">IFERROR(__xludf.DUMMYFUNCTION("""COMPUTED_VALUE"""),164)</f>
        <v>164</v>
      </c>
      <c r="B331" s="5" t="str">
        <f ca="1">IFERROR(__xludf.DUMMYFUNCTION("""COMPUTED_VALUE"""),"Necklace of prayer beads")</f>
        <v>Necklace of prayer beads</v>
      </c>
      <c r="C331" s="5" t="str">
        <f ca="1">IFERROR(__xludf.DUMMYFUNCTION("""COMPUTED_VALUE"""),"Magic")</f>
        <v>Magic</v>
      </c>
      <c r="D331" s="6">
        <f ca="1">IFERROR(__xludf.DUMMYFUNCTION("""COMPUTED_VALUE"""),928)</f>
        <v>928</v>
      </c>
      <c r="E331" s="7"/>
      <c r="F331" s="7"/>
      <c r="G331" s="7"/>
      <c r="H331" s="7"/>
      <c r="I331" s="7"/>
    </row>
    <row r="332" spans="1:9" ht="13.2">
      <c r="A332" s="5">
        <f ca="1">IFERROR(__xludf.DUMMYFUNCTION("""COMPUTED_VALUE"""),165)</f>
        <v>165</v>
      </c>
      <c r="B332" s="5" t="str">
        <f ca="1">IFERROR(__xludf.DUMMYFUNCTION("""COMPUTED_VALUE"""),"Nine lives stealer")</f>
        <v>Nine lives stealer</v>
      </c>
      <c r="C332" s="5" t="str">
        <f ca="1">IFERROR(__xludf.DUMMYFUNCTION("""COMPUTED_VALUE"""),"Magic")</f>
        <v>Magic</v>
      </c>
      <c r="D332" s="6">
        <f ca="1">IFERROR(__xludf.DUMMYFUNCTION("""COMPUTED_VALUE"""),1588)</f>
        <v>1588</v>
      </c>
      <c r="E332" s="7"/>
      <c r="F332" s="7"/>
      <c r="G332" s="7"/>
      <c r="H332" s="7"/>
      <c r="I332" s="7"/>
    </row>
    <row r="333" spans="1:9" ht="13.2">
      <c r="A333" s="5">
        <f ca="1">IFERROR(__xludf.DUMMYFUNCTION("""COMPUTED_VALUE"""),166)</f>
        <v>166</v>
      </c>
      <c r="B333" s="5" t="str">
        <f ca="1">IFERROR(__xludf.DUMMYFUNCTION("""COMPUTED_VALUE"""),"Nolzur’s marvelous pigments")</f>
        <v>Nolzur’s marvelous pigments</v>
      </c>
      <c r="C333" s="5" t="str">
        <f ca="1">IFERROR(__xludf.DUMMYFUNCTION("""COMPUTED_VALUE"""),"Magic")</f>
        <v>Magic</v>
      </c>
      <c r="D333" s="6">
        <f ca="1">IFERROR(__xludf.DUMMYFUNCTION("""COMPUTED_VALUE"""),1564)</f>
        <v>1564</v>
      </c>
      <c r="E333" s="7"/>
      <c r="F333" s="7"/>
      <c r="G333" s="7"/>
      <c r="H333" s="7"/>
      <c r="I333" s="7"/>
    </row>
    <row r="334" spans="1:9" ht="13.2">
      <c r="A334" s="5">
        <f ca="1">IFERROR(__xludf.DUMMYFUNCTION("""COMPUTED_VALUE"""),167)</f>
        <v>167</v>
      </c>
      <c r="B334" s="5" t="str">
        <f ca="1">IFERROR(__xludf.DUMMYFUNCTION("""COMPUTED_VALUE"""),"Oathbow")</f>
        <v>Oathbow</v>
      </c>
      <c r="C334" s="5" t="str">
        <f ca="1">IFERROR(__xludf.DUMMYFUNCTION("""COMPUTED_VALUE"""),"Magic")</f>
        <v>Magic</v>
      </c>
      <c r="D334" s="6">
        <f ca="1">IFERROR(__xludf.DUMMYFUNCTION("""COMPUTED_VALUE"""),1588)</f>
        <v>1588</v>
      </c>
      <c r="E334" s="7"/>
      <c r="F334" s="7"/>
      <c r="G334" s="7"/>
      <c r="H334" s="7"/>
      <c r="I334" s="7"/>
    </row>
    <row r="335" spans="1:9" ht="13.2">
      <c r="A335" s="5">
        <f ca="1">IFERROR(__xludf.DUMMYFUNCTION("""COMPUTED_VALUE"""),168)</f>
        <v>168</v>
      </c>
      <c r="B335" s="5" t="str">
        <f ca="1">IFERROR(__xludf.DUMMYFUNCTION("""COMPUTED_VALUE"""),"Oil of etherealness")</f>
        <v>Oil of etherealness</v>
      </c>
      <c r="C335" s="5" t="str">
        <f ca="1">IFERROR(__xludf.DUMMYFUNCTION("""COMPUTED_VALUE"""),"Magic")</f>
        <v>Magic</v>
      </c>
      <c r="D335" s="6">
        <f ca="1">IFERROR(__xludf.DUMMYFUNCTION("""COMPUTED_VALUE"""),928)</f>
        <v>928</v>
      </c>
      <c r="E335" s="7"/>
      <c r="F335" s="7"/>
      <c r="G335" s="7"/>
      <c r="H335" s="7"/>
      <c r="I335" s="7"/>
    </row>
    <row r="336" spans="1:9" ht="13.2">
      <c r="A336" s="5">
        <f ca="1">IFERROR(__xludf.DUMMYFUNCTION("""COMPUTED_VALUE"""),169)</f>
        <v>169</v>
      </c>
      <c r="B336" s="5" t="str">
        <f ca="1">IFERROR(__xludf.DUMMYFUNCTION("""COMPUTED_VALUE"""),"Oil of sharpness")</f>
        <v>Oil of sharpness</v>
      </c>
      <c r="C336" s="5" t="str">
        <f ca="1">IFERROR(__xludf.DUMMYFUNCTION("""COMPUTED_VALUE"""),"Magic")</f>
        <v>Magic</v>
      </c>
      <c r="D336" s="6">
        <f ca="1">IFERROR(__xludf.DUMMYFUNCTION("""COMPUTED_VALUE"""),1592)</f>
        <v>1592</v>
      </c>
      <c r="E336" s="7"/>
      <c r="F336" s="7"/>
      <c r="G336" s="7"/>
      <c r="H336" s="7"/>
      <c r="I336" s="7"/>
    </row>
    <row r="337" spans="1:9" ht="13.2">
      <c r="A337" s="5">
        <f ca="1">IFERROR(__xludf.DUMMYFUNCTION("""COMPUTED_VALUE"""),170)</f>
        <v>170</v>
      </c>
      <c r="B337" s="5" t="str">
        <f ca="1">IFERROR(__xludf.DUMMYFUNCTION("""COMPUTED_VALUE"""),"Oil of slipperiness")</f>
        <v>Oil of slipperiness</v>
      </c>
      <c r="C337" s="5" t="str">
        <f ca="1">IFERROR(__xludf.DUMMYFUNCTION("""COMPUTED_VALUE"""),"Magic")</f>
        <v>Magic</v>
      </c>
      <c r="D337" s="6">
        <f ca="1">IFERROR(__xludf.DUMMYFUNCTION("""COMPUTED_VALUE"""),374)</f>
        <v>374</v>
      </c>
      <c r="E337" s="7"/>
      <c r="F337" s="7"/>
      <c r="G337" s="7"/>
      <c r="H337" s="7"/>
      <c r="I337" s="7"/>
    </row>
    <row r="338" spans="1:9" ht="13.2">
      <c r="A338" s="5">
        <f ca="1">IFERROR(__xludf.DUMMYFUNCTION("""COMPUTED_VALUE"""),171)</f>
        <v>171</v>
      </c>
      <c r="B338" s="5" t="str">
        <f ca="1">IFERROR(__xludf.DUMMYFUNCTION("""COMPUTED_VALUE"""),"Pearl of power")</f>
        <v>Pearl of power</v>
      </c>
      <c r="C338" s="5" t="str">
        <f ca="1">IFERROR(__xludf.DUMMYFUNCTION("""COMPUTED_VALUE"""),"Magic")</f>
        <v>Magic</v>
      </c>
      <c r="D338" s="6">
        <f ca="1">IFERROR(__xludf.DUMMYFUNCTION("""COMPUTED_VALUE"""),386)</f>
        <v>386</v>
      </c>
      <c r="E338" s="7"/>
      <c r="F338" s="7"/>
      <c r="G338" s="7"/>
      <c r="H338" s="7"/>
      <c r="I338" s="7"/>
    </row>
    <row r="339" spans="1:9" ht="13.2">
      <c r="A339" s="5">
        <f ca="1">IFERROR(__xludf.DUMMYFUNCTION("""COMPUTED_VALUE"""),172)</f>
        <v>172</v>
      </c>
      <c r="B339" s="5" t="str">
        <f ca="1">IFERROR(__xludf.DUMMYFUNCTION("""COMPUTED_VALUE"""),"Periapt of health")</f>
        <v>Periapt of health</v>
      </c>
      <c r="C339" s="5" t="str">
        <f ca="1">IFERROR(__xludf.DUMMYFUNCTION("""COMPUTED_VALUE"""),"Magic")</f>
        <v>Magic</v>
      </c>
      <c r="D339" s="6">
        <f ca="1">IFERROR(__xludf.DUMMYFUNCTION("""COMPUTED_VALUE"""),374)</f>
        <v>374</v>
      </c>
      <c r="E339" s="7"/>
      <c r="F339" s="7"/>
      <c r="G339" s="7"/>
      <c r="H339" s="7"/>
      <c r="I339" s="7"/>
    </row>
    <row r="340" spans="1:9" ht="13.2">
      <c r="A340" s="5">
        <f ca="1">IFERROR(__xludf.DUMMYFUNCTION("""COMPUTED_VALUE"""),173)</f>
        <v>173</v>
      </c>
      <c r="B340" s="5" t="str">
        <f ca="1">IFERROR(__xludf.DUMMYFUNCTION("""COMPUTED_VALUE"""),"Periapt of proof against poison")</f>
        <v>Periapt of proof against poison</v>
      </c>
      <c r="C340" s="5" t="str">
        <f ca="1">IFERROR(__xludf.DUMMYFUNCTION("""COMPUTED_VALUE"""),"Magic")</f>
        <v>Magic</v>
      </c>
      <c r="D340" s="6">
        <f ca="1">IFERROR(__xludf.DUMMYFUNCTION("""COMPUTED_VALUE"""),949)</f>
        <v>949</v>
      </c>
      <c r="E340" s="7"/>
      <c r="F340" s="7"/>
      <c r="G340" s="7"/>
      <c r="H340" s="7"/>
      <c r="I340" s="7"/>
    </row>
    <row r="341" spans="1:9" ht="13.2">
      <c r="A341" s="5">
        <f ca="1">IFERROR(__xludf.DUMMYFUNCTION("""COMPUTED_VALUE"""),174)</f>
        <v>174</v>
      </c>
      <c r="B341" s="5" t="str">
        <f ca="1">IFERROR(__xludf.DUMMYFUNCTION("""COMPUTED_VALUE"""),"Periapt of wound closure")</f>
        <v>Periapt of wound closure</v>
      </c>
      <c r="C341" s="5" t="str">
        <f ca="1">IFERROR(__xludf.DUMMYFUNCTION("""COMPUTED_VALUE"""),"Magic")</f>
        <v>Magic</v>
      </c>
      <c r="D341" s="6">
        <f ca="1">IFERROR(__xludf.DUMMYFUNCTION("""COMPUTED_VALUE"""),374)</f>
        <v>374</v>
      </c>
      <c r="E341" s="7"/>
      <c r="F341" s="7"/>
      <c r="G341" s="7"/>
      <c r="H341" s="7"/>
      <c r="I341" s="7"/>
    </row>
    <row r="342" spans="1:9" ht="13.2">
      <c r="A342" s="5">
        <f ca="1">IFERROR(__xludf.DUMMYFUNCTION("""COMPUTED_VALUE"""),175)</f>
        <v>175</v>
      </c>
      <c r="B342" s="5" t="str">
        <f ca="1">IFERROR(__xludf.DUMMYFUNCTION("""COMPUTED_VALUE"""),"Philter of love")</f>
        <v>Philter of love</v>
      </c>
      <c r="C342" s="5" t="str">
        <f ca="1">IFERROR(__xludf.DUMMYFUNCTION("""COMPUTED_VALUE"""),"Magic")</f>
        <v>Magic</v>
      </c>
      <c r="D342" s="6">
        <f ca="1">IFERROR(__xludf.DUMMYFUNCTION("""COMPUTED_VALUE"""),388)</f>
        <v>388</v>
      </c>
      <c r="E342" s="7"/>
      <c r="F342" s="7"/>
      <c r="G342" s="7"/>
      <c r="H342" s="7"/>
      <c r="I342" s="7"/>
    </row>
    <row r="343" spans="1:9" ht="13.2">
      <c r="A343" s="5">
        <f ca="1">IFERROR(__xludf.DUMMYFUNCTION("""COMPUTED_VALUE"""),176)</f>
        <v>176</v>
      </c>
      <c r="B343" s="5" t="str">
        <f ca="1">IFERROR(__xludf.DUMMYFUNCTION("""COMPUTED_VALUE"""),"Pipes of haunting")</f>
        <v>Pipes of haunting</v>
      </c>
      <c r="C343" s="5" t="str">
        <f ca="1">IFERROR(__xludf.DUMMYFUNCTION("""COMPUTED_VALUE"""),"Magic")</f>
        <v>Magic</v>
      </c>
      <c r="D343" s="6">
        <f ca="1">IFERROR(__xludf.DUMMYFUNCTION("""COMPUTED_VALUE"""),376)</f>
        <v>376</v>
      </c>
      <c r="E343" s="7"/>
      <c r="F343" s="7"/>
      <c r="G343" s="7"/>
      <c r="H343" s="7"/>
      <c r="I343" s="7"/>
    </row>
    <row r="344" spans="1:9" ht="13.2">
      <c r="A344" s="5">
        <f ca="1">IFERROR(__xludf.DUMMYFUNCTION("""COMPUTED_VALUE"""),177)</f>
        <v>177</v>
      </c>
      <c r="B344" s="5" t="str">
        <f ca="1">IFERROR(__xludf.DUMMYFUNCTION("""COMPUTED_VALUE"""),"Pipes of the sewers")</f>
        <v>Pipes of the sewers</v>
      </c>
      <c r="C344" s="5" t="str">
        <f ca="1">IFERROR(__xludf.DUMMYFUNCTION("""COMPUTED_VALUE"""),"Magic")</f>
        <v>Magic</v>
      </c>
      <c r="D344" s="6">
        <f ca="1">IFERROR(__xludf.DUMMYFUNCTION("""COMPUTED_VALUE"""),388)</f>
        <v>388</v>
      </c>
      <c r="E344" s="7"/>
      <c r="F344" s="7"/>
      <c r="G344" s="7"/>
      <c r="H344" s="7"/>
      <c r="I344" s="7"/>
    </row>
    <row r="345" spans="1:9" ht="13.2">
      <c r="A345" s="5">
        <f ca="1">IFERROR(__xludf.DUMMYFUNCTION("""COMPUTED_VALUE"""),178)</f>
        <v>178</v>
      </c>
      <c r="B345" s="5" t="str">
        <f ca="1">IFERROR(__xludf.DUMMYFUNCTION("""COMPUTED_VALUE"""),"Plate armor of etherealness")</f>
        <v>Plate armor of etherealness</v>
      </c>
      <c r="C345" s="5" t="str">
        <f ca="1">IFERROR(__xludf.DUMMYFUNCTION("""COMPUTED_VALUE"""),"Magic")</f>
        <v>Magic</v>
      </c>
      <c r="D345" s="6">
        <f ca="1">IFERROR(__xludf.DUMMYFUNCTION("""COMPUTED_VALUE"""),3040)</f>
        <v>3040</v>
      </c>
      <c r="E345" s="7"/>
      <c r="F345" s="7"/>
      <c r="G345" s="7"/>
      <c r="H345" s="7"/>
      <c r="I345" s="7"/>
    </row>
    <row r="346" spans="1:9" ht="13.2">
      <c r="A346" s="5">
        <f ca="1">IFERROR(__xludf.DUMMYFUNCTION("""COMPUTED_VALUE"""),179)</f>
        <v>179</v>
      </c>
      <c r="B346" s="5" t="str">
        <f ca="1">IFERROR(__xludf.DUMMYFUNCTION("""COMPUTED_VALUE"""),"Portable hole")</f>
        <v>Portable hole</v>
      </c>
      <c r="C346" s="5" t="str">
        <f ca="1">IFERROR(__xludf.DUMMYFUNCTION("""COMPUTED_VALUE"""),"Magic")</f>
        <v>Magic</v>
      </c>
      <c r="D346" s="6">
        <f ca="1">IFERROR(__xludf.DUMMYFUNCTION("""COMPUTED_VALUE"""),952)</f>
        <v>952</v>
      </c>
      <c r="E346" s="7"/>
      <c r="F346" s="7"/>
      <c r="G346" s="7"/>
      <c r="H346" s="7"/>
      <c r="I346" s="7"/>
    </row>
    <row r="347" spans="1:9" ht="13.2">
      <c r="A347" s="5">
        <f ca="1">IFERROR(__xludf.DUMMYFUNCTION("""COMPUTED_VALUE"""),180)</f>
        <v>180</v>
      </c>
      <c r="B347" s="5" t="str">
        <f ca="1">IFERROR(__xludf.DUMMYFUNCTION("""COMPUTED_VALUE"""),"Potion of animal friendship")</f>
        <v>Potion of animal friendship</v>
      </c>
      <c r="C347" s="5" t="str">
        <f ca="1">IFERROR(__xludf.DUMMYFUNCTION("""COMPUTED_VALUE"""),"Magic")</f>
        <v>Magic</v>
      </c>
      <c r="D347" s="6">
        <f ca="1">IFERROR(__xludf.DUMMYFUNCTION("""COMPUTED_VALUE"""),376)</f>
        <v>376</v>
      </c>
      <c r="E347" s="7"/>
      <c r="F347" s="7"/>
      <c r="G347" s="7"/>
      <c r="H347" s="7"/>
      <c r="I347" s="7"/>
    </row>
    <row r="348" spans="1:9" ht="13.2">
      <c r="A348" s="5">
        <f ca="1">IFERROR(__xludf.DUMMYFUNCTION("""COMPUTED_VALUE"""),181)</f>
        <v>181</v>
      </c>
      <c r="B348" s="5" t="str">
        <f ca="1">IFERROR(__xludf.DUMMYFUNCTION("""COMPUTED_VALUE"""),"Potion of clairvoyance")</f>
        <v>Potion of clairvoyance</v>
      </c>
      <c r="C348" s="5" t="str">
        <f ca="1">IFERROR(__xludf.DUMMYFUNCTION("""COMPUTED_VALUE"""),"Magic")</f>
        <v>Magic</v>
      </c>
      <c r="D348" s="6">
        <f ca="1">IFERROR(__xludf.DUMMYFUNCTION("""COMPUTED_VALUE"""),919)</f>
        <v>919</v>
      </c>
      <c r="E348" s="7"/>
      <c r="F348" s="7"/>
      <c r="G348" s="7"/>
      <c r="H348" s="7"/>
      <c r="I348" s="7"/>
    </row>
    <row r="349" spans="1:9" ht="13.2">
      <c r="A349" s="5">
        <f ca="1">IFERROR(__xludf.DUMMYFUNCTION("""COMPUTED_VALUE"""),182)</f>
        <v>182</v>
      </c>
      <c r="B349" s="5" t="str">
        <f ca="1">IFERROR(__xludf.DUMMYFUNCTION("""COMPUTED_VALUE"""),"Potion of climbing")</f>
        <v>Potion of climbing</v>
      </c>
      <c r="C349" s="5" t="str">
        <f ca="1">IFERROR(__xludf.DUMMYFUNCTION("""COMPUTED_VALUE"""),"Magic")</f>
        <v>Magic</v>
      </c>
      <c r="D349" s="6">
        <f ca="1">IFERROR(__xludf.DUMMYFUNCTION("""COMPUTED_VALUE"""),119)</f>
        <v>119</v>
      </c>
      <c r="E349" s="7"/>
      <c r="F349" s="7"/>
      <c r="G349" s="7"/>
      <c r="H349" s="7"/>
      <c r="I349" s="7"/>
    </row>
    <row r="350" spans="1:9" ht="13.2">
      <c r="A350" s="5">
        <f ca="1">IFERROR(__xludf.DUMMYFUNCTION("""COMPUTED_VALUE"""),183)</f>
        <v>183</v>
      </c>
      <c r="B350" s="5" t="str">
        <f ca="1">IFERROR(__xludf.DUMMYFUNCTION("""COMPUTED_VALUE"""),"Potion of diminution")</f>
        <v>Potion of diminution</v>
      </c>
      <c r="C350" s="5" t="str">
        <f ca="1">IFERROR(__xludf.DUMMYFUNCTION("""COMPUTED_VALUE"""),"Magic")</f>
        <v>Magic</v>
      </c>
      <c r="D350" s="6">
        <f ca="1">IFERROR(__xludf.DUMMYFUNCTION("""COMPUTED_VALUE"""),919)</f>
        <v>919</v>
      </c>
      <c r="E350" s="7"/>
      <c r="F350" s="7"/>
      <c r="G350" s="7"/>
      <c r="H350" s="7"/>
      <c r="I350" s="7"/>
    </row>
    <row r="351" spans="1:9" ht="13.2">
      <c r="A351" s="5">
        <f ca="1">IFERROR(__xludf.DUMMYFUNCTION("""COMPUTED_VALUE"""),184)</f>
        <v>184</v>
      </c>
      <c r="B351" s="5" t="str">
        <f ca="1">IFERROR(__xludf.DUMMYFUNCTION("""COMPUTED_VALUE"""),"Potion of fire breath")</f>
        <v>Potion of fire breath</v>
      </c>
      <c r="C351" s="5" t="str">
        <f ca="1">IFERROR(__xludf.DUMMYFUNCTION("""COMPUTED_VALUE"""),"Magic")</f>
        <v>Magic</v>
      </c>
      <c r="D351" s="6">
        <f ca="1">IFERROR(__xludf.DUMMYFUNCTION("""COMPUTED_VALUE"""),378)</f>
        <v>378</v>
      </c>
      <c r="E351" s="7"/>
      <c r="F351" s="7"/>
      <c r="G351" s="7"/>
      <c r="H351" s="7"/>
      <c r="I351" s="7"/>
    </row>
    <row r="352" spans="1:9" ht="13.2">
      <c r="A352" s="5">
        <f ca="1">IFERROR(__xludf.DUMMYFUNCTION("""COMPUTED_VALUE"""),185)</f>
        <v>185</v>
      </c>
      <c r="B352" s="5" t="str">
        <f ca="1">IFERROR(__xludf.DUMMYFUNCTION("""COMPUTED_VALUE"""),"Potion of flying")</f>
        <v>Potion of flying</v>
      </c>
      <c r="C352" s="5" t="str">
        <f ca="1">IFERROR(__xludf.DUMMYFUNCTION("""COMPUTED_VALUE"""),"Magic")</f>
        <v>Magic</v>
      </c>
      <c r="D352" s="6">
        <f ca="1">IFERROR(__xludf.DUMMYFUNCTION("""COMPUTED_VALUE"""),1552)</f>
        <v>1552</v>
      </c>
      <c r="E352" s="7"/>
      <c r="F352" s="7"/>
      <c r="G352" s="7"/>
      <c r="H352" s="7"/>
      <c r="I352" s="7"/>
    </row>
    <row r="353" spans="1:9" ht="13.2">
      <c r="A353" s="5">
        <f ca="1">IFERROR(__xludf.DUMMYFUNCTION("""COMPUTED_VALUE"""),186)</f>
        <v>186</v>
      </c>
      <c r="B353" s="5" t="str">
        <f ca="1">IFERROR(__xludf.DUMMYFUNCTION("""COMPUTED_VALUE"""),"Potion of gaseous form")</f>
        <v>Potion of gaseous form</v>
      </c>
      <c r="C353" s="5" t="str">
        <f ca="1">IFERROR(__xludf.DUMMYFUNCTION("""COMPUTED_VALUE"""),"Magic")</f>
        <v>Magic</v>
      </c>
      <c r="D353" s="6">
        <f ca="1">IFERROR(__xludf.DUMMYFUNCTION("""COMPUTED_VALUE"""),937)</f>
        <v>937</v>
      </c>
      <c r="E353" s="7"/>
      <c r="F353" s="7"/>
      <c r="G353" s="7"/>
      <c r="H353" s="7"/>
      <c r="I353" s="7"/>
    </row>
    <row r="354" spans="1:9" ht="13.2">
      <c r="A354" s="5">
        <f ca="1">IFERROR(__xludf.DUMMYFUNCTION("""COMPUTED_VALUE"""),187)</f>
        <v>187</v>
      </c>
      <c r="B354" s="5" t="str">
        <f ca="1">IFERROR(__xludf.DUMMYFUNCTION("""COMPUTED_VALUE"""),"Potion of giant strength (cloud giant)")</f>
        <v>Potion of giant strength (cloud giant)</v>
      </c>
      <c r="C354" s="5" t="str">
        <f ca="1">IFERROR(__xludf.DUMMYFUNCTION("""COMPUTED_VALUE"""),"Magic")</f>
        <v>Magic</v>
      </c>
      <c r="D354" s="6">
        <f ca="1">IFERROR(__xludf.DUMMYFUNCTION("""COMPUTED_VALUE"""),1556)</f>
        <v>1556</v>
      </c>
      <c r="E354" s="7"/>
      <c r="F354" s="7"/>
      <c r="G354" s="7"/>
      <c r="H354" s="7"/>
      <c r="I354" s="7"/>
    </row>
    <row r="355" spans="1:9" ht="13.2">
      <c r="A355" s="5">
        <f ca="1">IFERROR(__xludf.DUMMYFUNCTION("""COMPUTED_VALUE"""),188)</f>
        <v>188</v>
      </c>
      <c r="B355" s="5" t="str">
        <f ca="1">IFERROR(__xludf.DUMMYFUNCTION("""COMPUTED_VALUE"""),"Potion of giant strength (fire giant)")</f>
        <v>Potion of giant strength (fire giant)</v>
      </c>
      <c r="C355" s="5" t="str">
        <f ca="1">IFERROR(__xludf.DUMMYFUNCTION("""COMPUTED_VALUE"""),"Magic")</f>
        <v>Magic</v>
      </c>
      <c r="D355" s="6">
        <f ca="1">IFERROR(__xludf.DUMMYFUNCTION("""COMPUTED_VALUE"""),940)</f>
        <v>940</v>
      </c>
      <c r="E355" s="7"/>
      <c r="F355" s="7"/>
      <c r="G355" s="7"/>
      <c r="H355" s="7"/>
      <c r="I355" s="7"/>
    </row>
    <row r="356" spans="1:9" ht="13.2">
      <c r="A356" s="5">
        <f ca="1">IFERROR(__xludf.DUMMYFUNCTION("""COMPUTED_VALUE"""),189)</f>
        <v>189</v>
      </c>
      <c r="B356" s="5" t="str">
        <f ca="1">IFERROR(__xludf.DUMMYFUNCTION("""COMPUTED_VALUE"""),"Potion of giant strength (frost or stone giant)")</f>
        <v>Potion of giant strength (frost or stone giant)</v>
      </c>
      <c r="C356" s="5" t="str">
        <f ca="1">IFERROR(__xludf.DUMMYFUNCTION("""COMPUTED_VALUE"""),"Magic")</f>
        <v>Magic</v>
      </c>
      <c r="D356" s="6">
        <f ca="1">IFERROR(__xludf.DUMMYFUNCTION("""COMPUTED_VALUE"""),922)</f>
        <v>922</v>
      </c>
      <c r="E356" s="7"/>
      <c r="F356" s="7"/>
      <c r="G356" s="7"/>
      <c r="H356" s="7"/>
      <c r="I356" s="7"/>
    </row>
    <row r="357" spans="1:9" ht="13.2">
      <c r="A357" s="5">
        <f ca="1">IFERROR(__xludf.DUMMYFUNCTION("""COMPUTED_VALUE"""),190)</f>
        <v>190</v>
      </c>
      <c r="B357" s="5" t="str">
        <f ca="1">IFERROR(__xludf.DUMMYFUNCTION("""COMPUTED_VALUE"""),"Potion of giant strength (hill giant)")</f>
        <v>Potion of giant strength (hill giant)</v>
      </c>
      <c r="C357" s="5" t="str">
        <f ca="1">IFERROR(__xludf.DUMMYFUNCTION("""COMPUTED_VALUE"""),"Magic")</f>
        <v>Magic</v>
      </c>
      <c r="D357" s="6">
        <f ca="1">IFERROR(__xludf.DUMMYFUNCTION("""COMPUTED_VALUE"""),380)</f>
        <v>380</v>
      </c>
      <c r="E357" s="7"/>
      <c r="F357" s="7"/>
      <c r="G357" s="7"/>
      <c r="H357" s="7"/>
      <c r="I357" s="7"/>
    </row>
    <row r="358" spans="1:9" ht="13.2">
      <c r="A358" s="5">
        <f ca="1">IFERROR(__xludf.DUMMYFUNCTION("""COMPUTED_VALUE"""),191)</f>
        <v>191</v>
      </c>
      <c r="B358" s="5" t="str">
        <f ca="1">IFERROR(__xludf.DUMMYFUNCTION("""COMPUTED_VALUE"""),"Potion of giant strength (storm giant)")</f>
        <v>Potion of giant strength (storm giant)</v>
      </c>
      <c r="C358" s="5" t="str">
        <f ca="1">IFERROR(__xludf.DUMMYFUNCTION("""COMPUTED_VALUE"""),"Magic")</f>
        <v>Magic</v>
      </c>
      <c r="D358" s="6">
        <f ca="1">IFERROR(__xludf.DUMMYFUNCTION("""COMPUTED_VALUE"""),3020)</f>
        <v>3020</v>
      </c>
      <c r="E358" s="7"/>
      <c r="F358" s="7"/>
      <c r="G358" s="7"/>
      <c r="H358" s="7"/>
      <c r="I358" s="7"/>
    </row>
    <row r="359" spans="1:9" ht="13.2">
      <c r="A359" s="5">
        <f ca="1">IFERROR(__xludf.DUMMYFUNCTION("""COMPUTED_VALUE"""),192)</f>
        <v>192</v>
      </c>
      <c r="B359" s="5" t="str">
        <f ca="1">IFERROR(__xludf.DUMMYFUNCTION("""COMPUTED_VALUE"""),"Potion of greater healing")</f>
        <v>Potion of greater healing</v>
      </c>
      <c r="C359" s="5" t="str">
        <f ca="1">IFERROR(__xludf.DUMMYFUNCTION("""COMPUTED_VALUE"""),"Magic")</f>
        <v>Magic</v>
      </c>
      <c r="D359" s="6">
        <f ca="1">IFERROR(__xludf.DUMMYFUNCTION("""COMPUTED_VALUE"""),380)</f>
        <v>380</v>
      </c>
      <c r="E359" s="7"/>
      <c r="F359" s="7"/>
      <c r="G359" s="7"/>
      <c r="H359" s="7"/>
      <c r="I359" s="7"/>
    </row>
    <row r="360" spans="1:9" ht="13.2">
      <c r="A360" s="5">
        <f ca="1">IFERROR(__xludf.DUMMYFUNCTION("""COMPUTED_VALUE"""),193)</f>
        <v>193</v>
      </c>
      <c r="B360" s="5" t="str">
        <f ca="1">IFERROR(__xludf.DUMMYFUNCTION("""COMPUTED_VALUE"""),"Potion of growth")</f>
        <v>Potion of growth</v>
      </c>
      <c r="C360" s="5" t="str">
        <f ca="1">IFERROR(__xludf.DUMMYFUNCTION("""COMPUTED_VALUE"""),"Magic")</f>
        <v>Magic</v>
      </c>
      <c r="D360" s="6">
        <f ca="1">IFERROR(__xludf.DUMMYFUNCTION("""COMPUTED_VALUE"""),370)</f>
        <v>370</v>
      </c>
      <c r="E360" s="7"/>
      <c r="F360" s="7"/>
      <c r="G360" s="7"/>
      <c r="H360" s="7"/>
      <c r="I360" s="7"/>
    </row>
    <row r="361" spans="1:9" ht="13.2">
      <c r="A361" s="5">
        <f ca="1">IFERROR(__xludf.DUMMYFUNCTION("""COMPUTED_VALUE"""),194)</f>
        <v>194</v>
      </c>
      <c r="B361" s="5" t="str">
        <f ca="1">IFERROR(__xludf.DUMMYFUNCTION("""COMPUTED_VALUE"""),"Potion of healing")</f>
        <v>Potion of healing</v>
      </c>
      <c r="C361" s="5" t="str">
        <f ca="1">IFERROR(__xludf.DUMMYFUNCTION("""COMPUTED_VALUE"""),"Magic")</f>
        <v>Magic</v>
      </c>
      <c r="D361" s="6">
        <f ca="1">IFERROR(__xludf.DUMMYFUNCTION("""COMPUTED_VALUE"""),121)</f>
        <v>121</v>
      </c>
      <c r="E361" s="7"/>
      <c r="F361" s="7"/>
      <c r="G361" s="7"/>
      <c r="H361" s="7"/>
      <c r="I361" s="7"/>
    </row>
    <row r="362" spans="1:9" ht="13.2">
      <c r="A362" s="5">
        <f ca="1">IFERROR(__xludf.DUMMYFUNCTION("""COMPUTED_VALUE"""),195)</f>
        <v>195</v>
      </c>
      <c r="B362" s="5" t="str">
        <f ca="1">IFERROR(__xludf.DUMMYFUNCTION("""COMPUTED_VALUE"""),"Potion of superior healing")</f>
        <v>Potion of superior healing</v>
      </c>
      <c r="C362" s="5" t="str">
        <f ca="1">IFERROR(__xludf.DUMMYFUNCTION("""COMPUTED_VALUE"""),"Magic")</f>
        <v>Magic</v>
      </c>
      <c r="D362" s="6">
        <f ca="1">IFERROR(__xludf.DUMMYFUNCTION("""COMPUTED_VALUE"""),925)</f>
        <v>925</v>
      </c>
      <c r="E362" s="7"/>
      <c r="F362" s="7"/>
      <c r="G362" s="7"/>
      <c r="H362" s="7"/>
      <c r="I362" s="7"/>
    </row>
    <row r="363" spans="1:9" ht="13.2">
      <c r="A363" s="5">
        <f ca="1">IFERROR(__xludf.DUMMYFUNCTION("""COMPUTED_VALUE"""),196)</f>
        <v>196</v>
      </c>
      <c r="B363" s="5" t="str">
        <f ca="1">IFERROR(__xludf.DUMMYFUNCTION("""COMPUTED_VALUE"""),"Potion of supreme healing")</f>
        <v>Potion of supreme healing</v>
      </c>
      <c r="C363" s="5" t="str">
        <f ca="1">IFERROR(__xludf.DUMMYFUNCTION("""COMPUTED_VALUE"""),"Magic")</f>
        <v>Magic</v>
      </c>
      <c r="D363" s="6">
        <f ca="1">IFERROR(__xludf.DUMMYFUNCTION("""COMPUTED_VALUE"""),1584)</f>
        <v>1584</v>
      </c>
      <c r="E363" s="7"/>
      <c r="F363" s="7"/>
      <c r="G363" s="7"/>
      <c r="H363" s="7"/>
      <c r="I363" s="7"/>
    </row>
    <row r="364" spans="1:9" ht="13.2">
      <c r="A364" s="5">
        <f ca="1">IFERROR(__xludf.DUMMYFUNCTION("""COMPUTED_VALUE"""),197)</f>
        <v>197</v>
      </c>
      <c r="B364" s="5" t="str">
        <f ca="1">IFERROR(__xludf.DUMMYFUNCTION("""COMPUTED_VALUE"""),"Potion of heroism")</f>
        <v>Potion of heroism</v>
      </c>
      <c r="C364" s="5" t="str">
        <f ca="1">IFERROR(__xludf.DUMMYFUNCTION("""COMPUTED_VALUE"""),"Magic")</f>
        <v>Magic</v>
      </c>
      <c r="D364" s="6">
        <f ca="1">IFERROR(__xludf.DUMMYFUNCTION("""COMPUTED_VALUE"""),925)</f>
        <v>925</v>
      </c>
      <c r="E364" s="7"/>
      <c r="F364" s="7"/>
      <c r="G364" s="7"/>
      <c r="H364" s="7"/>
      <c r="I364" s="7"/>
    </row>
    <row r="365" spans="1:9" ht="13.2">
      <c r="A365" s="5">
        <f ca="1">IFERROR(__xludf.DUMMYFUNCTION("""COMPUTED_VALUE"""),198)</f>
        <v>198</v>
      </c>
      <c r="B365" s="5" t="str">
        <f ca="1">IFERROR(__xludf.DUMMYFUNCTION("""COMPUTED_VALUE"""),"Potion of invisibility")</f>
        <v>Potion of invisibility</v>
      </c>
      <c r="C365" s="5" t="str">
        <f ca="1">IFERROR(__xludf.DUMMYFUNCTION("""COMPUTED_VALUE"""),"Magic")</f>
        <v>Magic</v>
      </c>
      <c r="D365" s="6">
        <f ca="1">IFERROR(__xludf.DUMMYFUNCTION("""COMPUTED_VALUE"""),1584)</f>
        <v>1584</v>
      </c>
      <c r="E365" s="7"/>
      <c r="F365" s="7"/>
      <c r="G365" s="7"/>
      <c r="H365" s="7"/>
      <c r="I365" s="7"/>
    </row>
    <row r="366" spans="1:9" ht="13.2">
      <c r="A366" s="5">
        <f ca="1">IFERROR(__xludf.DUMMYFUNCTION("""COMPUTED_VALUE"""),199)</f>
        <v>199</v>
      </c>
      <c r="B366" s="5" t="str">
        <f ca="1">IFERROR(__xludf.DUMMYFUNCTION("""COMPUTED_VALUE"""),"Potion of invulnerability")</f>
        <v>Potion of invulnerability</v>
      </c>
      <c r="C366" s="5" t="str">
        <f ca="1">IFERROR(__xludf.DUMMYFUNCTION("""COMPUTED_VALUE"""),"Magic")</f>
        <v>Magic</v>
      </c>
      <c r="D366" s="6">
        <f ca="1">IFERROR(__xludf.DUMMYFUNCTION("""COMPUTED_VALUE"""),928)</f>
        <v>928</v>
      </c>
      <c r="E366" s="7"/>
      <c r="F366" s="7"/>
      <c r="G366" s="7"/>
      <c r="H366" s="7"/>
      <c r="I366" s="7"/>
    </row>
    <row r="367" spans="1:9" ht="13.2">
      <c r="A367" s="5">
        <f ca="1">IFERROR(__xludf.DUMMYFUNCTION("""COMPUTED_VALUE"""),200)</f>
        <v>200</v>
      </c>
      <c r="B367" s="5" t="str">
        <f ca="1">IFERROR(__xludf.DUMMYFUNCTION("""COMPUTED_VALUE"""),"Potion of longevity")</f>
        <v>Potion of longevity</v>
      </c>
      <c r="C367" s="5" t="str">
        <f ca="1">IFERROR(__xludf.DUMMYFUNCTION("""COMPUTED_VALUE"""),"Magic")</f>
        <v>Magic</v>
      </c>
      <c r="D367" s="6">
        <f ca="1">IFERROR(__xludf.DUMMYFUNCTION("""COMPUTED_VALUE"""),1588)</f>
        <v>1588</v>
      </c>
      <c r="E367" s="7"/>
      <c r="F367" s="7"/>
      <c r="G367" s="7"/>
      <c r="H367" s="7"/>
      <c r="I367" s="7"/>
    </row>
    <row r="368" spans="1:9" ht="13.2">
      <c r="A368" s="5">
        <f ca="1">IFERROR(__xludf.DUMMYFUNCTION("""COMPUTED_VALUE"""),201)</f>
        <v>201</v>
      </c>
      <c r="B368" s="5" t="str">
        <f ca="1">IFERROR(__xludf.DUMMYFUNCTION("""COMPUTED_VALUE"""),"Potion of mind reading")</f>
        <v>Potion of mind reading</v>
      </c>
      <c r="C368" s="5" t="str">
        <f ca="1">IFERROR(__xludf.DUMMYFUNCTION("""COMPUTED_VALUE"""),"Magic")</f>
        <v>Magic</v>
      </c>
      <c r="D368" s="6">
        <f ca="1">IFERROR(__xludf.DUMMYFUNCTION("""COMPUTED_VALUE"""),928)</f>
        <v>928</v>
      </c>
      <c r="E368" s="7"/>
      <c r="F368" s="7"/>
      <c r="G368" s="7"/>
      <c r="H368" s="7"/>
      <c r="I368" s="7"/>
    </row>
    <row r="369" spans="1:9" ht="13.2">
      <c r="A369" s="5">
        <f ca="1">IFERROR(__xludf.DUMMYFUNCTION("""COMPUTED_VALUE"""),202)</f>
        <v>202</v>
      </c>
      <c r="B369" s="5" t="str">
        <f ca="1">IFERROR(__xludf.DUMMYFUNCTION("""COMPUTED_VALUE"""),"Potion of poison")</f>
        <v>Potion of poison</v>
      </c>
      <c r="C369" s="5" t="str">
        <f ca="1">IFERROR(__xludf.DUMMYFUNCTION("""COMPUTED_VALUE"""),"Magic")</f>
        <v>Magic</v>
      </c>
      <c r="D369" s="6">
        <f ca="1">IFERROR(__xludf.DUMMYFUNCTION("""COMPUTED_VALUE"""),384)</f>
        <v>384</v>
      </c>
      <c r="E369" s="7"/>
      <c r="F369" s="7"/>
      <c r="G369" s="7"/>
      <c r="H369" s="7"/>
      <c r="I369" s="7"/>
    </row>
    <row r="370" spans="1:9" ht="13.2">
      <c r="A370" s="5">
        <f ca="1">IFERROR(__xludf.DUMMYFUNCTION("""COMPUTED_VALUE"""),203)</f>
        <v>203</v>
      </c>
      <c r="B370" s="5" t="str">
        <f ca="1">IFERROR(__xludf.DUMMYFUNCTION("""COMPUTED_VALUE"""),"Potion of resistance")</f>
        <v>Potion of resistance</v>
      </c>
      <c r="C370" s="5" t="str">
        <f ca="1">IFERROR(__xludf.DUMMYFUNCTION("""COMPUTED_VALUE"""),"Magic")</f>
        <v>Magic</v>
      </c>
      <c r="D370" s="6">
        <f ca="1">IFERROR(__xludf.DUMMYFUNCTION("""COMPUTED_VALUE"""),372)</f>
        <v>372</v>
      </c>
      <c r="E370" s="7"/>
      <c r="F370" s="7"/>
      <c r="G370" s="7"/>
      <c r="H370" s="7"/>
      <c r="I370" s="7"/>
    </row>
    <row r="371" spans="1:9" ht="13.2">
      <c r="A371" s="5">
        <f ca="1">IFERROR(__xludf.DUMMYFUNCTION("""COMPUTED_VALUE"""),204)</f>
        <v>204</v>
      </c>
      <c r="B371" s="5" t="str">
        <f ca="1">IFERROR(__xludf.DUMMYFUNCTION("""COMPUTED_VALUE"""),"Potion of speed")</f>
        <v>Potion of speed</v>
      </c>
      <c r="C371" s="5" t="str">
        <f ca="1">IFERROR(__xludf.DUMMYFUNCTION("""COMPUTED_VALUE"""),"Magic")</f>
        <v>Magic</v>
      </c>
      <c r="D371" s="6">
        <f ca="1">IFERROR(__xludf.DUMMYFUNCTION("""COMPUTED_VALUE"""),1588)</f>
        <v>1588</v>
      </c>
      <c r="E371" s="7"/>
      <c r="F371" s="7"/>
      <c r="G371" s="7"/>
      <c r="H371" s="7"/>
      <c r="I371" s="7"/>
    </row>
    <row r="372" spans="1:9" ht="13.2">
      <c r="A372" s="5">
        <f ca="1">IFERROR(__xludf.DUMMYFUNCTION("""COMPUTED_VALUE"""),205)</f>
        <v>205</v>
      </c>
      <c r="B372" s="5" t="str">
        <f ca="1">IFERROR(__xludf.DUMMYFUNCTION("""COMPUTED_VALUE"""),"Potion of vitality")</f>
        <v>Potion of vitality</v>
      </c>
      <c r="C372" s="5" t="str">
        <f ca="1">IFERROR(__xludf.DUMMYFUNCTION("""COMPUTED_VALUE"""),"Magic")</f>
        <v>Magic</v>
      </c>
      <c r="D372" s="6">
        <f ca="1">IFERROR(__xludf.DUMMYFUNCTION("""COMPUTED_VALUE"""),1568)</f>
        <v>1568</v>
      </c>
      <c r="E372" s="7"/>
      <c r="F372" s="7"/>
      <c r="G372" s="7"/>
      <c r="H372" s="7"/>
      <c r="I372" s="7"/>
    </row>
    <row r="373" spans="1:9" ht="13.2">
      <c r="A373" s="5">
        <f ca="1">IFERROR(__xludf.DUMMYFUNCTION("""COMPUTED_VALUE"""),206)</f>
        <v>206</v>
      </c>
      <c r="B373" s="5" t="str">
        <f ca="1">IFERROR(__xludf.DUMMYFUNCTION("""COMPUTED_VALUE"""),"Potion of water breathing")</f>
        <v>Potion of water breathing</v>
      </c>
      <c r="C373" s="5" t="str">
        <f ca="1">IFERROR(__xludf.DUMMYFUNCTION("""COMPUTED_VALUE"""),"Magic")</f>
        <v>Magic</v>
      </c>
      <c r="D373" s="6">
        <f ca="1">IFERROR(__xludf.DUMMYFUNCTION("""COMPUTED_VALUE"""),386)</f>
        <v>386</v>
      </c>
      <c r="E373" s="7"/>
      <c r="F373" s="7"/>
      <c r="G373" s="7"/>
      <c r="H373" s="7"/>
      <c r="I373" s="7"/>
    </row>
    <row r="374" spans="1:9" ht="13.2">
      <c r="A374" s="5">
        <f ca="1">IFERROR(__xludf.DUMMYFUNCTION("""COMPUTED_VALUE"""),207)</f>
        <v>207</v>
      </c>
      <c r="B374" s="5" t="str">
        <f ca="1">IFERROR(__xludf.DUMMYFUNCTION("""COMPUTED_VALUE"""),"Quaal’s feather token")</f>
        <v>Quaal’s feather token</v>
      </c>
      <c r="C374" s="5" t="str">
        <f ca="1">IFERROR(__xludf.DUMMYFUNCTION("""COMPUTED_VALUE"""),"Magic")</f>
        <v>Magic</v>
      </c>
      <c r="D374" s="6">
        <f ca="1">IFERROR(__xludf.DUMMYFUNCTION("""COMPUTED_VALUE"""),931)</f>
        <v>931</v>
      </c>
      <c r="E374" s="7"/>
      <c r="F374" s="7"/>
      <c r="G374" s="7"/>
      <c r="H374" s="7"/>
      <c r="I374" s="7"/>
    </row>
    <row r="375" spans="1:9" ht="13.2">
      <c r="A375" s="5">
        <f ca="1">IFERROR(__xludf.DUMMYFUNCTION("""COMPUTED_VALUE"""),208)</f>
        <v>208</v>
      </c>
      <c r="B375" s="5" t="str">
        <f ca="1">IFERROR(__xludf.DUMMYFUNCTION("""COMPUTED_VALUE"""),"Quiver of Ehlonna")</f>
        <v>Quiver of Ehlonna</v>
      </c>
      <c r="C375" s="5" t="str">
        <f ca="1">IFERROR(__xludf.DUMMYFUNCTION("""COMPUTED_VALUE"""),"Magic")</f>
        <v>Magic</v>
      </c>
      <c r="D375" s="6">
        <f ca="1">IFERROR(__xludf.DUMMYFUNCTION("""COMPUTED_VALUE"""),386)</f>
        <v>386</v>
      </c>
      <c r="E375" s="7"/>
      <c r="F375" s="7"/>
      <c r="G375" s="7"/>
      <c r="H375" s="7"/>
      <c r="I375" s="7"/>
    </row>
    <row r="376" spans="1:9" ht="13.2">
      <c r="A376" s="5">
        <f ca="1">IFERROR(__xludf.DUMMYFUNCTION("""COMPUTED_VALUE"""),209)</f>
        <v>209</v>
      </c>
      <c r="B376" s="5" t="str">
        <f ca="1">IFERROR(__xludf.DUMMYFUNCTION("""COMPUTED_VALUE"""),"Ring of animal influence")</f>
        <v>Ring of animal influence</v>
      </c>
      <c r="C376" s="5" t="str">
        <f ca="1">IFERROR(__xludf.DUMMYFUNCTION("""COMPUTED_VALUE"""),"Magic")</f>
        <v>Magic</v>
      </c>
      <c r="D376" s="6">
        <f ca="1">IFERROR(__xludf.DUMMYFUNCTION("""COMPUTED_VALUE"""),931)</f>
        <v>931</v>
      </c>
      <c r="E376" s="7"/>
      <c r="F376" s="7"/>
      <c r="G376" s="7"/>
      <c r="H376" s="7"/>
      <c r="I376" s="7"/>
    </row>
    <row r="377" spans="1:9" ht="13.2">
      <c r="A377" s="5">
        <f ca="1">IFERROR(__xludf.DUMMYFUNCTION("""COMPUTED_VALUE"""),210)</f>
        <v>210</v>
      </c>
      <c r="B377" s="5" t="str">
        <f ca="1">IFERROR(__xludf.DUMMYFUNCTION("""COMPUTED_VALUE"""),"Ring of djinni summoning")</f>
        <v>Ring of djinni summoning</v>
      </c>
      <c r="C377" s="5" t="str">
        <f ca="1">IFERROR(__xludf.DUMMYFUNCTION("""COMPUTED_VALUE"""),"Magic")</f>
        <v>Magic</v>
      </c>
      <c r="D377" s="6">
        <f ca="1">IFERROR(__xludf.DUMMYFUNCTION("""COMPUTED_VALUE"""),3065)</f>
        <v>3065</v>
      </c>
      <c r="E377" s="7"/>
      <c r="F377" s="7"/>
      <c r="G377" s="7"/>
      <c r="H377" s="7"/>
      <c r="I377" s="7"/>
    </row>
    <row r="378" spans="1:9" ht="13.2">
      <c r="A378" s="5">
        <f ca="1">IFERROR(__xludf.DUMMYFUNCTION("""COMPUTED_VALUE"""),211)</f>
        <v>211</v>
      </c>
      <c r="B378" s="5" t="str">
        <f ca="1">IFERROR(__xludf.DUMMYFUNCTION("""COMPUTED_VALUE"""),"Ring of elemental command")</f>
        <v>Ring of elemental command</v>
      </c>
      <c r="C378" s="5" t="str">
        <f ca="1">IFERROR(__xludf.DUMMYFUNCTION("""COMPUTED_VALUE"""),"Magic")</f>
        <v>Magic</v>
      </c>
      <c r="D378" s="6">
        <f ca="1">IFERROR(__xludf.DUMMYFUNCTION("""COMPUTED_VALUE"""),3040)</f>
        <v>3040</v>
      </c>
      <c r="E378" s="7"/>
      <c r="F378" s="7"/>
      <c r="G378" s="7"/>
      <c r="H378" s="7"/>
      <c r="I378" s="7"/>
    </row>
    <row r="379" spans="1:9" ht="13.2">
      <c r="A379" s="5">
        <f ca="1">IFERROR(__xludf.DUMMYFUNCTION("""COMPUTED_VALUE"""),212)</f>
        <v>212</v>
      </c>
      <c r="B379" s="5" t="str">
        <f ca="1">IFERROR(__xludf.DUMMYFUNCTION("""COMPUTED_VALUE"""),"Ring of evasion")</f>
        <v>Ring of evasion</v>
      </c>
      <c r="C379" s="5" t="str">
        <f ca="1">IFERROR(__xludf.DUMMYFUNCTION("""COMPUTED_VALUE"""),"Magic")</f>
        <v>Magic</v>
      </c>
      <c r="D379" s="6">
        <f ca="1">IFERROR(__xludf.DUMMYFUNCTION("""COMPUTED_VALUE"""),952)</f>
        <v>952</v>
      </c>
      <c r="E379" s="7"/>
      <c r="F379" s="7"/>
      <c r="G379" s="7"/>
      <c r="H379" s="7"/>
      <c r="I379" s="7"/>
    </row>
    <row r="380" spans="1:9" ht="13.2">
      <c r="A380" s="5">
        <f ca="1">IFERROR(__xludf.DUMMYFUNCTION("""COMPUTED_VALUE"""),213)</f>
        <v>213</v>
      </c>
      <c r="B380" s="5" t="str">
        <f ca="1">IFERROR(__xludf.DUMMYFUNCTION("""COMPUTED_VALUE"""),"Ring of feather falling")</f>
        <v>Ring of feather falling</v>
      </c>
      <c r="C380" s="5" t="str">
        <f ca="1">IFERROR(__xludf.DUMMYFUNCTION("""COMPUTED_VALUE"""),"Magic")</f>
        <v>Magic</v>
      </c>
      <c r="D380" s="6">
        <f ca="1">IFERROR(__xludf.DUMMYFUNCTION("""COMPUTED_VALUE"""),934)</f>
        <v>934</v>
      </c>
      <c r="E380" s="7"/>
      <c r="F380" s="7"/>
      <c r="G380" s="7"/>
      <c r="H380" s="7"/>
      <c r="I380" s="7"/>
    </row>
    <row r="381" spans="1:9" ht="13.2">
      <c r="A381" s="5">
        <f ca="1">IFERROR(__xludf.DUMMYFUNCTION("""COMPUTED_VALUE"""),214)</f>
        <v>214</v>
      </c>
      <c r="B381" s="5" t="str">
        <f ca="1">IFERROR(__xludf.DUMMYFUNCTION("""COMPUTED_VALUE"""),"Ring of free action")</f>
        <v>Ring of free action</v>
      </c>
      <c r="C381" s="5" t="str">
        <f ca="1">IFERROR(__xludf.DUMMYFUNCTION("""COMPUTED_VALUE"""),"Magic")</f>
        <v>Magic</v>
      </c>
      <c r="D381" s="6">
        <f ca="1">IFERROR(__xludf.DUMMYFUNCTION("""COMPUTED_VALUE"""),952)</f>
        <v>952</v>
      </c>
      <c r="E381" s="7"/>
      <c r="F381" s="7"/>
      <c r="G381" s="7"/>
      <c r="H381" s="7"/>
      <c r="I381" s="7"/>
    </row>
    <row r="382" spans="1:9" ht="13.2">
      <c r="A382" s="5">
        <f ca="1">IFERROR(__xludf.DUMMYFUNCTION("""COMPUTED_VALUE"""),215)</f>
        <v>215</v>
      </c>
      <c r="B382" s="5" t="str">
        <f ca="1">IFERROR(__xludf.DUMMYFUNCTION("""COMPUTED_VALUE"""),"Ring of invisibility")</f>
        <v>Ring of invisibility</v>
      </c>
      <c r="C382" s="5" t="str">
        <f ca="1">IFERROR(__xludf.DUMMYFUNCTION("""COMPUTED_VALUE"""),"Magic")</f>
        <v>Magic</v>
      </c>
      <c r="D382" s="6">
        <f ca="1">IFERROR(__xludf.DUMMYFUNCTION("""COMPUTED_VALUE"""),3040)</f>
        <v>3040</v>
      </c>
      <c r="E382" s="7"/>
      <c r="F382" s="7"/>
      <c r="G382" s="7"/>
      <c r="H382" s="7"/>
      <c r="I382" s="7"/>
    </row>
    <row r="383" spans="1:9" ht="13.2">
      <c r="A383" s="5">
        <f ca="1">IFERROR(__xludf.DUMMYFUNCTION("""COMPUTED_VALUE"""),216)</f>
        <v>216</v>
      </c>
      <c r="B383" s="5" t="str">
        <f ca="1">IFERROR(__xludf.DUMMYFUNCTION("""COMPUTED_VALUE"""),"Ring of jumping")</f>
        <v>Ring of jumping</v>
      </c>
      <c r="C383" s="5" t="str">
        <f ca="1">IFERROR(__xludf.DUMMYFUNCTION("""COMPUTED_VALUE"""),"Magic")</f>
        <v>Magic</v>
      </c>
      <c r="D383" s="6">
        <f ca="1">IFERROR(__xludf.DUMMYFUNCTION("""COMPUTED_VALUE"""),388)</f>
        <v>388</v>
      </c>
      <c r="E383" s="7"/>
      <c r="F383" s="7"/>
      <c r="G383" s="7"/>
      <c r="H383" s="7"/>
      <c r="I383" s="7"/>
    </row>
    <row r="384" spans="1:9" ht="13.2">
      <c r="A384" s="5">
        <f ca="1">IFERROR(__xludf.DUMMYFUNCTION("""COMPUTED_VALUE"""),217)</f>
        <v>217</v>
      </c>
      <c r="B384" s="5" t="str">
        <f ca="1">IFERROR(__xludf.DUMMYFUNCTION("""COMPUTED_VALUE"""),"Ring of mind shielding")</f>
        <v>Ring of mind shielding</v>
      </c>
      <c r="C384" s="5" t="str">
        <f ca="1">IFERROR(__xludf.DUMMYFUNCTION("""COMPUTED_VALUE"""),"Magic")</f>
        <v>Magic</v>
      </c>
      <c r="D384" s="6">
        <f ca="1">IFERROR(__xludf.DUMMYFUNCTION("""COMPUTED_VALUE"""),378)</f>
        <v>378</v>
      </c>
      <c r="E384" s="7"/>
      <c r="F384" s="7"/>
      <c r="G384" s="7"/>
      <c r="H384" s="7"/>
      <c r="I384" s="7"/>
    </row>
    <row r="385" spans="1:9" ht="13.2">
      <c r="A385" s="5">
        <f ca="1">IFERROR(__xludf.DUMMYFUNCTION("""COMPUTED_VALUE"""),218)</f>
        <v>218</v>
      </c>
      <c r="B385" s="5" t="str">
        <f ca="1">IFERROR(__xludf.DUMMYFUNCTION("""COMPUTED_VALUE"""),"Ring of protection")</f>
        <v>Ring of protection</v>
      </c>
      <c r="C385" s="5" t="str">
        <f ca="1">IFERROR(__xludf.DUMMYFUNCTION("""COMPUTED_VALUE"""),"Magic")</f>
        <v>Magic</v>
      </c>
      <c r="D385" s="6">
        <f ca="1">IFERROR(__xludf.DUMMYFUNCTION("""COMPUTED_VALUE"""),919)</f>
        <v>919</v>
      </c>
      <c r="E385" s="7"/>
      <c r="F385" s="7"/>
      <c r="G385" s="7"/>
      <c r="H385" s="7"/>
      <c r="I385" s="7"/>
    </row>
    <row r="386" spans="1:9" ht="13.2">
      <c r="A386" s="5">
        <f ca="1">IFERROR(__xludf.DUMMYFUNCTION("""COMPUTED_VALUE"""),219)</f>
        <v>219</v>
      </c>
      <c r="B386" s="5" t="str">
        <f ca="1">IFERROR(__xludf.DUMMYFUNCTION("""COMPUTED_VALUE"""),"Ring of regeneration")</f>
        <v>Ring of regeneration</v>
      </c>
      <c r="C386" s="5" t="str">
        <f ca="1">IFERROR(__xludf.DUMMYFUNCTION("""COMPUTED_VALUE"""),"Magic")</f>
        <v>Magic</v>
      </c>
      <c r="D386" s="6">
        <f ca="1">IFERROR(__xludf.DUMMYFUNCTION("""COMPUTED_VALUE"""),1576)</f>
        <v>1576</v>
      </c>
      <c r="E386" s="7"/>
      <c r="F386" s="7"/>
      <c r="G386" s="7"/>
      <c r="H386" s="7"/>
      <c r="I386" s="7"/>
    </row>
    <row r="387" spans="1:9" ht="13.2">
      <c r="A387" s="5">
        <f ca="1">IFERROR(__xludf.DUMMYFUNCTION("""COMPUTED_VALUE"""),220)</f>
        <v>220</v>
      </c>
      <c r="B387" s="5" t="str">
        <f ca="1">IFERROR(__xludf.DUMMYFUNCTION("""COMPUTED_VALUE"""),"Ring of resistance")</f>
        <v>Ring of resistance</v>
      </c>
      <c r="C387" s="5" t="str">
        <f ca="1">IFERROR(__xludf.DUMMYFUNCTION("""COMPUTED_VALUE"""),"Magic")</f>
        <v>Magic</v>
      </c>
      <c r="D387" s="6">
        <f ca="1">IFERROR(__xludf.DUMMYFUNCTION("""COMPUTED_VALUE"""),919)</f>
        <v>919</v>
      </c>
      <c r="E387" s="7"/>
      <c r="F387" s="7"/>
      <c r="G387" s="7"/>
      <c r="H387" s="7"/>
      <c r="I387" s="7"/>
    </row>
    <row r="388" spans="1:9" ht="13.2">
      <c r="A388" s="5">
        <f ca="1">IFERROR(__xludf.DUMMYFUNCTION("""COMPUTED_VALUE"""),221)</f>
        <v>221</v>
      </c>
      <c r="B388" s="5" t="str">
        <f ca="1">IFERROR(__xludf.DUMMYFUNCTION("""COMPUTED_VALUE"""),"Ring of shooting stars")</f>
        <v>Ring of shooting stars</v>
      </c>
      <c r="C388" s="5" t="str">
        <f ca="1">IFERROR(__xludf.DUMMYFUNCTION("""COMPUTED_VALUE"""),"Magic")</f>
        <v>Magic</v>
      </c>
      <c r="D388" s="6">
        <f ca="1">IFERROR(__xludf.DUMMYFUNCTION("""COMPUTED_VALUE"""),1576)</f>
        <v>1576</v>
      </c>
      <c r="E388" s="7"/>
      <c r="F388" s="7"/>
      <c r="G388" s="7"/>
      <c r="H388" s="7"/>
      <c r="I388" s="7"/>
    </row>
    <row r="389" spans="1:9" ht="13.2">
      <c r="A389" s="5">
        <f ca="1">IFERROR(__xludf.DUMMYFUNCTION("""COMPUTED_VALUE"""),222)</f>
        <v>222</v>
      </c>
      <c r="B389" s="5" t="str">
        <f ca="1">IFERROR(__xludf.DUMMYFUNCTION("""COMPUTED_VALUE"""),"Ring of spell storing")</f>
        <v>Ring of spell storing</v>
      </c>
      <c r="C389" s="5" t="str">
        <f ca="1">IFERROR(__xludf.DUMMYFUNCTION("""COMPUTED_VALUE"""),"Magic")</f>
        <v>Magic</v>
      </c>
      <c r="D389" s="6">
        <f ca="1">IFERROR(__xludf.DUMMYFUNCTION("""COMPUTED_VALUE"""),919)</f>
        <v>919</v>
      </c>
      <c r="E389" s="7"/>
      <c r="F389" s="7"/>
      <c r="G389" s="7"/>
      <c r="H389" s="7"/>
      <c r="I389" s="7"/>
    </row>
    <row r="390" spans="1:9" ht="13.2">
      <c r="A390" s="5">
        <f ca="1">IFERROR(__xludf.DUMMYFUNCTION("""COMPUTED_VALUE"""),223)</f>
        <v>223</v>
      </c>
      <c r="B390" s="5" t="str">
        <f ca="1">IFERROR(__xludf.DUMMYFUNCTION("""COMPUTED_VALUE"""),"Ring of spell turning")</f>
        <v>Ring of spell turning</v>
      </c>
      <c r="C390" s="5" t="str">
        <f ca="1">IFERROR(__xludf.DUMMYFUNCTION("""COMPUTED_VALUE"""),"Magic")</f>
        <v>Magic</v>
      </c>
      <c r="D390" s="6">
        <f ca="1">IFERROR(__xludf.DUMMYFUNCTION("""COMPUTED_VALUE"""),3050)</f>
        <v>3050</v>
      </c>
      <c r="E390" s="7"/>
      <c r="F390" s="7"/>
      <c r="G390" s="7"/>
      <c r="H390" s="7"/>
      <c r="I390" s="7"/>
    </row>
    <row r="391" spans="1:9" ht="13.2">
      <c r="A391" s="5">
        <f ca="1">IFERROR(__xludf.DUMMYFUNCTION("""COMPUTED_VALUE"""),224)</f>
        <v>224</v>
      </c>
      <c r="B391" s="5" t="str">
        <f ca="1">IFERROR(__xludf.DUMMYFUNCTION("""COMPUTED_VALUE"""),"Ring of swimming")</f>
        <v>Ring of swimming</v>
      </c>
      <c r="C391" s="5" t="str">
        <f ca="1">IFERROR(__xludf.DUMMYFUNCTION("""COMPUTED_VALUE"""),"Magic")</f>
        <v>Magic</v>
      </c>
      <c r="D391" s="6">
        <f ca="1">IFERROR(__xludf.DUMMYFUNCTION("""COMPUTED_VALUE"""),368)</f>
        <v>368</v>
      </c>
      <c r="E391" s="7"/>
      <c r="F391" s="7"/>
      <c r="G391" s="7"/>
      <c r="H391" s="7"/>
      <c r="I391" s="7"/>
    </row>
    <row r="392" spans="1:9" ht="13.2">
      <c r="A392" s="5">
        <f ca="1">IFERROR(__xludf.DUMMYFUNCTION("""COMPUTED_VALUE"""),225)</f>
        <v>225</v>
      </c>
      <c r="B392" s="5" t="str">
        <f ca="1">IFERROR(__xludf.DUMMYFUNCTION("""COMPUTED_VALUE"""),"Ring of telekinesis")</f>
        <v>Ring of telekinesis</v>
      </c>
      <c r="C392" s="5" t="str">
        <f ca="1">IFERROR(__xludf.DUMMYFUNCTION("""COMPUTED_VALUE"""),"Magic")</f>
        <v>Magic</v>
      </c>
      <c r="D392" s="6">
        <f ca="1">IFERROR(__xludf.DUMMYFUNCTION("""COMPUTED_VALUE"""),1580)</f>
        <v>1580</v>
      </c>
      <c r="E392" s="7"/>
      <c r="F392" s="7"/>
      <c r="G392" s="7"/>
      <c r="H392" s="7"/>
      <c r="I392" s="7"/>
    </row>
    <row r="393" spans="1:9" ht="13.2">
      <c r="A393" s="5">
        <f ca="1">IFERROR(__xludf.DUMMYFUNCTION("""COMPUTED_VALUE"""),226)</f>
        <v>226</v>
      </c>
      <c r="B393" s="5" t="str">
        <f ca="1">IFERROR(__xludf.DUMMYFUNCTION("""COMPUTED_VALUE"""),"Ring of the ram")</f>
        <v>Ring of the ram</v>
      </c>
      <c r="C393" s="5" t="str">
        <f ca="1">IFERROR(__xludf.DUMMYFUNCTION("""COMPUTED_VALUE"""),"Magic")</f>
        <v>Magic</v>
      </c>
      <c r="D393" s="6">
        <f ca="1">IFERROR(__xludf.DUMMYFUNCTION("""COMPUTED_VALUE"""),922)</f>
        <v>922</v>
      </c>
      <c r="E393" s="7"/>
      <c r="F393" s="7"/>
      <c r="G393" s="7"/>
      <c r="H393" s="7"/>
      <c r="I393" s="7"/>
    </row>
    <row r="394" spans="1:9" ht="13.2">
      <c r="A394" s="5">
        <f ca="1">IFERROR(__xludf.DUMMYFUNCTION("""COMPUTED_VALUE"""),227)</f>
        <v>227</v>
      </c>
      <c r="B394" s="5" t="str">
        <f ca="1">IFERROR(__xludf.DUMMYFUNCTION("""COMPUTED_VALUE"""),"Ring of three wishes")</f>
        <v>Ring of three wishes</v>
      </c>
      <c r="C394" s="5" t="str">
        <f ca="1">IFERROR(__xludf.DUMMYFUNCTION("""COMPUTED_VALUE"""),"Magic")</f>
        <v>Magic</v>
      </c>
      <c r="D394" s="6">
        <f ca="1">IFERROR(__xludf.DUMMYFUNCTION("""COMPUTED_VALUE"""),3050)</f>
        <v>3050</v>
      </c>
      <c r="E394" s="7"/>
      <c r="F394" s="7"/>
      <c r="G394" s="7"/>
      <c r="H394" s="7"/>
      <c r="I394" s="7"/>
    </row>
    <row r="395" spans="1:9" ht="13.2">
      <c r="A395" s="5">
        <f ca="1">IFERROR(__xludf.DUMMYFUNCTION("""COMPUTED_VALUE"""),228)</f>
        <v>228</v>
      </c>
      <c r="B395" s="5" t="str">
        <f ca="1">IFERROR(__xludf.DUMMYFUNCTION("""COMPUTED_VALUE"""),"Ring of warmth")</f>
        <v>Ring of warmth</v>
      </c>
      <c r="C395" s="5" t="str">
        <f ca="1">IFERROR(__xludf.DUMMYFUNCTION("""COMPUTED_VALUE"""),"Magic")</f>
        <v>Magic</v>
      </c>
      <c r="D395" s="6">
        <f ca="1">IFERROR(__xludf.DUMMYFUNCTION("""COMPUTED_VALUE"""),368)</f>
        <v>368</v>
      </c>
      <c r="E395" s="7"/>
      <c r="F395" s="7"/>
      <c r="G395" s="7"/>
      <c r="H395" s="7"/>
      <c r="I395" s="7"/>
    </row>
    <row r="396" spans="1:9" ht="13.2">
      <c r="A396" s="5">
        <f ca="1">IFERROR(__xludf.DUMMYFUNCTION("""COMPUTED_VALUE"""),229)</f>
        <v>229</v>
      </c>
      <c r="B396" s="5" t="str">
        <f ca="1">IFERROR(__xludf.DUMMYFUNCTION("""COMPUTED_VALUE"""),"Ring of water walking")</f>
        <v>Ring of water walking</v>
      </c>
      <c r="C396" s="5" t="str">
        <f ca="1">IFERROR(__xludf.DUMMYFUNCTION("""COMPUTED_VALUE"""),"Magic")</f>
        <v>Magic</v>
      </c>
      <c r="D396" s="6">
        <f ca="1">IFERROR(__xludf.DUMMYFUNCTION("""COMPUTED_VALUE"""),382)</f>
        <v>382</v>
      </c>
      <c r="E396" s="7"/>
      <c r="F396" s="7"/>
      <c r="G396" s="7"/>
      <c r="H396" s="7"/>
      <c r="I396" s="7"/>
    </row>
    <row r="397" spans="1:9" ht="13.2">
      <c r="A397" s="5">
        <f ca="1">IFERROR(__xludf.DUMMYFUNCTION("""COMPUTED_VALUE"""),230)</f>
        <v>230</v>
      </c>
      <c r="B397" s="5" t="str">
        <f ca="1">IFERROR(__xludf.DUMMYFUNCTION("""COMPUTED_VALUE"""),"Ring of x-ray vision")</f>
        <v>Ring of x-ray vision</v>
      </c>
      <c r="C397" s="5" t="str">
        <f ca="1">IFERROR(__xludf.DUMMYFUNCTION("""COMPUTED_VALUE"""),"Magic")</f>
        <v>Magic</v>
      </c>
      <c r="D397" s="6">
        <f ca="1">IFERROR(__xludf.DUMMYFUNCTION("""COMPUTED_VALUE"""),925)</f>
        <v>925</v>
      </c>
      <c r="E397" s="7"/>
      <c r="F397" s="7"/>
      <c r="G397" s="7"/>
      <c r="H397" s="7"/>
      <c r="I397" s="7"/>
    </row>
    <row r="398" spans="1:9" ht="13.2">
      <c r="A398" s="5">
        <f ca="1">IFERROR(__xludf.DUMMYFUNCTION("""COMPUTED_VALUE"""),231)</f>
        <v>231</v>
      </c>
      <c r="B398" s="5" t="str">
        <f ca="1">IFERROR(__xludf.DUMMYFUNCTION("""COMPUTED_VALUE"""),"Robe of eyes")</f>
        <v>Robe of eyes</v>
      </c>
      <c r="C398" s="5" t="str">
        <f ca="1">IFERROR(__xludf.DUMMYFUNCTION("""COMPUTED_VALUE"""),"Magic")</f>
        <v>Magic</v>
      </c>
      <c r="D398" s="6">
        <f ca="1">IFERROR(__xludf.DUMMYFUNCTION("""COMPUTED_VALUE"""),943)</f>
        <v>943</v>
      </c>
      <c r="E398" s="7"/>
      <c r="F398" s="7"/>
      <c r="G398" s="7"/>
      <c r="H398" s="7"/>
      <c r="I398" s="7"/>
    </row>
    <row r="399" spans="1:9" ht="13.2">
      <c r="A399" s="5">
        <f ca="1">IFERROR(__xludf.DUMMYFUNCTION("""COMPUTED_VALUE"""),232)</f>
        <v>232</v>
      </c>
      <c r="B399" s="5" t="str">
        <f ca="1">IFERROR(__xludf.DUMMYFUNCTION("""COMPUTED_VALUE"""),"Robe of scintillating colors")</f>
        <v>Robe of scintillating colors</v>
      </c>
      <c r="C399" s="5" t="str">
        <f ca="1">IFERROR(__xludf.DUMMYFUNCTION("""COMPUTED_VALUE"""),"Magic")</f>
        <v>Magic</v>
      </c>
      <c r="D399" s="6">
        <f ca="1">IFERROR(__xludf.DUMMYFUNCTION("""COMPUTED_VALUE"""),1560)</f>
        <v>1560</v>
      </c>
      <c r="E399" s="7"/>
      <c r="F399" s="7"/>
      <c r="G399" s="7"/>
      <c r="H399" s="7"/>
      <c r="I399" s="7"/>
    </row>
    <row r="400" spans="1:9" ht="13.2">
      <c r="A400" s="5">
        <f ca="1">IFERROR(__xludf.DUMMYFUNCTION("""COMPUTED_VALUE"""),233)</f>
        <v>233</v>
      </c>
      <c r="B400" s="5" t="str">
        <f ca="1">IFERROR(__xludf.DUMMYFUNCTION("""COMPUTED_VALUE"""),"Robe of stars")</f>
        <v>Robe of stars</v>
      </c>
      <c r="C400" s="5" t="str">
        <f ca="1">IFERROR(__xludf.DUMMYFUNCTION("""COMPUTED_VALUE"""),"Magic")</f>
        <v>Magic</v>
      </c>
      <c r="D400" s="6">
        <f ca="1">IFERROR(__xludf.DUMMYFUNCTION("""COMPUTED_VALUE"""),1584)</f>
        <v>1584</v>
      </c>
      <c r="E400" s="7"/>
      <c r="F400" s="7"/>
      <c r="G400" s="7"/>
      <c r="H400" s="7"/>
      <c r="I400" s="7"/>
    </row>
    <row r="401" spans="1:9" ht="13.2">
      <c r="A401" s="5">
        <f ca="1">IFERROR(__xludf.DUMMYFUNCTION("""COMPUTED_VALUE"""),234)</f>
        <v>234</v>
      </c>
      <c r="B401" s="5" t="str">
        <f ca="1">IFERROR(__xludf.DUMMYFUNCTION("""COMPUTED_VALUE"""),"Robe of the archmagi")</f>
        <v>Robe of the archmagi</v>
      </c>
      <c r="C401" s="5" t="str">
        <f ca="1">IFERROR(__xludf.DUMMYFUNCTION("""COMPUTED_VALUE"""),"Magic")</f>
        <v>Magic</v>
      </c>
      <c r="D401" s="6">
        <f ca="1">IFERROR(__xludf.DUMMYFUNCTION("""COMPUTED_VALUE"""),3025)</f>
        <v>3025</v>
      </c>
      <c r="E401" s="7"/>
      <c r="F401" s="7"/>
      <c r="G401" s="7"/>
      <c r="H401" s="7"/>
      <c r="I401" s="7"/>
    </row>
    <row r="402" spans="1:9" ht="13.2">
      <c r="A402" s="5">
        <f ca="1">IFERROR(__xludf.DUMMYFUNCTION("""COMPUTED_VALUE"""),235)</f>
        <v>235</v>
      </c>
      <c r="B402" s="5" t="str">
        <f ca="1">IFERROR(__xludf.DUMMYFUNCTION("""COMPUTED_VALUE"""),"Robe of useful items")</f>
        <v>Robe of useful items</v>
      </c>
      <c r="C402" s="5" t="str">
        <f ca="1">IFERROR(__xludf.DUMMYFUNCTION("""COMPUTED_VALUE"""),"Magic")</f>
        <v>Magic</v>
      </c>
      <c r="D402" s="6">
        <f ca="1">IFERROR(__xludf.DUMMYFUNCTION("""COMPUTED_VALUE"""),384)</f>
        <v>384</v>
      </c>
      <c r="E402" s="7"/>
      <c r="F402" s="7"/>
      <c r="G402" s="7"/>
      <c r="H402" s="7"/>
      <c r="I402" s="7"/>
    </row>
    <row r="403" spans="1:9" ht="13.2">
      <c r="A403" s="5">
        <f ca="1">IFERROR(__xludf.DUMMYFUNCTION("""COMPUTED_VALUE"""),236)</f>
        <v>236</v>
      </c>
      <c r="B403" s="5" t="str">
        <f ca="1">IFERROR(__xludf.DUMMYFUNCTION("""COMPUTED_VALUE"""),"Rod of absorption")</f>
        <v>Rod of absorption</v>
      </c>
      <c r="C403" s="5" t="str">
        <f ca="1">IFERROR(__xludf.DUMMYFUNCTION("""COMPUTED_VALUE"""),"Magic")</f>
        <v>Magic</v>
      </c>
      <c r="D403" s="6">
        <f ca="1">IFERROR(__xludf.DUMMYFUNCTION("""COMPUTED_VALUE"""),1564)</f>
        <v>1564</v>
      </c>
      <c r="E403" s="7"/>
      <c r="F403" s="7"/>
      <c r="G403" s="7"/>
      <c r="H403" s="7"/>
      <c r="I403" s="7"/>
    </row>
    <row r="404" spans="1:9" ht="13.2">
      <c r="A404" s="5">
        <f ca="1">IFERROR(__xludf.DUMMYFUNCTION("""COMPUTED_VALUE"""),237)</f>
        <v>237</v>
      </c>
      <c r="B404" s="5" t="str">
        <f ca="1">IFERROR(__xludf.DUMMYFUNCTION("""COMPUTED_VALUE"""),"Rod of alertness")</f>
        <v>Rod of alertness</v>
      </c>
      <c r="C404" s="5" t="str">
        <f ca="1">IFERROR(__xludf.DUMMYFUNCTION("""COMPUTED_VALUE"""),"Magic")</f>
        <v>Magic</v>
      </c>
      <c r="D404" s="6">
        <f ca="1">IFERROR(__xludf.DUMMYFUNCTION("""COMPUTED_VALUE"""),1588)</f>
        <v>1588</v>
      </c>
      <c r="E404" s="7"/>
      <c r="F404" s="7"/>
      <c r="G404" s="7"/>
      <c r="H404" s="7"/>
      <c r="I404" s="7"/>
    </row>
    <row r="405" spans="1:9" ht="13.2">
      <c r="A405" s="5">
        <f ca="1">IFERROR(__xludf.DUMMYFUNCTION("""COMPUTED_VALUE"""),238)</f>
        <v>238</v>
      </c>
      <c r="B405" s="5" t="str">
        <f ca="1">IFERROR(__xludf.DUMMYFUNCTION("""COMPUTED_VALUE"""),"Rod of lordly might")</f>
        <v>Rod of lordly might</v>
      </c>
      <c r="C405" s="5" t="str">
        <f ca="1">IFERROR(__xludf.DUMMYFUNCTION("""COMPUTED_VALUE"""),"Magic")</f>
        <v>Magic</v>
      </c>
      <c r="D405" s="6">
        <f ca="1">IFERROR(__xludf.DUMMYFUNCTION("""COMPUTED_VALUE"""),3030)</f>
        <v>3030</v>
      </c>
      <c r="E405" s="7"/>
      <c r="F405" s="7"/>
      <c r="G405" s="7"/>
      <c r="H405" s="7"/>
      <c r="I405" s="7"/>
    </row>
    <row r="406" spans="1:9" ht="13.2">
      <c r="A406" s="5">
        <f ca="1">IFERROR(__xludf.DUMMYFUNCTION("""COMPUTED_VALUE"""),239)</f>
        <v>239</v>
      </c>
      <c r="B406" s="5" t="str">
        <f ca="1">IFERROR(__xludf.DUMMYFUNCTION("""COMPUTED_VALUE"""),"Rod of resurrection")</f>
        <v>Rod of resurrection</v>
      </c>
      <c r="C406" s="5" t="str">
        <f ca="1">IFERROR(__xludf.DUMMYFUNCTION("""COMPUTED_VALUE"""),"Magic")</f>
        <v>Magic</v>
      </c>
      <c r="D406" s="6">
        <f ca="1">IFERROR(__xludf.DUMMYFUNCTION("""COMPUTED_VALUE"""),3060)</f>
        <v>3060</v>
      </c>
      <c r="E406" s="7"/>
      <c r="F406" s="7"/>
      <c r="G406" s="7"/>
      <c r="H406" s="7"/>
      <c r="I406" s="7"/>
    </row>
    <row r="407" spans="1:9" ht="13.2">
      <c r="A407" s="5">
        <f ca="1">IFERROR(__xludf.DUMMYFUNCTION("""COMPUTED_VALUE"""),240)</f>
        <v>240</v>
      </c>
      <c r="B407" s="5" t="str">
        <f ca="1">IFERROR(__xludf.DUMMYFUNCTION("""COMPUTED_VALUE"""),"Rod of rulership")</f>
        <v>Rod of rulership</v>
      </c>
      <c r="C407" s="5" t="str">
        <f ca="1">IFERROR(__xludf.DUMMYFUNCTION("""COMPUTED_VALUE"""),"Magic")</f>
        <v>Magic</v>
      </c>
      <c r="D407" s="6">
        <f ca="1">IFERROR(__xludf.DUMMYFUNCTION("""COMPUTED_VALUE"""),928)</f>
        <v>928</v>
      </c>
      <c r="E407" s="7"/>
      <c r="F407" s="7"/>
      <c r="G407" s="7"/>
      <c r="H407" s="7"/>
      <c r="I407" s="7"/>
    </row>
    <row r="408" spans="1:9" ht="13.2">
      <c r="A408" s="5">
        <f ca="1">IFERROR(__xludf.DUMMYFUNCTION("""COMPUTED_VALUE"""),241)</f>
        <v>241</v>
      </c>
      <c r="B408" s="5" t="str">
        <f ca="1">IFERROR(__xludf.DUMMYFUNCTION("""COMPUTED_VALUE"""),"Rod of security")</f>
        <v>Rod of security</v>
      </c>
      <c r="C408" s="5" t="str">
        <f ca="1">IFERROR(__xludf.DUMMYFUNCTION("""COMPUTED_VALUE"""),"Magic")</f>
        <v>Magic</v>
      </c>
      <c r="D408" s="6">
        <f ca="1">IFERROR(__xludf.DUMMYFUNCTION("""COMPUTED_VALUE"""),1592)</f>
        <v>1592</v>
      </c>
      <c r="E408" s="7"/>
      <c r="F408" s="7"/>
      <c r="G408" s="7"/>
      <c r="H408" s="7"/>
      <c r="I408" s="7"/>
    </row>
    <row r="409" spans="1:9" ht="13.2">
      <c r="A409" s="5">
        <f ca="1">IFERROR(__xludf.DUMMYFUNCTION("""COMPUTED_VALUE"""),242)</f>
        <v>242</v>
      </c>
      <c r="B409" s="5" t="str">
        <f ca="1">IFERROR(__xludf.DUMMYFUNCTION("""COMPUTED_VALUE"""),"Rod of the pact keeper +1")</f>
        <v>Rod of the pact keeper +1</v>
      </c>
      <c r="C409" s="5" t="str">
        <f ca="1">IFERROR(__xludf.DUMMYFUNCTION("""COMPUTED_VALUE"""),"Magic")</f>
        <v>Magic</v>
      </c>
      <c r="D409" s="6">
        <f ca="1">IFERROR(__xludf.DUMMYFUNCTION("""COMPUTED_VALUE"""),374)</f>
        <v>374</v>
      </c>
      <c r="E409" s="7"/>
      <c r="F409" s="7"/>
      <c r="G409" s="7"/>
      <c r="H409" s="7"/>
      <c r="I409" s="7"/>
    </row>
    <row r="410" spans="1:9" ht="13.2">
      <c r="A410" s="5">
        <f ca="1">IFERROR(__xludf.DUMMYFUNCTION("""COMPUTED_VALUE"""),243)</f>
        <v>243</v>
      </c>
      <c r="B410" s="5" t="str">
        <f ca="1">IFERROR(__xludf.DUMMYFUNCTION("""COMPUTED_VALUE"""),"Rod of the pact keeper +2")</f>
        <v>Rod of the pact keeper +2</v>
      </c>
      <c r="C410" s="5" t="str">
        <f ca="1">IFERROR(__xludf.DUMMYFUNCTION("""COMPUTED_VALUE"""),"Magic")</f>
        <v>Magic</v>
      </c>
      <c r="D410" s="6">
        <f ca="1">IFERROR(__xludf.DUMMYFUNCTION("""COMPUTED_VALUE"""),949)</f>
        <v>949</v>
      </c>
      <c r="E410" s="7"/>
      <c r="F410" s="7"/>
      <c r="G410" s="7"/>
      <c r="H410" s="7"/>
      <c r="I410" s="7"/>
    </row>
    <row r="411" spans="1:9" ht="13.2">
      <c r="A411" s="5">
        <f ca="1">IFERROR(__xludf.DUMMYFUNCTION("""COMPUTED_VALUE"""),244)</f>
        <v>244</v>
      </c>
      <c r="B411" s="5" t="str">
        <f ca="1">IFERROR(__xludf.DUMMYFUNCTION("""COMPUTED_VALUE"""),"Rod of the pact keeper +3")</f>
        <v>Rod of the pact keeper +3</v>
      </c>
      <c r="C411" s="5" t="str">
        <f ca="1">IFERROR(__xludf.DUMMYFUNCTION("""COMPUTED_VALUE"""),"Magic")</f>
        <v>Magic</v>
      </c>
      <c r="D411" s="6">
        <f ca="1">IFERROR(__xludf.DUMMYFUNCTION("""COMPUTED_VALUE"""),1568)</f>
        <v>1568</v>
      </c>
      <c r="E411" s="7"/>
      <c r="F411" s="7"/>
      <c r="G411" s="7"/>
      <c r="H411" s="7"/>
      <c r="I411" s="7"/>
    </row>
    <row r="412" spans="1:9" ht="13.2">
      <c r="A412" s="5">
        <f ca="1">IFERROR(__xludf.DUMMYFUNCTION("""COMPUTED_VALUE"""),245)</f>
        <v>245</v>
      </c>
      <c r="B412" s="5" t="str">
        <f ca="1">IFERROR(__xludf.DUMMYFUNCTION("""COMPUTED_VALUE"""),"Rope of climbing")</f>
        <v>Rope of climbing</v>
      </c>
      <c r="C412" s="5" t="str">
        <f ca="1">IFERROR(__xludf.DUMMYFUNCTION("""COMPUTED_VALUE"""),"Magic")</f>
        <v>Magic</v>
      </c>
      <c r="D412" s="6">
        <f ca="1">IFERROR(__xludf.DUMMYFUNCTION("""COMPUTED_VALUE"""),386)</f>
        <v>386</v>
      </c>
      <c r="E412" s="7"/>
      <c r="F412" s="7"/>
      <c r="G412" s="7"/>
      <c r="H412" s="7"/>
      <c r="I412" s="7"/>
    </row>
    <row r="413" spans="1:9" ht="13.2">
      <c r="A413" s="5">
        <f ca="1">IFERROR(__xludf.DUMMYFUNCTION("""COMPUTED_VALUE"""),246)</f>
        <v>246</v>
      </c>
      <c r="B413" s="5" t="str">
        <f ca="1">IFERROR(__xludf.DUMMYFUNCTION("""COMPUTED_VALUE"""),"Rope of entanglement")</f>
        <v>Rope of entanglement</v>
      </c>
      <c r="C413" s="5" t="str">
        <f ca="1">IFERROR(__xludf.DUMMYFUNCTION("""COMPUTED_VALUE"""),"Magic")</f>
        <v>Magic</v>
      </c>
      <c r="D413" s="6">
        <f ca="1">IFERROR(__xludf.DUMMYFUNCTION("""COMPUTED_VALUE"""),931)</f>
        <v>931</v>
      </c>
      <c r="E413" s="7"/>
      <c r="F413" s="7"/>
      <c r="G413" s="7"/>
      <c r="H413" s="7"/>
      <c r="I413" s="7"/>
    </row>
    <row r="414" spans="1:9" ht="13.2">
      <c r="A414" s="5">
        <f ca="1">IFERROR(__xludf.DUMMYFUNCTION("""COMPUTED_VALUE"""),247)</f>
        <v>247</v>
      </c>
      <c r="B414" s="5" t="str">
        <f ca="1">IFERROR(__xludf.DUMMYFUNCTION("""COMPUTED_VALUE"""),"Saddle of the cavalier")</f>
        <v>Saddle of the cavalier</v>
      </c>
      <c r="C414" s="5" t="str">
        <f ca="1">IFERROR(__xludf.DUMMYFUNCTION("""COMPUTED_VALUE"""),"Magic")</f>
        <v>Magic</v>
      </c>
      <c r="D414" s="6">
        <f ca="1">IFERROR(__xludf.DUMMYFUNCTION("""COMPUTED_VALUE"""),388)</f>
        <v>388</v>
      </c>
      <c r="E414" s="7"/>
      <c r="F414" s="7"/>
      <c r="G414" s="7"/>
      <c r="H414" s="7"/>
      <c r="I414" s="7"/>
    </row>
    <row r="415" spans="1:9" ht="13.2">
      <c r="A415" s="5">
        <f ca="1">IFERROR(__xludf.DUMMYFUNCTION("""COMPUTED_VALUE"""),248)</f>
        <v>248</v>
      </c>
      <c r="B415" s="5" t="str">
        <f ca="1">IFERROR(__xludf.DUMMYFUNCTION("""COMPUTED_VALUE"""),"Scarab of protection")</f>
        <v>Scarab of protection</v>
      </c>
      <c r="C415" s="5" t="str">
        <f ca="1">IFERROR(__xludf.DUMMYFUNCTION("""COMPUTED_VALUE"""),"Magic")</f>
        <v>Magic</v>
      </c>
      <c r="D415" s="6">
        <f ca="1">IFERROR(__xludf.DUMMYFUNCTION("""COMPUTED_VALUE"""),3040)</f>
        <v>3040</v>
      </c>
      <c r="E415" s="7"/>
      <c r="F415" s="7"/>
      <c r="G415" s="7"/>
      <c r="H415" s="7"/>
      <c r="I415" s="7"/>
    </row>
    <row r="416" spans="1:9" ht="13.2">
      <c r="A416" s="5">
        <f ca="1">IFERROR(__xludf.DUMMYFUNCTION("""COMPUTED_VALUE"""),249)</f>
        <v>249</v>
      </c>
      <c r="B416" s="5" t="str">
        <f ca="1">IFERROR(__xludf.DUMMYFUNCTION("""COMPUTED_VALUE"""),"Scimitar of speed")</f>
        <v>Scimitar of speed</v>
      </c>
      <c r="C416" s="5" t="str">
        <f ca="1">IFERROR(__xludf.DUMMYFUNCTION("""COMPUTED_VALUE"""),"Magic")</f>
        <v>Magic</v>
      </c>
      <c r="D416" s="6">
        <f ca="1">IFERROR(__xludf.DUMMYFUNCTION("""COMPUTED_VALUE"""),1596)</f>
        <v>1596</v>
      </c>
      <c r="E416" s="7"/>
      <c r="F416" s="7"/>
      <c r="G416" s="7"/>
      <c r="H416" s="7"/>
      <c r="I416" s="7"/>
    </row>
    <row r="417" spans="1:9" ht="13.2">
      <c r="A417" s="5">
        <f ca="1">IFERROR(__xludf.DUMMYFUNCTION("""COMPUTED_VALUE"""),250)</f>
        <v>250</v>
      </c>
      <c r="B417" s="5" t="str">
        <f ca="1">IFERROR(__xludf.DUMMYFUNCTION("""COMPUTED_VALUE"""),"Scroll of protection")</f>
        <v>Scroll of protection</v>
      </c>
      <c r="C417" s="5" t="str">
        <f ca="1">IFERROR(__xludf.DUMMYFUNCTION("""COMPUTED_VALUE"""),"Magic")</f>
        <v>Magic</v>
      </c>
      <c r="D417" s="6">
        <f ca="1">IFERROR(__xludf.DUMMYFUNCTION("""COMPUTED_VALUE"""),934)</f>
        <v>934</v>
      </c>
      <c r="E417" s="7"/>
      <c r="F417" s="7"/>
      <c r="G417" s="7"/>
      <c r="H417" s="7"/>
      <c r="I417" s="7"/>
    </row>
    <row r="418" spans="1:9" ht="13.2">
      <c r="A418" s="5">
        <f ca="1">IFERROR(__xludf.DUMMYFUNCTION("""COMPUTED_VALUE"""),251)</f>
        <v>251</v>
      </c>
      <c r="B418" s="5" t="str">
        <f ca="1">IFERROR(__xludf.DUMMYFUNCTION("""COMPUTED_VALUE"""),"Sending stones")</f>
        <v>Sending stones</v>
      </c>
      <c r="C418" s="5" t="str">
        <f ca="1">IFERROR(__xludf.DUMMYFUNCTION("""COMPUTED_VALUE"""),"Magic")</f>
        <v>Magic</v>
      </c>
      <c r="D418" s="6">
        <f ca="1">IFERROR(__xludf.DUMMYFUNCTION("""COMPUTED_VALUE"""),388)</f>
        <v>388</v>
      </c>
      <c r="E418" s="7"/>
      <c r="F418" s="7"/>
      <c r="G418" s="7"/>
      <c r="H418" s="7"/>
      <c r="I418" s="7"/>
    </row>
    <row r="419" spans="1:9" ht="13.2">
      <c r="A419" s="5">
        <f ca="1">IFERROR(__xludf.DUMMYFUNCTION("""COMPUTED_VALUE"""),252)</f>
        <v>252</v>
      </c>
      <c r="B419" s="5" t="str">
        <f ca="1">IFERROR(__xludf.DUMMYFUNCTION("""COMPUTED_VALUE"""),"Sentinel shield")</f>
        <v>Sentinel shield</v>
      </c>
      <c r="C419" s="5" t="str">
        <f ca="1">IFERROR(__xludf.DUMMYFUNCTION("""COMPUTED_VALUE"""),"Magic")</f>
        <v>Magic</v>
      </c>
      <c r="D419" s="6">
        <f ca="1">IFERROR(__xludf.DUMMYFUNCTION("""COMPUTED_VALUE"""),376)</f>
        <v>376</v>
      </c>
      <c r="E419" s="7"/>
      <c r="F419" s="7"/>
      <c r="G419" s="7"/>
      <c r="H419" s="7"/>
      <c r="I419" s="7"/>
    </row>
    <row r="420" spans="1:9" ht="13.2">
      <c r="A420" s="5">
        <f ca="1">IFERROR(__xludf.DUMMYFUNCTION("""COMPUTED_VALUE"""),253)</f>
        <v>253</v>
      </c>
      <c r="B420" s="5" t="str">
        <f ca="1">IFERROR(__xludf.DUMMYFUNCTION("""COMPUTED_VALUE"""),"Shield +1")</f>
        <v>Shield +1</v>
      </c>
      <c r="C420" s="5" t="str">
        <f ca="1">IFERROR(__xludf.DUMMYFUNCTION("""COMPUTED_VALUE"""),"Magic")</f>
        <v>Magic</v>
      </c>
      <c r="D420" s="6">
        <f ca="1">IFERROR(__xludf.DUMMYFUNCTION("""COMPUTED_VALUE"""),366)</f>
        <v>366</v>
      </c>
      <c r="E420" s="7"/>
      <c r="F420" s="7"/>
      <c r="G420" s="7"/>
      <c r="H420" s="7"/>
      <c r="I420" s="7"/>
    </row>
    <row r="421" spans="1:9" ht="13.2">
      <c r="A421" s="5">
        <f ca="1">IFERROR(__xludf.DUMMYFUNCTION("""COMPUTED_VALUE"""),254)</f>
        <v>254</v>
      </c>
      <c r="B421" s="5" t="str">
        <f ca="1">IFERROR(__xludf.DUMMYFUNCTION("""COMPUTED_VALUE"""),"Shield +2")</f>
        <v>Shield +2</v>
      </c>
      <c r="C421" s="5" t="str">
        <f ca="1">IFERROR(__xludf.DUMMYFUNCTION("""COMPUTED_VALUE"""),"Magic")</f>
        <v>Magic</v>
      </c>
      <c r="D421" s="6">
        <f ca="1">IFERROR(__xludf.DUMMYFUNCTION("""COMPUTED_VALUE"""),937)</f>
        <v>937</v>
      </c>
      <c r="E421" s="7"/>
      <c r="F421" s="7"/>
      <c r="G421" s="7"/>
      <c r="H421" s="7"/>
      <c r="I421" s="7"/>
    </row>
    <row r="422" spans="1:9" ht="13.2">
      <c r="A422" s="5">
        <f ca="1">IFERROR(__xludf.DUMMYFUNCTION("""COMPUTED_VALUE"""),255)</f>
        <v>255</v>
      </c>
      <c r="B422" s="5" t="str">
        <f ca="1">IFERROR(__xludf.DUMMYFUNCTION("""COMPUTED_VALUE"""),"Shield +3")</f>
        <v>Shield +3</v>
      </c>
      <c r="C422" s="5" t="str">
        <f ca="1">IFERROR(__xludf.DUMMYFUNCTION("""COMPUTED_VALUE"""),"Magic")</f>
        <v>Magic</v>
      </c>
      <c r="D422" s="6">
        <f ca="1">IFERROR(__xludf.DUMMYFUNCTION("""COMPUTED_VALUE"""),1552)</f>
        <v>1552</v>
      </c>
      <c r="E422" s="7"/>
      <c r="F422" s="7"/>
      <c r="G422" s="7"/>
      <c r="H422" s="7"/>
      <c r="I422" s="7"/>
    </row>
    <row r="423" spans="1:9" ht="13.2">
      <c r="A423" s="5">
        <f ca="1">IFERROR(__xludf.DUMMYFUNCTION("""COMPUTED_VALUE"""),256)</f>
        <v>256</v>
      </c>
      <c r="B423" s="5" t="str">
        <f ca="1">IFERROR(__xludf.DUMMYFUNCTION("""COMPUTED_VALUE"""),"Shield of missile attraction")</f>
        <v>Shield of missile attraction</v>
      </c>
      <c r="C423" s="5" t="str">
        <f ca="1">IFERROR(__xludf.DUMMYFUNCTION("""COMPUTED_VALUE"""),"Magic")</f>
        <v>Magic</v>
      </c>
      <c r="D423" s="6">
        <f ca="1">IFERROR(__xludf.DUMMYFUNCTION("""COMPUTED_VALUE"""),937)</f>
        <v>937</v>
      </c>
      <c r="E423" s="7"/>
      <c r="F423" s="7"/>
      <c r="G423" s="7"/>
      <c r="H423" s="7"/>
      <c r="I423" s="7"/>
    </row>
    <row r="424" spans="1:9" ht="13.2">
      <c r="A424" s="5">
        <f ca="1">IFERROR(__xludf.DUMMYFUNCTION("""COMPUTED_VALUE"""),257)</f>
        <v>257</v>
      </c>
      <c r="B424" s="5" t="str">
        <f ca="1">IFERROR(__xludf.DUMMYFUNCTION("""COMPUTED_VALUE"""),"Slippers of spider climbing")</f>
        <v>Slippers of spider climbing</v>
      </c>
      <c r="C424" s="5" t="str">
        <f ca="1">IFERROR(__xludf.DUMMYFUNCTION("""COMPUTED_VALUE"""),"Magic")</f>
        <v>Magic</v>
      </c>
      <c r="D424" s="6">
        <f ca="1">IFERROR(__xludf.DUMMYFUNCTION("""COMPUTED_VALUE"""),366)</f>
        <v>366</v>
      </c>
      <c r="E424" s="7"/>
      <c r="F424" s="7"/>
      <c r="G424" s="7"/>
      <c r="H424" s="7"/>
      <c r="I424" s="7"/>
    </row>
    <row r="425" spans="1:9" ht="13.2">
      <c r="A425" s="5">
        <f ca="1">IFERROR(__xludf.DUMMYFUNCTION("""COMPUTED_VALUE"""),258)</f>
        <v>258</v>
      </c>
      <c r="B425" s="5" t="str">
        <f ca="1">IFERROR(__xludf.DUMMYFUNCTION("""COMPUTED_VALUE"""),"Sovereign glue")</f>
        <v>Sovereign glue</v>
      </c>
      <c r="C425" s="5" t="str">
        <f ca="1">IFERROR(__xludf.DUMMYFUNCTION("""COMPUTED_VALUE"""),"Magic")</f>
        <v>Magic</v>
      </c>
      <c r="D425" s="6">
        <f ca="1">IFERROR(__xludf.DUMMYFUNCTION("""COMPUTED_VALUE"""),3045)</f>
        <v>3045</v>
      </c>
      <c r="E425" s="7"/>
      <c r="F425" s="7"/>
      <c r="G425" s="7"/>
      <c r="H425" s="7"/>
      <c r="I425" s="7"/>
    </row>
    <row r="426" spans="1:9" ht="13.2">
      <c r="A426" s="5">
        <f ca="1">IFERROR(__xludf.DUMMYFUNCTION("""COMPUTED_VALUE"""),259)</f>
        <v>259</v>
      </c>
      <c r="B426" s="5" t="str">
        <f ca="1">IFERROR(__xludf.DUMMYFUNCTION("""COMPUTED_VALUE"""),"Spell scroll (1st level)")</f>
        <v>Spell scroll (1st level)</v>
      </c>
      <c r="C426" s="5" t="str">
        <f ca="1">IFERROR(__xludf.DUMMYFUNCTION("""COMPUTED_VALUE"""),"Magic")</f>
        <v>Magic</v>
      </c>
      <c r="D426" s="6">
        <f ca="1">IFERROR(__xludf.DUMMYFUNCTION("""COMPUTED_VALUE"""),114)</f>
        <v>114</v>
      </c>
      <c r="E426" s="7"/>
      <c r="F426" s="7"/>
      <c r="G426" s="7"/>
      <c r="H426" s="7"/>
      <c r="I426" s="7"/>
    </row>
    <row r="427" spans="1:9" ht="13.2">
      <c r="A427" s="5">
        <f ca="1">IFERROR(__xludf.DUMMYFUNCTION("""COMPUTED_VALUE"""),260)</f>
        <v>260</v>
      </c>
      <c r="B427" s="5" t="str">
        <f ca="1">IFERROR(__xludf.DUMMYFUNCTION("""COMPUTED_VALUE"""),"Spell scroll (2nd level)")</f>
        <v>Spell scroll (2nd level)</v>
      </c>
      <c r="C427" s="5" t="str">
        <f ca="1">IFERROR(__xludf.DUMMYFUNCTION("""COMPUTED_VALUE"""),"Magic")</f>
        <v>Magic</v>
      </c>
      <c r="D427" s="6">
        <f ca="1">IFERROR(__xludf.DUMMYFUNCTION("""COMPUTED_VALUE"""),380)</f>
        <v>380</v>
      </c>
      <c r="E427" s="7"/>
      <c r="F427" s="7"/>
      <c r="G427" s="7"/>
      <c r="H427" s="7"/>
      <c r="I427" s="7"/>
    </row>
    <row r="428" spans="1:9" ht="13.2">
      <c r="A428" s="5">
        <f ca="1">IFERROR(__xludf.DUMMYFUNCTION("""COMPUTED_VALUE"""),261)</f>
        <v>261</v>
      </c>
      <c r="B428" s="5" t="str">
        <f ca="1">IFERROR(__xludf.DUMMYFUNCTION("""COMPUTED_VALUE"""),"Spell scroll (3rd level)")</f>
        <v>Spell scroll (3rd level)</v>
      </c>
      <c r="C428" s="5" t="str">
        <f ca="1">IFERROR(__xludf.DUMMYFUNCTION("""COMPUTED_VALUE"""),"Magic")</f>
        <v>Magic</v>
      </c>
      <c r="D428" s="6">
        <f ca="1">IFERROR(__xludf.DUMMYFUNCTION("""COMPUTED_VALUE"""),368)</f>
        <v>368</v>
      </c>
      <c r="E428" s="7"/>
      <c r="F428" s="7"/>
      <c r="G428" s="7"/>
      <c r="H428" s="7"/>
      <c r="I428" s="7"/>
    </row>
    <row r="429" spans="1:9" ht="13.2">
      <c r="A429" s="5">
        <f ca="1">IFERROR(__xludf.DUMMYFUNCTION("""COMPUTED_VALUE"""),262)</f>
        <v>262</v>
      </c>
      <c r="B429" s="5" t="str">
        <f ca="1">IFERROR(__xludf.DUMMYFUNCTION("""COMPUTED_VALUE"""),"Spell scroll (4th level)")</f>
        <v>Spell scroll (4th level)</v>
      </c>
      <c r="C429" s="5" t="str">
        <f ca="1">IFERROR(__xludf.DUMMYFUNCTION("""COMPUTED_VALUE"""),"Magic")</f>
        <v>Magic</v>
      </c>
      <c r="D429" s="6">
        <f ca="1">IFERROR(__xludf.DUMMYFUNCTION("""COMPUTED_VALUE"""),940)</f>
        <v>940</v>
      </c>
      <c r="E429" s="7"/>
      <c r="F429" s="7"/>
      <c r="G429" s="7"/>
      <c r="H429" s="7"/>
      <c r="I429" s="7"/>
    </row>
    <row r="430" spans="1:9" ht="13.2">
      <c r="A430" s="5">
        <f ca="1">IFERROR(__xludf.DUMMYFUNCTION("""COMPUTED_VALUE"""),263)</f>
        <v>263</v>
      </c>
      <c r="B430" s="5" t="str">
        <f ca="1">IFERROR(__xludf.DUMMYFUNCTION("""COMPUTED_VALUE"""),"Spell scroll (5th level)")</f>
        <v>Spell scroll (5th level)</v>
      </c>
      <c r="C430" s="5" t="str">
        <f ca="1">IFERROR(__xludf.DUMMYFUNCTION("""COMPUTED_VALUE"""),"Magic")</f>
        <v>Magic</v>
      </c>
      <c r="D430" s="6">
        <f ca="1">IFERROR(__xludf.DUMMYFUNCTION("""COMPUTED_VALUE"""),922)</f>
        <v>922</v>
      </c>
      <c r="E430" s="7"/>
      <c r="F430" s="7"/>
      <c r="G430" s="7"/>
      <c r="H430" s="7"/>
      <c r="I430" s="7"/>
    </row>
    <row r="431" spans="1:9" ht="13.2">
      <c r="A431" s="5">
        <f ca="1">IFERROR(__xludf.DUMMYFUNCTION("""COMPUTED_VALUE"""),264)</f>
        <v>264</v>
      </c>
      <c r="B431" s="5" t="str">
        <f ca="1">IFERROR(__xludf.DUMMYFUNCTION("""COMPUTED_VALUE"""),"Spell scroll (6th level)")</f>
        <v>Spell scroll (6th level)</v>
      </c>
      <c r="C431" s="5" t="str">
        <f ca="1">IFERROR(__xludf.DUMMYFUNCTION("""COMPUTED_VALUE"""),"Magic")</f>
        <v>Magic</v>
      </c>
      <c r="D431" s="6">
        <f ca="1">IFERROR(__xludf.DUMMYFUNCTION("""COMPUTED_VALUE"""),1580)</f>
        <v>1580</v>
      </c>
      <c r="E431" s="7"/>
      <c r="F431" s="7"/>
      <c r="G431" s="7"/>
      <c r="H431" s="7"/>
      <c r="I431" s="7"/>
    </row>
    <row r="432" spans="1:9" ht="13.2">
      <c r="A432" s="5">
        <f ca="1">IFERROR(__xludf.DUMMYFUNCTION("""COMPUTED_VALUE"""),265)</f>
        <v>265</v>
      </c>
      <c r="B432" s="5" t="str">
        <f ca="1">IFERROR(__xludf.DUMMYFUNCTION("""COMPUTED_VALUE"""),"Spell scroll (7th level)")</f>
        <v>Spell scroll (7th level)</v>
      </c>
      <c r="C432" s="5" t="str">
        <f ca="1">IFERROR(__xludf.DUMMYFUNCTION("""COMPUTED_VALUE"""),"Magic")</f>
        <v>Magic</v>
      </c>
      <c r="D432" s="6">
        <f ca="1">IFERROR(__xludf.DUMMYFUNCTION("""COMPUTED_VALUE"""),1560)</f>
        <v>1560</v>
      </c>
      <c r="E432" s="7"/>
      <c r="F432" s="7"/>
      <c r="G432" s="7"/>
      <c r="H432" s="7"/>
      <c r="I432" s="7"/>
    </row>
    <row r="433" spans="1:9" ht="13.2">
      <c r="A433" s="5">
        <f ca="1">IFERROR(__xludf.DUMMYFUNCTION("""COMPUTED_VALUE"""),266)</f>
        <v>266</v>
      </c>
      <c r="B433" s="5" t="str">
        <f ca="1">IFERROR(__xludf.DUMMYFUNCTION("""COMPUTED_VALUE"""),"Spell scroll (8th level)")</f>
        <v>Spell scroll (8th level)</v>
      </c>
      <c r="C433" s="5" t="str">
        <f ca="1">IFERROR(__xludf.DUMMYFUNCTION("""COMPUTED_VALUE"""),"Magic")</f>
        <v>Magic</v>
      </c>
      <c r="D433" s="6">
        <f ca="1">IFERROR(__xludf.DUMMYFUNCTION("""COMPUTED_VALUE"""),1584)</f>
        <v>1584</v>
      </c>
      <c r="E433" s="7"/>
      <c r="F433" s="7"/>
      <c r="G433" s="7"/>
      <c r="H433" s="7"/>
      <c r="I433" s="7"/>
    </row>
    <row r="434" spans="1:9" ht="13.2">
      <c r="A434" s="5">
        <f ca="1">IFERROR(__xludf.DUMMYFUNCTION("""COMPUTED_VALUE"""),267)</f>
        <v>267</v>
      </c>
      <c r="B434" s="5" t="str">
        <f ca="1">IFERROR(__xludf.DUMMYFUNCTION("""COMPUTED_VALUE"""),"Spell scroll (9th level)")</f>
        <v>Spell scroll (9th level)</v>
      </c>
      <c r="C434" s="5" t="str">
        <f ca="1">IFERROR(__xludf.DUMMYFUNCTION("""COMPUTED_VALUE"""),"Magic")</f>
        <v>Magic</v>
      </c>
      <c r="D434" s="6">
        <f ca="1">IFERROR(__xludf.DUMMYFUNCTION("""COMPUTED_VALUE"""),3025)</f>
        <v>3025</v>
      </c>
      <c r="E434" s="7"/>
      <c r="F434" s="7"/>
      <c r="G434" s="7"/>
      <c r="H434" s="7"/>
      <c r="I434" s="7"/>
    </row>
    <row r="435" spans="1:9" ht="13.2">
      <c r="A435" s="5">
        <f ca="1">IFERROR(__xludf.DUMMYFUNCTION("""COMPUTED_VALUE"""),268)</f>
        <v>268</v>
      </c>
      <c r="B435" s="5" t="str">
        <f ca="1">IFERROR(__xludf.DUMMYFUNCTION("""COMPUTED_VALUE"""),"Spell scroll (cantrip)")</f>
        <v>Spell scroll (cantrip)</v>
      </c>
      <c r="C435" s="5" t="str">
        <f ca="1">IFERROR(__xludf.DUMMYFUNCTION("""COMPUTED_VALUE"""),"Magic")</f>
        <v>Magic</v>
      </c>
      <c r="D435" s="6">
        <f ca="1">IFERROR(__xludf.DUMMYFUNCTION("""COMPUTED_VALUE"""),121)</f>
        <v>121</v>
      </c>
      <c r="E435" s="7"/>
      <c r="F435" s="7"/>
      <c r="G435" s="7"/>
      <c r="H435" s="7"/>
      <c r="I435" s="7"/>
    </row>
    <row r="436" spans="1:9" ht="13.2">
      <c r="A436" s="5">
        <f ca="1">IFERROR(__xludf.DUMMYFUNCTION("""COMPUTED_VALUE"""),269)</f>
        <v>269</v>
      </c>
      <c r="B436" s="5" t="str">
        <f ca="1">IFERROR(__xludf.DUMMYFUNCTION("""COMPUTED_VALUE"""),"Spellguard shield")</f>
        <v>Spellguard shield</v>
      </c>
      <c r="C436" s="5" t="str">
        <f ca="1">IFERROR(__xludf.DUMMYFUNCTION("""COMPUTED_VALUE"""),"Magic")</f>
        <v>Magic</v>
      </c>
      <c r="D436" s="6">
        <f ca="1">IFERROR(__xludf.DUMMYFUNCTION("""COMPUTED_VALUE"""),1560)</f>
        <v>1560</v>
      </c>
      <c r="E436" s="7"/>
      <c r="F436" s="7"/>
      <c r="G436" s="7"/>
      <c r="H436" s="7"/>
      <c r="I436" s="7"/>
    </row>
    <row r="437" spans="1:9" ht="13.2">
      <c r="A437" s="5">
        <f ca="1">IFERROR(__xludf.DUMMYFUNCTION("""COMPUTED_VALUE"""),270)</f>
        <v>270</v>
      </c>
      <c r="B437" s="5" t="str">
        <f ca="1">IFERROR(__xludf.DUMMYFUNCTION("""COMPUTED_VALUE"""),"Sphere of annihilation")</f>
        <v>Sphere of annihilation</v>
      </c>
      <c r="C437" s="5" t="str">
        <f ca="1">IFERROR(__xludf.DUMMYFUNCTION("""COMPUTED_VALUE"""),"Magic")</f>
        <v>Magic</v>
      </c>
      <c r="D437" s="6">
        <f ca="1">IFERROR(__xludf.DUMMYFUNCTION("""COMPUTED_VALUE"""),3055)</f>
        <v>3055</v>
      </c>
      <c r="E437" s="7"/>
      <c r="F437" s="7"/>
      <c r="G437" s="7"/>
      <c r="H437" s="7"/>
      <c r="I437" s="7"/>
    </row>
    <row r="438" spans="1:9" ht="13.2">
      <c r="A438" s="5">
        <f ca="1">IFERROR(__xludf.DUMMYFUNCTION("""COMPUTED_VALUE"""),271)</f>
        <v>271</v>
      </c>
      <c r="B438" s="5" t="str">
        <f ca="1">IFERROR(__xludf.DUMMYFUNCTION("""COMPUTED_VALUE"""),"Staff of charming")</f>
        <v>Staff of charming</v>
      </c>
      <c r="C438" s="5" t="str">
        <f ca="1">IFERROR(__xludf.DUMMYFUNCTION("""COMPUTED_VALUE"""),"Magic")</f>
        <v>Magic</v>
      </c>
      <c r="D438" s="6">
        <f ca="1">IFERROR(__xludf.DUMMYFUNCTION("""COMPUTED_VALUE"""),928)</f>
        <v>928</v>
      </c>
      <c r="E438" s="7"/>
      <c r="F438" s="7"/>
      <c r="G438" s="7"/>
      <c r="H438" s="7"/>
      <c r="I438" s="7"/>
    </row>
    <row r="439" spans="1:9" ht="13.2">
      <c r="A439" s="5">
        <f ca="1">IFERROR(__xludf.DUMMYFUNCTION("""COMPUTED_VALUE"""),272)</f>
        <v>272</v>
      </c>
      <c r="B439" s="5" t="str">
        <f ca="1">IFERROR(__xludf.DUMMYFUNCTION("""COMPUTED_VALUE"""),"Staff of fire")</f>
        <v>Staff of fire</v>
      </c>
      <c r="C439" s="5" t="str">
        <f ca="1">IFERROR(__xludf.DUMMYFUNCTION("""COMPUTED_VALUE"""),"Magic")</f>
        <v>Magic</v>
      </c>
      <c r="D439" s="6">
        <f ca="1">IFERROR(__xludf.DUMMYFUNCTION("""COMPUTED_VALUE"""),1588)</f>
        <v>1588</v>
      </c>
      <c r="E439" s="7"/>
      <c r="F439" s="7"/>
      <c r="G439" s="7"/>
      <c r="H439" s="7"/>
      <c r="I439" s="7"/>
    </row>
    <row r="440" spans="1:9" ht="13.2">
      <c r="A440" s="5">
        <f ca="1">IFERROR(__xludf.DUMMYFUNCTION("""COMPUTED_VALUE"""),273)</f>
        <v>273</v>
      </c>
      <c r="B440" s="5" t="str">
        <f ca="1">IFERROR(__xludf.DUMMYFUNCTION("""COMPUTED_VALUE"""),"Staff of frost")</f>
        <v>Staff of frost</v>
      </c>
      <c r="C440" s="5" t="str">
        <f ca="1">IFERROR(__xludf.DUMMYFUNCTION("""COMPUTED_VALUE"""),"Magic")</f>
        <v>Magic</v>
      </c>
      <c r="D440" s="6">
        <f ca="1">IFERROR(__xludf.DUMMYFUNCTION("""COMPUTED_VALUE"""),1564)</f>
        <v>1564</v>
      </c>
      <c r="E440" s="7"/>
      <c r="F440" s="7"/>
      <c r="G440" s="7"/>
      <c r="H440" s="7"/>
      <c r="I440" s="7"/>
    </row>
    <row r="441" spans="1:9" ht="13.2">
      <c r="A441" s="5">
        <f ca="1">IFERROR(__xludf.DUMMYFUNCTION("""COMPUTED_VALUE"""),274)</f>
        <v>274</v>
      </c>
      <c r="B441" s="5" t="str">
        <f ca="1">IFERROR(__xludf.DUMMYFUNCTION("""COMPUTED_VALUE"""),"Staff of healing")</f>
        <v>Staff of healing</v>
      </c>
      <c r="C441" s="5" t="str">
        <f ca="1">IFERROR(__xludf.DUMMYFUNCTION("""COMPUTED_VALUE"""),"Magic")</f>
        <v>Magic</v>
      </c>
      <c r="D441" s="6">
        <f ca="1">IFERROR(__xludf.DUMMYFUNCTION("""COMPUTED_VALUE"""),946)</f>
        <v>946</v>
      </c>
      <c r="E441" s="7"/>
      <c r="F441" s="7"/>
      <c r="G441" s="7"/>
      <c r="H441" s="7"/>
      <c r="I441" s="7"/>
    </row>
    <row r="442" spans="1:9" ht="13.2">
      <c r="A442" s="5">
        <f ca="1">IFERROR(__xludf.DUMMYFUNCTION("""COMPUTED_VALUE"""),275)</f>
        <v>275</v>
      </c>
      <c r="B442" s="5" t="str">
        <f ca="1">IFERROR(__xludf.DUMMYFUNCTION("""COMPUTED_VALUE"""),"Staff of power")</f>
        <v>Staff of power</v>
      </c>
      <c r="C442" s="5" t="str">
        <f ca="1">IFERROR(__xludf.DUMMYFUNCTION("""COMPUTED_VALUE"""),"Magic")</f>
        <v>Magic</v>
      </c>
      <c r="D442" s="6">
        <f ca="1">IFERROR(__xludf.DUMMYFUNCTION("""COMPUTED_VALUE"""),1564)</f>
        <v>1564</v>
      </c>
      <c r="E442" s="7"/>
      <c r="F442" s="7"/>
      <c r="G442" s="7"/>
      <c r="H442" s="7"/>
      <c r="I442" s="7"/>
    </row>
    <row r="443" spans="1:9" ht="13.2">
      <c r="A443" s="5">
        <f ca="1">IFERROR(__xludf.DUMMYFUNCTION("""COMPUTED_VALUE"""),276)</f>
        <v>276</v>
      </c>
      <c r="B443" s="5" t="str">
        <f ca="1">IFERROR(__xludf.DUMMYFUNCTION("""COMPUTED_VALUE"""),"Staff of striking")</f>
        <v>Staff of striking</v>
      </c>
      <c r="C443" s="5" t="str">
        <f ca="1">IFERROR(__xludf.DUMMYFUNCTION("""COMPUTED_VALUE"""),"Magic")</f>
        <v>Magic</v>
      </c>
      <c r="D443" s="6">
        <f ca="1">IFERROR(__xludf.DUMMYFUNCTION("""COMPUTED_VALUE"""),1588)</f>
        <v>1588</v>
      </c>
      <c r="E443" s="7"/>
      <c r="F443" s="7"/>
      <c r="G443" s="7"/>
      <c r="H443" s="7"/>
      <c r="I443" s="7"/>
    </row>
    <row r="444" spans="1:9" ht="13.2">
      <c r="A444" s="5">
        <f ca="1">IFERROR(__xludf.DUMMYFUNCTION("""COMPUTED_VALUE"""),277)</f>
        <v>277</v>
      </c>
      <c r="B444" s="5" t="str">
        <f ca="1">IFERROR(__xludf.DUMMYFUNCTION("""COMPUTED_VALUE"""),"Staff of swarming insects")</f>
        <v>Staff of swarming insects</v>
      </c>
      <c r="C444" s="5" t="str">
        <f ca="1">IFERROR(__xludf.DUMMYFUNCTION("""COMPUTED_VALUE"""),"Magic")</f>
        <v>Magic</v>
      </c>
      <c r="D444" s="6">
        <f ca="1">IFERROR(__xludf.DUMMYFUNCTION("""COMPUTED_VALUE"""),931)</f>
        <v>931</v>
      </c>
      <c r="E444" s="7"/>
      <c r="F444" s="7"/>
      <c r="G444" s="7"/>
      <c r="H444" s="7"/>
      <c r="I444" s="7"/>
    </row>
    <row r="445" spans="1:9" ht="13.2">
      <c r="A445" s="5">
        <f ca="1">IFERROR(__xludf.DUMMYFUNCTION("""COMPUTED_VALUE"""),278)</f>
        <v>278</v>
      </c>
      <c r="B445" s="5" t="str">
        <f ca="1">IFERROR(__xludf.DUMMYFUNCTION("""COMPUTED_VALUE"""),"Staff of the adder")</f>
        <v>Staff of the adder</v>
      </c>
      <c r="C445" s="5" t="str">
        <f ca="1">IFERROR(__xludf.DUMMYFUNCTION("""COMPUTED_VALUE"""),"Magic")</f>
        <v>Magic</v>
      </c>
      <c r="D445" s="6">
        <f ca="1">IFERROR(__xludf.DUMMYFUNCTION("""COMPUTED_VALUE"""),386)</f>
        <v>386</v>
      </c>
      <c r="E445" s="7"/>
      <c r="F445" s="7"/>
      <c r="G445" s="7"/>
      <c r="H445" s="7"/>
      <c r="I445" s="7"/>
    </row>
    <row r="446" spans="1:9" ht="13.2">
      <c r="A446" s="5">
        <f ca="1">IFERROR(__xludf.DUMMYFUNCTION("""COMPUTED_VALUE"""),279)</f>
        <v>279</v>
      </c>
      <c r="B446" s="5" t="str">
        <f ca="1">IFERROR(__xludf.DUMMYFUNCTION("""COMPUTED_VALUE"""),"Staff of the magi")</f>
        <v>Staff of the magi</v>
      </c>
      <c r="C446" s="5" t="str">
        <f ca="1">IFERROR(__xludf.DUMMYFUNCTION("""COMPUTED_VALUE"""),"Magic")</f>
        <v>Magic</v>
      </c>
      <c r="D446" s="6">
        <f ca="1">IFERROR(__xludf.DUMMYFUNCTION("""COMPUTED_VALUE"""),3035)</f>
        <v>3035</v>
      </c>
      <c r="E446" s="7"/>
      <c r="F446" s="7"/>
      <c r="G446" s="7"/>
      <c r="H446" s="7"/>
      <c r="I446" s="7"/>
    </row>
    <row r="447" spans="1:9" ht="13.2">
      <c r="A447" s="5">
        <f ca="1">IFERROR(__xludf.DUMMYFUNCTION("""COMPUTED_VALUE"""),280)</f>
        <v>280</v>
      </c>
      <c r="B447" s="5" t="str">
        <f ca="1">IFERROR(__xludf.DUMMYFUNCTION("""COMPUTED_VALUE"""),"Staff of the python")</f>
        <v>Staff of the python</v>
      </c>
      <c r="C447" s="5" t="str">
        <f ca="1">IFERROR(__xludf.DUMMYFUNCTION("""COMPUTED_VALUE"""),"Magic")</f>
        <v>Magic</v>
      </c>
      <c r="D447" s="6">
        <f ca="1">IFERROR(__xludf.DUMMYFUNCTION("""COMPUTED_VALUE"""),386)</f>
        <v>386</v>
      </c>
      <c r="E447" s="7"/>
      <c r="F447" s="7"/>
      <c r="G447" s="7"/>
      <c r="H447" s="7"/>
      <c r="I447" s="7"/>
    </row>
    <row r="448" spans="1:9" ht="13.2">
      <c r="A448" s="5">
        <f ca="1">IFERROR(__xludf.DUMMYFUNCTION("""COMPUTED_VALUE"""),281)</f>
        <v>281</v>
      </c>
      <c r="B448" s="5" t="str">
        <f ca="1">IFERROR(__xludf.DUMMYFUNCTION("""COMPUTED_VALUE"""),"Staff of the woodlands")</f>
        <v>Staff of the woodlands</v>
      </c>
      <c r="C448" s="5" t="str">
        <f ca="1">IFERROR(__xludf.DUMMYFUNCTION("""COMPUTED_VALUE"""),"Magic")</f>
        <v>Magic</v>
      </c>
      <c r="D448" s="6">
        <f ca="1">IFERROR(__xludf.DUMMYFUNCTION("""COMPUTED_VALUE"""),931)</f>
        <v>931</v>
      </c>
      <c r="E448" s="7"/>
      <c r="F448" s="7"/>
      <c r="G448" s="7"/>
      <c r="H448" s="7"/>
      <c r="I448" s="7"/>
    </row>
    <row r="449" spans="1:9" ht="13.2">
      <c r="A449" s="5">
        <f ca="1">IFERROR(__xludf.DUMMYFUNCTION("""COMPUTED_VALUE"""),282)</f>
        <v>282</v>
      </c>
      <c r="B449" s="5" t="str">
        <f ca="1">IFERROR(__xludf.DUMMYFUNCTION("""COMPUTED_VALUE"""),"Staff of thunder and lightning")</f>
        <v>Staff of thunder and lightning</v>
      </c>
      <c r="C449" s="5" t="str">
        <f ca="1">IFERROR(__xludf.DUMMYFUNCTION("""COMPUTED_VALUE"""),"Magic")</f>
        <v>Magic</v>
      </c>
      <c r="D449" s="6">
        <f ca="1">IFERROR(__xludf.DUMMYFUNCTION("""COMPUTED_VALUE"""),1592)</f>
        <v>1592</v>
      </c>
      <c r="E449" s="7"/>
      <c r="F449" s="7"/>
      <c r="G449" s="7"/>
      <c r="H449" s="7"/>
      <c r="I449" s="7"/>
    </row>
    <row r="450" spans="1:9" ht="13.2">
      <c r="A450" s="5">
        <f ca="1">IFERROR(__xludf.DUMMYFUNCTION("""COMPUTED_VALUE"""),283)</f>
        <v>283</v>
      </c>
      <c r="B450" s="5" t="str">
        <f ca="1">IFERROR(__xludf.DUMMYFUNCTION("""COMPUTED_VALUE"""),"Staff of withering")</f>
        <v>Staff of withering</v>
      </c>
      <c r="C450" s="5" t="str">
        <f ca="1">IFERROR(__xludf.DUMMYFUNCTION("""COMPUTED_VALUE"""),"Magic")</f>
        <v>Magic</v>
      </c>
      <c r="D450" s="6">
        <f ca="1">IFERROR(__xludf.DUMMYFUNCTION("""COMPUTED_VALUE"""),934)</f>
        <v>934</v>
      </c>
      <c r="E450" s="7"/>
      <c r="F450" s="7"/>
      <c r="G450" s="7"/>
      <c r="H450" s="7"/>
      <c r="I450" s="7"/>
    </row>
    <row r="451" spans="1:9" ht="13.2">
      <c r="A451" s="5">
        <f ca="1">IFERROR(__xludf.DUMMYFUNCTION("""COMPUTED_VALUE"""),284)</f>
        <v>284</v>
      </c>
      <c r="B451" s="5" t="str">
        <f ca="1">IFERROR(__xludf.DUMMYFUNCTION("""COMPUTED_VALUE"""),"Stone of controlling earth elementals")</f>
        <v>Stone of controlling earth elementals</v>
      </c>
      <c r="C451" s="5" t="str">
        <f ca="1">IFERROR(__xludf.DUMMYFUNCTION("""COMPUTED_VALUE"""),"Magic")</f>
        <v>Magic</v>
      </c>
      <c r="D451" s="6">
        <f ca="1">IFERROR(__xludf.DUMMYFUNCTION("""COMPUTED_VALUE"""),952)</f>
        <v>952</v>
      </c>
      <c r="E451" s="7"/>
      <c r="F451" s="7"/>
      <c r="G451" s="7"/>
      <c r="H451" s="7"/>
      <c r="I451" s="7"/>
    </row>
    <row r="452" spans="1:9" ht="13.2">
      <c r="A452" s="5">
        <f ca="1">IFERROR(__xludf.DUMMYFUNCTION("""COMPUTED_VALUE"""),285)</f>
        <v>285</v>
      </c>
      <c r="B452" s="5" t="str">
        <f ca="1">IFERROR(__xludf.DUMMYFUNCTION("""COMPUTED_VALUE"""),"Stone of good luck (luckstone)")</f>
        <v>Stone of good luck (luckstone)</v>
      </c>
      <c r="C452" s="5" t="str">
        <f ca="1">IFERROR(__xludf.DUMMYFUNCTION("""COMPUTED_VALUE"""),"Magic")</f>
        <v>Magic</v>
      </c>
      <c r="D452" s="6">
        <f ca="1">IFERROR(__xludf.DUMMYFUNCTION("""COMPUTED_VALUE"""),376)</f>
        <v>376</v>
      </c>
      <c r="E452" s="7"/>
      <c r="F452" s="7"/>
      <c r="G452" s="7"/>
      <c r="H452" s="7"/>
      <c r="I452" s="7"/>
    </row>
    <row r="453" spans="1:9" ht="13.2">
      <c r="A453" s="5">
        <f ca="1">IFERROR(__xludf.DUMMYFUNCTION("""COMPUTED_VALUE"""),286)</f>
        <v>286</v>
      </c>
      <c r="B453" s="5" t="str">
        <f ca="1">IFERROR(__xludf.DUMMYFUNCTION("""COMPUTED_VALUE"""),"Sun blade")</f>
        <v>Sun blade</v>
      </c>
      <c r="C453" s="5" t="str">
        <f ca="1">IFERROR(__xludf.DUMMYFUNCTION("""COMPUTED_VALUE"""),"Magic")</f>
        <v>Magic</v>
      </c>
      <c r="D453" s="6">
        <f ca="1">IFERROR(__xludf.DUMMYFUNCTION("""COMPUTED_VALUE"""),952)</f>
        <v>952</v>
      </c>
      <c r="E453" s="7"/>
      <c r="F453" s="7"/>
      <c r="G453" s="7"/>
      <c r="H453" s="7"/>
      <c r="I453" s="7"/>
    </row>
    <row r="454" spans="1:9" ht="13.2">
      <c r="A454" s="5">
        <f ca="1">IFERROR(__xludf.DUMMYFUNCTION("""COMPUTED_VALUE"""),287)</f>
        <v>287</v>
      </c>
      <c r="B454" s="5" t="str">
        <f ca="1">IFERROR(__xludf.DUMMYFUNCTION("""COMPUTED_VALUE"""),"Sword of answering")</f>
        <v>Sword of answering</v>
      </c>
      <c r="C454" s="5" t="str">
        <f ca="1">IFERROR(__xludf.DUMMYFUNCTION("""COMPUTED_VALUE"""),"Magic")</f>
        <v>Magic</v>
      </c>
      <c r="D454" s="6">
        <f ca="1">IFERROR(__xludf.DUMMYFUNCTION("""COMPUTED_VALUE"""),3040)</f>
        <v>3040</v>
      </c>
      <c r="E454" s="7"/>
      <c r="F454" s="7"/>
      <c r="G454" s="7"/>
      <c r="H454" s="7"/>
      <c r="I454" s="7"/>
    </row>
    <row r="455" spans="1:9" ht="13.2">
      <c r="A455" s="5">
        <f ca="1">IFERROR(__xludf.DUMMYFUNCTION("""COMPUTED_VALUE"""),288)</f>
        <v>288</v>
      </c>
      <c r="B455" s="5" t="str">
        <f ca="1">IFERROR(__xludf.DUMMYFUNCTION("""COMPUTED_VALUE"""),"Sword of life stealing")</f>
        <v>Sword of life stealing</v>
      </c>
      <c r="C455" s="5" t="str">
        <f ca="1">IFERROR(__xludf.DUMMYFUNCTION("""COMPUTED_VALUE"""),"Magic")</f>
        <v>Magic</v>
      </c>
      <c r="D455" s="6">
        <f ca="1">IFERROR(__xludf.DUMMYFUNCTION("""COMPUTED_VALUE"""),952)</f>
        <v>952</v>
      </c>
      <c r="E455" s="7"/>
      <c r="F455" s="7"/>
      <c r="G455" s="7"/>
      <c r="H455" s="7"/>
      <c r="I455" s="7"/>
    </row>
    <row r="456" spans="1:9" ht="13.2">
      <c r="A456" s="5">
        <f ca="1">IFERROR(__xludf.DUMMYFUNCTION("""COMPUTED_VALUE"""),289)</f>
        <v>289</v>
      </c>
      <c r="B456" s="5" t="str">
        <f ca="1">IFERROR(__xludf.DUMMYFUNCTION("""COMPUTED_VALUE"""),"Sword of sharpness")</f>
        <v>Sword of sharpness</v>
      </c>
      <c r="C456" s="5" t="str">
        <f ca="1">IFERROR(__xludf.DUMMYFUNCTION("""COMPUTED_VALUE"""),"Magic")</f>
        <v>Magic</v>
      </c>
      <c r="D456" s="6">
        <f ca="1">IFERROR(__xludf.DUMMYFUNCTION("""COMPUTED_VALUE"""),1576)</f>
        <v>1576</v>
      </c>
      <c r="E456" s="7"/>
      <c r="F456" s="7"/>
      <c r="G456" s="7"/>
      <c r="H456" s="7"/>
      <c r="I456" s="7"/>
    </row>
    <row r="457" spans="1:9" ht="13.2">
      <c r="A457" s="5">
        <f ca="1">IFERROR(__xludf.DUMMYFUNCTION("""COMPUTED_VALUE"""),290)</f>
        <v>290</v>
      </c>
      <c r="B457" s="5" t="str">
        <f ca="1">IFERROR(__xludf.DUMMYFUNCTION("""COMPUTED_VALUE"""),"Sword of vengeance")</f>
        <v>Sword of vengeance</v>
      </c>
      <c r="C457" s="5" t="str">
        <f ca="1">IFERROR(__xludf.DUMMYFUNCTION("""COMPUTED_VALUE"""),"Magic")</f>
        <v>Magic</v>
      </c>
      <c r="D457" s="6">
        <f ca="1">IFERROR(__xludf.DUMMYFUNCTION("""COMPUTED_VALUE"""),366)</f>
        <v>366</v>
      </c>
      <c r="E457" s="7"/>
      <c r="F457" s="7"/>
      <c r="G457" s="7"/>
      <c r="H457" s="7"/>
      <c r="I457" s="7"/>
    </row>
    <row r="458" spans="1:9" ht="13.2">
      <c r="A458" s="5">
        <f ca="1">IFERROR(__xludf.DUMMYFUNCTION("""COMPUTED_VALUE"""),291)</f>
        <v>291</v>
      </c>
      <c r="B458" s="5" t="str">
        <f ca="1">IFERROR(__xludf.DUMMYFUNCTION("""COMPUTED_VALUE"""),"Sword of wounding")</f>
        <v>Sword of wounding</v>
      </c>
      <c r="C458" s="5" t="str">
        <f ca="1">IFERROR(__xludf.DUMMYFUNCTION("""COMPUTED_VALUE"""),"Magic")</f>
        <v>Magic</v>
      </c>
      <c r="D458" s="6">
        <f ca="1">IFERROR(__xludf.DUMMYFUNCTION("""COMPUTED_VALUE"""),937)</f>
        <v>937</v>
      </c>
      <c r="E458" s="7"/>
      <c r="F458" s="7"/>
      <c r="G458" s="7"/>
      <c r="H458" s="7"/>
      <c r="I458" s="7"/>
    </row>
    <row r="459" spans="1:9" ht="13.2">
      <c r="A459" s="5">
        <f ca="1">IFERROR(__xludf.DUMMYFUNCTION("""COMPUTED_VALUE"""),292)</f>
        <v>292</v>
      </c>
      <c r="B459" s="5" t="str">
        <f ca="1">IFERROR(__xludf.DUMMYFUNCTION("""COMPUTED_VALUE"""),"Talisman of pure good")</f>
        <v>Talisman of pure good</v>
      </c>
      <c r="C459" s="5" t="str">
        <f ca="1">IFERROR(__xludf.DUMMYFUNCTION("""COMPUTED_VALUE"""),"Magic")</f>
        <v>Magic</v>
      </c>
      <c r="D459" s="6">
        <f ca="1">IFERROR(__xludf.DUMMYFUNCTION("""COMPUTED_VALUE"""),3015)</f>
        <v>3015</v>
      </c>
      <c r="E459" s="7"/>
      <c r="F459" s="7"/>
      <c r="G459" s="7"/>
      <c r="H459" s="7"/>
      <c r="I459" s="7"/>
    </row>
    <row r="460" spans="1:9" ht="13.2">
      <c r="A460" s="5">
        <f ca="1">IFERROR(__xludf.DUMMYFUNCTION("""COMPUTED_VALUE"""),293)</f>
        <v>293</v>
      </c>
      <c r="B460" s="5" t="str">
        <f ca="1">IFERROR(__xludf.DUMMYFUNCTION("""COMPUTED_VALUE"""),"Talisman of the sphere")</f>
        <v>Talisman of the sphere</v>
      </c>
      <c r="C460" s="5" t="str">
        <f ca="1">IFERROR(__xludf.DUMMYFUNCTION("""COMPUTED_VALUE"""),"Magic")</f>
        <v>Magic</v>
      </c>
      <c r="D460" s="6">
        <f ca="1">IFERROR(__xludf.DUMMYFUNCTION("""COMPUTED_VALUE"""),3045)</f>
        <v>3045</v>
      </c>
      <c r="E460" s="7"/>
      <c r="F460" s="7"/>
      <c r="G460" s="7"/>
      <c r="H460" s="7"/>
      <c r="I460" s="7"/>
    </row>
    <row r="461" spans="1:9" ht="13.2">
      <c r="A461" s="5">
        <f ca="1">IFERROR(__xludf.DUMMYFUNCTION("""COMPUTED_VALUE"""),294)</f>
        <v>294</v>
      </c>
      <c r="B461" s="5" t="str">
        <f ca="1">IFERROR(__xludf.DUMMYFUNCTION("""COMPUTED_VALUE"""),"Talisman of ultimate evil")</f>
        <v>Talisman of ultimate evil</v>
      </c>
      <c r="C461" s="5" t="str">
        <f ca="1">IFERROR(__xludf.DUMMYFUNCTION("""COMPUTED_VALUE"""),"Magic")</f>
        <v>Magic</v>
      </c>
      <c r="D461" s="6">
        <f ca="1">IFERROR(__xludf.DUMMYFUNCTION("""COMPUTED_VALUE"""),3015)</f>
        <v>3015</v>
      </c>
      <c r="E461" s="7"/>
      <c r="F461" s="7"/>
      <c r="G461" s="7"/>
      <c r="H461" s="7"/>
      <c r="I461" s="7"/>
    </row>
    <row r="462" spans="1:9" ht="13.2">
      <c r="A462" s="5">
        <f ca="1">IFERROR(__xludf.DUMMYFUNCTION("""COMPUTED_VALUE"""),295)</f>
        <v>295</v>
      </c>
      <c r="B462" s="5" t="str">
        <f ca="1">IFERROR(__xludf.DUMMYFUNCTION("""COMPUTED_VALUE"""),"Tentacle rod")</f>
        <v>Tentacle rod</v>
      </c>
      <c r="C462" s="5" t="str">
        <f ca="1">IFERROR(__xludf.DUMMYFUNCTION("""COMPUTED_VALUE"""),"Magic")</f>
        <v>Magic</v>
      </c>
      <c r="D462" s="6">
        <f ca="1">IFERROR(__xludf.DUMMYFUNCTION("""COMPUTED_VALUE"""),940)</f>
        <v>940</v>
      </c>
      <c r="E462" s="7"/>
      <c r="F462" s="7"/>
      <c r="G462" s="7"/>
      <c r="H462" s="7"/>
      <c r="I462" s="7"/>
    </row>
    <row r="463" spans="1:9" ht="13.2">
      <c r="A463" s="5">
        <f ca="1">IFERROR(__xludf.DUMMYFUNCTION("""COMPUTED_VALUE"""),296)</f>
        <v>296</v>
      </c>
      <c r="B463" s="5" t="str">
        <f ca="1">IFERROR(__xludf.DUMMYFUNCTION("""COMPUTED_VALUE"""),"Tome of clear thought")</f>
        <v>Tome of clear thought</v>
      </c>
      <c r="C463" s="5" t="str">
        <f ca="1">IFERROR(__xludf.DUMMYFUNCTION("""COMPUTED_VALUE"""),"Magic")</f>
        <v>Magic</v>
      </c>
      <c r="D463" s="6">
        <f ca="1">IFERROR(__xludf.DUMMYFUNCTION("""COMPUTED_VALUE"""),1556)</f>
        <v>1556</v>
      </c>
      <c r="E463" s="7"/>
      <c r="F463" s="7"/>
      <c r="G463" s="7"/>
      <c r="H463" s="7"/>
      <c r="I463" s="7"/>
    </row>
    <row r="464" spans="1:9" ht="13.2">
      <c r="A464" s="5">
        <f ca="1">IFERROR(__xludf.DUMMYFUNCTION("""COMPUTED_VALUE"""),297)</f>
        <v>297</v>
      </c>
      <c r="B464" s="5" t="str">
        <f ca="1">IFERROR(__xludf.DUMMYFUNCTION("""COMPUTED_VALUE"""),"Tome of leadership and influence")</f>
        <v>Tome of leadership and influence</v>
      </c>
      <c r="C464" s="5" t="str">
        <f ca="1">IFERROR(__xludf.DUMMYFUNCTION("""COMPUTED_VALUE"""),"Magic")</f>
        <v>Magic</v>
      </c>
      <c r="D464" s="6">
        <f ca="1">IFERROR(__xludf.DUMMYFUNCTION("""COMPUTED_VALUE"""),1580)</f>
        <v>1580</v>
      </c>
      <c r="E464" s="7"/>
      <c r="F464" s="7"/>
      <c r="G464" s="7"/>
      <c r="H464" s="7"/>
      <c r="I464" s="7"/>
    </row>
    <row r="465" spans="1:9" ht="13.2">
      <c r="A465" s="5">
        <f ca="1">IFERROR(__xludf.DUMMYFUNCTION("""COMPUTED_VALUE"""),298)</f>
        <v>298</v>
      </c>
      <c r="B465" s="5" t="str">
        <f ca="1">IFERROR(__xludf.DUMMYFUNCTION("""COMPUTED_VALUE"""),"Tome of the stilled tongue")</f>
        <v>Tome of the stilled tongue</v>
      </c>
      <c r="C465" s="5" t="str">
        <f ca="1">IFERROR(__xludf.DUMMYFUNCTION("""COMPUTED_VALUE"""),"Magic")</f>
        <v>Magic</v>
      </c>
      <c r="D465" s="6">
        <f ca="1">IFERROR(__xludf.DUMMYFUNCTION("""COMPUTED_VALUE"""),3020)</f>
        <v>3020</v>
      </c>
      <c r="E465" s="7"/>
      <c r="F465" s="7"/>
      <c r="G465" s="7"/>
      <c r="H465" s="7"/>
      <c r="I465" s="7"/>
    </row>
    <row r="466" spans="1:9" ht="13.2">
      <c r="A466" s="5">
        <f ca="1">IFERROR(__xludf.DUMMYFUNCTION("""COMPUTED_VALUE"""),299)</f>
        <v>299</v>
      </c>
      <c r="B466" s="5" t="str">
        <f ca="1">IFERROR(__xludf.DUMMYFUNCTION("""COMPUTED_VALUE"""),"Tome of understanding")</f>
        <v>Tome of understanding</v>
      </c>
      <c r="C466" s="5" t="str">
        <f ca="1">IFERROR(__xludf.DUMMYFUNCTION("""COMPUTED_VALUE"""),"Magic")</f>
        <v>Magic</v>
      </c>
      <c r="D466" s="6">
        <f ca="1">IFERROR(__xludf.DUMMYFUNCTION("""COMPUTED_VALUE"""),1580)</f>
        <v>1580</v>
      </c>
      <c r="E466" s="7"/>
      <c r="F466" s="7"/>
      <c r="G466" s="7"/>
      <c r="H466" s="7"/>
      <c r="I466" s="7"/>
    </row>
    <row r="467" spans="1:9" ht="13.2">
      <c r="A467" s="5">
        <f ca="1">IFERROR(__xludf.DUMMYFUNCTION("""COMPUTED_VALUE"""),300)</f>
        <v>300</v>
      </c>
      <c r="B467" s="5" t="str">
        <f ca="1">IFERROR(__xludf.DUMMYFUNCTION("""COMPUTED_VALUE"""),"Trident of fish command")</f>
        <v>Trident of fish command</v>
      </c>
      <c r="C467" s="5" t="str">
        <f ca="1">IFERROR(__xludf.DUMMYFUNCTION("""COMPUTED_VALUE"""),"Magic")</f>
        <v>Magic</v>
      </c>
      <c r="D467" s="6">
        <f ca="1">IFERROR(__xludf.DUMMYFUNCTION("""COMPUTED_VALUE"""),368)</f>
        <v>368</v>
      </c>
      <c r="E467" s="7"/>
      <c r="F467" s="7"/>
      <c r="G467" s="7"/>
      <c r="H467" s="7"/>
      <c r="I467" s="7"/>
    </row>
    <row r="468" spans="1:9" ht="13.2">
      <c r="A468" s="5">
        <f ca="1">IFERROR(__xludf.DUMMYFUNCTION("""COMPUTED_VALUE"""),301)</f>
        <v>301</v>
      </c>
      <c r="B468" s="5" t="str">
        <f ca="1">IFERROR(__xludf.DUMMYFUNCTION("""COMPUTED_VALUE"""),"Universal solvent")</f>
        <v>Universal solvent</v>
      </c>
      <c r="C468" s="5" t="str">
        <f ca="1">IFERROR(__xludf.DUMMYFUNCTION("""COMPUTED_VALUE"""),"Magic")</f>
        <v>Magic</v>
      </c>
      <c r="D468" s="6">
        <f ca="1">IFERROR(__xludf.DUMMYFUNCTION("""COMPUTED_VALUE"""),3055)</f>
        <v>3055</v>
      </c>
      <c r="E468" s="7"/>
      <c r="F468" s="7"/>
      <c r="G468" s="7"/>
      <c r="H468" s="7"/>
      <c r="I468" s="7"/>
    </row>
    <row r="469" spans="1:9" ht="13.2">
      <c r="A469" s="5">
        <f ca="1">IFERROR(__xludf.DUMMYFUNCTION("""COMPUTED_VALUE"""),302)</f>
        <v>302</v>
      </c>
      <c r="B469" s="5" t="str">
        <f ca="1">IFERROR(__xludf.DUMMYFUNCTION("""COMPUTED_VALUE"""),"Vicious weapon")</f>
        <v>Vicious weapon</v>
      </c>
      <c r="C469" s="5" t="str">
        <f ca="1">IFERROR(__xludf.DUMMYFUNCTION("""COMPUTED_VALUE"""),"Magic")</f>
        <v>Magic</v>
      </c>
      <c r="D469" s="6">
        <f ca="1">IFERROR(__xludf.DUMMYFUNCTION("""COMPUTED_VALUE"""),925)</f>
        <v>925</v>
      </c>
      <c r="E469" s="7"/>
      <c r="F469" s="7"/>
      <c r="G469" s="7"/>
      <c r="H469" s="7"/>
      <c r="I469" s="7"/>
    </row>
    <row r="470" spans="1:9" ht="13.2">
      <c r="A470" s="5">
        <f ca="1">IFERROR(__xludf.DUMMYFUNCTION("""COMPUTED_VALUE"""),303)</f>
        <v>303</v>
      </c>
      <c r="B470" s="5" t="str">
        <f ca="1">IFERROR(__xludf.DUMMYFUNCTION("""COMPUTED_VALUE"""),"Vorpal sword")</f>
        <v>Vorpal sword</v>
      </c>
      <c r="C470" s="5" t="str">
        <f ca="1">IFERROR(__xludf.DUMMYFUNCTION("""COMPUTED_VALUE"""),"Magic")</f>
        <v>Magic</v>
      </c>
      <c r="D470" s="6">
        <f ca="1">IFERROR(__xludf.DUMMYFUNCTION("""COMPUTED_VALUE"""),3055)</f>
        <v>3055</v>
      </c>
      <c r="E470" s="7"/>
      <c r="F470" s="7"/>
      <c r="G470" s="7"/>
      <c r="H470" s="7"/>
      <c r="I470" s="7"/>
    </row>
    <row r="471" spans="1:9" ht="13.2">
      <c r="A471" s="5">
        <f ca="1">IFERROR(__xludf.DUMMYFUNCTION("""COMPUTED_VALUE"""),304)</f>
        <v>304</v>
      </c>
      <c r="B471" s="5" t="str">
        <f ca="1">IFERROR(__xludf.DUMMYFUNCTION("""COMPUTED_VALUE"""),"Wand of binding")</f>
        <v>Wand of binding</v>
      </c>
      <c r="C471" s="5" t="str">
        <f ca="1">IFERROR(__xludf.DUMMYFUNCTION("""COMPUTED_VALUE"""),"Magic")</f>
        <v>Magic</v>
      </c>
      <c r="D471" s="6">
        <f ca="1">IFERROR(__xludf.DUMMYFUNCTION("""COMPUTED_VALUE"""),925)</f>
        <v>925</v>
      </c>
      <c r="E471" s="7"/>
      <c r="F471" s="7"/>
      <c r="G471" s="7"/>
      <c r="H471" s="7"/>
      <c r="I471" s="7"/>
    </row>
    <row r="472" spans="1:9" ht="13.2">
      <c r="A472" s="5">
        <f ca="1">IFERROR(__xludf.DUMMYFUNCTION("""COMPUTED_VALUE"""),305)</f>
        <v>305</v>
      </c>
      <c r="B472" s="5" t="str">
        <f ca="1">IFERROR(__xludf.DUMMYFUNCTION("""COMPUTED_VALUE"""),"Wand of enemy detection")</f>
        <v>Wand of enemy detection</v>
      </c>
      <c r="C472" s="5" t="str">
        <f ca="1">IFERROR(__xludf.DUMMYFUNCTION("""COMPUTED_VALUE"""),"Magic")</f>
        <v>Magic</v>
      </c>
      <c r="D472" s="6">
        <f ca="1">IFERROR(__xludf.DUMMYFUNCTION("""COMPUTED_VALUE"""),943)</f>
        <v>943</v>
      </c>
      <c r="E472" s="7"/>
      <c r="F472" s="7"/>
      <c r="G472" s="7"/>
      <c r="H472" s="7"/>
      <c r="I472" s="7"/>
    </row>
    <row r="473" spans="1:9" ht="13.2">
      <c r="A473" s="5">
        <f ca="1">IFERROR(__xludf.DUMMYFUNCTION("""COMPUTED_VALUE"""),306)</f>
        <v>306</v>
      </c>
      <c r="B473" s="5" t="str">
        <f ca="1">IFERROR(__xludf.DUMMYFUNCTION("""COMPUTED_VALUE"""),"Wand of fear")</f>
        <v>Wand of fear</v>
      </c>
      <c r="C473" s="5" t="str">
        <f ca="1">IFERROR(__xludf.DUMMYFUNCTION("""COMPUTED_VALUE"""),"Magic")</f>
        <v>Magic</v>
      </c>
      <c r="D473" s="6">
        <f ca="1">IFERROR(__xludf.DUMMYFUNCTION("""COMPUTED_VALUE"""),925)</f>
        <v>925</v>
      </c>
      <c r="E473" s="7"/>
      <c r="F473" s="7"/>
      <c r="G473" s="7"/>
      <c r="H473" s="7"/>
      <c r="I473" s="7"/>
    </row>
    <row r="474" spans="1:9" ht="13.2">
      <c r="A474" s="5">
        <f ca="1">IFERROR(__xludf.DUMMYFUNCTION("""COMPUTED_VALUE"""),307)</f>
        <v>307</v>
      </c>
      <c r="B474" s="5" t="str">
        <f ca="1">IFERROR(__xludf.DUMMYFUNCTION("""COMPUTED_VALUE"""),"Wand of fireballs")</f>
        <v>Wand of fireballs</v>
      </c>
      <c r="C474" s="5" t="str">
        <f ca="1">IFERROR(__xludf.DUMMYFUNCTION("""COMPUTED_VALUE"""),"Magic")</f>
        <v>Magic</v>
      </c>
      <c r="D474" s="6">
        <f ca="1">IFERROR(__xludf.DUMMYFUNCTION("""COMPUTED_VALUE"""),946)</f>
        <v>946</v>
      </c>
      <c r="E474" s="7"/>
      <c r="F474" s="7"/>
      <c r="G474" s="7"/>
      <c r="H474" s="7"/>
      <c r="I474" s="7"/>
    </row>
    <row r="475" spans="1:9" ht="13.2">
      <c r="A475" s="5">
        <f ca="1">IFERROR(__xludf.DUMMYFUNCTION("""COMPUTED_VALUE"""),308)</f>
        <v>308</v>
      </c>
      <c r="B475" s="5" t="str">
        <f ca="1">IFERROR(__xludf.DUMMYFUNCTION("""COMPUTED_VALUE"""),"Wand of lightning bolts")</f>
        <v>Wand of lightning bolts</v>
      </c>
      <c r="C475" s="5" t="str">
        <f ca="1">IFERROR(__xludf.DUMMYFUNCTION("""COMPUTED_VALUE"""),"Magic")</f>
        <v>Magic</v>
      </c>
      <c r="D475" s="6">
        <f ca="1">IFERROR(__xludf.DUMMYFUNCTION("""COMPUTED_VALUE"""),928)</f>
        <v>928</v>
      </c>
      <c r="E475" s="7"/>
      <c r="F475" s="7"/>
      <c r="G475" s="7"/>
      <c r="H475" s="7"/>
      <c r="I475" s="7"/>
    </row>
    <row r="476" spans="1:9" ht="13.2">
      <c r="A476" s="5">
        <f ca="1">IFERROR(__xludf.DUMMYFUNCTION("""COMPUTED_VALUE"""),309)</f>
        <v>309</v>
      </c>
      <c r="B476" s="5" t="str">
        <f ca="1">IFERROR(__xludf.DUMMYFUNCTION("""COMPUTED_VALUE"""),"Wand of magic detection")</f>
        <v>Wand of magic detection</v>
      </c>
      <c r="C476" s="5" t="str">
        <f ca="1">IFERROR(__xludf.DUMMYFUNCTION("""COMPUTED_VALUE"""),"Magic")</f>
        <v>Magic</v>
      </c>
      <c r="D476" s="6">
        <f ca="1">IFERROR(__xludf.DUMMYFUNCTION("""COMPUTED_VALUE"""),384)</f>
        <v>384</v>
      </c>
      <c r="E476" s="7"/>
      <c r="F476" s="7"/>
      <c r="G476" s="7"/>
      <c r="H476" s="7"/>
      <c r="I476" s="7"/>
    </row>
    <row r="477" spans="1:9" ht="13.2">
      <c r="A477" s="5">
        <f ca="1">IFERROR(__xludf.DUMMYFUNCTION("""COMPUTED_VALUE"""),310)</f>
        <v>310</v>
      </c>
      <c r="B477" s="5" t="str">
        <f ca="1">IFERROR(__xludf.DUMMYFUNCTION("""COMPUTED_VALUE"""),"Wand of magic missiles")</f>
        <v>Wand of magic missiles</v>
      </c>
      <c r="C477" s="5" t="str">
        <f ca="1">IFERROR(__xludf.DUMMYFUNCTION("""COMPUTED_VALUE"""),"Magic")</f>
        <v>Magic</v>
      </c>
      <c r="D477" s="6">
        <f ca="1">IFERROR(__xludf.DUMMYFUNCTION("""COMPUTED_VALUE"""),372)</f>
        <v>372</v>
      </c>
      <c r="E477" s="7"/>
      <c r="F477" s="7"/>
      <c r="G477" s="7"/>
      <c r="H477" s="7"/>
      <c r="I477" s="7"/>
    </row>
    <row r="478" spans="1:9" ht="13.2">
      <c r="A478" s="5">
        <f ca="1">IFERROR(__xludf.DUMMYFUNCTION("""COMPUTED_VALUE"""),311)</f>
        <v>311</v>
      </c>
      <c r="B478" s="5" t="str">
        <f ca="1">IFERROR(__xludf.DUMMYFUNCTION("""COMPUTED_VALUE"""),"Wand of paralysis")</f>
        <v>Wand of paralysis</v>
      </c>
      <c r="C478" s="5" t="str">
        <f ca="1">IFERROR(__xludf.DUMMYFUNCTION("""COMPUTED_VALUE"""),"Magic")</f>
        <v>Magic</v>
      </c>
      <c r="D478" s="6">
        <f ca="1">IFERROR(__xludf.DUMMYFUNCTION("""COMPUTED_VALUE"""),946)</f>
        <v>946</v>
      </c>
      <c r="E478" s="7"/>
      <c r="F478" s="7"/>
      <c r="G478" s="7"/>
      <c r="H478" s="7"/>
      <c r="I478" s="7"/>
    </row>
    <row r="479" spans="1:9" ht="13.2">
      <c r="A479" s="5">
        <f ca="1">IFERROR(__xludf.DUMMYFUNCTION("""COMPUTED_VALUE"""),312)</f>
        <v>312</v>
      </c>
      <c r="B479" s="5" t="str">
        <f ca="1">IFERROR(__xludf.DUMMYFUNCTION("""COMPUTED_VALUE"""),"Wand of polymorph")</f>
        <v>Wand of polymorph</v>
      </c>
      <c r="C479" s="5" t="str">
        <f ca="1">IFERROR(__xludf.DUMMYFUNCTION("""COMPUTED_VALUE"""),"Magic")</f>
        <v>Magic</v>
      </c>
      <c r="D479" s="6">
        <f ca="1">IFERROR(__xludf.DUMMYFUNCTION("""COMPUTED_VALUE"""),1564)</f>
        <v>1564</v>
      </c>
      <c r="E479" s="7"/>
      <c r="F479" s="7"/>
      <c r="G479" s="7"/>
      <c r="H479" s="7"/>
      <c r="I479" s="7"/>
    </row>
    <row r="480" spans="1:9" ht="13.2">
      <c r="A480" s="5">
        <f ca="1">IFERROR(__xludf.DUMMYFUNCTION("""COMPUTED_VALUE"""),313)</f>
        <v>313</v>
      </c>
      <c r="B480" s="5" t="str">
        <f ca="1">IFERROR(__xludf.DUMMYFUNCTION("""COMPUTED_VALUE"""),"Wand of secrets")</f>
        <v>Wand of secrets</v>
      </c>
      <c r="C480" s="5" t="str">
        <f ca="1">IFERROR(__xludf.DUMMYFUNCTION("""COMPUTED_VALUE"""),"Magic")</f>
        <v>Magic</v>
      </c>
      <c r="D480" s="6">
        <f ca="1">IFERROR(__xludf.DUMMYFUNCTION("""COMPUTED_VALUE"""),386)</f>
        <v>386</v>
      </c>
      <c r="E480" s="7"/>
      <c r="F480" s="7"/>
      <c r="G480" s="7"/>
      <c r="H480" s="7"/>
      <c r="I480" s="7"/>
    </row>
    <row r="481" spans="1:9" ht="13.2">
      <c r="A481" s="5">
        <f ca="1">IFERROR(__xludf.DUMMYFUNCTION("""COMPUTED_VALUE"""),314)</f>
        <v>314</v>
      </c>
      <c r="B481" s="5" t="str">
        <f ca="1">IFERROR(__xludf.DUMMYFUNCTION("""COMPUTED_VALUE"""),"Wand of the war mage +1")</f>
        <v>Wand of the war mage +1</v>
      </c>
      <c r="C481" s="5" t="str">
        <f ca="1">IFERROR(__xludf.DUMMYFUNCTION("""COMPUTED_VALUE"""),"Magic")</f>
        <v>Magic</v>
      </c>
      <c r="D481" s="6">
        <f ca="1">IFERROR(__xludf.DUMMYFUNCTION("""COMPUTED_VALUE"""),374)</f>
        <v>374</v>
      </c>
      <c r="E481" s="7"/>
      <c r="F481" s="7"/>
      <c r="G481" s="7"/>
      <c r="H481" s="7"/>
      <c r="I481" s="7"/>
    </row>
    <row r="482" spans="1:9" ht="13.2">
      <c r="A482" s="5">
        <f ca="1">IFERROR(__xludf.DUMMYFUNCTION("""COMPUTED_VALUE"""),315)</f>
        <v>315</v>
      </c>
      <c r="B482" s="5" t="str">
        <f ca="1">IFERROR(__xludf.DUMMYFUNCTION("""COMPUTED_VALUE"""),"Wand of the war mage +2")</f>
        <v>Wand of the war mage +2</v>
      </c>
      <c r="C482" s="5" t="str">
        <f ca="1">IFERROR(__xludf.DUMMYFUNCTION("""COMPUTED_VALUE"""),"Magic")</f>
        <v>Magic</v>
      </c>
      <c r="D482" s="6">
        <f ca="1">IFERROR(__xludf.DUMMYFUNCTION("""COMPUTED_VALUE"""),949)</f>
        <v>949</v>
      </c>
      <c r="E482" s="7"/>
      <c r="F482" s="7"/>
      <c r="G482" s="7"/>
      <c r="H482" s="7"/>
      <c r="I482" s="7"/>
    </row>
    <row r="483" spans="1:9" ht="13.2">
      <c r="A483" s="5">
        <f ca="1">IFERROR(__xludf.DUMMYFUNCTION("""COMPUTED_VALUE"""),316)</f>
        <v>316</v>
      </c>
      <c r="B483" s="5" t="str">
        <f ca="1">IFERROR(__xludf.DUMMYFUNCTION("""COMPUTED_VALUE"""),"Wand of the war mage +3")</f>
        <v>Wand of the war mage +3</v>
      </c>
      <c r="C483" s="5" t="str">
        <f ca="1">IFERROR(__xludf.DUMMYFUNCTION("""COMPUTED_VALUE"""),"Magic")</f>
        <v>Magic</v>
      </c>
      <c r="D483" s="6">
        <f ca="1">IFERROR(__xludf.DUMMYFUNCTION("""COMPUTED_VALUE"""),1568)</f>
        <v>1568</v>
      </c>
      <c r="E483" s="7"/>
      <c r="F483" s="7"/>
      <c r="G483" s="7"/>
      <c r="H483" s="7"/>
      <c r="I483" s="7"/>
    </row>
    <row r="484" spans="1:9" ht="13.2">
      <c r="A484" s="5">
        <f ca="1">IFERROR(__xludf.DUMMYFUNCTION("""COMPUTED_VALUE"""),317)</f>
        <v>317</v>
      </c>
      <c r="B484" s="5" t="str">
        <f ca="1">IFERROR(__xludf.DUMMYFUNCTION("""COMPUTED_VALUE"""),"Wand of web")</f>
        <v>Wand of web</v>
      </c>
      <c r="C484" s="5" t="str">
        <f ca="1">IFERROR(__xludf.DUMMYFUNCTION("""COMPUTED_VALUE"""),"Magic")</f>
        <v>Magic</v>
      </c>
      <c r="D484" s="6">
        <f ca="1">IFERROR(__xludf.DUMMYFUNCTION("""COMPUTED_VALUE"""),386)</f>
        <v>386</v>
      </c>
      <c r="E484" s="7"/>
      <c r="F484" s="7"/>
      <c r="G484" s="7"/>
      <c r="H484" s="7"/>
      <c r="I484" s="7"/>
    </row>
    <row r="485" spans="1:9" ht="13.2">
      <c r="A485" s="5">
        <f ca="1">IFERROR(__xludf.DUMMYFUNCTION("""COMPUTED_VALUE"""),318)</f>
        <v>318</v>
      </c>
      <c r="B485" s="5" t="str">
        <f ca="1">IFERROR(__xludf.DUMMYFUNCTION("""COMPUTED_VALUE"""),"Wand of wonder")</f>
        <v>Wand of wonder</v>
      </c>
      <c r="C485" s="5" t="str">
        <f ca="1">IFERROR(__xludf.DUMMYFUNCTION("""COMPUTED_VALUE"""),"Magic")</f>
        <v>Magic</v>
      </c>
      <c r="D485" s="6">
        <f ca="1">IFERROR(__xludf.DUMMYFUNCTION("""COMPUTED_VALUE"""),931)</f>
        <v>931</v>
      </c>
      <c r="E485" s="7"/>
      <c r="F485" s="7"/>
      <c r="G485" s="7"/>
      <c r="H485" s="7"/>
      <c r="I485" s="7"/>
    </row>
    <row r="486" spans="1:9" ht="13.2">
      <c r="A486" s="5">
        <f ca="1">IFERROR(__xludf.DUMMYFUNCTION("""COMPUTED_VALUE"""),319)</f>
        <v>319</v>
      </c>
      <c r="B486" s="5" t="str">
        <f ca="1">IFERROR(__xludf.DUMMYFUNCTION("""COMPUTED_VALUE"""),"Weapon +1")</f>
        <v>Weapon +1</v>
      </c>
      <c r="C486" s="5" t="str">
        <f ca="1">IFERROR(__xludf.DUMMYFUNCTION("""COMPUTED_VALUE"""),"Magic")</f>
        <v>Magic</v>
      </c>
      <c r="D486" s="6">
        <f ca="1">IFERROR(__xludf.DUMMYFUNCTION("""COMPUTED_VALUE"""),388)</f>
        <v>388</v>
      </c>
      <c r="E486" s="7"/>
      <c r="F486" s="7"/>
      <c r="G486" s="7"/>
      <c r="H486" s="7"/>
      <c r="I486" s="7"/>
    </row>
    <row r="487" spans="1:9" ht="13.2">
      <c r="A487" s="5">
        <f ca="1">IFERROR(__xludf.DUMMYFUNCTION("""COMPUTED_VALUE"""),320)</f>
        <v>320</v>
      </c>
      <c r="B487" s="5" t="str">
        <f ca="1">IFERROR(__xludf.DUMMYFUNCTION("""COMPUTED_VALUE"""),"Weapon +2")</f>
        <v>Weapon +2</v>
      </c>
      <c r="C487" s="5" t="str">
        <f ca="1">IFERROR(__xludf.DUMMYFUNCTION("""COMPUTED_VALUE"""),"Magic")</f>
        <v>Magic</v>
      </c>
      <c r="D487" s="6">
        <f ca="1">IFERROR(__xludf.DUMMYFUNCTION("""COMPUTED_VALUE"""),934)</f>
        <v>934</v>
      </c>
      <c r="E487" s="7"/>
      <c r="F487" s="7"/>
      <c r="G487" s="7"/>
      <c r="H487" s="7"/>
      <c r="I487" s="7"/>
    </row>
    <row r="488" spans="1:9" ht="13.2">
      <c r="A488" s="5">
        <f ca="1">IFERROR(__xludf.DUMMYFUNCTION("""COMPUTED_VALUE"""),321)</f>
        <v>321</v>
      </c>
      <c r="B488" s="5" t="str">
        <f ca="1">IFERROR(__xludf.DUMMYFUNCTION("""COMPUTED_VALUE"""),"Weapon +3")</f>
        <v>Weapon +3</v>
      </c>
      <c r="C488" s="5" t="str">
        <f ca="1">IFERROR(__xludf.DUMMYFUNCTION("""COMPUTED_VALUE"""),"Magic")</f>
        <v>Magic</v>
      </c>
      <c r="D488" s="6">
        <f ca="1">IFERROR(__xludf.DUMMYFUNCTION("""COMPUTED_VALUE"""),1596)</f>
        <v>1596</v>
      </c>
      <c r="E488" s="7"/>
      <c r="F488" s="7"/>
      <c r="G488" s="7"/>
      <c r="H488" s="7"/>
      <c r="I488" s="7"/>
    </row>
    <row r="489" spans="1:9" ht="13.2">
      <c r="A489" s="5">
        <f ca="1">IFERROR(__xludf.DUMMYFUNCTION("""COMPUTED_VALUE"""),322)</f>
        <v>322</v>
      </c>
      <c r="B489" s="5" t="str">
        <f ca="1">IFERROR(__xludf.DUMMYFUNCTION("""COMPUTED_VALUE"""),"Weapon of warning")</f>
        <v>Weapon of warning</v>
      </c>
      <c r="C489" s="5" t="str">
        <f ca="1">IFERROR(__xludf.DUMMYFUNCTION("""COMPUTED_VALUE"""),"Magic")</f>
        <v>Magic</v>
      </c>
      <c r="D489" s="6">
        <f ca="1">IFERROR(__xludf.DUMMYFUNCTION("""COMPUTED_VALUE"""),376)</f>
        <v>376</v>
      </c>
      <c r="E489" s="7"/>
      <c r="F489" s="7"/>
      <c r="G489" s="7"/>
      <c r="H489" s="7"/>
      <c r="I489" s="7"/>
    </row>
    <row r="490" spans="1:9" ht="13.2">
      <c r="A490" s="5">
        <f ca="1">IFERROR(__xludf.DUMMYFUNCTION("""COMPUTED_VALUE"""),323)</f>
        <v>323</v>
      </c>
      <c r="B490" s="5" t="str">
        <f ca="1">IFERROR(__xludf.DUMMYFUNCTION("""COMPUTED_VALUE"""),"Well of many worlds")</f>
        <v>Well of many worlds</v>
      </c>
      <c r="C490" s="5" t="str">
        <f ca="1">IFERROR(__xludf.DUMMYFUNCTION("""COMPUTED_VALUE"""),"Magic")</f>
        <v>Magic</v>
      </c>
      <c r="D490" s="6">
        <f ca="1">IFERROR(__xludf.DUMMYFUNCTION("""COMPUTED_VALUE"""),3070)</f>
        <v>3070</v>
      </c>
      <c r="E490" s="7"/>
      <c r="F490" s="7"/>
      <c r="G490" s="7"/>
      <c r="H490" s="7"/>
      <c r="I490" s="7"/>
    </row>
    <row r="491" spans="1:9" ht="13.2">
      <c r="A491" s="5">
        <f ca="1">IFERROR(__xludf.DUMMYFUNCTION("""COMPUTED_VALUE"""),324)</f>
        <v>324</v>
      </c>
      <c r="B491" s="5" t="str">
        <f ca="1">IFERROR(__xludf.DUMMYFUNCTION("""COMPUTED_VALUE"""),"Wind fan")</f>
        <v>Wind fan</v>
      </c>
      <c r="C491" s="5" t="str">
        <f ca="1">IFERROR(__xludf.DUMMYFUNCTION("""COMPUTED_VALUE"""),"Magic")</f>
        <v>Magic</v>
      </c>
      <c r="D491" s="6">
        <f ca="1">IFERROR(__xludf.DUMMYFUNCTION("""COMPUTED_VALUE"""),376)</f>
        <v>376</v>
      </c>
      <c r="E491" s="7"/>
      <c r="F491" s="7"/>
      <c r="G491" s="7"/>
      <c r="H491" s="7"/>
      <c r="I491" s="7"/>
    </row>
    <row r="492" spans="1:9" ht="13.2">
      <c r="A492" s="5">
        <f ca="1">IFERROR(__xludf.DUMMYFUNCTION("""COMPUTED_VALUE"""),325)</f>
        <v>325</v>
      </c>
      <c r="B492" s="5" t="str">
        <f ca="1">IFERROR(__xludf.DUMMYFUNCTION("""COMPUTED_VALUE"""),"Winged boots")</f>
        <v>Winged boots</v>
      </c>
      <c r="C492" s="5" t="str">
        <f ca="1">IFERROR(__xludf.DUMMYFUNCTION("""COMPUTED_VALUE"""),"Magic")</f>
        <v>Magic</v>
      </c>
      <c r="D492" s="6">
        <f ca="1">IFERROR(__xludf.DUMMYFUNCTION("""COMPUTED_VALUE"""),366)</f>
        <v>366</v>
      </c>
      <c r="E492" s="7"/>
      <c r="F492" s="7"/>
      <c r="G492" s="7"/>
      <c r="H492" s="7"/>
      <c r="I492" s="7"/>
    </row>
    <row r="493" spans="1:9" ht="13.2">
      <c r="A493" s="5">
        <f ca="1">IFERROR(__xludf.DUMMYFUNCTION("""COMPUTED_VALUE"""),326)</f>
        <v>326</v>
      </c>
      <c r="B493" s="5" t="str">
        <f ca="1">IFERROR(__xludf.DUMMYFUNCTION("""COMPUTED_VALUE"""),"Wings of flying")</f>
        <v>Wings of flying</v>
      </c>
      <c r="C493" s="5" t="str">
        <f ca="1">IFERROR(__xludf.DUMMYFUNCTION("""COMPUTED_VALUE"""),"Magic")</f>
        <v>Magic</v>
      </c>
      <c r="D493" s="6">
        <f ca="1">IFERROR(__xludf.DUMMYFUNCTION("""COMPUTED_VALUE"""),937)</f>
        <v>937</v>
      </c>
      <c r="E493" s="7"/>
      <c r="F493" s="7"/>
      <c r="G493" s="7"/>
      <c r="H493" s="7"/>
      <c r="I493" s="7"/>
    </row>
    <row r="494" spans="1:9" ht="13.2">
      <c r="A494" s="5">
        <f ca="1">IFERROR(__xludf.DUMMYFUNCTION("""COMPUTED_VALUE"""),327)</f>
        <v>327</v>
      </c>
      <c r="B494" s="5" t="str">
        <f ca="1">IFERROR(__xludf.DUMMYFUNCTION("""COMPUTED_VALUE"""),"Blackrazor")</f>
        <v>Blackrazor</v>
      </c>
      <c r="C494" s="5" t="str">
        <f ca="1">IFERROR(__xludf.DUMMYFUNCTION("""COMPUTED_VALUE"""),"Magic")</f>
        <v>Magic</v>
      </c>
      <c r="D494" s="6">
        <f ca="1">IFERROR(__xludf.DUMMYFUNCTION("""COMPUTED_VALUE"""),18)</f>
        <v>18</v>
      </c>
      <c r="E494" s="7"/>
      <c r="F494" s="7"/>
      <c r="G494" s="7"/>
      <c r="H494" s="7"/>
      <c r="I494" s="7"/>
    </row>
    <row r="495" spans="1:9" ht="13.2">
      <c r="A495" s="5">
        <f ca="1">IFERROR(__xludf.DUMMYFUNCTION("""COMPUTED_VALUE"""),328)</f>
        <v>328</v>
      </c>
      <c r="B495" s="5" t="str">
        <f ca="1">IFERROR(__xludf.DUMMYFUNCTION("""COMPUTED_VALUE"""),"Moonblade")</f>
        <v>Moonblade</v>
      </c>
      <c r="C495" s="5" t="str">
        <f ca="1">IFERROR(__xludf.DUMMYFUNCTION("""COMPUTED_VALUE"""),"Magic")</f>
        <v>Magic</v>
      </c>
      <c r="D495" s="6">
        <f ca="1">IFERROR(__xludf.DUMMYFUNCTION("""COMPUTED_VALUE"""),54)</f>
        <v>54</v>
      </c>
      <c r="E495" s="7"/>
      <c r="F495" s="7"/>
      <c r="G495" s="7"/>
      <c r="H495" s="7"/>
      <c r="I495" s="7"/>
    </row>
    <row r="496" spans="1:9" ht="13.2">
      <c r="A496" s="5">
        <f ca="1">IFERROR(__xludf.DUMMYFUNCTION("""COMPUTED_VALUE"""),329)</f>
        <v>329</v>
      </c>
      <c r="B496" s="5" t="str">
        <f ca="1">IFERROR(__xludf.DUMMYFUNCTION("""COMPUTED_VALUE"""),"Wave")</f>
        <v>Wave</v>
      </c>
      <c r="C496" s="5" t="str">
        <f ca="1">IFERROR(__xludf.DUMMYFUNCTION("""COMPUTED_VALUE"""),"Magic")</f>
        <v>Magic</v>
      </c>
      <c r="D496" s="6">
        <f ca="1">IFERROR(__xludf.DUMMYFUNCTION("""COMPUTED_VALUE"""),18)</f>
        <v>18</v>
      </c>
      <c r="E496" s="7"/>
      <c r="F496" s="7"/>
      <c r="G496" s="7"/>
      <c r="H496" s="7"/>
      <c r="I496" s="7"/>
    </row>
    <row r="497" spans="1:9" ht="13.2">
      <c r="A497" s="5">
        <f ca="1">IFERROR(__xludf.DUMMYFUNCTION("""COMPUTED_VALUE"""),330)</f>
        <v>330</v>
      </c>
      <c r="B497" s="5" t="str">
        <f ca="1">IFERROR(__xludf.DUMMYFUNCTION("""COMPUTED_VALUE"""),"Whelm")</f>
        <v>Whelm</v>
      </c>
      <c r="C497" s="5" t="str">
        <f ca="1">IFERROR(__xludf.DUMMYFUNCTION("""COMPUTED_VALUE"""),"Magic")</f>
        <v>Magic</v>
      </c>
      <c r="D497" s="6">
        <f ca="1">IFERROR(__xludf.DUMMYFUNCTION("""COMPUTED_VALUE"""),54)</f>
        <v>54</v>
      </c>
      <c r="E497" s="7"/>
      <c r="F497" s="7"/>
      <c r="G497" s="7"/>
      <c r="H497" s="7"/>
      <c r="I497" s="7"/>
    </row>
    <row r="498" spans="1:9" ht="13.2">
      <c r="A498" s="5">
        <f ca="1">IFERROR(__xludf.DUMMYFUNCTION("""COMPUTED_VALUE"""),331)</f>
        <v>331</v>
      </c>
      <c r="B498" s="5" t="str">
        <f ca="1">IFERROR(__xludf.DUMMYFUNCTION("""COMPUTED_VALUE"""),"Axe of the Dwarvish Lords")</f>
        <v>Axe of the Dwarvish Lords</v>
      </c>
      <c r="C498" s="5" t="str">
        <f ca="1">IFERROR(__xludf.DUMMYFUNCTION("""COMPUTED_VALUE"""),"Magic")</f>
        <v>Magic</v>
      </c>
      <c r="D498" s="6">
        <f ca="1">IFERROR(__xludf.DUMMYFUNCTION("""COMPUTED_VALUE"""),28)</f>
        <v>28</v>
      </c>
      <c r="E498" s="7"/>
      <c r="F498" s="7"/>
      <c r="G498" s="7"/>
      <c r="H498" s="7"/>
      <c r="I498" s="7"/>
    </row>
    <row r="499" spans="1:9" ht="13.2">
      <c r="A499" s="5">
        <f ca="1">IFERROR(__xludf.DUMMYFUNCTION("""COMPUTED_VALUE"""),332)</f>
        <v>332</v>
      </c>
      <c r="B499" s="5" t="str">
        <f ca="1">IFERROR(__xludf.DUMMYFUNCTION("""COMPUTED_VALUE"""),"Book of Exalted Deeds")</f>
        <v>Book of Exalted Deeds</v>
      </c>
      <c r="C499" s="5" t="str">
        <f ca="1">IFERROR(__xludf.DUMMYFUNCTION("""COMPUTED_VALUE"""),"Magic")</f>
        <v>Magic</v>
      </c>
      <c r="D499" s="6">
        <f ca="1">IFERROR(__xludf.DUMMYFUNCTION("""COMPUTED_VALUE"""),70)</f>
        <v>70</v>
      </c>
      <c r="E499" s="7"/>
      <c r="F499" s="7"/>
      <c r="G499" s="7"/>
      <c r="H499" s="7"/>
      <c r="I499" s="7"/>
    </row>
    <row r="500" spans="1:9" ht="13.2">
      <c r="A500" s="5">
        <f ca="1">IFERROR(__xludf.DUMMYFUNCTION("""COMPUTED_VALUE"""),333)</f>
        <v>333</v>
      </c>
      <c r="B500" s="5" t="str">
        <f ca="1">IFERROR(__xludf.DUMMYFUNCTION("""COMPUTED_VALUE"""),"Book of Vile Darkness")</f>
        <v>Book of Vile Darkness</v>
      </c>
      <c r="C500" s="5" t="str">
        <f ca="1">IFERROR(__xludf.DUMMYFUNCTION("""COMPUTED_VALUE"""),"Magic")</f>
        <v>Magic</v>
      </c>
      <c r="D500" s="6">
        <f ca="1">IFERROR(__xludf.DUMMYFUNCTION("""COMPUTED_VALUE"""),28)</f>
        <v>28</v>
      </c>
      <c r="E500" s="7"/>
      <c r="F500" s="7"/>
      <c r="G500" s="7"/>
      <c r="H500" s="7"/>
      <c r="I500" s="7"/>
    </row>
    <row r="501" spans="1:9" ht="13.2">
      <c r="A501" s="5">
        <f ca="1">IFERROR(__xludf.DUMMYFUNCTION("""COMPUTED_VALUE"""),334)</f>
        <v>334</v>
      </c>
      <c r="B501" s="5" t="str">
        <f ca="1">IFERROR(__xludf.DUMMYFUNCTION("""COMPUTED_VALUE"""),"Eye and Hand of Vecna")</f>
        <v>Eye and Hand of Vecna</v>
      </c>
      <c r="C501" s="5" t="str">
        <f ca="1">IFERROR(__xludf.DUMMYFUNCTION("""COMPUTED_VALUE"""),"Magic")</f>
        <v>Magic</v>
      </c>
      <c r="D501" s="6">
        <f ca="1">IFERROR(__xludf.DUMMYFUNCTION("""COMPUTED_VALUE"""),70)</f>
        <v>70</v>
      </c>
      <c r="E501" s="7"/>
      <c r="F501" s="7"/>
      <c r="G501" s="7"/>
      <c r="H501" s="7"/>
      <c r="I501" s="7"/>
    </row>
    <row r="502" spans="1:9" ht="13.2">
      <c r="A502" s="5">
        <f ca="1">IFERROR(__xludf.DUMMYFUNCTION("""COMPUTED_VALUE"""),335)</f>
        <v>335</v>
      </c>
      <c r="B502" s="5" t="str">
        <f ca="1">IFERROR(__xludf.DUMMYFUNCTION("""COMPUTED_VALUE"""),"Orb of Dragonkind")</f>
        <v>Orb of Dragonkind</v>
      </c>
      <c r="C502" s="5" t="str">
        <f ca="1">IFERROR(__xludf.DUMMYFUNCTION("""COMPUTED_VALUE"""),"Magic")</f>
        <v>Magic</v>
      </c>
      <c r="D502" s="6">
        <f ca="1">IFERROR(__xludf.DUMMYFUNCTION("""COMPUTED_VALUE"""),28)</f>
        <v>28</v>
      </c>
      <c r="E502" s="7"/>
      <c r="F502" s="7"/>
      <c r="G502" s="7"/>
      <c r="H502" s="7"/>
      <c r="I502" s="7"/>
    </row>
    <row r="503" spans="1:9" ht="13.2">
      <c r="A503" s="5">
        <f ca="1">IFERROR(__xludf.DUMMYFUNCTION("""COMPUTED_VALUE"""),336)</f>
        <v>336</v>
      </c>
      <c r="B503" s="5" t="str">
        <f ca="1">IFERROR(__xludf.DUMMYFUNCTION("""COMPUTED_VALUE"""),"Sword of Kas")</f>
        <v>Sword of Kas</v>
      </c>
      <c r="C503" s="5" t="str">
        <f ca="1">IFERROR(__xludf.DUMMYFUNCTION("""COMPUTED_VALUE"""),"Magic")</f>
        <v>Magic</v>
      </c>
      <c r="D503" s="6">
        <f ca="1">IFERROR(__xludf.DUMMYFUNCTION("""COMPUTED_VALUE"""),70)</f>
        <v>70</v>
      </c>
      <c r="E503" s="7"/>
      <c r="F503" s="7"/>
      <c r="G503" s="7"/>
      <c r="H503" s="7"/>
      <c r="I503" s="7"/>
    </row>
    <row r="504" spans="1:9" ht="13.2">
      <c r="A504" s="5">
        <f ca="1">IFERROR(__xludf.DUMMYFUNCTION("""COMPUTED_VALUE"""),337)</f>
        <v>337</v>
      </c>
      <c r="B504" s="5" t="str">
        <f ca="1">IFERROR(__xludf.DUMMYFUNCTION("""COMPUTED_VALUE"""),"Wand of Orcus")</f>
        <v>Wand of Orcus</v>
      </c>
      <c r="C504" s="5" t="str">
        <f ca="1">IFERROR(__xludf.DUMMYFUNCTION("""COMPUTED_VALUE"""),"Magic")</f>
        <v>Magic</v>
      </c>
      <c r="D504" s="6">
        <f ca="1">IFERROR(__xludf.DUMMYFUNCTION("""COMPUTED_VALUE"""),35)</f>
        <v>35</v>
      </c>
      <c r="E504" s="7"/>
      <c r="F504" s="7"/>
      <c r="G504" s="7"/>
      <c r="H504" s="7"/>
      <c r="I504" s="7"/>
    </row>
    <row r="505" spans="1:9" ht="13.2">
      <c r="A505" s="5"/>
      <c r="B505" s="5"/>
      <c r="C505" s="5"/>
      <c r="D505" s="6">
        <f ca="1">IFERROR(__xludf.DUMMYFUNCTION("""COMPUTED_VALUE"""),0)</f>
        <v>0</v>
      </c>
      <c r="E505" s="7"/>
      <c r="F505" s="7"/>
      <c r="G505" s="7"/>
      <c r="H505" s="7"/>
      <c r="I505" s="7"/>
    </row>
    <row r="506" spans="1:9" ht="13.2">
      <c r="A506" s="5"/>
      <c r="B506" s="5"/>
      <c r="C506" s="5"/>
      <c r="D506" s="6">
        <f ca="1">IFERROR(__xludf.DUMMYFUNCTION("""COMPUTED_VALUE"""),0)</f>
        <v>0</v>
      </c>
      <c r="E506" s="7"/>
      <c r="F506" s="7"/>
      <c r="G506" s="7"/>
      <c r="H506" s="7"/>
      <c r="I506" s="7"/>
    </row>
    <row r="507" spans="1:9" ht="13.2">
      <c r="A507" s="5"/>
      <c r="B507" s="5"/>
      <c r="C507" s="5"/>
      <c r="D507" s="6">
        <f ca="1">IFERROR(__xludf.DUMMYFUNCTION("""COMPUTED_VALUE"""),0)</f>
        <v>0</v>
      </c>
      <c r="E507" s="7"/>
      <c r="F507" s="7"/>
      <c r="G507" s="7"/>
      <c r="H507" s="7"/>
      <c r="I507" s="7"/>
    </row>
    <row r="508" spans="1:9" ht="13.2">
      <c r="A508" s="5"/>
      <c r="B508" s="5"/>
      <c r="C508" s="5"/>
      <c r="D508" s="6">
        <f ca="1">IFERROR(__xludf.DUMMYFUNCTION("""COMPUTED_VALUE"""),0)</f>
        <v>0</v>
      </c>
      <c r="E508" s="7"/>
      <c r="F508" s="7"/>
      <c r="G508" s="7"/>
      <c r="H508" s="7"/>
      <c r="I508" s="7"/>
    </row>
    <row r="509" spans="1:9" ht="13.2">
      <c r="A509" s="5"/>
      <c r="B509" s="5"/>
      <c r="C509" s="5"/>
      <c r="D509" s="6">
        <f ca="1">IFERROR(__xludf.DUMMYFUNCTION("""COMPUTED_VALUE"""),0)</f>
        <v>0</v>
      </c>
      <c r="E509" s="7"/>
      <c r="F509" s="7"/>
      <c r="G509" s="7"/>
      <c r="H509" s="7"/>
      <c r="I509" s="7"/>
    </row>
    <row r="510" spans="1:9" ht="13.2">
      <c r="A510" s="5"/>
      <c r="B510" s="5"/>
      <c r="C510" s="5"/>
      <c r="D510" s="6">
        <f ca="1">IFERROR(__xludf.DUMMYFUNCTION("""COMPUTED_VALUE"""),0)</f>
        <v>0</v>
      </c>
      <c r="E510" s="7"/>
      <c r="F510" s="7"/>
      <c r="G510" s="7"/>
      <c r="H510" s="7"/>
      <c r="I510" s="7"/>
    </row>
    <row r="511" spans="1:9" ht="13.2">
      <c r="A511" s="5"/>
      <c r="B511" s="5"/>
      <c r="C511" s="5"/>
      <c r="D511" s="6">
        <f ca="1">IFERROR(__xludf.DUMMYFUNCTION("""COMPUTED_VALUE"""),0)</f>
        <v>0</v>
      </c>
      <c r="E511" s="7"/>
      <c r="F511" s="7"/>
      <c r="G511" s="7"/>
      <c r="H511" s="7"/>
      <c r="I511" s="7"/>
    </row>
    <row r="512" spans="1:9" ht="13.2">
      <c r="A512" s="5"/>
      <c r="B512" s="5"/>
      <c r="C512" s="5"/>
      <c r="D512" s="6">
        <f ca="1">IFERROR(__xludf.DUMMYFUNCTION("""COMPUTED_VALUE"""),0)</f>
        <v>0</v>
      </c>
      <c r="E512" s="7"/>
      <c r="F512" s="7"/>
      <c r="G512" s="7"/>
      <c r="H512" s="7"/>
      <c r="I512" s="7"/>
    </row>
    <row r="513" spans="1:9" ht="13.2">
      <c r="A513" s="5"/>
      <c r="B513" s="5"/>
      <c r="C513" s="5"/>
      <c r="D513" s="6">
        <f ca="1">IFERROR(__xludf.DUMMYFUNCTION("""COMPUTED_VALUE"""),0)</f>
        <v>0</v>
      </c>
      <c r="E513" s="7"/>
      <c r="F513" s="7"/>
      <c r="G513" s="7"/>
      <c r="H513" s="7"/>
      <c r="I513" s="7"/>
    </row>
    <row r="514" spans="1:9" ht="13.2">
      <c r="A514" s="5"/>
      <c r="B514" s="5"/>
      <c r="C514" s="5"/>
      <c r="D514" s="6">
        <f ca="1">IFERROR(__xludf.DUMMYFUNCTION("""COMPUTED_VALUE"""),0)</f>
        <v>0</v>
      </c>
      <c r="E514" s="7"/>
      <c r="F514" s="7"/>
      <c r="G514" s="7"/>
      <c r="H514" s="7"/>
      <c r="I514" s="7"/>
    </row>
    <row r="515" spans="1:9" ht="13.2">
      <c r="A515" s="5"/>
      <c r="B515" s="5"/>
      <c r="C515" s="5"/>
      <c r="D515" s="6">
        <f ca="1">IFERROR(__xludf.DUMMYFUNCTION("""COMPUTED_VALUE"""),0)</f>
        <v>0</v>
      </c>
      <c r="E515" s="7"/>
      <c r="F515" s="7"/>
      <c r="G515" s="7"/>
      <c r="H515" s="7"/>
      <c r="I515" s="7"/>
    </row>
    <row r="516" spans="1:9" ht="13.2">
      <c r="A516" s="5"/>
      <c r="B516" s="5"/>
      <c r="C516" s="5"/>
      <c r="D516" s="6">
        <f ca="1">IFERROR(__xludf.DUMMYFUNCTION("""COMPUTED_VALUE"""),0)</f>
        <v>0</v>
      </c>
      <c r="E516" s="7"/>
      <c r="F516" s="7"/>
      <c r="G516" s="7"/>
      <c r="H516" s="7"/>
      <c r="I516" s="7"/>
    </row>
    <row r="517" spans="1:9" ht="13.2">
      <c r="A517" s="5"/>
      <c r="B517" s="5"/>
      <c r="C517" s="5"/>
      <c r="D517" s="6">
        <f ca="1">IFERROR(__xludf.DUMMYFUNCTION("""COMPUTED_VALUE"""),0)</f>
        <v>0</v>
      </c>
      <c r="E517" s="7"/>
      <c r="F517" s="7"/>
      <c r="G517" s="7"/>
      <c r="H517" s="7"/>
      <c r="I517" s="7"/>
    </row>
    <row r="518" spans="1:9" ht="13.2">
      <c r="A518" s="5"/>
      <c r="B518" s="5"/>
      <c r="C518" s="5"/>
      <c r="D518" s="6">
        <f ca="1">IFERROR(__xludf.DUMMYFUNCTION("""COMPUTED_VALUE"""),0)</f>
        <v>0</v>
      </c>
      <c r="E518" s="7"/>
      <c r="F518" s="7"/>
      <c r="G518" s="7"/>
      <c r="H518" s="7"/>
      <c r="I518" s="7"/>
    </row>
    <row r="519" spans="1:9" ht="13.2">
      <c r="A519" s="5"/>
      <c r="B519" s="5"/>
      <c r="C519" s="5"/>
      <c r="D519" s="6">
        <f ca="1">IFERROR(__xludf.DUMMYFUNCTION("""COMPUTED_VALUE"""),0)</f>
        <v>0</v>
      </c>
      <c r="E519" s="7"/>
      <c r="F519" s="7"/>
      <c r="G519" s="7"/>
      <c r="H519" s="7"/>
      <c r="I519" s="7"/>
    </row>
    <row r="520" spans="1:9" ht="13.2">
      <c r="A520" s="5"/>
      <c r="B520" s="5"/>
      <c r="C520" s="5"/>
      <c r="D520" s="6">
        <f ca="1">IFERROR(__xludf.DUMMYFUNCTION("""COMPUTED_VALUE"""),0)</f>
        <v>0</v>
      </c>
      <c r="E520" s="7"/>
      <c r="F520" s="7"/>
      <c r="G520" s="7"/>
      <c r="H520" s="7"/>
      <c r="I520" s="7"/>
    </row>
    <row r="521" spans="1:9" ht="13.2">
      <c r="A521" s="5"/>
      <c r="B521" s="5"/>
      <c r="C521" s="5"/>
      <c r="D521" s="6">
        <f ca="1">IFERROR(__xludf.DUMMYFUNCTION("""COMPUTED_VALUE"""),0)</f>
        <v>0</v>
      </c>
      <c r="E521" s="7"/>
      <c r="F521" s="7"/>
      <c r="G521" s="7"/>
      <c r="H521" s="7"/>
      <c r="I521" s="7"/>
    </row>
    <row r="522" spans="1:9" ht="13.2">
      <c r="A522" s="5"/>
      <c r="B522" s="5"/>
      <c r="C522" s="5"/>
      <c r="D522" s="6">
        <f ca="1">IFERROR(__xludf.DUMMYFUNCTION("""COMPUTED_VALUE"""),0)</f>
        <v>0</v>
      </c>
      <c r="E522" s="7"/>
      <c r="F522" s="7"/>
      <c r="G522" s="7"/>
      <c r="H522" s="7"/>
      <c r="I522" s="7"/>
    </row>
    <row r="523" spans="1:9" ht="13.2">
      <c r="A523" s="5"/>
      <c r="B523" s="5"/>
      <c r="C523" s="5"/>
      <c r="D523" s="6">
        <f ca="1">IFERROR(__xludf.DUMMYFUNCTION("""COMPUTED_VALUE"""),0)</f>
        <v>0</v>
      </c>
      <c r="E523" s="7"/>
      <c r="F523" s="7"/>
      <c r="G523" s="7"/>
      <c r="H523" s="7"/>
      <c r="I523" s="7"/>
    </row>
    <row r="524" spans="1:9" ht="13.2">
      <c r="A524" s="5"/>
      <c r="B524" s="5"/>
      <c r="C524" s="5"/>
      <c r="D524" s="6">
        <f ca="1">IFERROR(__xludf.DUMMYFUNCTION("""COMPUTED_VALUE"""),0)</f>
        <v>0</v>
      </c>
      <c r="E524" s="7"/>
      <c r="F524" s="7"/>
      <c r="G524" s="7"/>
      <c r="H524" s="7"/>
      <c r="I524" s="7"/>
    </row>
    <row r="525" spans="1:9" ht="13.2">
      <c r="A525" s="5"/>
      <c r="B525" s="5"/>
      <c r="C525" s="5"/>
      <c r="D525" s="6">
        <f ca="1">IFERROR(__xludf.DUMMYFUNCTION("""COMPUTED_VALUE"""),0)</f>
        <v>0</v>
      </c>
      <c r="E525" s="7"/>
      <c r="F525" s="7"/>
      <c r="G525" s="7"/>
      <c r="H525" s="7"/>
      <c r="I525" s="7"/>
    </row>
    <row r="526" spans="1:9" ht="13.2">
      <c r="A526" s="5"/>
      <c r="B526" s="5"/>
      <c r="C526" s="5"/>
      <c r="D526" s="6">
        <f ca="1">IFERROR(__xludf.DUMMYFUNCTION("""COMPUTED_VALUE"""),0)</f>
        <v>0</v>
      </c>
      <c r="E526" s="7"/>
      <c r="F526" s="7"/>
      <c r="G526" s="7"/>
      <c r="H526" s="7"/>
      <c r="I526" s="7"/>
    </row>
    <row r="527" spans="1:9" ht="13.2">
      <c r="A527" s="5"/>
      <c r="B527" s="5"/>
      <c r="C527" s="5"/>
      <c r="D527" s="6">
        <f ca="1">IFERROR(__xludf.DUMMYFUNCTION("""COMPUTED_VALUE"""),0)</f>
        <v>0</v>
      </c>
      <c r="E527" s="7"/>
      <c r="F527" s="7"/>
      <c r="G527" s="7"/>
      <c r="H527" s="7"/>
      <c r="I527" s="7"/>
    </row>
    <row r="528" spans="1:9" ht="13.2">
      <c r="A528" s="5"/>
      <c r="B528" s="5"/>
      <c r="C528" s="5"/>
      <c r="D528" s="6">
        <f ca="1">IFERROR(__xludf.DUMMYFUNCTION("""COMPUTED_VALUE"""),0)</f>
        <v>0</v>
      </c>
      <c r="E528" s="7"/>
      <c r="F528" s="7"/>
      <c r="G528" s="7"/>
      <c r="H528" s="7"/>
      <c r="I528" s="7"/>
    </row>
    <row r="529" spans="1:9" ht="13.2">
      <c r="A529" s="5"/>
      <c r="B529" s="5"/>
      <c r="C529" s="5"/>
      <c r="D529" s="6">
        <f ca="1">IFERROR(__xludf.DUMMYFUNCTION("""COMPUTED_VALUE"""),0)</f>
        <v>0</v>
      </c>
      <c r="E529" s="7"/>
      <c r="F529" s="7"/>
      <c r="G529" s="7"/>
      <c r="H529" s="7"/>
      <c r="I529" s="7"/>
    </row>
    <row r="530" spans="1:9" ht="13.2">
      <c r="A530" s="5"/>
      <c r="B530" s="5"/>
      <c r="C530" s="5"/>
      <c r="D530" s="6">
        <f ca="1">IFERROR(__xludf.DUMMYFUNCTION("""COMPUTED_VALUE"""),0)</f>
        <v>0</v>
      </c>
      <c r="E530" s="7"/>
      <c r="F530" s="7"/>
      <c r="G530" s="7"/>
      <c r="H530" s="7"/>
      <c r="I530" s="7"/>
    </row>
    <row r="531" spans="1:9" ht="13.2">
      <c r="A531" s="5"/>
      <c r="B531" s="5"/>
      <c r="C531" s="5"/>
      <c r="D531" s="6">
        <f ca="1">IFERROR(__xludf.DUMMYFUNCTION("""COMPUTED_VALUE"""),0)</f>
        <v>0</v>
      </c>
      <c r="E531" s="7"/>
      <c r="F531" s="7"/>
      <c r="G531" s="7"/>
      <c r="H531" s="7"/>
      <c r="I531" s="7"/>
    </row>
    <row r="532" spans="1:9" ht="13.2">
      <c r="A532" s="5"/>
      <c r="B532" s="5"/>
      <c r="C532" s="5"/>
      <c r="D532" s="6">
        <f ca="1">IFERROR(__xludf.DUMMYFUNCTION("""COMPUTED_VALUE"""),0)</f>
        <v>0</v>
      </c>
      <c r="E532" s="7"/>
      <c r="F532" s="7"/>
      <c r="G532" s="7"/>
      <c r="H532" s="7"/>
      <c r="I532" s="7"/>
    </row>
    <row r="533" spans="1:9" ht="13.2">
      <c r="A533" s="5"/>
      <c r="B533" s="5"/>
      <c r="C533" s="5"/>
      <c r="D533" s="6">
        <f ca="1">IFERROR(__xludf.DUMMYFUNCTION("""COMPUTED_VALUE"""),0)</f>
        <v>0</v>
      </c>
      <c r="E533" s="7"/>
      <c r="F533" s="7"/>
      <c r="G533" s="7"/>
      <c r="H533" s="7"/>
      <c r="I533" s="7"/>
    </row>
    <row r="534" spans="1:9" ht="13.2">
      <c r="A534" s="5"/>
      <c r="B534" s="5"/>
      <c r="C534" s="5"/>
      <c r="D534" s="6">
        <f ca="1">IFERROR(__xludf.DUMMYFUNCTION("""COMPUTED_VALUE"""),0)</f>
        <v>0</v>
      </c>
      <c r="E534" s="7"/>
      <c r="F534" s="7"/>
      <c r="G534" s="7"/>
      <c r="H534" s="7"/>
      <c r="I534" s="7"/>
    </row>
    <row r="535" spans="1:9" ht="13.2">
      <c r="A535" s="5"/>
      <c r="B535" s="5"/>
      <c r="C535" s="5"/>
      <c r="D535" s="6">
        <f ca="1">IFERROR(__xludf.DUMMYFUNCTION("""COMPUTED_VALUE"""),0)</f>
        <v>0</v>
      </c>
      <c r="E535" s="7"/>
      <c r="F535" s="7"/>
      <c r="G535" s="7"/>
      <c r="H535" s="7"/>
      <c r="I535" s="7"/>
    </row>
    <row r="536" spans="1:9" ht="13.2">
      <c r="A536" s="5"/>
      <c r="B536" s="5"/>
      <c r="C536" s="5"/>
      <c r="D536" s="6">
        <f ca="1">IFERROR(__xludf.DUMMYFUNCTION("""COMPUTED_VALUE"""),0)</f>
        <v>0</v>
      </c>
      <c r="E536" s="7"/>
      <c r="F536" s="7"/>
      <c r="G536" s="7"/>
      <c r="H536" s="7"/>
      <c r="I536" s="7"/>
    </row>
    <row r="537" spans="1:9" ht="13.2">
      <c r="A537" s="5"/>
      <c r="B537" s="5"/>
      <c r="C537" s="5"/>
      <c r="D537" s="6">
        <f ca="1">IFERROR(__xludf.DUMMYFUNCTION("""COMPUTED_VALUE"""),0)</f>
        <v>0</v>
      </c>
      <c r="E537" s="7"/>
      <c r="F537" s="7"/>
      <c r="G537" s="7"/>
      <c r="H537" s="7"/>
      <c r="I537" s="7"/>
    </row>
    <row r="538" spans="1:9" ht="13.2">
      <c r="A538" s="5"/>
      <c r="B538" s="5"/>
      <c r="C538" s="5"/>
      <c r="D538" s="6">
        <f ca="1">IFERROR(__xludf.DUMMYFUNCTION("""COMPUTED_VALUE"""),0)</f>
        <v>0</v>
      </c>
      <c r="E538" s="7"/>
      <c r="F538" s="7"/>
      <c r="G538" s="7"/>
      <c r="H538" s="7"/>
      <c r="I538" s="7"/>
    </row>
    <row r="539" spans="1:9" ht="13.2">
      <c r="A539" s="5"/>
      <c r="B539" s="5"/>
      <c r="C539" s="5"/>
      <c r="D539" s="6">
        <f ca="1">IFERROR(__xludf.DUMMYFUNCTION("""COMPUTED_VALUE"""),0)</f>
        <v>0</v>
      </c>
      <c r="E539" s="7"/>
      <c r="F539" s="7"/>
      <c r="G539" s="7"/>
      <c r="H539" s="7"/>
      <c r="I539" s="7"/>
    </row>
    <row r="540" spans="1:9" ht="13.2">
      <c r="A540" s="5"/>
      <c r="B540" s="5"/>
      <c r="C540" s="5"/>
      <c r="D540" s="6">
        <f ca="1">IFERROR(__xludf.DUMMYFUNCTION("""COMPUTED_VALUE"""),0)</f>
        <v>0</v>
      </c>
      <c r="E540" s="7"/>
      <c r="F540" s="7"/>
      <c r="G540" s="7"/>
      <c r="H540" s="7"/>
      <c r="I540" s="7"/>
    </row>
    <row r="541" spans="1:9" ht="13.2">
      <c r="A541" s="5"/>
      <c r="B541" s="5"/>
      <c r="C541" s="5"/>
      <c r="D541" s="6">
        <f ca="1">IFERROR(__xludf.DUMMYFUNCTION("""COMPUTED_VALUE"""),0)</f>
        <v>0</v>
      </c>
      <c r="E541" s="7"/>
      <c r="F541" s="7"/>
      <c r="G541" s="7"/>
      <c r="H541" s="7"/>
      <c r="I541" s="7"/>
    </row>
    <row r="542" spans="1:9" ht="13.2">
      <c r="A542" s="5"/>
      <c r="B542" s="5"/>
      <c r="C542" s="5"/>
      <c r="D542" s="6">
        <f ca="1">IFERROR(__xludf.DUMMYFUNCTION("""COMPUTED_VALUE"""),0)</f>
        <v>0</v>
      </c>
      <c r="E542" s="7"/>
      <c r="F542" s="7"/>
      <c r="G542" s="7"/>
      <c r="H542" s="7"/>
      <c r="I542" s="7"/>
    </row>
    <row r="543" spans="1:9" ht="13.2">
      <c r="A543" s="5"/>
      <c r="B543" s="5"/>
      <c r="C543" s="5"/>
      <c r="D543" s="6">
        <f ca="1">IFERROR(__xludf.DUMMYFUNCTION("""COMPUTED_VALUE"""),0)</f>
        <v>0</v>
      </c>
      <c r="E543" s="7"/>
      <c r="F543" s="7"/>
      <c r="G543" s="7"/>
      <c r="H543" s="7"/>
      <c r="I543" s="7"/>
    </row>
    <row r="544" spans="1:9" ht="13.2">
      <c r="A544" s="5"/>
      <c r="B544" s="5"/>
      <c r="C544" s="5"/>
      <c r="D544" s="6">
        <f ca="1">IFERROR(__xludf.DUMMYFUNCTION("""COMPUTED_VALUE"""),0)</f>
        <v>0</v>
      </c>
      <c r="E544" s="7"/>
      <c r="F544" s="7"/>
      <c r="G544" s="7"/>
      <c r="H544" s="7"/>
      <c r="I544" s="7"/>
    </row>
    <row r="545" spans="1:9" ht="13.2">
      <c r="A545" s="5"/>
      <c r="B545" s="5"/>
      <c r="C545" s="5"/>
      <c r="D545" s="6">
        <f ca="1">IFERROR(__xludf.DUMMYFUNCTION("""COMPUTED_VALUE"""),0)</f>
        <v>0</v>
      </c>
      <c r="E545" s="7"/>
      <c r="F545" s="7"/>
      <c r="G545" s="7"/>
      <c r="H545" s="7"/>
      <c r="I545" s="7"/>
    </row>
    <row r="546" spans="1:9" ht="13.2">
      <c r="A546" s="5"/>
      <c r="B546" s="5"/>
      <c r="C546" s="5"/>
      <c r="D546" s="6">
        <f ca="1">IFERROR(__xludf.DUMMYFUNCTION("""COMPUTED_VALUE"""),0)</f>
        <v>0</v>
      </c>
      <c r="E546" s="7"/>
      <c r="F546" s="7"/>
      <c r="G546" s="7"/>
      <c r="H546" s="7"/>
      <c r="I546" s="7"/>
    </row>
    <row r="547" spans="1:9" ht="13.2">
      <c r="A547" s="5"/>
      <c r="B547" s="5"/>
      <c r="C547" s="5"/>
      <c r="D547" s="6">
        <f ca="1">IFERROR(__xludf.DUMMYFUNCTION("""COMPUTED_VALUE"""),0)</f>
        <v>0</v>
      </c>
      <c r="E547" s="7"/>
      <c r="F547" s="7"/>
      <c r="G547" s="7"/>
      <c r="H547" s="7"/>
      <c r="I547" s="7"/>
    </row>
    <row r="548" spans="1:9" ht="13.2">
      <c r="A548" s="5"/>
      <c r="B548" s="5"/>
      <c r="C548" s="5"/>
      <c r="D548" s="6">
        <f ca="1">IFERROR(__xludf.DUMMYFUNCTION("""COMPUTED_VALUE"""),0)</f>
        <v>0</v>
      </c>
      <c r="E548" s="7"/>
      <c r="F548" s="7"/>
      <c r="G548" s="7"/>
      <c r="H548" s="7"/>
      <c r="I548" s="7"/>
    </row>
    <row r="549" spans="1:9" ht="13.2">
      <c r="A549" s="5"/>
      <c r="B549" s="5"/>
      <c r="C549" s="5"/>
      <c r="D549" s="6">
        <f ca="1">IFERROR(__xludf.DUMMYFUNCTION("""COMPUTED_VALUE"""),0)</f>
        <v>0</v>
      </c>
      <c r="E549" s="7"/>
      <c r="F549" s="7"/>
      <c r="G549" s="7"/>
      <c r="H549" s="7"/>
      <c r="I549" s="7"/>
    </row>
    <row r="550" spans="1:9" ht="13.2">
      <c r="A550" s="5"/>
      <c r="B550" s="5"/>
      <c r="C550" s="5"/>
      <c r="D550" s="6">
        <f ca="1">IFERROR(__xludf.DUMMYFUNCTION("""COMPUTED_VALUE"""),0)</f>
        <v>0</v>
      </c>
      <c r="E550" s="7"/>
      <c r="F550" s="7"/>
      <c r="G550" s="7"/>
      <c r="H550" s="7"/>
      <c r="I550" s="7"/>
    </row>
    <row r="551" spans="1:9" ht="13.2">
      <c r="A551" s="5"/>
      <c r="B551" s="5"/>
      <c r="C551" s="5"/>
      <c r="D551" s="6">
        <f ca="1">IFERROR(__xludf.DUMMYFUNCTION("""COMPUTED_VALUE"""),0)</f>
        <v>0</v>
      </c>
      <c r="E551" s="7"/>
      <c r="F551" s="7"/>
      <c r="G551" s="7"/>
      <c r="H551" s="7"/>
      <c r="I551" s="7"/>
    </row>
    <row r="552" spans="1:9" ht="13.2">
      <c r="A552" s="5"/>
      <c r="B552" s="5"/>
      <c r="C552" s="5"/>
      <c r="D552" s="6">
        <f ca="1">IFERROR(__xludf.DUMMYFUNCTION("""COMPUTED_VALUE"""),0)</f>
        <v>0</v>
      </c>
      <c r="E552" s="7"/>
      <c r="F552" s="7"/>
      <c r="G552" s="7"/>
      <c r="H552" s="7"/>
      <c r="I552" s="7"/>
    </row>
    <row r="553" spans="1:9" ht="13.2">
      <c r="A553" s="5"/>
      <c r="B553" s="5"/>
      <c r="C553" s="5"/>
      <c r="D553" s="6">
        <f ca="1">IFERROR(__xludf.DUMMYFUNCTION("""COMPUTED_VALUE"""),0)</f>
        <v>0</v>
      </c>
      <c r="E553" s="7"/>
      <c r="F553" s="7"/>
      <c r="G553" s="7"/>
      <c r="H553" s="7"/>
      <c r="I553" s="7"/>
    </row>
    <row r="554" spans="1:9" ht="13.2">
      <c r="A554" s="5"/>
      <c r="B554" s="5"/>
      <c r="C554" s="5"/>
      <c r="D554" s="6">
        <f ca="1">IFERROR(__xludf.DUMMYFUNCTION("""COMPUTED_VALUE"""),0)</f>
        <v>0</v>
      </c>
      <c r="E554" s="7"/>
      <c r="F554" s="7"/>
      <c r="G554" s="7"/>
      <c r="H554" s="7"/>
      <c r="I554" s="7"/>
    </row>
    <row r="555" spans="1:9" ht="13.2">
      <c r="A555" s="5"/>
      <c r="B555" s="5"/>
      <c r="C555" s="5"/>
      <c r="D555" s="6">
        <f ca="1">IFERROR(__xludf.DUMMYFUNCTION("""COMPUTED_VALUE"""),0)</f>
        <v>0</v>
      </c>
      <c r="E555" s="7"/>
      <c r="F555" s="7"/>
      <c r="G555" s="7"/>
      <c r="H555" s="7"/>
      <c r="I555" s="7"/>
    </row>
    <row r="556" spans="1:9" ht="13.2">
      <c r="A556" s="5"/>
      <c r="B556" s="5"/>
      <c r="C556" s="5"/>
      <c r="D556" s="6">
        <f ca="1">IFERROR(__xludf.DUMMYFUNCTION("""COMPUTED_VALUE"""),0)</f>
        <v>0</v>
      </c>
      <c r="E556" s="7"/>
      <c r="F556" s="7"/>
      <c r="G556" s="7"/>
      <c r="H556" s="7"/>
      <c r="I556" s="7"/>
    </row>
    <row r="557" spans="1:9" ht="13.2">
      <c r="A557" s="5"/>
      <c r="B557" s="5"/>
      <c r="C557" s="5"/>
      <c r="D557" s="6">
        <f ca="1">IFERROR(__xludf.DUMMYFUNCTION("""COMPUTED_VALUE"""),0)</f>
        <v>0</v>
      </c>
      <c r="E557" s="7"/>
      <c r="F557" s="7"/>
      <c r="G557" s="7"/>
      <c r="H557" s="7"/>
      <c r="I557" s="7"/>
    </row>
    <row r="558" spans="1:9" ht="13.2">
      <c r="A558" s="5"/>
      <c r="B558" s="5"/>
      <c r="C558" s="5"/>
      <c r="D558" s="6">
        <f ca="1">IFERROR(__xludf.DUMMYFUNCTION("""COMPUTED_VALUE"""),0)</f>
        <v>0</v>
      </c>
      <c r="E558" s="7"/>
      <c r="F558" s="7"/>
      <c r="G558" s="7"/>
      <c r="H558" s="7"/>
      <c r="I558" s="7"/>
    </row>
    <row r="559" spans="1:9" ht="13.2">
      <c r="A559" s="5"/>
      <c r="B559" s="5"/>
      <c r="C559" s="5"/>
      <c r="D559" s="6">
        <f ca="1">IFERROR(__xludf.DUMMYFUNCTION("""COMPUTED_VALUE"""),0)</f>
        <v>0</v>
      </c>
      <c r="E559" s="7"/>
      <c r="F559" s="7"/>
      <c r="G559" s="7"/>
      <c r="H559" s="7"/>
      <c r="I559" s="7"/>
    </row>
    <row r="560" spans="1:9" ht="13.2">
      <c r="A560" s="5"/>
      <c r="B560" s="5"/>
      <c r="C560" s="5"/>
      <c r="D560" s="6">
        <f ca="1">IFERROR(__xludf.DUMMYFUNCTION("""COMPUTED_VALUE"""),0)</f>
        <v>0</v>
      </c>
      <c r="E560" s="7"/>
      <c r="F560" s="7"/>
      <c r="G560" s="7"/>
      <c r="H560" s="7"/>
      <c r="I560" s="7"/>
    </row>
    <row r="561" spans="1:9" ht="13.2">
      <c r="A561" s="5"/>
      <c r="B561" s="5"/>
      <c r="C561" s="5"/>
      <c r="D561" s="6">
        <f ca="1">IFERROR(__xludf.DUMMYFUNCTION("""COMPUTED_VALUE"""),0)</f>
        <v>0</v>
      </c>
      <c r="E561" s="7"/>
      <c r="F561" s="7"/>
      <c r="G561" s="7"/>
      <c r="H561" s="7"/>
      <c r="I561" s="7"/>
    </row>
    <row r="562" spans="1:9" ht="13.2">
      <c r="A562" s="5"/>
      <c r="B562" s="5"/>
      <c r="C562" s="5"/>
      <c r="D562" s="6">
        <f ca="1">IFERROR(__xludf.DUMMYFUNCTION("""COMPUTED_VALUE"""),0)</f>
        <v>0</v>
      </c>
      <c r="E562" s="7"/>
      <c r="F562" s="7"/>
      <c r="G562" s="7"/>
      <c r="H562" s="7"/>
      <c r="I562" s="7"/>
    </row>
    <row r="563" spans="1:9" ht="13.2">
      <c r="A563" s="5"/>
      <c r="B563" s="5"/>
      <c r="C563" s="5"/>
      <c r="D563" s="6">
        <f ca="1">IFERROR(__xludf.DUMMYFUNCTION("""COMPUTED_VALUE"""),0)</f>
        <v>0</v>
      </c>
      <c r="E563" s="7"/>
      <c r="F563" s="7"/>
      <c r="G563" s="7"/>
      <c r="H563" s="7"/>
      <c r="I563" s="7"/>
    </row>
    <row r="564" spans="1:9" ht="13.2">
      <c r="A564" s="5"/>
      <c r="B564" s="5"/>
      <c r="C564" s="5"/>
      <c r="D564" s="6">
        <f ca="1">IFERROR(__xludf.DUMMYFUNCTION("""COMPUTED_VALUE"""),0)</f>
        <v>0</v>
      </c>
      <c r="E564" s="7"/>
      <c r="F564" s="7"/>
      <c r="G564" s="7"/>
      <c r="H564" s="7"/>
      <c r="I564" s="7"/>
    </row>
    <row r="565" spans="1:9" ht="13.2">
      <c r="A565" s="5"/>
      <c r="B565" s="5"/>
      <c r="C565" s="5"/>
      <c r="D565" s="6">
        <f ca="1">IFERROR(__xludf.DUMMYFUNCTION("""COMPUTED_VALUE"""),0)</f>
        <v>0</v>
      </c>
      <c r="E565" s="7"/>
      <c r="F565" s="7"/>
      <c r="G565" s="7"/>
      <c r="H565" s="7"/>
      <c r="I565" s="7"/>
    </row>
    <row r="566" spans="1:9" ht="13.2">
      <c r="A566" s="5"/>
      <c r="B566" s="5"/>
      <c r="C566" s="5"/>
      <c r="D566" s="6">
        <f ca="1">IFERROR(__xludf.DUMMYFUNCTION("""COMPUTED_VALUE"""),0)</f>
        <v>0</v>
      </c>
      <c r="E566" s="7"/>
      <c r="F566" s="7"/>
      <c r="G566" s="7"/>
      <c r="H566" s="7"/>
      <c r="I566" s="7"/>
    </row>
    <row r="567" spans="1:9" ht="13.2">
      <c r="A567" s="5"/>
      <c r="B567" s="5"/>
      <c r="C567" s="5"/>
      <c r="D567" s="6">
        <f ca="1">IFERROR(__xludf.DUMMYFUNCTION("""COMPUTED_VALUE"""),0)</f>
        <v>0</v>
      </c>
      <c r="E567" s="7"/>
      <c r="F567" s="7"/>
      <c r="G567" s="7"/>
      <c r="H567" s="7"/>
      <c r="I567" s="7"/>
    </row>
    <row r="568" spans="1:9" ht="13.2">
      <c r="A568" s="5"/>
      <c r="B568" s="5"/>
      <c r="C568" s="5"/>
      <c r="D568" s="6">
        <f ca="1">IFERROR(__xludf.DUMMYFUNCTION("""COMPUTED_VALUE"""),0)</f>
        <v>0</v>
      </c>
      <c r="E568" s="7"/>
      <c r="F568" s="7"/>
      <c r="G568" s="7"/>
      <c r="H568" s="7"/>
      <c r="I568" s="7"/>
    </row>
    <row r="569" spans="1:9" ht="13.2">
      <c r="A569" s="5"/>
      <c r="B569" s="5"/>
      <c r="C569" s="5"/>
      <c r="D569" s="6">
        <f ca="1">IFERROR(__xludf.DUMMYFUNCTION("""COMPUTED_VALUE"""),0)</f>
        <v>0</v>
      </c>
      <c r="E569" s="7"/>
      <c r="F569" s="7"/>
      <c r="G569" s="7"/>
      <c r="H569" s="7"/>
      <c r="I569" s="7"/>
    </row>
    <row r="570" spans="1:9" ht="13.2">
      <c r="A570" s="5"/>
      <c r="B570" s="5"/>
      <c r="C570" s="5"/>
      <c r="D570" s="6">
        <f ca="1">IFERROR(__xludf.DUMMYFUNCTION("""COMPUTED_VALUE"""),0)</f>
        <v>0</v>
      </c>
      <c r="E570" s="7"/>
      <c r="F570" s="7"/>
      <c r="G570" s="7"/>
      <c r="H570" s="7"/>
      <c r="I570" s="7"/>
    </row>
    <row r="571" spans="1:9" ht="13.2">
      <c r="A571" s="5"/>
      <c r="B571" s="5"/>
      <c r="C571" s="5"/>
      <c r="D571" s="6">
        <f ca="1">IFERROR(__xludf.DUMMYFUNCTION("""COMPUTED_VALUE"""),0)</f>
        <v>0</v>
      </c>
      <c r="E571" s="7"/>
      <c r="F571" s="7"/>
      <c r="G571" s="7"/>
      <c r="H571" s="7"/>
      <c r="I571" s="7"/>
    </row>
    <row r="572" spans="1:9" ht="13.2">
      <c r="A572" s="5"/>
      <c r="B572" s="5"/>
      <c r="C572" s="5"/>
      <c r="D572" s="6">
        <f ca="1">IFERROR(__xludf.DUMMYFUNCTION("""COMPUTED_VALUE"""),0)</f>
        <v>0</v>
      </c>
      <c r="E572" s="7"/>
      <c r="F572" s="7"/>
      <c r="G572" s="7"/>
      <c r="H572" s="7"/>
      <c r="I572" s="7"/>
    </row>
    <row r="573" spans="1:9" ht="13.2">
      <c r="A573" s="5"/>
      <c r="B573" s="5"/>
      <c r="C573" s="5"/>
      <c r="D573" s="6">
        <f ca="1">IFERROR(__xludf.DUMMYFUNCTION("""COMPUTED_VALUE"""),0)</f>
        <v>0</v>
      </c>
      <c r="E573" s="7"/>
      <c r="F573" s="7"/>
      <c r="G573" s="7"/>
      <c r="H573" s="7"/>
      <c r="I573" s="7"/>
    </row>
    <row r="574" spans="1:9" ht="13.2">
      <c r="A574" s="5"/>
      <c r="B574" s="5"/>
      <c r="C574" s="5"/>
      <c r="D574" s="6">
        <f ca="1">IFERROR(__xludf.DUMMYFUNCTION("""COMPUTED_VALUE"""),0)</f>
        <v>0</v>
      </c>
      <c r="E574" s="7"/>
      <c r="F574" s="7"/>
      <c r="G574" s="7"/>
      <c r="H574" s="7"/>
      <c r="I574" s="7"/>
    </row>
    <row r="575" spans="1:9" ht="13.2">
      <c r="A575" s="5"/>
      <c r="B575" s="5"/>
      <c r="C575" s="5"/>
      <c r="D575" s="6">
        <f ca="1">IFERROR(__xludf.DUMMYFUNCTION("""COMPUTED_VALUE"""),0)</f>
        <v>0</v>
      </c>
      <c r="E575" s="7"/>
      <c r="F575" s="7"/>
      <c r="G575" s="7"/>
      <c r="H575" s="7"/>
      <c r="I575" s="7"/>
    </row>
    <row r="576" spans="1:9" ht="13.2">
      <c r="A576" s="5"/>
      <c r="B576" s="5"/>
      <c r="C576" s="5"/>
      <c r="D576" s="6">
        <f ca="1">IFERROR(__xludf.DUMMYFUNCTION("""COMPUTED_VALUE"""),0)</f>
        <v>0</v>
      </c>
      <c r="E576" s="7"/>
      <c r="F576" s="7"/>
      <c r="G576" s="7"/>
      <c r="H576" s="7"/>
      <c r="I576" s="7"/>
    </row>
    <row r="577" spans="1:9" ht="13.2">
      <c r="A577" s="5"/>
      <c r="B577" s="5"/>
      <c r="C577" s="5"/>
      <c r="D577" s="6">
        <f ca="1">IFERROR(__xludf.DUMMYFUNCTION("""COMPUTED_VALUE"""),0)</f>
        <v>0</v>
      </c>
      <c r="E577" s="7"/>
      <c r="F577" s="7"/>
      <c r="G577" s="7"/>
      <c r="H577" s="7"/>
      <c r="I577" s="7"/>
    </row>
    <row r="578" spans="1:9" ht="13.2">
      <c r="A578" s="5"/>
      <c r="B578" s="5"/>
      <c r="C578" s="5"/>
      <c r="D578" s="6">
        <f ca="1">IFERROR(__xludf.DUMMYFUNCTION("""COMPUTED_VALUE"""),0)</f>
        <v>0</v>
      </c>
      <c r="E578" s="7"/>
      <c r="F578" s="7"/>
      <c r="G578" s="7"/>
      <c r="H578" s="7"/>
      <c r="I578" s="7"/>
    </row>
    <row r="579" spans="1:9" ht="13.2">
      <c r="A579" s="5"/>
      <c r="B579" s="5"/>
      <c r="C579" s="5"/>
      <c r="D579" s="6">
        <f ca="1">IFERROR(__xludf.DUMMYFUNCTION("""COMPUTED_VALUE"""),0)</f>
        <v>0</v>
      </c>
      <c r="E579" s="7"/>
      <c r="F579" s="7"/>
      <c r="G579" s="7"/>
      <c r="H579" s="7"/>
      <c r="I579" s="7"/>
    </row>
    <row r="580" spans="1:9" ht="13.2">
      <c r="A580" s="5"/>
      <c r="B580" s="5"/>
      <c r="C580" s="5"/>
      <c r="D580" s="6">
        <f ca="1">IFERROR(__xludf.DUMMYFUNCTION("""COMPUTED_VALUE"""),0)</f>
        <v>0</v>
      </c>
      <c r="E580" s="7"/>
      <c r="F580" s="7"/>
      <c r="G580" s="7"/>
      <c r="H580" s="7"/>
      <c r="I580" s="7"/>
    </row>
    <row r="581" spans="1:9" ht="13.2">
      <c r="A581" s="5"/>
      <c r="B581" s="5"/>
      <c r="C581" s="5"/>
      <c r="D581" s="6">
        <f ca="1">IFERROR(__xludf.DUMMYFUNCTION("""COMPUTED_VALUE"""),0)</f>
        <v>0</v>
      </c>
      <c r="E581" s="7"/>
      <c r="F581" s="7"/>
      <c r="G581" s="7"/>
      <c r="H581" s="7"/>
      <c r="I581" s="7"/>
    </row>
    <row r="582" spans="1:9" ht="13.2">
      <c r="A582" s="5"/>
      <c r="B582" s="5"/>
      <c r="C582" s="5"/>
      <c r="D582" s="6">
        <f ca="1">IFERROR(__xludf.DUMMYFUNCTION("""COMPUTED_VALUE"""),0)</f>
        <v>0</v>
      </c>
      <c r="E582" s="7"/>
      <c r="F582" s="7"/>
      <c r="G582" s="7"/>
      <c r="H582" s="7"/>
      <c r="I582" s="7"/>
    </row>
    <row r="583" spans="1:9" ht="13.2">
      <c r="A583" s="5"/>
      <c r="B583" s="5"/>
      <c r="C583" s="5"/>
      <c r="D583" s="6">
        <f ca="1">IFERROR(__xludf.DUMMYFUNCTION("""COMPUTED_VALUE"""),0)</f>
        <v>0</v>
      </c>
      <c r="E583" s="7"/>
      <c r="F583" s="7"/>
      <c r="G583" s="7"/>
      <c r="H583" s="7"/>
      <c r="I583" s="7"/>
    </row>
    <row r="584" spans="1:9" ht="13.2">
      <c r="A584" s="5"/>
      <c r="B584" s="5"/>
      <c r="C584" s="5"/>
      <c r="D584" s="6">
        <f ca="1">IFERROR(__xludf.DUMMYFUNCTION("""COMPUTED_VALUE"""),0)</f>
        <v>0</v>
      </c>
      <c r="E584" s="7"/>
      <c r="F584" s="7"/>
      <c r="G584" s="7"/>
      <c r="H584" s="7"/>
      <c r="I584" s="7"/>
    </row>
    <row r="585" spans="1:9" ht="13.2">
      <c r="A585" s="5"/>
      <c r="B585" s="5"/>
      <c r="C585" s="5"/>
      <c r="D585" s="6">
        <f ca="1">IFERROR(__xludf.DUMMYFUNCTION("""COMPUTED_VALUE"""),0)</f>
        <v>0</v>
      </c>
      <c r="E585" s="7"/>
      <c r="F585" s="7"/>
      <c r="G585" s="7"/>
      <c r="H585" s="7"/>
      <c r="I585" s="7"/>
    </row>
    <row r="586" spans="1:9" ht="13.2">
      <c r="A586" s="5"/>
      <c r="B586" s="5"/>
      <c r="C586" s="5"/>
      <c r="D586" s="6">
        <f ca="1">IFERROR(__xludf.DUMMYFUNCTION("""COMPUTED_VALUE"""),0)</f>
        <v>0</v>
      </c>
      <c r="E586" s="7"/>
      <c r="F586" s="7"/>
      <c r="G586" s="7"/>
      <c r="H586" s="7"/>
      <c r="I586" s="7"/>
    </row>
    <row r="587" spans="1:9" ht="13.2">
      <c r="A587" s="5"/>
      <c r="B587" s="5"/>
      <c r="C587" s="5"/>
      <c r="D587" s="6">
        <f ca="1">IFERROR(__xludf.DUMMYFUNCTION("""COMPUTED_VALUE"""),0)</f>
        <v>0</v>
      </c>
      <c r="E587" s="7"/>
      <c r="F587" s="7"/>
      <c r="G587" s="7"/>
      <c r="H587" s="7"/>
      <c r="I587" s="7"/>
    </row>
    <row r="588" spans="1:9" ht="13.2">
      <c r="A588" s="5"/>
      <c r="B588" s="5"/>
      <c r="C588" s="5"/>
      <c r="D588" s="6">
        <f ca="1">IFERROR(__xludf.DUMMYFUNCTION("""COMPUTED_VALUE"""),0)</f>
        <v>0</v>
      </c>
      <c r="E588" s="7"/>
      <c r="F588" s="7"/>
      <c r="G588" s="7"/>
      <c r="H588" s="7"/>
      <c r="I588" s="7"/>
    </row>
    <row r="589" spans="1:9" ht="13.2">
      <c r="A589" s="5"/>
      <c r="B589" s="5"/>
      <c r="C589" s="5"/>
      <c r="D589" s="6">
        <f ca="1">IFERROR(__xludf.DUMMYFUNCTION("""COMPUTED_VALUE"""),0)</f>
        <v>0</v>
      </c>
      <c r="E589" s="7"/>
      <c r="F589" s="7"/>
      <c r="G589" s="7"/>
      <c r="H589" s="7"/>
      <c r="I589" s="7"/>
    </row>
    <row r="590" spans="1:9" ht="13.2">
      <c r="A590" s="5"/>
      <c r="B590" s="5"/>
      <c r="C590" s="5"/>
      <c r="D590" s="6">
        <f ca="1">IFERROR(__xludf.DUMMYFUNCTION("""COMPUTED_VALUE"""),0)</f>
        <v>0</v>
      </c>
      <c r="E590" s="7"/>
      <c r="F590" s="7"/>
      <c r="G590" s="7"/>
      <c r="H590" s="7"/>
      <c r="I590" s="7"/>
    </row>
    <row r="591" spans="1:9" ht="13.2">
      <c r="A591" s="5"/>
      <c r="B591" s="5"/>
      <c r="C591" s="5"/>
      <c r="D591" s="6">
        <f ca="1">IFERROR(__xludf.DUMMYFUNCTION("""COMPUTED_VALUE"""),0)</f>
        <v>0</v>
      </c>
      <c r="E591" s="7"/>
      <c r="F591" s="7"/>
      <c r="G591" s="7"/>
      <c r="H591" s="7"/>
      <c r="I591" s="7"/>
    </row>
    <row r="592" spans="1:9" ht="13.2">
      <c r="A592" s="5"/>
      <c r="B592" s="5"/>
      <c r="C592" s="5"/>
      <c r="D592" s="6">
        <f ca="1">IFERROR(__xludf.DUMMYFUNCTION("""COMPUTED_VALUE"""),0)</f>
        <v>0</v>
      </c>
      <c r="E592" s="7"/>
      <c r="F592" s="7"/>
      <c r="G592" s="7"/>
      <c r="H592" s="7"/>
      <c r="I592" s="7"/>
    </row>
    <row r="593" spans="1:9" ht="13.2">
      <c r="A593" s="5"/>
      <c r="B593" s="5"/>
      <c r="C593" s="5"/>
      <c r="D593" s="6">
        <f ca="1">IFERROR(__xludf.DUMMYFUNCTION("""COMPUTED_VALUE"""),0)</f>
        <v>0</v>
      </c>
      <c r="E593" s="7"/>
      <c r="F593" s="7"/>
      <c r="G593" s="7"/>
      <c r="H593" s="7"/>
      <c r="I593" s="7"/>
    </row>
    <row r="594" spans="1:9" ht="13.2">
      <c r="A594" s="5"/>
      <c r="B594" s="5"/>
      <c r="C594" s="5"/>
      <c r="D594" s="6">
        <f ca="1">IFERROR(__xludf.DUMMYFUNCTION("""COMPUTED_VALUE"""),0)</f>
        <v>0</v>
      </c>
      <c r="E594" s="7"/>
      <c r="F594" s="7"/>
      <c r="G594" s="7"/>
      <c r="H594" s="7"/>
      <c r="I594" s="7"/>
    </row>
    <row r="595" spans="1:9" ht="13.2">
      <c r="A595" s="5"/>
      <c r="B595" s="5"/>
      <c r="C595" s="5"/>
      <c r="D595" s="6">
        <f ca="1">IFERROR(__xludf.DUMMYFUNCTION("""COMPUTED_VALUE"""),0)</f>
        <v>0</v>
      </c>
      <c r="E595" s="7"/>
      <c r="F595" s="7"/>
      <c r="G595" s="7"/>
      <c r="H595" s="7"/>
      <c r="I595" s="7"/>
    </row>
    <row r="596" spans="1:9" ht="13.2">
      <c r="A596" s="5"/>
      <c r="B596" s="5"/>
      <c r="C596" s="5"/>
      <c r="D596" s="6">
        <f ca="1">IFERROR(__xludf.DUMMYFUNCTION("""COMPUTED_VALUE"""),0)</f>
        <v>0</v>
      </c>
      <c r="E596" s="7"/>
      <c r="F596" s="7"/>
      <c r="G596" s="7"/>
      <c r="H596" s="7"/>
      <c r="I596" s="7"/>
    </row>
    <row r="597" spans="1:9" ht="13.2">
      <c r="A597" s="5"/>
      <c r="B597" s="5"/>
      <c r="C597" s="5"/>
      <c r="D597" s="6">
        <f ca="1">IFERROR(__xludf.DUMMYFUNCTION("""COMPUTED_VALUE"""),0)</f>
        <v>0</v>
      </c>
      <c r="E597" s="7"/>
      <c r="F597" s="7"/>
      <c r="G597" s="7"/>
      <c r="H597" s="7"/>
      <c r="I597" s="7"/>
    </row>
    <row r="598" spans="1:9" ht="13.2">
      <c r="A598" s="5"/>
      <c r="B598" s="5"/>
      <c r="C598" s="5"/>
      <c r="D598" s="6">
        <f ca="1">IFERROR(__xludf.DUMMYFUNCTION("""COMPUTED_VALUE"""),0)</f>
        <v>0</v>
      </c>
      <c r="E598" s="7"/>
      <c r="F598" s="7"/>
      <c r="G598" s="7"/>
      <c r="H598" s="7"/>
      <c r="I598" s="7"/>
    </row>
    <row r="599" spans="1:9" ht="13.2">
      <c r="A599" s="5"/>
      <c r="B599" s="5"/>
      <c r="C599" s="5"/>
      <c r="D599" s="6">
        <f ca="1">IFERROR(__xludf.DUMMYFUNCTION("""COMPUTED_VALUE"""),0)</f>
        <v>0</v>
      </c>
      <c r="E599" s="7"/>
      <c r="F599" s="7"/>
      <c r="G599" s="7"/>
      <c r="H599" s="7"/>
      <c r="I599" s="7"/>
    </row>
    <row r="600" spans="1:9" ht="13.2">
      <c r="A600" s="5"/>
      <c r="B600" s="5"/>
      <c r="C600" s="5"/>
      <c r="D600" s="6">
        <f ca="1">IFERROR(__xludf.DUMMYFUNCTION("""COMPUTED_VALUE"""),0)</f>
        <v>0</v>
      </c>
      <c r="E600" s="7"/>
      <c r="F600" s="7"/>
      <c r="G600" s="7"/>
      <c r="H600" s="7"/>
      <c r="I600" s="7"/>
    </row>
    <row r="601" spans="1:9" ht="13.2">
      <c r="A601" s="5"/>
      <c r="B601" s="5"/>
      <c r="C601" s="5"/>
      <c r="D601" s="6">
        <f ca="1">IFERROR(__xludf.DUMMYFUNCTION("""COMPUTED_VALUE"""),0)</f>
        <v>0</v>
      </c>
      <c r="E601" s="7"/>
      <c r="F601" s="7"/>
      <c r="G601" s="7"/>
      <c r="H601" s="7"/>
      <c r="I601" s="7"/>
    </row>
    <row r="602" spans="1:9" ht="13.2">
      <c r="A602" s="5"/>
      <c r="B602" s="5"/>
      <c r="C602" s="5"/>
      <c r="D602" s="6">
        <f ca="1">IFERROR(__xludf.DUMMYFUNCTION("""COMPUTED_VALUE"""),0)</f>
        <v>0</v>
      </c>
      <c r="E602" s="7"/>
      <c r="F602" s="7"/>
      <c r="G602" s="7"/>
      <c r="H602" s="7"/>
      <c r="I602" s="7"/>
    </row>
    <row r="603" spans="1:9" ht="13.2">
      <c r="A603" s="5"/>
      <c r="B603" s="5"/>
      <c r="C603" s="5"/>
      <c r="D603" s="6">
        <f ca="1">IFERROR(__xludf.DUMMYFUNCTION("""COMPUTED_VALUE"""),0)</f>
        <v>0</v>
      </c>
      <c r="E603" s="7"/>
      <c r="F603" s="7"/>
      <c r="G603" s="7"/>
      <c r="H603" s="7"/>
      <c r="I603" s="7"/>
    </row>
    <row r="604" spans="1:9" ht="13.2">
      <c r="A604" s="5"/>
      <c r="B604" s="5"/>
      <c r="C604" s="5"/>
      <c r="D604" s="6">
        <f ca="1">IFERROR(__xludf.DUMMYFUNCTION("""COMPUTED_VALUE"""),0)</f>
        <v>0</v>
      </c>
      <c r="E604" s="7"/>
      <c r="F604" s="7"/>
      <c r="G604" s="7"/>
      <c r="H604" s="7"/>
      <c r="I604" s="7"/>
    </row>
    <row r="605" spans="1:9" ht="13.2">
      <c r="A605" s="5"/>
      <c r="B605" s="5"/>
      <c r="C605" s="5"/>
      <c r="D605" s="6">
        <f ca="1">IFERROR(__xludf.DUMMYFUNCTION("""COMPUTED_VALUE"""),0)</f>
        <v>0</v>
      </c>
      <c r="E605" s="7"/>
      <c r="F605" s="7"/>
      <c r="G605" s="7"/>
      <c r="H605" s="7"/>
      <c r="I605" s="7"/>
    </row>
    <row r="606" spans="1:9" ht="13.2">
      <c r="A606" s="5"/>
      <c r="B606" s="5"/>
      <c r="C606" s="5"/>
      <c r="D606" s="6">
        <f ca="1">IFERROR(__xludf.DUMMYFUNCTION("""COMPUTED_VALUE"""),0)</f>
        <v>0</v>
      </c>
      <c r="E606" s="7"/>
      <c r="F606" s="7"/>
      <c r="G606" s="7"/>
      <c r="H606" s="7"/>
      <c r="I606" s="7"/>
    </row>
    <row r="607" spans="1:9" ht="13.2">
      <c r="A607" s="5"/>
      <c r="B607" s="5"/>
      <c r="C607" s="5"/>
      <c r="D607" s="6">
        <f ca="1">IFERROR(__xludf.DUMMYFUNCTION("""COMPUTED_VALUE"""),0)</f>
        <v>0</v>
      </c>
      <c r="E607" s="7"/>
      <c r="F607" s="7"/>
      <c r="G607" s="7"/>
      <c r="H607" s="7"/>
      <c r="I607" s="7"/>
    </row>
    <row r="608" spans="1:9" ht="13.2">
      <c r="A608" s="5"/>
      <c r="B608" s="5"/>
      <c r="C608" s="5"/>
      <c r="D608" s="6">
        <f ca="1">IFERROR(__xludf.DUMMYFUNCTION("""COMPUTED_VALUE"""),0)</f>
        <v>0</v>
      </c>
      <c r="E608" s="7"/>
      <c r="F608" s="7"/>
      <c r="G608" s="7"/>
      <c r="H608" s="7"/>
      <c r="I608" s="7"/>
    </row>
    <row r="609" spans="1:9" ht="13.2">
      <c r="A609" s="5"/>
      <c r="B609" s="5"/>
      <c r="C609" s="5"/>
      <c r="D609" s="6">
        <f ca="1">IFERROR(__xludf.DUMMYFUNCTION("""COMPUTED_VALUE"""),0)</f>
        <v>0</v>
      </c>
      <c r="E609" s="7"/>
      <c r="F609" s="7"/>
      <c r="G609" s="7"/>
      <c r="H609" s="7"/>
      <c r="I609" s="7"/>
    </row>
    <row r="610" spans="1:9" ht="13.2">
      <c r="A610" s="5"/>
      <c r="B610" s="5"/>
      <c r="C610" s="5"/>
      <c r="D610" s="6">
        <f ca="1">IFERROR(__xludf.DUMMYFUNCTION("""COMPUTED_VALUE"""),0)</f>
        <v>0</v>
      </c>
      <c r="E610" s="7"/>
      <c r="F610" s="7"/>
      <c r="G610" s="7"/>
      <c r="H610" s="7"/>
      <c r="I610" s="7"/>
    </row>
    <row r="611" spans="1:9" ht="13.2">
      <c r="A611" s="5"/>
      <c r="B611" s="5"/>
      <c r="C611" s="5"/>
      <c r="D611" s="6">
        <f ca="1">IFERROR(__xludf.DUMMYFUNCTION("""COMPUTED_VALUE"""),0)</f>
        <v>0</v>
      </c>
      <c r="E611" s="7"/>
      <c r="F611" s="7"/>
      <c r="G611" s="7"/>
      <c r="H611" s="7"/>
      <c r="I611" s="7"/>
    </row>
    <row r="612" spans="1:9" ht="13.2">
      <c r="A612" s="5"/>
      <c r="B612" s="5"/>
      <c r="C612" s="5"/>
      <c r="D612" s="6">
        <f ca="1">IFERROR(__xludf.DUMMYFUNCTION("""COMPUTED_VALUE"""),0)</f>
        <v>0</v>
      </c>
      <c r="E612" s="7"/>
      <c r="F612" s="7"/>
      <c r="G612" s="7"/>
      <c r="H612" s="7"/>
      <c r="I612" s="7"/>
    </row>
    <row r="613" spans="1:9" ht="13.2">
      <c r="A613" s="5"/>
      <c r="B613" s="5"/>
      <c r="C613" s="5"/>
      <c r="D613" s="6">
        <f ca="1">IFERROR(__xludf.DUMMYFUNCTION("""COMPUTED_VALUE"""),0)</f>
        <v>0</v>
      </c>
      <c r="E613" s="7"/>
      <c r="F613" s="7"/>
      <c r="G613" s="7"/>
      <c r="H613" s="7"/>
      <c r="I613" s="7"/>
    </row>
    <row r="614" spans="1:9" ht="13.2">
      <c r="A614" s="5"/>
      <c r="B614" s="5"/>
      <c r="C614" s="5"/>
      <c r="D614" s="6">
        <f ca="1">IFERROR(__xludf.DUMMYFUNCTION("""COMPUTED_VALUE"""),0)</f>
        <v>0</v>
      </c>
      <c r="E614" s="7"/>
      <c r="F614" s="7"/>
      <c r="G614" s="7"/>
      <c r="H614" s="7"/>
      <c r="I614" s="7"/>
    </row>
    <row r="615" spans="1:9" ht="13.2">
      <c r="A615" s="5"/>
      <c r="B615" s="5"/>
      <c r="C615" s="5"/>
      <c r="D615" s="6">
        <f ca="1">IFERROR(__xludf.DUMMYFUNCTION("""COMPUTED_VALUE"""),0)</f>
        <v>0</v>
      </c>
      <c r="E615" s="7"/>
      <c r="F615" s="7"/>
      <c r="G615" s="7"/>
      <c r="H615" s="7"/>
      <c r="I615" s="7"/>
    </row>
    <row r="616" spans="1:9" ht="13.2">
      <c r="A616" s="5"/>
      <c r="B616" s="5"/>
      <c r="C616" s="5"/>
      <c r="D616" s="6">
        <f ca="1">IFERROR(__xludf.DUMMYFUNCTION("""COMPUTED_VALUE"""),0)</f>
        <v>0</v>
      </c>
      <c r="E616" s="7"/>
      <c r="F616" s="7"/>
      <c r="G616" s="7"/>
      <c r="H616" s="7"/>
      <c r="I616" s="7"/>
    </row>
    <row r="617" spans="1:9" ht="13.2">
      <c r="A617" s="5"/>
      <c r="B617" s="5"/>
      <c r="C617" s="5"/>
      <c r="D617" s="6">
        <f ca="1">IFERROR(__xludf.DUMMYFUNCTION("""COMPUTED_VALUE"""),0)</f>
        <v>0</v>
      </c>
      <c r="E617" s="7"/>
      <c r="F617" s="7"/>
      <c r="G617" s="7"/>
      <c r="H617" s="7"/>
      <c r="I617" s="7"/>
    </row>
    <row r="618" spans="1:9" ht="13.2">
      <c r="A618" s="5"/>
      <c r="B618" s="5"/>
      <c r="C618" s="5"/>
      <c r="D618" s="6">
        <f ca="1">IFERROR(__xludf.DUMMYFUNCTION("""COMPUTED_VALUE"""),0)</f>
        <v>0</v>
      </c>
      <c r="E618" s="7"/>
      <c r="F618" s="7"/>
      <c r="G618" s="7"/>
      <c r="H618" s="7"/>
      <c r="I618" s="7"/>
    </row>
    <row r="619" spans="1:9" ht="13.2">
      <c r="A619" s="5"/>
      <c r="B619" s="5"/>
      <c r="C619" s="5"/>
      <c r="D619" s="6">
        <f ca="1">IFERROR(__xludf.DUMMYFUNCTION("""COMPUTED_VALUE"""),0)</f>
        <v>0</v>
      </c>
      <c r="E619" s="7"/>
      <c r="F619" s="7"/>
      <c r="G619" s="7"/>
      <c r="H619" s="7"/>
      <c r="I619" s="7"/>
    </row>
    <row r="620" spans="1:9" ht="13.2">
      <c r="A620" s="5"/>
      <c r="B620" s="5"/>
      <c r="C620" s="5"/>
      <c r="D620" s="6">
        <f ca="1">IFERROR(__xludf.DUMMYFUNCTION("""COMPUTED_VALUE"""),0)</f>
        <v>0</v>
      </c>
      <c r="E620" s="7"/>
      <c r="F620" s="7"/>
      <c r="G620" s="7"/>
      <c r="H620" s="7"/>
      <c r="I620" s="7"/>
    </row>
    <row r="621" spans="1:9" ht="13.2">
      <c r="A621" s="5"/>
      <c r="B621" s="5"/>
      <c r="C621" s="5"/>
      <c r="D621" s="6">
        <f ca="1">IFERROR(__xludf.DUMMYFUNCTION("""COMPUTED_VALUE"""),0)</f>
        <v>0</v>
      </c>
      <c r="E621" s="7"/>
      <c r="F621" s="7"/>
      <c r="G621" s="7"/>
      <c r="H621" s="7"/>
      <c r="I621" s="7"/>
    </row>
    <row r="622" spans="1:9" ht="13.2">
      <c r="A622" s="5"/>
      <c r="B622" s="5"/>
      <c r="C622" s="5"/>
      <c r="D622" s="6">
        <f ca="1">IFERROR(__xludf.DUMMYFUNCTION("""COMPUTED_VALUE"""),0)</f>
        <v>0</v>
      </c>
      <c r="E622" s="7"/>
      <c r="F622" s="7"/>
      <c r="G622" s="7"/>
      <c r="H622" s="7"/>
      <c r="I622" s="7"/>
    </row>
    <row r="623" spans="1:9" ht="13.2">
      <c r="A623" s="5"/>
      <c r="B623" s="5"/>
      <c r="C623" s="5"/>
      <c r="D623" s="6">
        <f ca="1">IFERROR(__xludf.DUMMYFUNCTION("""COMPUTED_VALUE"""),0)</f>
        <v>0</v>
      </c>
      <c r="E623" s="7"/>
      <c r="F623" s="7"/>
      <c r="G623" s="7"/>
      <c r="H623" s="7"/>
      <c r="I623" s="7"/>
    </row>
    <row r="624" spans="1:9" ht="13.2">
      <c r="A624" s="5"/>
      <c r="B624" s="5"/>
      <c r="C624" s="5"/>
      <c r="D624" s="6">
        <f ca="1">IFERROR(__xludf.DUMMYFUNCTION("""COMPUTED_VALUE"""),0)</f>
        <v>0</v>
      </c>
      <c r="E624" s="7"/>
      <c r="F624" s="7"/>
      <c r="G624" s="7"/>
      <c r="H624" s="7"/>
      <c r="I624" s="7"/>
    </row>
    <row r="625" spans="1:9" ht="13.2">
      <c r="A625" s="5"/>
      <c r="B625" s="5"/>
      <c r="C625" s="5"/>
      <c r="D625" s="6">
        <f ca="1">IFERROR(__xludf.DUMMYFUNCTION("""COMPUTED_VALUE"""),0)</f>
        <v>0</v>
      </c>
      <c r="E625" s="7"/>
      <c r="F625" s="7"/>
      <c r="G625" s="7"/>
      <c r="H625" s="7"/>
      <c r="I625" s="7"/>
    </row>
    <row r="626" spans="1:9" ht="13.2">
      <c r="A626" s="5"/>
      <c r="B626" s="5"/>
      <c r="C626" s="5"/>
      <c r="D626" s="6">
        <f ca="1">IFERROR(__xludf.DUMMYFUNCTION("""COMPUTED_VALUE"""),0)</f>
        <v>0</v>
      </c>
      <c r="E626" s="7"/>
      <c r="F626" s="7"/>
      <c r="G626" s="7"/>
      <c r="H626" s="7"/>
      <c r="I626" s="7"/>
    </row>
    <row r="627" spans="1:9" ht="13.2">
      <c r="A627" s="5"/>
      <c r="B627" s="5"/>
      <c r="C627" s="5"/>
      <c r="D627" s="6">
        <f ca="1">IFERROR(__xludf.DUMMYFUNCTION("""COMPUTED_VALUE"""),0)</f>
        <v>0</v>
      </c>
      <c r="E627" s="7"/>
      <c r="F627" s="7"/>
      <c r="G627" s="7"/>
      <c r="H627" s="7"/>
      <c r="I627" s="7"/>
    </row>
    <row r="628" spans="1:9" ht="13.2">
      <c r="A628" s="5"/>
      <c r="B628" s="5"/>
      <c r="C628" s="5"/>
      <c r="D628" s="6">
        <f ca="1">IFERROR(__xludf.DUMMYFUNCTION("""COMPUTED_VALUE"""),0)</f>
        <v>0</v>
      </c>
      <c r="E628" s="7"/>
      <c r="F628" s="7"/>
      <c r="G628" s="7"/>
      <c r="H628" s="7"/>
      <c r="I628" s="7"/>
    </row>
    <row r="629" spans="1:9" ht="13.2">
      <c r="A629" s="5"/>
      <c r="B629" s="5"/>
      <c r="C629" s="5"/>
      <c r="D629" s="6">
        <f ca="1">IFERROR(__xludf.DUMMYFUNCTION("""COMPUTED_VALUE"""),0)</f>
        <v>0</v>
      </c>
      <c r="E629" s="7"/>
      <c r="F629" s="7"/>
      <c r="G629" s="7"/>
      <c r="H629" s="7"/>
      <c r="I629" s="7"/>
    </row>
    <row r="630" spans="1:9" ht="13.2">
      <c r="A630" s="5"/>
      <c r="B630" s="5"/>
      <c r="C630" s="5"/>
      <c r="D630" s="6">
        <f ca="1">IFERROR(__xludf.DUMMYFUNCTION("""COMPUTED_VALUE"""),0)</f>
        <v>0</v>
      </c>
      <c r="E630" s="7"/>
      <c r="F630" s="7"/>
      <c r="G630" s="7"/>
      <c r="H630" s="7"/>
      <c r="I630" s="7"/>
    </row>
    <row r="631" spans="1:9" ht="13.2">
      <c r="A631" s="5"/>
      <c r="B631" s="5"/>
      <c r="C631" s="5"/>
      <c r="D631" s="6">
        <f ca="1">IFERROR(__xludf.DUMMYFUNCTION("""COMPUTED_VALUE"""),0)</f>
        <v>0</v>
      </c>
      <c r="E631" s="7"/>
      <c r="F631" s="7"/>
      <c r="G631" s="7"/>
      <c r="H631" s="7"/>
      <c r="I631" s="7"/>
    </row>
    <row r="632" spans="1:9" ht="13.2">
      <c r="A632" s="5"/>
      <c r="B632" s="5"/>
      <c r="C632" s="5"/>
      <c r="D632" s="6">
        <f ca="1">IFERROR(__xludf.DUMMYFUNCTION("""COMPUTED_VALUE"""),0)</f>
        <v>0</v>
      </c>
      <c r="E632" s="7"/>
      <c r="F632" s="7"/>
      <c r="G632" s="7"/>
      <c r="H632" s="7"/>
      <c r="I632" s="7"/>
    </row>
    <row r="633" spans="1:9" ht="13.2">
      <c r="A633" s="5"/>
      <c r="B633" s="5"/>
      <c r="C633" s="5"/>
      <c r="D633" s="6">
        <f ca="1">IFERROR(__xludf.DUMMYFUNCTION("""COMPUTED_VALUE"""),0)</f>
        <v>0</v>
      </c>
      <c r="E633" s="7"/>
      <c r="F633" s="7"/>
      <c r="G633" s="7"/>
      <c r="H633" s="7"/>
      <c r="I633" s="7"/>
    </row>
    <row r="634" spans="1:9" ht="13.2">
      <c r="A634" s="5"/>
      <c r="B634" s="5"/>
      <c r="C634" s="5"/>
      <c r="D634" s="6">
        <f ca="1">IFERROR(__xludf.DUMMYFUNCTION("""COMPUTED_VALUE"""),0)</f>
        <v>0</v>
      </c>
      <c r="E634" s="7"/>
      <c r="F634" s="7"/>
      <c r="G634" s="7"/>
      <c r="H634" s="7"/>
      <c r="I634" s="7"/>
    </row>
    <row r="635" spans="1:9" ht="13.2">
      <c r="A635" s="5"/>
      <c r="B635" s="5"/>
      <c r="C635" s="5"/>
      <c r="D635" s="6">
        <f ca="1">IFERROR(__xludf.DUMMYFUNCTION("""COMPUTED_VALUE"""),0)</f>
        <v>0</v>
      </c>
      <c r="E635" s="7"/>
      <c r="F635" s="7"/>
      <c r="G635" s="7"/>
      <c r="H635" s="7"/>
      <c r="I635" s="7"/>
    </row>
    <row r="636" spans="1:9" ht="13.2">
      <c r="A636" s="5"/>
      <c r="B636" s="5"/>
      <c r="C636" s="5"/>
      <c r="D636" s="6">
        <f ca="1">IFERROR(__xludf.DUMMYFUNCTION("""COMPUTED_VALUE"""),0)</f>
        <v>0</v>
      </c>
      <c r="E636" s="7"/>
      <c r="F636" s="7"/>
      <c r="G636" s="7"/>
      <c r="H636" s="7"/>
      <c r="I636" s="7"/>
    </row>
    <row r="637" spans="1:9" ht="13.2">
      <c r="A637" s="5"/>
      <c r="B637" s="5"/>
      <c r="C637" s="5"/>
      <c r="D637" s="6">
        <f ca="1">IFERROR(__xludf.DUMMYFUNCTION("""COMPUTED_VALUE"""),0)</f>
        <v>0</v>
      </c>
      <c r="E637" s="7"/>
      <c r="F637" s="7"/>
      <c r="G637" s="7"/>
      <c r="H637" s="7"/>
      <c r="I637" s="7"/>
    </row>
    <row r="638" spans="1:9" ht="13.2">
      <c r="A638" s="5"/>
      <c r="B638" s="5"/>
      <c r="C638" s="5"/>
      <c r="D638" s="6">
        <f ca="1">IFERROR(__xludf.DUMMYFUNCTION("""COMPUTED_VALUE"""),0)</f>
        <v>0</v>
      </c>
      <c r="E638" s="7"/>
      <c r="F638" s="7"/>
      <c r="G638" s="7"/>
      <c r="H638" s="7"/>
      <c r="I638" s="7"/>
    </row>
    <row r="639" spans="1:9" ht="13.2">
      <c r="A639" s="5"/>
      <c r="B639" s="5"/>
      <c r="C639" s="5"/>
      <c r="D639" s="6">
        <f ca="1">IFERROR(__xludf.DUMMYFUNCTION("""COMPUTED_VALUE"""),0)</f>
        <v>0</v>
      </c>
      <c r="E639" s="7"/>
      <c r="F639" s="7"/>
      <c r="G639" s="7"/>
      <c r="H639" s="7"/>
      <c r="I639" s="7"/>
    </row>
    <row r="640" spans="1:9" ht="13.2">
      <c r="A640" s="5"/>
      <c r="B640" s="5"/>
      <c r="C640" s="5"/>
      <c r="D640" s="6">
        <f ca="1">IFERROR(__xludf.DUMMYFUNCTION("""COMPUTED_VALUE"""),0)</f>
        <v>0</v>
      </c>
      <c r="E640" s="7"/>
      <c r="F640" s="7"/>
      <c r="G640" s="7"/>
      <c r="H640" s="7"/>
      <c r="I640" s="7"/>
    </row>
    <row r="641" spans="1:9" ht="13.2">
      <c r="A641" s="5"/>
      <c r="B641" s="5"/>
      <c r="C641" s="5"/>
      <c r="D641" s="6">
        <f ca="1">IFERROR(__xludf.DUMMYFUNCTION("""COMPUTED_VALUE"""),0)</f>
        <v>0</v>
      </c>
      <c r="E641" s="7"/>
      <c r="F641" s="7"/>
      <c r="G641" s="7"/>
      <c r="H641" s="7"/>
      <c r="I641" s="7"/>
    </row>
    <row r="642" spans="1:9" ht="13.2">
      <c r="A642" s="5"/>
      <c r="B642" s="5"/>
      <c r="C642" s="5"/>
      <c r="D642" s="6">
        <f ca="1">IFERROR(__xludf.DUMMYFUNCTION("""COMPUTED_VALUE"""),0)</f>
        <v>0</v>
      </c>
      <c r="E642" s="7"/>
      <c r="F642" s="7"/>
      <c r="G642" s="7"/>
      <c r="H642" s="7"/>
      <c r="I642" s="7"/>
    </row>
    <row r="643" spans="1:9" ht="13.2">
      <c r="A643" s="5"/>
      <c r="B643" s="5"/>
      <c r="C643" s="5"/>
      <c r="D643" s="6">
        <f ca="1">IFERROR(__xludf.DUMMYFUNCTION("""COMPUTED_VALUE"""),0)</f>
        <v>0</v>
      </c>
      <c r="E643" s="7"/>
      <c r="F643" s="7"/>
      <c r="G643" s="7"/>
      <c r="H643" s="7"/>
      <c r="I643" s="7"/>
    </row>
    <row r="644" spans="1:9" ht="13.2">
      <c r="A644" s="5"/>
      <c r="B644" s="5"/>
      <c r="C644" s="5"/>
      <c r="D644" s="6">
        <f ca="1">IFERROR(__xludf.DUMMYFUNCTION("""COMPUTED_VALUE"""),0)</f>
        <v>0</v>
      </c>
      <c r="E644" s="7"/>
      <c r="F644" s="7"/>
      <c r="G644" s="7"/>
      <c r="H644" s="7"/>
      <c r="I644" s="7"/>
    </row>
    <row r="645" spans="1:9" ht="13.2">
      <c r="A645" s="5"/>
      <c r="B645" s="5"/>
      <c r="C645" s="5"/>
      <c r="D645" s="6">
        <f ca="1">IFERROR(__xludf.DUMMYFUNCTION("""COMPUTED_VALUE"""),0)</f>
        <v>0</v>
      </c>
      <c r="E645" s="7"/>
      <c r="F645" s="7"/>
      <c r="G645" s="7"/>
      <c r="H645" s="7"/>
      <c r="I645" s="7"/>
    </row>
    <row r="646" spans="1:9" ht="13.2">
      <c r="A646" s="5"/>
      <c r="B646" s="5"/>
      <c r="C646" s="5"/>
      <c r="D646" s="6">
        <f ca="1">IFERROR(__xludf.DUMMYFUNCTION("""COMPUTED_VALUE"""),0)</f>
        <v>0</v>
      </c>
      <c r="E646" s="7"/>
      <c r="F646" s="7"/>
      <c r="G646" s="7"/>
      <c r="H646" s="7"/>
      <c r="I646" s="7"/>
    </row>
    <row r="647" spans="1:9" ht="13.2">
      <c r="A647" s="5"/>
      <c r="B647" s="5"/>
      <c r="C647" s="5"/>
      <c r="D647" s="6">
        <f ca="1">IFERROR(__xludf.DUMMYFUNCTION("""COMPUTED_VALUE"""),0)</f>
        <v>0</v>
      </c>
      <c r="E647" s="7"/>
      <c r="F647" s="7"/>
      <c r="G647" s="7"/>
      <c r="H647" s="7"/>
      <c r="I647" s="7"/>
    </row>
    <row r="648" spans="1:9" ht="13.2">
      <c r="A648" s="5"/>
      <c r="B648" s="5"/>
      <c r="C648" s="5"/>
      <c r="D648" s="6">
        <f ca="1">IFERROR(__xludf.DUMMYFUNCTION("""COMPUTED_VALUE"""),0)</f>
        <v>0</v>
      </c>
      <c r="E648" s="7"/>
      <c r="F648" s="7"/>
      <c r="G648" s="7"/>
      <c r="H648" s="7"/>
      <c r="I648" s="7"/>
    </row>
    <row r="649" spans="1:9" ht="13.2">
      <c r="A649" s="5"/>
      <c r="B649" s="5"/>
      <c r="C649" s="5"/>
      <c r="D649" s="6">
        <f ca="1">IFERROR(__xludf.DUMMYFUNCTION("""COMPUTED_VALUE"""),0)</f>
        <v>0</v>
      </c>
      <c r="E649" s="7"/>
      <c r="F649" s="7"/>
      <c r="G649" s="7"/>
      <c r="H649" s="7"/>
      <c r="I649" s="7"/>
    </row>
    <row r="650" spans="1:9" ht="13.2">
      <c r="A650" s="5"/>
      <c r="B650" s="5"/>
      <c r="C650" s="5"/>
      <c r="D650" s="6">
        <f ca="1">IFERROR(__xludf.DUMMYFUNCTION("""COMPUTED_VALUE"""),0)</f>
        <v>0</v>
      </c>
      <c r="E650" s="7"/>
      <c r="F650" s="7"/>
      <c r="G650" s="7"/>
      <c r="H650" s="7"/>
      <c r="I650" s="7"/>
    </row>
    <row r="651" spans="1:9" ht="13.2">
      <c r="A651" s="5"/>
      <c r="B651" s="5"/>
      <c r="C651" s="5"/>
      <c r="D651" s="6">
        <f ca="1">IFERROR(__xludf.DUMMYFUNCTION("""COMPUTED_VALUE"""),0)</f>
        <v>0</v>
      </c>
      <c r="E651" s="7"/>
      <c r="F651" s="7"/>
      <c r="G651" s="7"/>
      <c r="H651" s="7"/>
      <c r="I651" s="7"/>
    </row>
    <row r="652" spans="1:9" ht="13.2">
      <c r="A652" s="5"/>
      <c r="B652" s="5"/>
      <c r="C652" s="5"/>
      <c r="D652" s="6">
        <f ca="1">IFERROR(__xludf.DUMMYFUNCTION("""COMPUTED_VALUE"""),0)</f>
        <v>0</v>
      </c>
      <c r="E652" s="7"/>
      <c r="F652" s="7"/>
      <c r="G652" s="7"/>
      <c r="H652" s="7"/>
      <c r="I652" s="7"/>
    </row>
    <row r="653" spans="1:9" ht="13.2">
      <c r="A653" s="5"/>
      <c r="B653" s="5"/>
      <c r="C653" s="5"/>
      <c r="D653" s="6">
        <f ca="1">IFERROR(__xludf.DUMMYFUNCTION("""COMPUTED_VALUE"""),0)</f>
        <v>0</v>
      </c>
      <c r="E653" s="7"/>
      <c r="F653" s="7"/>
      <c r="G653" s="7"/>
      <c r="H653" s="7"/>
      <c r="I653" s="7"/>
    </row>
    <row r="654" spans="1:9" ht="13.2">
      <c r="A654" s="5"/>
      <c r="B654" s="5"/>
      <c r="C654" s="5"/>
      <c r="D654" s="6">
        <f ca="1">IFERROR(__xludf.DUMMYFUNCTION("""COMPUTED_VALUE"""),0)</f>
        <v>0</v>
      </c>
      <c r="E654" s="7"/>
      <c r="F654" s="7"/>
      <c r="G654" s="7"/>
      <c r="H654" s="7"/>
      <c r="I654" s="7"/>
    </row>
    <row r="655" spans="1:9" ht="13.2">
      <c r="A655" s="5"/>
      <c r="B655" s="5"/>
      <c r="C655" s="5"/>
      <c r="D655" s="6">
        <f ca="1">IFERROR(__xludf.DUMMYFUNCTION("""COMPUTED_VALUE"""),0)</f>
        <v>0</v>
      </c>
      <c r="E655" s="7"/>
      <c r="F655" s="7"/>
      <c r="G655" s="7"/>
      <c r="H655" s="7"/>
      <c r="I655" s="7"/>
    </row>
    <row r="656" spans="1:9" ht="13.2">
      <c r="A656" s="5"/>
      <c r="B656" s="5"/>
      <c r="C656" s="5"/>
      <c r="D656" s="6">
        <f ca="1">IFERROR(__xludf.DUMMYFUNCTION("""COMPUTED_VALUE"""),0)</f>
        <v>0</v>
      </c>
      <c r="E656" s="7"/>
      <c r="F656" s="7"/>
      <c r="G656" s="7"/>
      <c r="H656" s="7"/>
      <c r="I656" s="7"/>
    </row>
    <row r="657" spans="1:9" ht="13.2">
      <c r="A657" s="5"/>
      <c r="B657" s="5"/>
      <c r="C657" s="5"/>
      <c r="D657" s="6">
        <f ca="1">IFERROR(__xludf.DUMMYFUNCTION("""COMPUTED_VALUE"""),0)</f>
        <v>0</v>
      </c>
      <c r="E657" s="7"/>
      <c r="F657" s="7"/>
      <c r="G657" s="7"/>
      <c r="H657" s="7"/>
      <c r="I657" s="7"/>
    </row>
    <row r="658" spans="1:9" ht="13.2">
      <c r="A658" s="5"/>
      <c r="B658" s="5"/>
      <c r="C658" s="5"/>
      <c r="D658" s="6">
        <f ca="1">IFERROR(__xludf.DUMMYFUNCTION("""COMPUTED_VALUE"""),0)</f>
        <v>0</v>
      </c>
      <c r="E658" s="7"/>
      <c r="F658" s="7"/>
      <c r="G658" s="7"/>
      <c r="H658" s="7"/>
      <c r="I658" s="7"/>
    </row>
    <row r="659" spans="1:9" ht="13.2">
      <c r="A659" s="5"/>
      <c r="B659" s="5"/>
      <c r="C659" s="5"/>
      <c r="D659" s="6">
        <f ca="1">IFERROR(__xludf.DUMMYFUNCTION("""COMPUTED_VALUE"""),0)</f>
        <v>0</v>
      </c>
      <c r="E659" s="7"/>
      <c r="F659" s="7"/>
      <c r="G659" s="7"/>
      <c r="H659" s="7"/>
      <c r="I659" s="7"/>
    </row>
    <row r="660" spans="1:9" ht="13.2">
      <c r="A660" s="5"/>
      <c r="B660" s="5"/>
      <c r="C660" s="5"/>
      <c r="D660" s="6">
        <f ca="1">IFERROR(__xludf.DUMMYFUNCTION("""COMPUTED_VALUE"""),0)</f>
        <v>0</v>
      </c>
      <c r="E660" s="7"/>
      <c r="F660" s="7"/>
      <c r="G660" s="7"/>
      <c r="H660" s="7"/>
      <c r="I660" s="7"/>
    </row>
    <row r="661" spans="1:9" ht="13.2">
      <c r="A661" s="5"/>
      <c r="B661" s="5"/>
      <c r="C661" s="5"/>
      <c r="D661" s="6">
        <f ca="1">IFERROR(__xludf.DUMMYFUNCTION("""COMPUTED_VALUE"""),0)</f>
        <v>0</v>
      </c>
      <c r="E661" s="7"/>
      <c r="F661" s="7"/>
      <c r="G661" s="7"/>
      <c r="H661" s="7"/>
      <c r="I661" s="7"/>
    </row>
    <row r="662" spans="1:9" ht="13.2">
      <c r="A662" s="5"/>
      <c r="B662" s="5"/>
      <c r="C662" s="5"/>
      <c r="D662" s="6">
        <f ca="1">IFERROR(__xludf.DUMMYFUNCTION("""COMPUTED_VALUE"""),0)</f>
        <v>0</v>
      </c>
      <c r="E662" s="7"/>
      <c r="F662" s="7"/>
      <c r="G662" s="7"/>
      <c r="H662" s="7"/>
      <c r="I662" s="7"/>
    </row>
    <row r="663" spans="1:9" ht="13.2">
      <c r="A663" s="5"/>
      <c r="B663" s="5"/>
      <c r="C663" s="5"/>
      <c r="D663" s="6">
        <f ca="1">IFERROR(__xludf.DUMMYFUNCTION("""COMPUTED_VALUE"""),0)</f>
        <v>0</v>
      </c>
      <c r="E663" s="7"/>
      <c r="F663" s="7"/>
      <c r="G663" s="7"/>
      <c r="H663" s="7"/>
      <c r="I663" s="7"/>
    </row>
    <row r="664" spans="1:9" ht="13.2">
      <c r="A664" s="5"/>
      <c r="B664" s="5"/>
      <c r="C664" s="5"/>
      <c r="D664" s="6">
        <f ca="1">IFERROR(__xludf.DUMMYFUNCTION("""COMPUTED_VALUE"""),0)</f>
        <v>0</v>
      </c>
      <c r="E664" s="7"/>
      <c r="F664" s="7"/>
      <c r="G664" s="7"/>
      <c r="H664" s="7"/>
      <c r="I664" s="7"/>
    </row>
    <row r="665" spans="1:9" ht="13.2">
      <c r="A665" s="5"/>
      <c r="B665" s="5"/>
      <c r="C665" s="5"/>
      <c r="D665" s="6">
        <f ca="1">IFERROR(__xludf.DUMMYFUNCTION("""COMPUTED_VALUE"""),0)</f>
        <v>0</v>
      </c>
      <c r="E665" s="7"/>
      <c r="F665" s="7"/>
      <c r="G665" s="7"/>
      <c r="H665" s="7"/>
      <c r="I665" s="7"/>
    </row>
    <row r="666" spans="1:9" ht="13.2">
      <c r="A666" s="5"/>
      <c r="B666" s="5"/>
      <c r="C666" s="5"/>
      <c r="D666" s="6">
        <f ca="1">IFERROR(__xludf.DUMMYFUNCTION("""COMPUTED_VALUE"""),0)</f>
        <v>0</v>
      </c>
      <c r="E666" s="7"/>
      <c r="F666" s="7"/>
      <c r="G666" s="7"/>
      <c r="H666" s="7"/>
      <c r="I666" s="7"/>
    </row>
    <row r="667" spans="1:9" ht="13.2">
      <c r="A667" s="5"/>
      <c r="B667" s="5"/>
      <c r="C667" s="5"/>
      <c r="D667" s="6">
        <f ca="1">IFERROR(__xludf.DUMMYFUNCTION("""COMPUTED_VALUE"""),0)</f>
        <v>0</v>
      </c>
      <c r="E667" s="7"/>
      <c r="F667" s="7"/>
      <c r="G667" s="7"/>
      <c r="H667" s="7"/>
      <c r="I667" s="7"/>
    </row>
    <row r="668" spans="1:9" ht="13.2">
      <c r="A668" s="5"/>
      <c r="B668" s="5"/>
      <c r="C668" s="5"/>
      <c r="D668" s="6">
        <f ca="1">IFERROR(__xludf.DUMMYFUNCTION("""COMPUTED_VALUE"""),0)</f>
        <v>0</v>
      </c>
      <c r="E668" s="7"/>
      <c r="F668" s="7"/>
      <c r="G668" s="7"/>
      <c r="H668" s="7"/>
      <c r="I668" s="7"/>
    </row>
    <row r="669" spans="1:9" ht="13.2">
      <c r="A669" s="5"/>
      <c r="B669" s="5"/>
      <c r="C669" s="5"/>
      <c r="D669" s="6">
        <f ca="1">IFERROR(__xludf.DUMMYFUNCTION("""COMPUTED_VALUE"""),0)</f>
        <v>0</v>
      </c>
      <c r="E669" s="7"/>
      <c r="F669" s="7"/>
      <c r="G669" s="7"/>
      <c r="H669" s="7"/>
      <c r="I669" s="7"/>
    </row>
    <row r="670" spans="1:9" ht="13.2">
      <c r="A670" s="5"/>
      <c r="B670" s="5"/>
      <c r="C670" s="5"/>
      <c r="D670" s="6">
        <f ca="1">IFERROR(__xludf.DUMMYFUNCTION("""COMPUTED_VALUE"""),0)</f>
        <v>0</v>
      </c>
      <c r="E670" s="7"/>
      <c r="F670" s="7"/>
      <c r="G670" s="7"/>
      <c r="H670" s="7"/>
      <c r="I670" s="7"/>
    </row>
    <row r="671" spans="1:9" ht="13.2">
      <c r="A671" s="5"/>
      <c r="B671" s="5"/>
      <c r="C671" s="5"/>
      <c r="D671" s="6">
        <f ca="1">IFERROR(__xludf.DUMMYFUNCTION("""COMPUTED_VALUE"""),0)</f>
        <v>0</v>
      </c>
      <c r="E671" s="7"/>
      <c r="F671" s="7"/>
      <c r="G671" s="7"/>
      <c r="H671" s="7"/>
      <c r="I671" s="7"/>
    </row>
    <row r="672" spans="1:9" ht="13.2">
      <c r="A672" s="5"/>
      <c r="B672" s="5"/>
      <c r="C672" s="5"/>
      <c r="D672" s="6">
        <f ca="1">IFERROR(__xludf.DUMMYFUNCTION("""COMPUTED_VALUE"""),0)</f>
        <v>0</v>
      </c>
      <c r="E672" s="7"/>
      <c r="F672" s="7"/>
      <c r="G672" s="7"/>
      <c r="H672" s="7"/>
      <c r="I672" s="7"/>
    </row>
    <row r="673" spans="1:9" ht="13.2">
      <c r="A673" s="5"/>
      <c r="B673" s="5"/>
      <c r="C673" s="5"/>
      <c r="D673" s="6">
        <f ca="1">IFERROR(__xludf.DUMMYFUNCTION("""COMPUTED_VALUE"""),0)</f>
        <v>0</v>
      </c>
      <c r="E673" s="7"/>
      <c r="F673" s="7"/>
      <c r="G673" s="7"/>
      <c r="H673" s="7"/>
      <c r="I673" s="7"/>
    </row>
    <row r="674" spans="1:9" ht="13.2">
      <c r="A674" s="5"/>
      <c r="B674" s="5"/>
      <c r="C674" s="5"/>
      <c r="D674" s="6">
        <f ca="1">IFERROR(__xludf.DUMMYFUNCTION("""COMPUTED_VALUE"""),0)</f>
        <v>0</v>
      </c>
      <c r="E674" s="7"/>
      <c r="F674" s="7"/>
      <c r="G674" s="7"/>
      <c r="H674" s="7"/>
      <c r="I674" s="7"/>
    </row>
    <row r="675" spans="1:9" ht="13.2">
      <c r="A675" s="5"/>
      <c r="B675" s="5"/>
      <c r="C675" s="5"/>
      <c r="D675" s="6">
        <f ca="1">IFERROR(__xludf.DUMMYFUNCTION("""COMPUTED_VALUE"""),0)</f>
        <v>0</v>
      </c>
      <c r="E675" s="7"/>
      <c r="F675" s="7"/>
      <c r="G675" s="7"/>
      <c r="H675" s="7"/>
      <c r="I675" s="7"/>
    </row>
    <row r="676" spans="1:9" ht="13.2">
      <c r="A676" s="5"/>
      <c r="B676" s="5"/>
      <c r="C676" s="5"/>
      <c r="D676" s="6">
        <f ca="1">IFERROR(__xludf.DUMMYFUNCTION("""COMPUTED_VALUE"""),0)</f>
        <v>0</v>
      </c>
      <c r="E676" s="7"/>
      <c r="F676" s="7"/>
      <c r="G676" s="7"/>
      <c r="H676" s="7"/>
      <c r="I676" s="7"/>
    </row>
    <row r="677" spans="1:9" ht="13.2">
      <c r="A677" s="5"/>
      <c r="B677" s="5"/>
      <c r="C677" s="5"/>
      <c r="D677" s="6">
        <f ca="1">IFERROR(__xludf.DUMMYFUNCTION("""COMPUTED_VALUE"""),0)</f>
        <v>0</v>
      </c>
      <c r="E677" s="7"/>
      <c r="F677" s="7"/>
      <c r="G677" s="7"/>
      <c r="H677" s="7"/>
      <c r="I677" s="7"/>
    </row>
    <row r="678" spans="1:9" ht="13.2">
      <c r="A678" s="5"/>
      <c r="B678" s="5"/>
      <c r="C678" s="5"/>
      <c r="D678" s="6">
        <f ca="1">IFERROR(__xludf.DUMMYFUNCTION("""COMPUTED_VALUE"""),0)</f>
        <v>0</v>
      </c>
      <c r="E678" s="7"/>
      <c r="F678" s="7"/>
      <c r="G678" s="7"/>
      <c r="H678" s="7"/>
      <c r="I678" s="7"/>
    </row>
    <row r="679" spans="1:9" ht="13.2">
      <c r="A679" s="5"/>
      <c r="B679" s="5"/>
      <c r="C679" s="5"/>
      <c r="D679" s="6">
        <f ca="1">IFERROR(__xludf.DUMMYFUNCTION("""COMPUTED_VALUE"""),0)</f>
        <v>0</v>
      </c>
      <c r="E679" s="7"/>
      <c r="F679" s="7"/>
      <c r="G679" s="7"/>
      <c r="H679" s="7"/>
      <c r="I679" s="7"/>
    </row>
    <row r="680" spans="1:9" ht="13.2">
      <c r="A680" s="5"/>
      <c r="B680" s="5"/>
      <c r="C680" s="5"/>
      <c r="D680" s="6">
        <f ca="1">IFERROR(__xludf.DUMMYFUNCTION("""COMPUTED_VALUE"""),0)</f>
        <v>0</v>
      </c>
      <c r="E680" s="7"/>
      <c r="F680" s="7"/>
      <c r="G680" s="7"/>
      <c r="H680" s="7"/>
      <c r="I680" s="7"/>
    </row>
    <row r="681" spans="1:9" ht="13.2">
      <c r="A681" s="5"/>
      <c r="B681" s="5"/>
      <c r="C681" s="5"/>
      <c r="D681" s="6">
        <f ca="1">IFERROR(__xludf.DUMMYFUNCTION("""COMPUTED_VALUE"""),0)</f>
        <v>0</v>
      </c>
      <c r="E681" s="7"/>
      <c r="F681" s="7"/>
      <c r="G681" s="7"/>
      <c r="H681" s="7"/>
      <c r="I681" s="7"/>
    </row>
    <row r="682" spans="1:9" ht="13.2">
      <c r="A682" s="5"/>
      <c r="B682" s="5"/>
      <c r="C682" s="5"/>
      <c r="D682" s="6">
        <f ca="1">IFERROR(__xludf.DUMMYFUNCTION("""COMPUTED_VALUE"""),0)</f>
        <v>0</v>
      </c>
      <c r="E682" s="7"/>
      <c r="F682" s="7"/>
      <c r="G682" s="7"/>
      <c r="H682" s="7"/>
      <c r="I682" s="7"/>
    </row>
    <row r="683" spans="1:9" ht="13.2">
      <c r="A683" s="5"/>
      <c r="B683" s="5"/>
      <c r="C683" s="5"/>
      <c r="D683" s="6">
        <f ca="1">IFERROR(__xludf.DUMMYFUNCTION("""COMPUTED_VALUE"""),0)</f>
        <v>0</v>
      </c>
      <c r="E683" s="7"/>
      <c r="F683" s="7"/>
      <c r="G683" s="7"/>
      <c r="H683" s="7"/>
      <c r="I683" s="7"/>
    </row>
    <row r="684" spans="1:9" ht="13.2">
      <c r="A684" s="5"/>
      <c r="B684" s="5"/>
      <c r="C684" s="5"/>
      <c r="D684" s="6">
        <f ca="1">IFERROR(__xludf.DUMMYFUNCTION("""COMPUTED_VALUE"""),0)</f>
        <v>0</v>
      </c>
      <c r="E684" s="7"/>
      <c r="F684" s="7"/>
      <c r="G684" s="7"/>
      <c r="H684" s="7"/>
      <c r="I684" s="7"/>
    </row>
    <row r="685" spans="1:9" ht="13.2">
      <c r="A685" s="5"/>
      <c r="B685" s="5"/>
      <c r="C685" s="5"/>
      <c r="D685" s="6">
        <f ca="1">IFERROR(__xludf.DUMMYFUNCTION("""COMPUTED_VALUE"""),0)</f>
        <v>0</v>
      </c>
      <c r="E685" s="7"/>
      <c r="F685" s="7"/>
      <c r="G685" s="7"/>
      <c r="H685" s="7"/>
      <c r="I685" s="7"/>
    </row>
    <row r="686" spans="1:9" ht="13.2">
      <c r="A686" s="5"/>
      <c r="B686" s="5"/>
      <c r="C686" s="5"/>
      <c r="D686" s="6">
        <f ca="1">IFERROR(__xludf.DUMMYFUNCTION("""COMPUTED_VALUE"""),0)</f>
        <v>0</v>
      </c>
      <c r="E686" s="7"/>
      <c r="F686" s="7"/>
      <c r="G686" s="7"/>
      <c r="H686" s="7"/>
      <c r="I686" s="7"/>
    </row>
    <row r="687" spans="1:9" ht="13.2">
      <c r="A687" s="5"/>
      <c r="B687" s="5"/>
      <c r="C687" s="5"/>
      <c r="D687" s="6">
        <f ca="1">IFERROR(__xludf.DUMMYFUNCTION("""COMPUTED_VALUE"""),0)</f>
        <v>0</v>
      </c>
      <c r="E687" s="7"/>
      <c r="F687" s="7"/>
      <c r="G687" s="7"/>
      <c r="H687" s="7"/>
      <c r="I687" s="7"/>
    </row>
    <row r="688" spans="1:9" ht="13.2">
      <c r="A688" s="5"/>
      <c r="B688" s="5"/>
      <c r="C688" s="5"/>
      <c r="D688" s="6">
        <f ca="1">IFERROR(__xludf.DUMMYFUNCTION("""COMPUTED_VALUE"""),0)</f>
        <v>0</v>
      </c>
      <c r="E688" s="7"/>
      <c r="F688" s="7"/>
      <c r="G688" s="7"/>
      <c r="H688" s="7"/>
      <c r="I688" s="7"/>
    </row>
    <row r="689" spans="1:9" ht="13.2">
      <c r="A689" s="5"/>
      <c r="B689" s="5"/>
      <c r="C689" s="5"/>
      <c r="D689" s="6">
        <f ca="1">IFERROR(__xludf.DUMMYFUNCTION("""COMPUTED_VALUE"""),0)</f>
        <v>0</v>
      </c>
      <c r="E689" s="7"/>
      <c r="F689" s="7"/>
      <c r="G689" s="7"/>
      <c r="H689" s="7"/>
      <c r="I689" s="7"/>
    </row>
    <row r="690" spans="1:9" ht="13.2">
      <c r="A690" s="5"/>
      <c r="B690" s="5"/>
      <c r="C690" s="5"/>
      <c r="D690" s="6">
        <f ca="1">IFERROR(__xludf.DUMMYFUNCTION("""COMPUTED_VALUE"""),0)</f>
        <v>0</v>
      </c>
      <c r="E690" s="7"/>
      <c r="F690" s="7"/>
      <c r="G690" s="7"/>
      <c r="H690" s="7"/>
      <c r="I690" s="7"/>
    </row>
    <row r="691" spans="1:9" ht="13.2">
      <c r="A691" s="5"/>
      <c r="B691" s="5"/>
      <c r="C691" s="5"/>
      <c r="D691" s="6">
        <f ca="1">IFERROR(__xludf.DUMMYFUNCTION("""COMPUTED_VALUE"""),0)</f>
        <v>0</v>
      </c>
      <c r="E691" s="7"/>
      <c r="F691" s="7"/>
      <c r="G691" s="7"/>
      <c r="H691" s="7"/>
      <c r="I691" s="7"/>
    </row>
    <row r="692" spans="1:9" ht="13.2">
      <c r="A692" s="5"/>
      <c r="B692" s="5"/>
      <c r="C692" s="5"/>
      <c r="D692" s="6">
        <f ca="1">IFERROR(__xludf.DUMMYFUNCTION("""COMPUTED_VALUE"""),0)</f>
        <v>0</v>
      </c>
      <c r="E692" s="7"/>
      <c r="F692" s="7"/>
      <c r="G692" s="7"/>
      <c r="H692" s="7"/>
      <c r="I692" s="7"/>
    </row>
    <row r="693" spans="1:9" ht="13.2">
      <c r="A693" s="5"/>
      <c r="B693" s="5"/>
      <c r="C693" s="5"/>
      <c r="D693" s="6">
        <f ca="1">IFERROR(__xludf.DUMMYFUNCTION("""COMPUTED_VALUE"""),0)</f>
        <v>0</v>
      </c>
      <c r="E693" s="7"/>
      <c r="F693" s="7"/>
      <c r="G693" s="7"/>
      <c r="H693" s="7"/>
      <c r="I693" s="7"/>
    </row>
    <row r="694" spans="1:9" ht="13.2">
      <c r="A694" s="5"/>
      <c r="B694" s="5"/>
      <c r="C694" s="5"/>
      <c r="D694" s="6">
        <f ca="1">IFERROR(__xludf.DUMMYFUNCTION("""COMPUTED_VALUE"""),0)</f>
        <v>0</v>
      </c>
      <c r="E694" s="7"/>
      <c r="F694" s="7"/>
      <c r="G694" s="7"/>
      <c r="H694" s="7"/>
      <c r="I694" s="7"/>
    </row>
    <row r="695" spans="1:9" ht="13.2">
      <c r="A695" s="5"/>
      <c r="B695" s="5"/>
      <c r="C695" s="5"/>
      <c r="D695" s="6">
        <f ca="1">IFERROR(__xludf.DUMMYFUNCTION("""COMPUTED_VALUE"""),0)</f>
        <v>0</v>
      </c>
      <c r="E695" s="7"/>
      <c r="F695" s="7"/>
      <c r="G695" s="7"/>
      <c r="H695" s="7"/>
      <c r="I695" s="7"/>
    </row>
    <row r="696" spans="1:9" ht="13.2">
      <c r="A696" s="5"/>
      <c r="B696" s="5"/>
      <c r="C696" s="5"/>
      <c r="D696" s="6">
        <f ca="1">IFERROR(__xludf.DUMMYFUNCTION("""COMPUTED_VALUE"""),0)</f>
        <v>0</v>
      </c>
      <c r="E696" s="7"/>
      <c r="F696" s="7"/>
      <c r="G696" s="7"/>
      <c r="H696" s="7"/>
      <c r="I696" s="7"/>
    </row>
    <row r="697" spans="1:9" ht="13.2">
      <c r="A697" s="5"/>
      <c r="B697" s="5"/>
      <c r="C697" s="5"/>
      <c r="D697" s="6">
        <f ca="1">IFERROR(__xludf.DUMMYFUNCTION("""COMPUTED_VALUE"""),0)</f>
        <v>0</v>
      </c>
      <c r="E697" s="7"/>
      <c r="F697" s="7"/>
      <c r="G697" s="7"/>
      <c r="H697" s="7"/>
      <c r="I697" s="7"/>
    </row>
    <row r="698" spans="1:9" ht="13.2">
      <c r="A698" s="5"/>
      <c r="B698" s="5"/>
      <c r="C698" s="5"/>
      <c r="D698" s="6">
        <f ca="1">IFERROR(__xludf.DUMMYFUNCTION("""COMPUTED_VALUE"""),0)</f>
        <v>0</v>
      </c>
      <c r="E698" s="7"/>
      <c r="F698" s="7"/>
      <c r="G698" s="7"/>
      <c r="H698" s="7"/>
      <c r="I698" s="7"/>
    </row>
    <row r="699" spans="1:9" ht="13.2">
      <c r="A699" s="5"/>
      <c r="B699" s="5"/>
      <c r="C699" s="5"/>
      <c r="D699" s="6">
        <f ca="1">IFERROR(__xludf.DUMMYFUNCTION("""COMPUTED_VALUE"""),0)</f>
        <v>0</v>
      </c>
      <c r="E699" s="7"/>
      <c r="F699" s="7"/>
      <c r="G699" s="7"/>
      <c r="H699" s="7"/>
      <c r="I699" s="7"/>
    </row>
    <row r="700" spans="1:9" ht="13.2">
      <c r="A700" s="5"/>
      <c r="B700" s="5"/>
      <c r="C700" s="5"/>
      <c r="D700" s="6">
        <f ca="1">IFERROR(__xludf.DUMMYFUNCTION("""COMPUTED_VALUE"""),0)</f>
        <v>0</v>
      </c>
      <c r="E700" s="7"/>
      <c r="F700" s="7"/>
      <c r="G700" s="7"/>
      <c r="H700" s="7"/>
      <c r="I700" s="7"/>
    </row>
    <row r="701" spans="1:9" ht="13.2">
      <c r="A701" s="5"/>
      <c r="B701" s="5"/>
      <c r="C701" s="5"/>
      <c r="D701" s="6">
        <f ca="1">IFERROR(__xludf.DUMMYFUNCTION("""COMPUTED_VALUE"""),0)</f>
        <v>0</v>
      </c>
      <c r="E701" s="7"/>
      <c r="F701" s="7"/>
      <c r="G701" s="7"/>
      <c r="H701" s="7"/>
      <c r="I701" s="7"/>
    </row>
    <row r="702" spans="1:9" ht="13.2">
      <c r="A702" s="5"/>
      <c r="B702" s="5"/>
      <c r="C702" s="5"/>
      <c r="D702" s="6">
        <f ca="1">IFERROR(__xludf.DUMMYFUNCTION("""COMPUTED_VALUE"""),0)</f>
        <v>0</v>
      </c>
      <c r="E702" s="7"/>
      <c r="F702" s="7"/>
      <c r="G702" s="7"/>
      <c r="H702" s="7"/>
      <c r="I702" s="7"/>
    </row>
    <row r="703" spans="1:9" ht="13.2">
      <c r="A703" s="5"/>
      <c r="B703" s="5"/>
      <c r="C703" s="5"/>
      <c r="D703" s="6">
        <f ca="1">IFERROR(__xludf.DUMMYFUNCTION("""COMPUTED_VALUE"""),0)</f>
        <v>0</v>
      </c>
      <c r="E703" s="7"/>
      <c r="F703" s="7"/>
      <c r="G703" s="7"/>
      <c r="H703" s="7"/>
      <c r="I703" s="7"/>
    </row>
    <row r="704" spans="1:9" ht="13.2">
      <c r="A704" s="5"/>
      <c r="B704" s="5"/>
      <c r="C704" s="5"/>
      <c r="D704" s="6">
        <f ca="1">IFERROR(__xludf.DUMMYFUNCTION("""COMPUTED_VALUE"""),0)</f>
        <v>0</v>
      </c>
      <c r="E704" s="7"/>
      <c r="F704" s="7"/>
      <c r="G704" s="7"/>
      <c r="H704" s="7"/>
      <c r="I704" s="7"/>
    </row>
    <row r="705" spans="1:9" ht="13.2">
      <c r="A705" s="5"/>
      <c r="B705" s="5"/>
      <c r="C705" s="5"/>
      <c r="D705" s="6">
        <f ca="1">IFERROR(__xludf.DUMMYFUNCTION("""COMPUTED_VALUE"""),0)</f>
        <v>0</v>
      </c>
      <c r="E705" s="7"/>
      <c r="F705" s="7"/>
      <c r="G705" s="7"/>
      <c r="H705" s="7"/>
      <c r="I705" s="7"/>
    </row>
    <row r="706" spans="1:9" ht="13.2">
      <c r="A706" s="5"/>
      <c r="B706" s="5"/>
      <c r="C706" s="5"/>
      <c r="D706" s="6">
        <f ca="1">IFERROR(__xludf.DUMMYFUNCTION("""COMPUTED_VALUE"""),0)</f>
        <v>0</v>
      </c>
      <c r="E706" s="7"/>
      <c r="F706" s="7"/>
      <c r="G706" s="7"/>
      <c r="H706" s="7"/>
      <c r="I706" s="7"/>
    </row>
    <row r="707" spans="1:9" ht="13.2">
      <c r="A707" s="5"/>
      <c r="B707" s="5"/>
      <c r="C707" s="5"/>
      <c r="D707" s="6">
        <f ca="1">IFERROR(__xludf.DUMMYFUNCTION("""COMPUTED_VALUE"""),0)</f>
        <v>0</v>
      </c>
      <c r="E707" s="7"/>
      <c r="F707" s="7"/>
      <c r="G707" s="7"/>
      <c r="H707" s="7"/>
      <c r="I707" s="7"/>
    </row>
    <row r="708" spans="1:9" ht="13.2">
      <c r="A708" s="5"/>
      <c r="B708" s="5"/>
      <c r="C708" s="5"/>
      <c r="D708" s="6">
        <f ca="1">IFERROR(__xludf.DUMMYFUNCTION("""COMPUTED_VALUE"""),0)</f>
        <v>0</v>
      </c>
      <c r="E708" s="7"/>
      <c r="F708" s="7"/>
      <c r="G708" s="7"/>
      <c r="H708" s="7"/>
      <c r="I708" s="7"/>
    </row>
    <row r="709" spans="1:9" ht="13.2">
      <c r="A709" s="5"/>
      <c r="B709" s="5"/>
      <c r="C709" s="5"/>
      <c r="D709" s="6">
        <f ca="1">IFERROR(__xludf.DUMMYFUNCTION("""COMPUTED_VALUE"""),0)</f>
        <v>0</v>
      </c>
      <c r="E709" s="7"/>
      <c r="F709" s="7"/>
      <c r="G709" s="7"/>
      <c r="H709" s="7"/>
      <c r="I709" s="7"/>
    </row>
    <row r="710" spans="1:9" ht="13.2">
      <c r="A710" s="5"/>
      <c r="B710" s="5"/>
      <c r="C710" s="5"/>
      <c r="D710" s="6">
        <f ca="1">IFERROR(__xludf.DUMMYFUNCTION("""COMPUTED_VALUE"""),0)</f>
        <v>0</v>
      </c>
      <c r="E710" s="7"/>
      <c r="F710" s="7"/>
      <c r="G710" s="7"/>
      <c r="H710" s="7"/>
      <c r="I710" s="7"/>
    </row>
    <row r="711" spans="1:9" ht="13.2">
      <c r="A711" s="5"/>
      <c r="B711" s="5"/>
      <c r="C711" s="5"/>
      <c r="D711" s="6">
        <f ca="1">IFERROR(__xludf.DUMMYFUNCTION("""COMPUTED_VALUE"""),0)</f>
        <v>0</v>
      </c>
      <c r="E711" s="7"/>
      <c r="F711" s="7"/>
      <c r="G711" s="7"/>
      <c r="H711" s="7"/>
      <c r="I711" s="7"/>
    </row>
    <row r="712" spans="1:9" ht="13.2">
      <c r="A712" s="5"/>
      <c r="B712" s="5"/>
      <c r="C712" s="5"/>
      <c r="D712" s="6">
        <f ca="1">IFERROR(__xludf.DUMMYFUNCTION("""COMPUTED_VALUE"""),0)</f>
        <v>0</v>
      </c>
      <c r="E712" s="7"/>
      <c r="F712" s="7"/>
      <c r="G712" s="7"/>
      <c r="H712" s="7"/>
      <c r="I712" s="7"/>
    </row>
    <row r="713" spans="1:9" ht="13.2">
      <c r="A713" s="5"/>
      <c r="B713" s="5"/>
      <c r="C713" s="5"/>
      <c r="D713" s="6">
        <f ca="1">IFERROR(__xludf.DUMMYFUNCTION("""COMPUTED_VALUE"""),0)</f>
        <v>0</v>
      </c>
      <c r="E713" s="7"/>
      <c r="F713" s="7"/>
      <c r="G713" s="7"/>
      <c r="H713" s="7"/>
      <c r="I713" s="7"/>
    </row>
    <row r="714" spans="1:9" ht="13.2">
      <c r="A714" s="5"/>
      <c r="B714" s="5"/>
      <c r="C714" s="5"/>
      <c r="D714" s="6">
        <f ca="1">IFERROR(__xludf.DUMMYFUNCTION("""COMPUTED_VALUE"""),0)</f>
        <v>0</v>
      </c>
      <c r="E714" s="7"/>
      <c r="F714" s="7"/>
      <c r="G714" s="7"/>
      <c r="H714" s="7"/>
      <c r="I714" s="7"/>
    </row>
    <row r="715" spans="1:9" ht="13.2">
      <c r="A715" s="5"/>
      <c r="B715" s="5"/>
      <c r="C715" s="5"/>
      <c r="D715" s="6">
        <f ca="1">IFERROR(__xludf.DUMMYFUNCTION("""COMPUTED_VALUE"""),0)</f>
        <v>0</v>
      </c>
      <c r="E715" s="7"/>
      <c r="F715" s="7"/>
      <c r="G715" s="7"/>
      <c r="H715" s="7"/>
      <c r="I715" s="7"/>
    </row>
    <row r="716" spans="1:9" ht="13.2">
      <c r="A716" s="5"/>
      <c r="B716" s="5"/>
      <c r="C716" s="5"/>
      <c r="D716" s="6">
        <f ca="1">IFERROR(__xludf.DUMMYFUNCTION("""COMPUTED_VALUE"""),0)</f>
        <v>0</v>
      </c>
      <c r="E716" s="7"/>
      <c r="F716" s="7"/>
      <c r="G716" s="7"/>
      <c r="H716" s="7"/>
      <c r="I716" s="7"/>
    </row>
    <row r="717" spans="1:9" ht="13.2">
      <c r="A717" s="5"/>
      <c r="B717" s="5"/>
      <c r="C717" s="5"/>
      <c r="D717" s="6">
        <f ca="1">IFERROR(__xludf.DUMMYFUNCTION("""COMPUTED_VALUE"""),0)</f>
        <v>0</v>
      </c>
      <c r="E717" s="7"/>
      <c r="F717" s="7"/>
      <c r="G717" s="7"/>
      <c r="H717" s="7"/>
      <c r="I717" s="7"/>
    </row>
    <row r="718" spans="1:9" ht="13.2">
      <c r="A718" s="5"/>
      <c r="B718" s="5"/>
      <c r="C718" s="5"/>
      <c r="D718" s="6">
        <f ca="1">IFERROR(__xludf.DUMMYFUNCTION("""COMPUTED_VALUE"""),0)</f>
        <v>0</v>
      </c>
      <c r="E718" s="7"/>
      <c r="F718" s="7"/>
      <c r="G718" s="7"/>
      <c r="H718" s="7"/>
      <c r="I718" s="7"/>
    </row>
    <row r="719" spans="1:9" ht="13.2">
      <c r="A719" s="5"/>
      <c r="B719" s="5"/>
      <c r="C719" s="5"/>
      <c r="D719" s="6">
        <f ca="1">IFERROR(__xludf.DUMMYFUNCTION("""COMPUTED_VALUE"""),0)</f>
        <v>0</v>
      </c>
      <c r="E719" s="7"/>
      <c r="F719" s="7"/>
      <c r="G719" s="7"/>
      <c r="H719" s="7"/>
      <c r="I719" s="7"/>
    </row>
    <row r="720" spans="1:9" ht="13.2">
      <c r="A720" s="5"/>
      <c r="B720" s="5"/>
      <c r="C720" s="5"/>
      <c r="D720" s="6">
        <f ca="1">IFERROR(__xludf.DUMMYFUNCTION("""COMPUTED_VALUE"""),0)</f>
        <v>0</v>
      </c>
      <c r="E720" s="7"/>
      <c r="F720" s="7"/>
      <c r="G720" s="7"/>
      <c r="H720" s="7"/>
      <c r="I720" s="7"/>
    </row>
    <row r="721" spans="1:9" ht="13.2">
      <c r="A721" s="5"/>
      <c r="B721" s="5"/>
      <c r="C721" s="5"/>
      <c r="D721" s="6">
        <f ca="1">IFERROR(__xludf.DUMMYFUNCTION("""COMPUTED_VALUE"""),0)</f>
        <v>0</v>
      </c>
      <c r="E721" s="7"/>
      <c r="F721" s="7"/>
      <c r="G721" s="7"/>
      <c r="H721" s="7"/>
      <c r="I721" s="7"/>
    </row>
    <row r="722" spans="1:9" ht="13.2">
      <c r="A722" s="5"/>
      <c r="B722" s="5"/>
      <c r="C722" s="5"/>
      <c r="D722" s="6">
        <f ca="1">IFERROR(__xludf.DUMMYFUNCTION("""COMPUTED_VALUE"""),0)</f>
        <v>0</v>
      </c>
      <c r="E722" s="7"/>
      <c r="F722" s="7"/>
      <c r="G722" s="7"/>
      <c r="H722" s="7"/>
      <c r="I722" s="7"/>
    </row>
    <row r="723" spans="1:9" ht="13.2">
      <c r="A723" s="5"/>
      <c r="B723" s="5"/>
      <c r="C723" s="5"/>
      <c r="D723" s="6">
        <f ca="1">IFERROR(__xludf.DUMMYFUNCTION("""COMPUTED_VALUE"""),0)</f>
        <v>0</v>
      </c>
      <c r="E723" s="7"/>
      <c r="F723" s="7"/>
      <c r="G723" s="7"/>
      <c r="H723" s="7"/>
      <c r="I723" s="7"/>
    </row>
    <row r="724" spans="1:9" ht="13.2">
      <c r="A724" s="5"/>
      <c r="B724" s="5"/>
      <c r="C724" s="5"/>
      <c r="D724" s="6">
        <f ca="1">IFERROR(__xludf.DUMMYFUNCTION("""COMPUTED_VALUE"""),0)</f>
        <v>0</v>
      </c>
      <c r="E724" s="7"/>
      <c r="F724" s="7"/>
      <c r="G724" s="7"/>
      <c r="H724" s="7"/>
      <c r="I724" s="7"/>
    </row>
    <row r="725" spans="1:9" ht="13.2">
      <c r="A725" s="5"/>
      <c r="B725" s="5"/>
      <c r="C725" s="5"/>
      <c r="D725" s="6">
        <f ca="1">IFERROR(__xludf.DUMMYFUNCTION("""COMPUTED_VALUE"""),0)</f>
        <v>0</v>
      </c>
      <c r="E725" s="7"/>
      <c r="F725" s="7"/>
      <c r="G725" s="7"/>
      <c r="H725" s="7"/>
      <c r="I725" s="7"/>
    </row>
    <row r="726" spans="1:9" ht="13.2">
      <c r="A726" s="5"/>
      <c r="B726" s="5"/>
      <c r="C726" s="5"/>
      <c r="D726" s="6">
        <f ca="1">IFERROR(__xludf.DUMMYFUNCTION("""COMPUTED_VALUE"""),0)</f>
        <v>0</v>
      </c>
      <c r="E726" s="7"/>
      <c r="F726" s="7"/>
      <c r="G726" s="7"/>
      <c r="H726" s="7"/>
      <c r="I726" s="7"/>
    </row>
    <row r="727" spans="1:9" ht="13.2">
      <c r="A727" s="5"/>
      <c r="B727" s="5"/>
      <c r="C727" s="5"/>
      <c r="D727" s="6">
        <f ca="1">IFERROR(__xludf.DUMMYFUNCTION("""COMPUTED_VALUE"""),0)</f>
        <v>0</v>
      </c>
      <c r="E727" s="7"/>
      <c r="F727" s="7"/>
      <c r="G727" s="7"/>
      <c r="H727" s="7"/>
      <c r="I727" s="7"/>
    </row>
    <row r="728" spans="1:9" ht="13.2">
      <c r="A728" s="5"/>
      <c r="B728" s="5"/>
      <c r="C728" s="5"/>
      <c r="D728" s="6">
        <f ca="1">IFERROR(__xludf.DUMMYFUNCTION("""COMPUTED_VALUE"""),0)</f>
        <v>0</v>
      </c>
      <c r="E728" s="7"/>
      <c r="F728" s="7"/>
      <c r="G728" s="7"/>
      <c r="H728" s="7"/>
      <c r="I728" s="7"/>
    </row>
    <row r="729" spans="1:9" ht="13.2">
      <c r="A729" s="5"/>
      <c r="B729" s="5"/>
      <c r="C729" s="5"/>
      <c r="D729" s="6">
        <f ca="1">IFERROR(__xludf.DUMMYFUNCTION("""COMPUTED_VALUE"""),0)</f>
        <v>0</v>
      </c>
      <c r="E729" s="7"/>
      <c r="F729" s="7"/>
      <c r="G729" s="7"/>
      <c r="H729" s="7"/>
      <c r="I729" s="7"/>
    </row>
    <row r="730" spans="1:9" ht="13.2">
      <c r="A730" s="5"/>
      <c r="B730" s="5"/>
      <c r="C730" s="5"/>
      <c r="D730" s="6">
        <f ca="1">IFERROR(__xludf.DUMMYFUNCTION("""COMPUTED_VALUE"""),0)</f>
        <v>0</v>
      </c>
      <c r="E730" s="7"/>
      <c r="F730" s="7"/>
      <c r="G730" s="7"/>
      <c r="H730" s="7"/>
      <c r="I730" s="7"/>
    </row>
    <row r="731" spans="1:9" ht="13.2">
      <c r="A731" s="5"/>
      <c r="B731" s="5"/>
      <c r="C731" s="5"/>
      <c r="D731" s="6">
        <f ca="1">IFERROR(__xludf.DUMMYFUNCTION("""COMPUTED_VALUE"""),0)</f>
        <v>0</v>
      </c>
      <c r="E731" s="7"/>
      <c r="F731" s="7"/>
      <c r="G731" s="7"/>
      <c r="H731" s="7"/>
      <c r="I731" s="7"/>
    </row>
    <row r="732" spans="1:9" ht="13.2">
      <c r="A732" s="5"/>
      <c r="B732" s="5"/>
      <c r="C732" s="5"/>
      <c r="D732" s="6">
        <f ca="1">IFERROR(__xludf.DUMMYFUNCTION("""COMPUTED_VALUE"""),0)</f>
        <v>0</v>
      </c>
      <c r="E732" s="7"/>
      <c r="F732" s="7"/>
      <c r="G732" s="7"/>
      <c r="H732" s="7"/>
      <c r="I732" s="7"/>
    </row>
    <row r="733" spans="1:9" ht="13.2">
      <c r="A733" s="5"/>
      <c r="B733" s="5"/>
      <c r="C733" s="5"/>
      <c r="D733" s="6">
        <f ca="1">IFERROR(__xludf.DUMMYFUNCTION("""COMPUTED_VALUE"""),0)</f>
        <v>0</v>
      </c>
      <c r="E733" s="7"/>
      <c r="F733" s="7"/>
      <c r="G733" s="7"/>
      <c r="H733" s="7"/>
      <c r="I733" s="7"/>
    </row>
    <row r="734" spans="1:9" ht="13.2">
      <c r="A734" s="5"/>
      <c r="B734" s="5"/>
      <c r="C734" s="5"/>
      <c r="D734" s="6">
        <f ca="1">IFERROR(__xludf.DUMMYFUNCTION("""COMPUTED_VALUE"""),0)</f>
        <v>0</v>
      </c>
      <c r="E734" s="7"/>
      <c r="F734" s="7"/>
      <c r="G734" s="7"/>
      <c r="H734" s="7"/>
      <c r="I734" s="7"/>
    </row>
    <row r="735" spans="1:9" ht="13.2">
      <c r="A735" s="5"/>
      <c r="B735" s="5"/>
      <c r="C735" s="5"/>
      <c r="D735" s="6">
        <f ca="1">IFERROR(__xludf.DUMMYFUNCTION("""COMPUTED_VALUE"""),0)</f>
        <v>0</v>
      </c>
      <c r="E735" s="7"/>
      <c r="F735" s="7"/>
      <c r="G735" s="7"/>
      <c r="H735" s="7"/>
      <c r="I735" s="7"/>
    </row>
    <row r="736" spans="1:9" ht="13.2">
      <c r="A736" s="5"/>
      <c r="B736" s="5"/>
      <c r="C736" s="5"/>
      <c r="D736" s="6">
        <f ca="1">IFERROR(__xludf.DUMMYFUNCTION("""COMPUTED_VALUE"""),0)</f>
        <v>0</v>
      </c>
      <c r="E736" s="7"/>
      <c r="F736" s="7"/>
      <c r="G736" s="7"/>
      <c r="H736" s="7"/>
      <c r="I736" s="7"/>
    </row>
    <row r="737" spans="1:9" ht="13.2">
      <c r="A737" s="5"/>
      <c r="B737" s="5"/>
      <c r="C737" s="5"/>
      <c r="D737" s="6">
        <f ca="1">IFERROR(__xludf.DUMMYFUNCTION("""COMPUTED_VALUE"""),0)</f>
        <v>0</v>
      </c>
      <c r="E737" s="7"/>
      <c r="F737" s="7"/>
      <c r="G737" s="7"/>
      <c r="H737" s="7"/>
      <c r="I737" s="7"/>
    </row>
    <row r="738" spans="1:9" ht="13.2">
      <c r="A738" s="5"/>
      <c r="B738" s="5"/>
      <c r="C738" s="5"/>
      <c r="D738" s="6">
        <f ca="1">IFERROR(__xludf.DUMMYFUNCTION("""COMPUTED_VALUE"""),0)</f>
        <v>0</v>
      </c>
      <c r="E738" s="7"/>
      <c r="F738" s="7"/>
      <c r="G738" s="7"/>
      <c r="H738" s="7"/>
      <c r="I738" s="7"/>
    </row>
    <row r="739" spans="1:9" ht="13.2">
      <c r="A739" s="5"/>
      <c r="B739" s="5"/>
      <c r="C739" s="5"/>
      <c r="D739" s="6">
        <f ca="1">IFERROR(__xludf.DUMMYFUNCTION("""COMPUTED_VALUE"""),0)</f>
        <v>0</v>
      </c>
      <c r="E739" s="7"/>
      <c r="F739" s="7"/>
      <c r="G739" s="7"/>
      <c r="H739" s="7"/>
      <c r="I739" s="7"/>
    </row>
    <row r="740" spans="1:9" ht="13.2">
      <c r="A740" s="5"/>
      <c r="B740" s="5"/>
      <c r="C740" s="5"/>
      <c r="D740" s="6">
        <f ca="1">IFERROR(__xludf.DUMMYFUNCTION("""COMPUTED_VALUE"""),0)</f>
        <v>0</v>
      </c>
      <c r="E740" s="7"/>
      <c r="F740" s="7"/>
      <c r="G740" s="7"/>
      <c r="H740" s="7"/>
      <c r="I740" s="7"/>
    </row>
    <row r="741" spans="1:9" ht="13.2">
      <c r="A741" s="5"/>
      <c r="B741" s="5"/>
      <c r="C741" s="5"/>
      <c r="D741" s="6">
        <f ca="1">IFERROR(__xludf.DUMMYFUNCTION("""COMPUTED_VALUE"""),0)</f>
        <v>0</v>
      </c>
      <c r="E741" s="7"/>
      <c r="F741" s="7"/>
      <c r="G741" s="7"/>
      <c r="H741" s="7"/>
      <c r="I741" s="7"/>
    </row>
    <row r="742" spans="1:9" ht="13.2">
      <c r="A742" s="5"/>
      <c r="B742" s="5"/>
      <c r="C742" s="5"/>
      <c r="D742" s="6">
        <f ca="1">IFERROR(__xludf.DUMMYFUNCTION("""COMPUTED_VALUE"""),0)</f>
        <v>0</v>
      </c>
      <c r="E742" s="7"/>
      <c r="F742" s="7"/>
      <c r="G742" s="7"/>
      <c r="H742" s="7"/>
      <c r="I742" s="7"/>
    </row>
    <row r="743" spans="1:9" ht="13.2">
      <c r="A743" s="5"/>
      <c r="B743" s="5"/>
      <c r="C743" s="5"/>
      <c r="D743" s="6">
        <f ca="1">IFERROR(__xludf.DUMMYFUNCTION("""COMPUTED_VALUE"""),0)</f>
        <v>0</v>
      </c>
      <c r="E743" s="7"/>
      <c r="F743" s="7"/>
      <c r="G743" s="7"/>
      <c r="H743" s="7"/>
      <c r="I743" s="7"/>
    </row>
    <row r="744" spans="1:9" ht="13.2">
      <c r="A744" s="5"/>
      <c r="B744" s="5"/>
      <c r="C744" s="5"/>
      <c r="D744" s="6">
        <f ca="1">IFERROR(__xludf.DUMMYFUNCTION("""COMPUTED_VALUE"""),0)</f>
        <v>0</v>
      </c>
      <c r="E744" s="7"/>
      <c r="F744" s="7"/>
      <c r="G744" s="7"/>
      <c r="H744" s="7"/>
      <c r="I744" s="7"/>
    </row>
    <row r="745" spans="1:9" ht="13.2">
      <c r="A745" s="5"/>
      <c r="B745" s="5"/>
      <c r="C745" s="5"/>
      <c r="D745" s="6">
        <f ca="1">IFERROR(__xludf.DUMMYFUNCTION("""COMPUTED_VALUE"""),0)</f>
        <v>0</v>
      </c>
      <c r="E745" s="7"/>
      <c r="F745" s="7"/>
      <c r="G745" s="7"/>
      <c r="H745" s="7"/>
      <c r="I745" s="7"/>
    </row>
    <row r="746" spans="1:9" ht="13.2">
      <c r="A746" s="5"/>
      <c r="B746" s="5"/>
      <c r="C746" s="5"/>
      <c r="D746" s="6">
        <f ca="1">IFERROR(__xludf.DUMMYFUNCTION("""COMPUTED_VALUE"""),0)</f>
        <v>0</v>
      </c>
      <c r="E746" s="7"/>
      <c r="F746" s="7"/>
      <c r="G746" s="7"/>
      <c r="H746" s="7"/>
      <c r="I746" s="7"/>
    </row>
    <row r="747" spans="1:9" ht="13.2">
      <c r="A747" s="5"/>
      <c r="B747" s="5"/>
      <c r="C747" s="5"/>
      <c r="D747" s="6">
        <f ca="1">IFERROR(__xludf.DUMMYFUNCTION("""COMPUTED_VALUE"""),0)</f>
        <v>0</v>
      </c>
      <c r="E747" s="7"/>
      <c r="F747" s="7"/>
      <c r="G747" s="7"/>
      <c r="H747" s="7"/>
      <c r="I747" s="7"/>
    </row>
    <row r="748" spans="1:9" ht="13.2">
      <c r="A748" s="5"/>
      <c r="B748" s="5"/>
      <c r="C748" s="5"/>
      <c r="D748" s="6">
        <f ca="1">IFERROR(__xludf.DUMMYFUNCTION("""COMPUTED_VALUE"""),0)</f>
        <v>0</v>
      </c>
      <c r="E748" s="7"/>
      <c r="F748" s="7"/>
      <c r="G748" s="7"/>
      <c r="H748" s="7"/>
      <c r="I748" s="7"/>
    </row>
    <row r="749" spans="1:9" ht="13.2">
      <c r="A749" s="5"/>
      <c r="B749" s="5"/>
      <c r="C749" s="5"/>
      <c r="D749" s="6">
        <f ca="1">IFERROR(__xludf.DUMMYFUNCTION("""COMPUTED_VALUE"""),0)</f>
        <v>0</v>
      </c>
      <c r="E749" s="7"/>
      <c r="F749" s="7"/>
      <c r="G749" s="7"/>
      <c r="H749" s="7"/>
      <c r="I749" s="7"/>
    </row>
    <row r="750" spans="1:9" ht="13.2">
      <c r="A750" s="5"/>
      <c r="B750" s="5"/>
      <c r="C750" s="5"/>
      <c r="D750" s="6">
        <f ca="1">IFERROR(__xludf.DUMMYFUNCTION("""COMPUTED_VALUE"""),0)</f>
        <v>0</v>
      </c>
      <c r="E750" s="7"/>
      <c r="F750" s="7"/>
      <c r="G750" s="7"/>
      <c r="H750" s="7"/>
      <c r="I750" s="7"/>
    </row>
    <row r="751" spans="1:9" ht="13.2">
      <c r="A751" s="5"/>
      <c r="B751" s="5"/>
      <c r="C751" s="5"/>
      <c r="D751" s="6">
        <f ca="1">IFERROR(__xludf.DUMMYFUNCTION("""COMPUTED_VALUE"""),0)</f>
        <v>0</v>
      </c>
      <c r="E751" s="7"/>
      <c r="F751" s="7"/>
      <c r="G751" s="7"/>
      <c r="H751" s="7"/>
      <c r="I751" s="7"/>
    </row>
    <row r="752" spans="1:9" ht="13.2">
      <c r="A752" s="5"/>
      <c r="B752" s="5"/>
      <c r="C752" s="5"/>
      <c r="D752" s="6">
        <f ca="1">IFERROR(__xludf.DUMMYFUNCTION("""COMPUTED_VALUE"""),0)</f>
        <v>0</v>
      </c>
      <c r="E752" s="7"/>
      <c r="F752" s="7"/>
      <c r="G752" s="7"/>
      <c r="H752" s="7"/>
      <c r="I752" s="7"/>
    </row>
    <row r="753" spans="1:9" ht="13.2">
      <c r="A753" s="5"/>
      <c r="B753" s="5"/>
      <c r="C753" s="5"/>
      <c r="D753" s="6">
        <f ca="1">IFERROR(__xludf.DUMMYFUNCTION("""COMPUTED_VALUE"""),0)</f>
        <v>0</v>
      </c>
      <c r="E753" s="7"/>
      <c r="F753" s="7"/>
      <c r="G753" s="7"/>
      <c r="H753" s="7"/>
      <c r="I753" s="7"/>
    </row>
    <row r="754" spans="1:9" ht="13.2">
      <c r="A754" s="5"/>
      <c r="B754" s="5"/>
      <c r="C754" s="5"/>
      <c r="D754" s="6">
        <f ca="1">IFERROR(__xludf.DUMMYFUNCTION("""COMPUTED_VALUE"""),0)</f>
        <v>0</v>
      </c>
      <c r="E754" s="7"/>
      <c r="F754" s="7"/>
      <c r="G754" s="7"/>
      <c r="H754" s="7"/>
      <c r="I754" s="7"/>
    </row>
    <row r="755" spans="1:9" ht="13.2">
      <c r="A755" s="5"/>
      <c r="B755" s="5"/>
      <c r="C755" s="5"/>
      <c r="D755" s="6">
        <f ca="1">IFERROR(__xludf.DUMMYFUNCTION("""COMPUTED_VALUE"""),0)</f>
        <v>0</v>
      </c>
      <c r="E755" s="7"/>
      <c r="F755" s="7"/>
      <c r="G755" s="7"/>
      <c r="H755" s="7"/>
      <c r="I755" s="7"/>
    </row>
    <row r="756" spans="1:9" ht="13.2">
      <c r="A756" s="5"/>
      <c r="B756" s="5"/>
      <c r="C756" s="5"/>
      <c r="D756" s="6">
        <f ca="1">IFERROR(__xludf.DUMMYFUNCTION("""COMPUTED_VALUE"""),0)</f>
        <v>0</v>
      </c>
      <c r="E756" s="7"/>
      <c r="F756" s="7"/>
      <c r="G756" s="7"/>
      <c r="H756" s="7"/>
      <c r="I756" s="7"/>
    </row>
    <row r="757" spans="1:9" ht="13.2">
      <c r="A757" s="5"/>
      <c r="B757" s="5"/>
      <c r="C757" s="5"/>
      <c r="D757" s="6">
        <f ca="1">IFERROR(__xludf.DUMMYFUNCTION("""COMPUTED_VALUE"""),0)</f>
        <v>0</v>
      </c>
      <c r="E757" s="7"/>
      <c r="F757" s="7"/>
      <c r="G757" s="7"/>
      <c r="H757" s="7"/>
      <c r="I757" s="7"/>
    </row>
    <row r="758" spans="1:9" ht="13.2">
      <c r="A758" s="5"/>
      <c r="B758" s="5"/>
      <c r="C758" s="5"/>
      <c r="D758" s="6">
        <f ca="1">IFERROR(__xludf.DUMMYFUNCTION("""COMPUTED_VALUE"""),0)</f>
        <v>0</v>
      </c>
      <c r="E758" s="7"/>
      <c r="F758" s="7"/>
      <c r="G758" s="7"/>
      <c r="H758" s="7"/>
      <c r="I758" s="7"/>
    </row>
    <row r="759" spans="1:9" ht="13.2">
      <c r="A759" s="5"/>
      <c r="B759" s="5"/>
      <c r="C759" s="5"/>
      <c r="D759" s="6">
        <f ca="1">IFERROR(__xludf.DUMMYFUNCTION("""COMPUTED_VALUE"""),0)</f>
        <v>0</v>
      </c>
      <c r="E759" s="7"/>
      <c r="F759" s="7"/>
      <c r="G759" s="7"/>
      <c r="H759" s="7"/>
      <c r="I759" s="7"/>
    </row>
    <row r="760" spans="1:9" ht="13.2">
      <c r="A760" s="5"/>
      <c r="B760" s="5"/>
      <c r="C760" s="5"/>
      <c r="D760" s="6">
        <f ca="1">IFERROR(__xludf.DUMMYFUNCTION("""COMPUTED_VALUE"""),0)</f>
        <v>0</v>
      </c>
      <c r="E760" s="7"/>
      <c r="F760" s="7"/>
      <c r="G760" s="7"/>
      <c r="H760" s="7"/>
      <c r="I760" s="7"/>
    </row>
    <row r="761" spans="1:9" ht="13.2">
      <c r="A761" s="5"/>
      <c r="B761" s="5"/>
      <c r="C761" s="5"/>
      <c r="D761" s="6">
        <f ca="1">IFERROR(__xludf.DUMMYFUNCTION("""COMPUTED_VALUE"""),0)</f>
        <v>0</v>
      </c>
      <c r="E761" s="7"/>
      <c r="F761" s="7"/>
      <c r="G761" s="7"/>
      <c r="H761" s="7"/>
      <c r="I761" s="7"/>
    </row>
    <row r="762" spans="1:9" ht="13.2">
      <c r="A762" s="5"/>
      <c r="B762" s="5"/>
      <c r="C762" s="5"/>
      <c r="D762" s="6">
        <f ca="1">IFERROR(__xludf.DUMMYFUNCTION("""COMPUTED_VALUE"""),0)</f>
        <v>0</v>
      </c>
      <c r="E762" s="7"/>
      <c r="F762" s="7"/>
      <c r="G762" s="7"/>
      <c r="H762" s="7"/>
      <c r="I762" s="7"/>
    </row>
    <row r="763" spans="1:9" ht="13.2">
      <c r="A763" s="5"/>
      <c r="B763" s="5"/>
      <c r="C763" s="5"/>
      <c r="D763" s="6">
        <f ca="1">IFERROR(__xludf.DUMMYFUNCTION("""COMPUTED_VALUE"""),0)</f>
        <v>0</v>
      </c>
      <c r="E763" s="7"/>
      <c r="F763" s="7"/>
      <c r="G763" s="7"/>
      <c r="H763" s="7"/>
      <c r="I763" s="7"/>
    </row>
    <row r="764" spans="1:9" ht="13.2">
      <c r="A764" s="5"/>
      <c r="B764" s="5"/>
      <c r="C764" s="5"/>
      <c r="D764" s="6">
        <f ca="1">IFERROR(__xludf.DUMMYFUNCTION("""COMPUTED_VALUE"""),0)</f>
        <v>0</v>
      </c>
      <c r="E764" s="7"/>
      <c r="F764" s="7"/>
      <c r="G764" s="7"/>
      <c r="H764" s="7"/>
      <c r="I764" s="7"/>
    </row>
    <row r="765" spans="1:9" ht="13.2">
      <c r="A765" s="5"/>
      <c r="B765" s="5"/>
      <c r="C765" s="5"/>
      <c r="D765" s="6">
        <f ca="1">IFERROR(__xludf.DUMMYFUNCTION("""COMPUTED_VALUE"""),0)</f>
        <v>0</v>
      </c>
      <c r="E765" s="7"/>
      <c r="F765" s="7"/>
      <c r="G765" s="7"/>
      <c r="H765" s="7"/>
      <c r="I765" s="7"/>
    </row>
    <row r="766" spans="1:9" ht="13.2">
      <c r="A766" s="5"/>
      <c r="B766" s="5"/>
      <c r="C766" s="5"/>
      <c r="D766" s="6">
        <f ca="1">IFERROR(__xludf.DUMMYFUNCTION("""COMPUTED_VALUE"""),0)</f>
        <v>0</v>
      </c>
      <c r="E766" s="7"/>
      <c r="F766" s="7"/>
      <c r="G766" s="7"/>
      <c r="H766" s="7"/>
      <c r="I766" s="7"/>
    </row>
    <row r="767" spans="1:9" ht="13.2">
      <c r="A767" s="5"/>
      <c r="B767" s="5"/>
      <c r="C767" s="5"/>
      <c r="D767" s="6">
        <f ca="1">IFERROR(__xludf.DUMMYFUNCTION("""COMPUTED_VALUE"""),0)</f>
        <v>0</v>
      </c>
      <c r="E767" s="7"/>
      <c r="F767" s="7"/>
      <c r="G767" s="7"/>
      <c r="H767" s="7"/>
      <c r="I767" s="7"/>
    </row>
    <row r="768" spans="1:9" ht="13.2">
      <c r="A768" s="5"/>
      <c r="B768" s="5"/>
      <c r="C768" s="5"/>
      <c r="D768" s="6">
        <f ca="1">IFERROR(__xludf.DUMMYFUNCTION("""COMPUTED_VALUE"""),0)</f>
        <v>0</v>
      </c>
      <c r="E768" s="7"/>
      <c r="F768" s="7"/>
      <c r="G768" s="7"/>
      <c r="H768" s="7"/>
      <c r="I768" s="7"/>
    </row>
    <row r="769" spans="1:9" ht="13.2">
      <c r="A769" s="5"/>
      <c r="B769" s="5"/>
      <c r="C769" s="5"/>
      <c r="D769" s="6">
        <f ca="1">IFERROR(__xludf.DUMMYFUNCTION("""COMPUTED_VALUE"""),0)</f>
        <v>0</v>
      </c>
      <c r="E769" s="7"/>
      <c r="F769" s="7"/>
      <c r="G769" s="7"/>
      <c r="H769" s="7"/>
      <c r="I769" s="7"/>
    </row>
    <row r="770" spans="1:9" ht="13.2">
      <c r="A770" s="5"/>
      <c r="B770" s="5"/>
      <c r="C770" s="5"/>
      <c r="D770" s="6">
        <f ca="1">IFERROR(__xludf.DUMMYFUNCTION("""COMPUTED_VALUE"""),0)</f>
        <v>0</v>
      </c>
      <c r="E770" s="7"/>
      <c r="F770" s="7"/>
      <c r="G770" s="7"/>
      <c r="H770" s="7"/>
      <c r="I770" s="7"/>
    </row>
    <row r="771" spans="1:9" ht="13.2">
      <c r="A771" s="5"/>
      <c r="B771" s="5"/>
      <c r="C771" s="5"/>
      <c r="D771" s="6">
        <f ca="1">IFERROR(__xludf.DUMMYFUNCTION("""COMPUTED_VALUE"""),0)</f>
        <v>0</v>
      </c>
      <c r="E771" s="7"/>
      <c r="F771" s="7"/>
      <c r="G771" s="7"/>
      <c r="H771" s="7"/>
      <c r="I771" s="7"/>
    </row>
    <row r="772" spans="1:9" ht="13.2">
      <c r="A772" s="5"/>
      <c r="B772" s="5"/>
      <c r="C772" s="5"/>
      <c r="D772" s="6">
        <f ca="1">IFERROR(__xludf.DUMMYFUNCTION("""COMPUTED_VALUE"""),0)</f>
        <v>0</v>
      </c>
      <c r="E772" s="7"/>
      <c r="F772" s="7"/>
      <c r="G772" s="7"/>
      <c r="H772" s="7"/>
      <c r="I772" s="7"/>
    </row>
    <row r="773" spans="1:9" ht="13.2">
      <c r="A773" s="5"/>
      <c r="B773" s="5"/>
      <c r="C773" s="5"/>
      <c r="D773" s="6">
        <f ca="1">IFERROR(__xludf.DUMMYFUNCTION("""COMPUTED_VALUE"""),0)</f>
        <v>0</v>
      </c>
      <c r="E773" s="7"/>
      <c r="F773" s="7"/>
      <c r="G773" s="7"/>
      <c r="H773" s="7"/>
      <c r="I773" s="7"/>
    </row>
    <row r="774" spans="1:9" ht="13.2">
      <c r="A774" s="5"/>
      <c r="B774" s="5"/>
      <c r="C774" s="5"/>
      <c r="D774" s="6">
        <f ca="1">IFERROR(__xludf.DUMMYFUNCTION("""COMPUTED_VALUE"""),0)</f>
        <v>0</v>
      </c>
      <c r="E774" s="7"/>
      <c r="F774" s="7"/>
      <c r="G774" s="7"/>
      <c r="H774" s="7"/>
      <c r="I774" s="7"/>
    </row>
    <row r="775" spans="1:9" ht="13.2">
      <c r="A775" s="5"/>
      <c r="B775" s="5"/>
      <c r="C775" s="5"/>
      <c r="D775" s="6">
        <f ca="1">IFERROR(__xludf.DUMMYFUNCTION("""COMPUTED_VALUE"""),0)</f>
        <v>0</v>
      </c>
      <c r="E775" s="7"/>
      <c r="F775" s="7"/>
      <c r="G775" s="7"/>
      <c r="H775" s="7"/>
      <c r="I775" s="7"/>
    </row>
    <row r="776" spans="1:9" ht="13.2">
      <c r="A776" s="5"/>
      <c r="B776" s="5"/>
      <c r="C776" s="5"/>
      <c r="D776" s="6">
        <f ca="1">IFERROR(__xludf.DUMMYFUNCTION("""COMPUTED_VALUE"""),0)</f>
        <v>0</v>
      </c>
      <c r="E776" s="7"/>
      <c r="F776" s="7"/>
      <c r="G776" s="7"/>
      <c r="H776" s="7"/>
      <c r="I776" s="7"/>
    </row>
    <row r="777" spans="1:9" ht="13.2">
      <c r="A777" s="5"/>
      <c r="B777" s="5"/>
      <c r="C777" s="5"/>
      <c r="D777" s="6">
        <f ca="1">IFERROR(__xludf.DUMMYFUNCTION("""COMPUTED_VALUE"""),0)</f>
        <v>0</v>
      </c>
      <c r="E777" s="7"/>
      <c r="F777" s="7"/>
      <c r="G777" s="7"/>
      <c r="H777" s="7"/>
      <c r="I777" s="7"/>
    </row>
    <row r="778" spans="1:9" ht="13.2">
      <c r="A778" s="5"/>
      <c r="B778" s="5"/>
      <c r="C778" s="5"/>
      <c r="D778" s="6">
        <f ca="1">IFERROR(__xludf.DUMMYFUNCTION("""COMPUTED_VALUE"""),0)</f>
        <v>0</v>
      </c>
      <c r="E778" s="7"/>
      <c r="F778" s="7"/>
      <c r="G778" s="7"/>
      <c r="H778" s="7"/>
      <c r="I778" s="7"/>
    </row>
    <row r="779" spans="1:9" ht="13.2">
      <c r="A779" s="5"/>
      <c r="B779" s="5"/>
      <c r="C779" s="5"/>
      <c r="D779" s="6">
        <f ca="1">IFERROR(__xludf.DUMMYFUNCTION("""COMPUTED_VALUE"""),0)</f>
        <v>0</v>
      </c>
      <c r="E779" s="7"/>
      <c r="F779" s="7"/>
      <c r="G779" s="7"/>
      <c r="H779" s="7"/>
      <c r="I779" s="7"/>
    </row>
    <row r="780" spans="1:9" ht="13.2">
      <c r="A780" s="5"/>
      <c r="B780" s="5"/>
      <c r="C780" s="5"/>
      <c r="D780" s="6">
        <f ca="1">IFERROR(__xludf.DUMMYFUNCTION("""COMPUTED_VALUE"""),0)</f>
        <v>0</v>
      </c>
      <c r="E780" s="7"/>
      <c r="F780" s="7"/>
      <c r="G780" s="7"/>
      <c r="H780" s="7"/>
      <c r="I780" s="7"/>
    </row>
    <row r="781" spans="1:9" ht="13.2">
      <c r="A781" s="5"/>
      <c r="B781" s="5"/>
      <c r="C781" s="5"/>
      <c r="D781" s="6">
        <f ca="1">IFERROR(__xludf.DUMMYFUNCTION("""COMPUTED_VALUE"""),0)</f>
        <v>0</v>
      </c>
      <c r="E781" s="7"/>
      <c r="F781" s="7"/>
      <c r="G781" s="7"/>
      <c r="H781" s="7"/>
      <c r="I781" s="7"/>
    </row>
    <row r="782" spans="1:9" ht="13.2">
      <c r="A782" s="5"/>
      <c r="B782" s="5"/>
      <c r="C782" s="5"/>
      <c r="D782" s="6">
        <f ca="1">IFERROR(__xludf.DUMMYFUNCTION("""COMPUTED_VALUE"""),0)</f>
        <v>0</v>
      </c>
      <c r="E782" s="7"/>
      <c r="F782" s="7"/>
      <c r="G782" s="7"/>
      <c r="H782" s="7"/>
      <c r="I782" s="7"/>
    </row>
    <row r="783" spans="1:9" ht="13.2">
      <c r="A783" s="5"/>
      <c r="B783" s="5"/>
      <c r="C783" s="5"/>
      <c r="D783" s="6">
        <f ca="1">IFERROR(__xludf.DUMMYFUNCTION("""COMPUTED_VALUE"""),0)</f>
        <v>0</v>
      </c>
      <c r="E783" s="7"/>
      <c r="F783" s="7"/>
      <c r="G783" s="7"/>
      <c r="H783" s="7"/>
      <c r="I783" s="7"/>
    </row>
    <row r="784" spans="1:9" ht="13.2">
      <c r="A784" s="5"/>
      <c r="B784" s="5"/>
      <c r="C784" s="5"/>
      <c r="D784" s="6">
        <f ca="1">IFERROR(__xludf.DUMMYFUNCTION("""COMPUTED_VALUE"""),0)</f>
        <v>0</v>
      </c>
      <c r="E784" s="7"/>
      <c r="F784" s="7"/>
      <c r="G784" s="7"/>
      <c r="H784" s="7"/>
      <c r="I784" s="7"/>
    </row>
    <row r="785" spans="1:9" ht="13.2">
      <c r="A785" s="5"/>
      <c r="B785" s="5"/>
      <c r="C785" s="5"/>
      <c r="D785" s="6">
        <f ca="1">IFERROR(__xludf.DUMMYFUNCTION("""COMPUTED_VALUE"""),0)</f>
        <v>0</v>
      </c>
      <c r="E785" s="7"/>
      <c r="F785" s="7"/>
      <c r="G785" s="7"/>
      <c r="H785" s="7"/>
      <c r="I785" s="7"/>
    </row>
    <row r="786" spans="1:9" ht="13.2">
      <c r="A786" s="5"/>
      <c r="B786" s="5"/>
      <c r="C786" s="5"/>
      <c r="D786" s="6">
        <f ca="1">IFERROR(__xludf.DUMMYFUNCTION("""COMPUTED_VALUE"""),0)</f>
        <v>0</v>
      </c>
      <c r="E786" s="7"/>
      <c r="F786" s="7"/>
      <c r="G786" s="7"/>
      <c r="H786" s="7"/>
      <c r="I786" s="7"/>
    </row>
    <row r="787" spans="1:9" ht="13.2">
      <c r="A787" s="5"/>
      <c r="B787" s="5"/>
      <c r="C787" s="5"/>
      <c r="D787" s="6">
        <f ca="1">IFERROR(__xludf.DUMMYFUNCTION("""COMPUTED_VALUE"""),0)</f>
        <v>0</v>
      </c>
      <c r="E787" s="7"/>
      <c r="F787" s="7"/>
      <c r="G787" s="7"/>
      <c r="H787" s="7"/>
      <c r="I787" s="7"/>
    </row>
    <row r="788" spans="1:9" ht="13.2">
      <c r="A788" s="5"/>
      <c r="B788" s="5"/>
      <c r="C788" s="5"/>
      <c r="D788" s="6">
        <f ca="1">IFERROR(__xludf.DUMMYFUNCTION("""COMPUTED_VALUE"""),0)</f>
        <v>0</v>
      </c>
      <c r="E788" s="7"/>
      <c r="F788" s="7"/>
      <c r="G788" s="7"/>
      <c r="H788" s="7"/>
      <c r="I788" s="7"/>
    </row>
    <row r="789" spans="1:9" ht="13.2">
      <c r="A789" s="5"/>
      <c r="B789" s="5"/>
      <c r="C789" s="5"/>
      <c r="D789" s="6">
        <f ca="1">IFERROR(__xludf.DUMMYFUNCTION("""COMPUTED_VALUE"""),0)</f>
        <v>0</v>
      </c>
      <c r="E789" s="7"/>
      <c r="F789" s="7"/>
      <c r="G789" s="7"/>
      <c r="H789" s="7"/>
      <c r="I789" s="7"/>
    </row>
    <row r="790" spans="1:9" ht="13.2">
      <c r="A790" s="5"/>
      <c r="B790" s="5"/>
      <c r="C790" s="5"/>
      <c r="D790" s="6">
        <f ca="1">IFERROR(__xludf.DUMMYFUNCTION("""COMPUTED_VALUE"""),0)</f>
        <v>0</v>
      </c>
      <c r="E790" s="7"/>
      <c r="F790" s="7"/>
      <c r="G790" s="7"/>
      <c r="H790" s="7"/>
      <c r="I790" s="7"/>
    </row>
    <row r="791" spans="1:9" ht="13.2">
      <c r="A791" s="5"/>
      <c r="B791" s="5"/>
      <c r="C791" s="5"/>
      <c r="D791" s="6">
        <f ca="1">IFERROR(__xludf.DUMMYFUNCTION("""COMPUTED_VALUE"""),0)</f>
        <v>0</v>
      </c>
      <c r="E791" s="7"/>
      <c r="F791" s="7"/>
      <c r="G791" s="7"/>
      <c r="H791" s="7"/>
      <c r="I791" s="7"/>
    </row>
    <row r="792" spans="1:9" ht="13.2">
      <c r="A792" s="5"/>
      <c r="B792" s="5"/>
      <c r="C792" s="5"/>
      <c r="D792" s="6">
        <f ca="1">IFERROR(__xludf.DUMMYFUNCTION("""COMPUTED_VALUE"""),0)</f>
        <v>0</v>
      </c>
      <c r="E792" s="7"/>
      <c r="F792" s="7"/>
      <c r="G792" s="7"/>
      <c r="H792" s="7"/>
      <c r="I792" s="7"/>
    </row>
    <row r="793" spans="1:9" ht="13.2">
      <c r="A793" s="5"/>
      <c r="B793" s="5"/>
      <c r="C793" s="5"/>
      <c r="D793" s="6">
        <f ca="1">IFERROR(__xludf.DUMMYFUNCTION("""COMPUTED_VALUE"""),0)</f>
        <v>0</v>
      </c>
      <c r="E793" s="7"/>
      <c r="F793" s="7"/>
      <c r="G793" s="7"/>
      <c r="H793" s="7"/>
      <c r="I793" s="7"/>
    </row>
    <row r="794" spans="1:9" ht="13.2">
      <c r="A794" s="5"/>
      <c r="B794" s="5"/>
      <c r="C794" s="5"/>
      <c r="D794" s="6">
        <f ca="1">IFERROR(__xludf.DUMMYFUNCTION("""COMPUTED_VALUE"""),0)</f>
        <v>0</v>
      </c>
      <c r="E794" s="7"/>
      <c r="F794" s="7"/>
      <c r="G794" s="7"/>
      <c r="H794" s="7"/>
      <c r="I794" s="7"/>
    </row>
    <row r="795" spans="1:9" ht="13.2">
      <c r="A795" s="5"/>
      <c r="B795" s="5"/>
      <c r="C795" s="5"/>
      <c r="D795" s="6">
        <f ca="1">IFERROR(__xludf.DUMMYFUNCTION("""COMPUTED_VALUE"""),0)</f>
        <v>0</v>
      </c>
      <c r="E795" s="7"/>
      <c r="F795" s="7"/>
      <c r="G795" s="7"/>
      <c r="H795" s="7"/>
      <c r="I795" s="7"/>
    </row>
    <row r="796" spans="1:9" ht="13.2">
      <c r="A796" s="5"/>
      <c r="B796" s="5"/>
      <c r="C796" s="5"/>
      <c r="D796" s="6">
        <f ca="1">IFERROR(__xludf.DUMMYFUNCTION("""COMPUTED_VALUE"""),0)</f>
        <v>0</v>
      </c>
      <c r="E796" s="7"/>
      <c r="F796" s="7"/>
      <c r="G796" s="7"/>
      <c r="H796" s="7"/>
      <c r="I796" s="7"/>
    </row>
    <row r="797" spans="1:9" ht="13.2">
      <c r="A797" s="5"/>
      <c r="B797" s="5"/>
      <c r="C797" s="5"/>
      <c r="D797" s="6">
        <f ca="1">IFERROR(__xludf.DUMMYFUNCTION("""COMPUTED_VALUE"""),0)</f>
        <v>0</v>
      </c>
      <c r="E797" s="7"/>
      <c r="F797" s="7"/>
      <c r="G797" s="7"/>
      <c r="H797" s="7"/>
      <c r="I797" s="7"/>
    </row>
    <row r="798" spans="1:9" ht="13.2">
      <c r="A798" s="5"/>
      <c r="B798" s="5"/>
      <c r="C798" s="5"/>
      <c r="D798" s="6">
        <f ca="1">IFERROR(__xludf.DUMMYFUNCTION("""COMPUTED_VALUE"""),0)</f>
        <v>0</v>
      </c>
      <c r="E798" s="7"/>
      <c r="F798" s="7"/>
      <c r="G798" s="7"/>
      <c r="H798" s="7"/>
      <c r="I798" s="7"/>
    </row>
    <row r="799" spans="1:9" ht="13.2">
      <c r="A799" s="5"/>
      <c r="B799" s="5"/>
      <c r="C799" s="5"/>
      <c r="D799" s="6">
        <f ca="1">IFERROR(__xludf.DUMMYFUNCTION("""COMPUTED_VALUE"""),0)</f>
        <v>0</v>
      </c>
      <c r="E799" s="7"/>
      <c r="F799" s="7"/>
      <c r="G799" s="7"/>
      <c r="H799" s="7"/>
      <c r="I799" s="7"/>
    </row>
    <row r="800" spans="1:9" ht="13.2">
      <c r="A800" s="5"/>
      <c r="B800" s="5"/>
      <c r="C800" s="5"/>
      <c r="D800" s="6">
        <f ca="1">IFERROR(__xludf.DUMMYFUNCTION("""COMPUTED_VALUE"""),0)</f>
        <v>0</v>
      </c>
      <c r="E800" s="7"/>
      <c r="F800" s="7"/>
      <c r="G800" s="7"/>
      <c r="H800" s="7"/>
      <c r="I800" s="7"/>
    </row>
    <row r="801" spans="1:9" ht="13.2">
      <c r="A801" s="5"/>
      <c r="B801" s="5"/>
      <c r="C801" s="5"/>
      <c r="D801" s="6">
        <f ca="1">IFERROR(__xludf.DUMMYFUNCTION("""COMPUTED_VALUE"""),0)</f>
        <v>0</v>
      </c>
      <c r="E801" s="7"/>
      <c r="F801" s="7"/>
      <c r="G801" s="7"/>
      <c r="H801" s="7"/>
      <c r="I801" s="7"/>
    </row>
    <row r="802" spans="1:9" ht="13.2">
      <c r="A802" s="5"/>
      <c r="B802" s="5"/>
      <c r="C802" s="5"/>
      <c r="D802" s="6">
        <f ca="1">IFERROR(__xludf.DUMMYFUNCTION("""COMPUTED_VALUE"""),0)</f>
        <v>0</v>
      </c>
      <c r="E802" s="7"/>
      <c r="F802" s="7"/>
      <c r="G802" s="7"/>
      <c r="H802" s="7"/>
      <c r="I802" s="7"/>
    </row>
    <row r="803" spans="1:9" ht="13.2">
      <c r="A803" s="5"/>
      <c r="B803" s="5"/>
      <c r="C803" s="5"/>
      <c r="D803" s="6">
        <f ca="1">IFERROR(__xludf.DUMMYFUNCTION("""COMPUTED_VALUE"""),0)</f>
        <v>0</v>
      </c>
      <c r="E803" s="7"/>
      <c r="F803" s="7"/>
      <c r="G803" s="7"/>
      <c r="H803" s="7"/>
      <c r="I803" s="7"/>
    </row>
    <row r="804" spans="1:9" ht="13.2">
      <c r="A804" s="5"/>
      <c r="B804" s="5"/>
      <c r="C804" s="5"/>
      <c r="D804" s="6">
        <f ca="1">IFERROR(__xludf.DUMMYFUNCTION("""COMPUTED_VALUE"""),0)</f>
        <v>0</v>
      </c>
      <c r="E804" s="7"/>
      <c r="F804" s="7"/>
      <c r="G804" s="7"/>
      <c r="H804" s="7"/>
      <c r="I804" s="7"/>
    </row>
    <row r="805" spans="1:9" ht="13.2">
      <c r="A805" s="5"/>
      <c r="B805" s="5"/>
      <c r="C805" s="5"/>
      <c r="D805" s="6">
        <f ca="1">IFERROR(__xludf.DUMMYFUNCTION("""COMPUTED_VALUE"""),0)</f>
        <v>0</v>
      </c>
      <c r="E805" s="7"/>
      <c r="F805" s="7"/>
      <c r="G805" s="7"/>
      <c r="H805" s="7"/>
      <c r="I805" s="7"/>
    </row>
    <row r="806" spans="1:9" ht="13.2">
      <c r="A806" s="5"/>
      <c r="B806" s="5"/>
      <c r="C806" s="5"/>
      <c r="D806" s="6">
        <f ca="1">IFERROR(__xludf.DUMMYFUNCTION("""COMPUTED_VALUE"""),0)</f>
        <v>0</v>
      </c>
      <c r="E806" s="7"/>
      <c r="F806" s="7"/>
      <c r="G806" s="7"/>
      <c r="H806" s="7"/>
      <c r="I806" s="7"/>
    </row>
    <row r="807" spans="1:9" ht="13.2">
      <c r="A807" s="5"/>
      <c r="B807" s="5"/>
      <c r="C807" s="5"/>
      <c r="D807" s="6">
        <f ca="1">IFERROR(__xludf.DUMMYFUNCTION("""COMPUTED_VALUE"""),0)</f>
        <v>0</v>
      </c>
      <c r="E807" s="7"/>
      <c r="F807" s="7"/>
      <c r="G807" s="7"/>
      <c r="H807" s="7"/>
      <c r="I807" s="7"/>
    </row>
    <row r="808" spans="1:9" ht="13.2">
      <c r="A808" s="5"/>
      <c r="B808" s="5"/>
      <c r="C808" s="5"/>
      <c r="D808" s="6">
        <f ca="1">IFERROR(__xludf.DUMMYFUNCTION("""COMPUTED_VALUE"""),0)</f>
        <v>0</v>
      </c>
      <c r="E808" s="7"/>
      <c r="F808" s="7"/>
      <c r="G808" s="7"/>
      <c r="H808" s="7"/>
      <c r="I808" s="7"/>
    </row>
    <row r="809" spans="1:9" ht="13.2">
      <c r="A809" s="5"/>
      <c r="B809" s="5"/>
      <c r="C809" s="5"/>
      <c r="D809" s="6">
        <f ca="1">IFERROR(__xludf.DUMMYFUNCTION("""COMPUTED_VALUE"""),0)</f>
        <v>0</v>
      </c>
      <c r="E809" s="7"/>
      <c r="F809" s="7"/>
      <c r="G809" s="7"/>
      <c r="H809" s="7"/>
      <c r="I809" s="7"/>
    </row>
    <row r="810" spans="1:9" ht="13.2">
      <c r="A810" s="5"/>
      <c r="B810" s="5"/>
      <c r="C810" s="5"/>
      <c r="D810" s="6">
        <f ca="1">IFERROR(__xludf.DUMMYFUNCTION("""COMPUTED_VALUE"""),0)</f>
        <v>0</v>
      </c>
      <c r="E810" s="7"/>
      <c r="F810" s="7"/>
      <c r="G810" s="7"/>
      <c r="H810" s="7"/>
      <c r="I810" s="7"/>
    </row>
    <row r="811" spans="1:9" ht="13.2">
      <c r="A811" s="5"/>
      <c r="B811" s="5"/>
      <c r="C811" s="5"/>
      <c r="D811" s="6">
        <f ca="1">IFERROR(__xludf.DUMMYFUNCTION("""COMPUTED_VALUE"""),0)</f>
        <v>0</v>
      </c>
      <c r="E811" s="7"/>
      <c r="F811" s="7"/>
      <c r="G811" s="7"/>
      <c r="H811" s="7"/>
      <c r="I811" s="7"/>
    </row>
    <row r="812" spans="1:9" ht="13.2">
      <c r="A812" s="5"/>
      <c r="B812" s="5"/>
      <c r="C812" s="5"/>
      <c r="D812" s="6">
        <f ca="1">IFERROR(__xludf.DUMMYFUNCTION("""COMPUTED_VALUE"""),0)</f>
        <v>0</v>
      </c>
      <c r="E812" s="7"/>
      <c r="F812" s="7"/>
      <c r="G812" s="7"/>
      <c r="H812" s="7"/>
      <c r="I812" s="7"/>
    </row>
    <row r="813" spans="1:9" ht="13.2">
      <c r="A813" s="5"/>
      <c r="B813" s="5"/>
      <c r="C813" s="5"/>
      <c r="D813" s="6">
        <f ca="1">IFERROR(__xludf.DUMMYFUNCTION("""COMPUTED_VALUE"""),0)</f>
        <v>0</v>
      </c>
      <c r="E813" s="7"/>
      <c r="F813" s="7"/>
      <c r="G813" s="7"/>
      <c r="H813" s="7"/>
      <c r="I813" s="7"/>
    </row>
    <row r="814" spans="1:9" ht="13.2">
      <c r="A814" s="5"/>
      <c r="B814" s="5"/>
      <c r="C814" s="5"/>
      <c r="D814" s="6">
        <f ca="1">IFERROR(__xludf.DUMMYFUNCTION("""COMPUTED_VALUE"""),0)</f>
        <v>0</v>
      </c>
      <c r="E814" s="7"/>
      <c r="F814" s="7"/>
      <c r="G814" s="7"/>
      <c r="H814" s="7"/>
      <c r="I814" s="7"/>
    </row>
    <row r="815" spans="1:9" ht="13.2">
      <c r="A815" s="5"/>
      <c r="B815" s="5"/>
      <c r="C815" s="5"/>
      <c r="D815" s="6">
        <f ca="1">IFERROR(__xludf.DUMMYFUNCTION("""COMPUTED_VALUE"""),0)</f>
        <v>0</v>
      </c>
      <c r="E815" s="7"/>
      <c r="F815" s="7"/>
      <c r="G815" s="7"/>
      <c r="H815" s="7"/>
      <c r="I815" s="7"/>
    </row>
    <row r="816" spans="1:9" ht="13.2">
      <c r="A816" s="5"/>
      <c r="B816" s="5"/>
      <c r="C816" s="5"/>
      <c r="D816" s="6">
        <f ca="1">IFERROR(__xludf.DUMMYFUNCTION("""COMPUTED_VALUE"""),0)</f>
        <v>0</v>
      </c>
      <c r="E816" s="7"/>
      <c r="F816" s="7"/>
      <c r="G816" s="7"/>
      <c r="H816" s="7"/>
      <c r="I816" s="7"/>
    </row>
    <row r="817" spans="1:9" ht="13.2">
      <c r="A817" s="5"/>
      <c r="B817" s="5"/>
      <c r="C817" s="5"/>
      <c r="D817" s="6">
        <f ca="1">IFERROR(__xludf.DUMMYFUNCTION("""COMPUTED_VALUE"""),0)</f>
        <v>0</v>
      </c>
      <c r="E817" s="7"/>
      <c r="F817" s="7"/>
      <c r="G817" s="7"/>
      <c r="H817" s="7"/>
      <c r="I817" s="7"/>
    </row>
    <row r="818" spans="1:9" ht="13.2">
      <c r="A818" s="5"/>
      <c r="B818" s="5"/>
      <c r="C818" s="5"/>
      <c r="D818" s="6">
        <f ca="1">IFERROR(__xludf.DUMMYFUNCTION("""COMPUTED_VALUE"""),0)</f>
        <v>0</v>
      </c>
      <c r="E818" s="7"/>
      <c r="F818" s="7"/>
      <c r="G818" s="7"/>
      <c r="H818" s="7"/>
      <c r="I818" s="7"/>
    </row>
    <row r="819" spans="1:9" ht="13.2">
      <c r="A819" s="5"/>
      <c r="B819" s="5"/>
      <c r="C819" s="5"/>
      <c r="D819" s="6">
        <f ca="1">IFERROR(__xludf.DUMMYFUNCTION("""COMPUTED_VALUE"""),0)</f>
        <v>0</v>
      </c>
      <c r="E819" s="7"/>
      <c r="F819" s="7"/>
      <c r="G819" s="7"/>
      <c r="H819" s="7"/>
      <c r="I819" s="7"/>
    </row>
    <row r="820" spans="1:9" ht="13.2">
      <c r="A820" s="5"/>
      <c r="B820" s="5"/>
      <c r="C820" s="5"/>
      <c r="D820" s="6">
        <f ca="1">IFERROR(__xludf.DUMMYFUNCTION("""COMPUTED_VALUE"""),0)</f>
        <v>0</v>
      </c>
      <c r="E820" s="7"/>
      <c r="F820" s="7"/>
      <c r="G820" s="7"/>
      <c r="H820" s="7"/>
      <c r="I820" s="7"/>
    </row>
    <row r="821" spans="1:9" ht="13.2">
      <c r="A821" s="5"/>
      <c r="B821" s="5"/>
      <c r="C821" s="5"/>
      <c r="D821" s="6">
        <f ca="1">IFERROR(__xludf.DUMMYFUNCTION("""COMPUTED_VALUE"""),0)</f>
        <v>0</v>
      </c>
      <c r="E821" s="7"/>
      <c r="F821" s="7"/>
      <c r="G821" s="7"/>
      <c r="H821" s="7"/>
      <c r="I821" s="7"/>
    </row>
    <row r="822" spans="1:9" ht="13.2">
      <c r="A822" s="5"/>
      <c r="B822" s="5"/>
      <c r="C822" s="5"/>
      <c r="D822" s="6">
        <f ca="1">IFERROR(__xludf.DUMMYFUNCTION("""COMPUTED_VALUE"""),0)</f>
        <v>0</v>
      </c>
      <c r="E822" s="7"/>
      <c r="F822" s="7"/>
      <c r="G822" s="7"/>
      <c r="H822" s="7"/>
      <c r="I822" s="7"/>
    </row>
    <row r="823" spans="1:9" ht="13.2">
      <c r="A823" s="5"/>
      <c r="B823" s="5"/>
      <c r="C823" s="5"/>
      <c r="D823" s="6">
        <f ca="1">IFERROR(__xludf.DUMMYFUNCTION("""COMPUTED_VALUE"""),0)</f>
        <v>0</v>
      </c>
      <c r="E823" s="7"/>
      <c r="F823" s="7"/>
      <c r="G823" s="7"/>
      <c r="H823" s="7"/>
      <c r="I823" s="7"/>
    </row>
    <row r="824" spans="1:9" ht="13.2">
      <c r="A824" s="5"/>
      <c r="B824" s="5"/>
      <c r="C824" s="5"/>
      <c r="D824" s="6">
        <f ca="1">IFERROR(__xludf.DUMMYFUNCTION("""COMPUTED_VALUE"""),0)</f>
        <v>0</v>
      </c>
      <c r="E824" s="7"/>
      <c r="F824" s="7"/>
      <c r="G824" s="7"/>
      <c r="H824" s="7"/>
      <c r="I824" s="7"/>
    </row>
    <row r="825" spans="1:9" ht="13.2">
      <c r="A825" s="5"/>
      <c r="B825" s="5"/>
      <c r="C825" s="5"/>
      <c r="D825" s="6">
        <f ca="1">IFERROR(__xludf.DUMMYFUNCTION("""COMPUTED_VALUE"""),0)</f>
        <v>0</v>
      </c>
      <c r="E825" s="7"/>
      <c r="F825" s="7"/>
      <c r="G825" s="7"/>
      <c r="H825" s="7"/>
      <c r="I825" s="7"/>
    </row>
    <row r="826" spans="1:9" ht="13.2">
      <c r="A826" s="5"/>
      <c r="B826" s="5"/>
      <c r="C826" s="5"/>
      <c r="D826" s="6">
        <f ca="1">IFERROR(__xludf.DUMMYFUNCTION("""COMPUTED_VALUE"""),0)</f>
        <v>0</v>
      </c>
      <c r="E826" s="7"/>
      <c r="F826" s="7"/>
      <c r="G826" s="7"/>
      <c r="H826" s="7"/>
      <c r="I826" s="7"/>
    </row>
    <row r="827" spans="1:9" ht="13.2">
      <c r="A827" s="5"/>
      <c r="B827" s="5"/>
      <c r="C827" s="5"/>
      <c r="D827" s="6">
        <f ca="1">IFERROR(__xludf.DUMMYFUNCTION("""COMPUTED_VALUE"""),0)</f>
        <v>0</v>
      </c>
      <c r="E827" s="7"/>
      <c r="F827" s="7"/>
      <c r="G827" s="7"/>
      <c r="H827" s="7"/>
      <c r="I827" s="7"/>
    </row>
    <row r="828" spans="1:9" ht="13.2">
      <c r="A828" s="5"/>
      <c r="B828" s="5"/>
      <c r="C828" s="5"/>
      <c r="D828" s="6">
        <f ca="1">IFERROR(__xludf.DUMMYFUNCTION("""COMPUTED_VALUE"""),0)</f>
        <v>0</v>
      </c>
      <c r="E828" s="7"/>
      <c r="F828" s="7"/>
      <c r="G828" s="7"/>
      <c r="H828" s="7"/>
      <c r="I828" s="7"/>
    </row>
    <row r="829" spans="1:9" ht="13.2">
      <c r="A829" s="5"/>
      <c r="B829" s="5"/>
      <c r="C829" s="5"/>
      <c r="D829" s="6">
        <f ca="1">IFERROR(__xludf.DUMMYFUNCTION("""COMPUTED_VALUE"""),0)</f>
        <v>0</v>
      </c>
      <c r="E829" s="7"/>
      <c r="F829" s="7"/>
      <c r="G829" s="7"/>
      <c r="H829" s="7"/>
      <c r="I829" s="7"/>
    </row>
    <row r="830" spans="1:9" ht="13.2">
      <c r="A830" s="5"/>
      <c r="B830" s="5"/>
      <c r="C830" s="5"/>
      <c r="D830" s="6">
        <f ca="1">IFERROR(__xludf.DUMMYFUNCTION("""COMPUTED_VALUE"""),0)</f>
        <v>0</v>
      </c>
      <c r="E830" s="7"/>
      <c r="F830" s="7"/>
      <c r="G830" s="7"/>
      <c r="H830" s="7"/>
      <c r="I830" s="7"/>
    </row>
    <row r="831" spans="1:9" ht="13.2">
      <c r="A831" s="5"/>
      <c r="B831" s="5"/>
      <c r="C831" s="5"/>
      <c r="D831" s="6">
        <f ca="1">IFERROR(__xludf.DUMMYFUNCTION("""COMPUTED_VALUE"""),0)</f>
        <v>0</v>
      </c>
      <c r="E831" s="7"/>
      <c r="F831" s="7"/>
      <c r="G831" s="7"/>
      <c r="H831" s="7"/>
      <c r="I831" s="7"/>
    </row>
    <row r="832" spans="1:9" ht="13.2">
      <c r="A832" s="5"/>
      <c r="B832" s="5"/>
      <c r="C832" s="5"/>
      <c r="D832" s="6">
        <f ca="1">IFERROR(__xludf.DUMMYFUNCTION("""COMPUTED_VALUE"""),0)</f>
        <v>0</v>
      </c>
      <c r="E832" s="7"/>
      <c r="F832" s="7"/>
      <c r="G832" s="7"/>
      <c r="H832" s="7"/>
      <c r="I832" s="7"/>
    </row>
    <row r="833" spans="1:9" ht="13.2">
      <c r="A833" s="5"/>
      <c r="B833" s="5"/>
      <c r="C833" s="5"/>
      <c r="D833" s="6">
        <f ca="1">IFERROR(__xludf.DUMMYFUNCTION("""COMPUTED_VALUE"""),0)</f>
        <v>0</v>
      </c>
      <c r="E833" s="7"/>
      <c r="F833" s="7"/>
      <c r="G833" s="7"/>
      <c r="H833" s="7"/>
      <c r="I833" s="7"/>
    </row>
    <row r="834" spans="1:9" ht="13.2">
      <c r="A834" s="5"/>
      <c r="B834" s="5"/>
      <c r="C834" s="5"/>
      <c r="D834" s="6">
        <f ca="1">IFERROR(__xludf.DUMMYFUNCTION("""COMPUTED_VALUE"""),0)</f>
        <v>0</v>
      </c>
      <c r="E834" s="7"/>
      <c r="F834" s="7"/>
      <c r="G834" s="7"/>
      <c r="H834" s="7"/>
      <c r="I834" s="7"/>
    </row>
    <row r="835" spans="1:9" ht="13.2">
      <c r="A835" s="5"/>
      <c r="B835" s="5"/>
      <c r="C835" s="5"/>
      <c r="D835" s="6">
        <f ca="1">IFERROR(__xludf.DUMMYFUNCTION("""COMPUTED_VALUE"""),0)</f>
        <v>0</v>
      </c>
      <c r="E835" s="7"/>
      <c r="F835" s="7"/>
      <c r="G835" s="7"/>
      <c r="H835" s="7"/>
      <c r="I835" s="7"/>
    </row>
    <row r="836" spans="1:9" ht="13.2">
      <c r="A836" s="5"/>
      <c r="B836" s="5"/>
      <c r="C836" s="5"/>
      <c r="D836" s="6">
        <f ca="1">IFERROR(__xludf.DUMMYFUNCTION("""COMPUTED_VALUE"""),0)</f>
        <v>0</v>
      </c>
      <c r="E836" s="7"/>
      <c r="F836" s="7"/>
      <c r="G836" s="7"/>
      <c r="H836" s="7"/>
      <c r="I836" s="7"/>
    </row>
    <row r="837" spans="1:9" ht="13.2">
      <c r="A837" s="5"/>
      <c r="B837" s="5"/>
      <c r="C837" s="5"/>
      <c r="D837" s="6">
        <f ca="1">IFERROR(__xludf.DUMMYFUNCTION("""COMPUTED_VALUE"""),0)</f>
        <v>0</v>
      </c>
      <c r="E837" s="7"/>
      <c r="F837" s="7"/>
      <c r="G837" s="7"/>
      <c r="H837" s="7"/>
      <c r="I837" s="7"/>
    </row>
    <row r="838" spans="1:9" ht="13.2">
      <c r="A838" s="5"/>
      <c r="B838" s="5"/>
      <c r="C838" s="5"/>
      <c r="D838" s="6">
        <f ca="1">IFERROR(__xludf.DUMMYFUNCTION("""COMPUTED_VALUE"""),0)</f>
        <v>0</v>
      </c>
      <c r="E838" s="7"/>
      <c r="F838" s="7"/>
      <c r="G838" s="7"/>
      <c r="H838" s="7"/>
      <c r="I838" s="7"/>
    </row>
    <row r="839" spans="1:9" ht="13.2">
      <c r="A839" s="5"/>
      <c r="B839" s="5"/>
      <c r="C839" s="5"/>
      <c r="D839" s="6">
        <f ca="1">IFERROR(__xludf.DUMMYFUNCTION("""COMPUTED_VALUE"""),0)</f>
        <v>0</v>
      </c>
      <c r="E839" s="7"/>
      <c r="F839" s="7"/>
      <c r="G839" s="7"/>
      <c r="H839" s="7"/>
      <c r="I839" s="7"/>
    </row>
    <row r="840" spans="1:9" ht="13.2">
      <c r="A840" s="5"/>
      <c r="B840" s="5"/>
      <c r="C840" s="5"/>
      <c r="D840" s="6">
        <f ca="1">IFERROR(__xludf.DUMMYFUNCTION("""COMPUTED_VALUE"""),0)</f>
        <v>0</v>
      </c>
      <c r="E840" s="7"/>
      <c r="F840" s="7"/>
      <c r="G840" s="7"/>
      <c r="H840" s="7"/>
      <c r="I840" s="7"/>
    </row>
    <row r="841" spans="1:9" ht="13.2">
      <c r="A841" s="5"/>
      <c r="B841" s="5"/>
      <c r="C841" s="5"/>
      <c r="D841" s="6">
        <f ca="1">IFERROR(__xludf.DUMMYFUNCTION("""COMPUTED_VALUE"""),0)</f>
        <v>0</v>
      </c>
      <c r="E841" s="7"/>
      <c r="F841" s="7"/>
      <c r="G841" s="7"/>
      <c r="H841" s="7"/>
      <c r="I841" s="7"/>
    </row>
    <row r="842" spans="1:9" ht="13.2">
      <c r="A842" s="5"/>
      <c r="B842" s="5"/>
      <c r="C842" s="5"/>
      <c r="D842" s="6">
        <f ca="1">IFERROR(__xludf.DUMMYFUNCTION("""COMPUTED_VALUE"""),0)</f>
        <v>0</v>
      </c>
      <c r="E842" s="7"/>
      <c r="F842" s="7"/>
      <c r="G842" s="7"/>
      <c r="H842" s="7"/>
      <c r="I842" s="7"/>
    </row>
    <row r="843" spans="1:9" ht="13.2">
      <c r="A843" s="5"/>
      <c r="B843" s="5"/>
      <c r="C843" s="5"/>
      <c r="D843" s="6">
        <f ca="1">IFERROR(__xludf.DUMMYFUNCTION("""COMPUTED_VALUE"""),0)</f>
        <v>0</v>
      </c>
      <c r="E843" s="7"/>
      <c r="F843" s="7"/>
      <c r="G843" s="7"/>
      <c r="H843" s="7"/>
      <c r="I843" s="7"/>
    </row>
    <row r="844" spans="1:9" ht="13.2">
      <c r="A844" s="5"/>
      <c r="B844" s="5"/>
      <c r="C844" s="5"/>
      <c r="D844" s="6">
        <f ca="1">IFERROR(__xludf.DUMMYFUNCTION("""COMPUTED_VALUE"""),0)</f>
        <v>0</v>
      </c>
      <c r="E844" s="7"/>
      <c r="F844" s="7"/>
      <c r="G844" s="7"/>
      <c r="H844" s="7"/>
      <c r="I844" s="7"/>
    </row>
    <row r="845" spans="1:9" ht="13.2">
      <c r="A845" s="5"/>
      <c r="B845" s="5"/>
      <c r="C845" s="5"/>
      <c r="D845" s="6">
        <f ca="1">IFERROR(__xludf.DUMMYFUNCTION("""COMPUTED_VALUE"""),0)</f>
        <v>0</v>
      </c>
      <c r="E845" s="7"/>
      <c r="F845" s="7"/>
      <c r="G845" s="7"/>
      <c r="H845" s="7"/>
      <c r="I845" s="7"/>
    </row>
    <row r="846" spans="1:9" ht="13.2">
      <c r="A846" s="5"/>
      <c r="B846" s="5"/>
      <c r="C846" s="5"/>
      <c r="D846" s="6">
        <f ca="1">IFERROR(__xludf.DUMMYFUNCTION("""COMPUTED_VALUE"""),0)</f>
        <v>0</v>
      </c>
      <c r="E846" s="7"/>
      <c r="F846" s="7"/>
      <c r="G846" s="7"/>
      <c r="H846" s="7"/>
      <c r="I846" s="7"/>
    </row>
    <row r="847" spans="1:9" ht="13.2">
      <c r="A847" s="5"/>
      <c r="B847" s="5"/>
      <c r="C847" s="5"/>
      <c r="D847" s="6">
        <f ca="1">IFERROR(__xludf.DUMMYFUNCTION("""COMPUTED_VALUE"""),0)</f>
        <v>0</v>
      </c>
      <c r="E847" s="7"/>
      <c r="F847" s="7"/>
      <c r="G847" s="7"/>
      <c r="H847" s="7"/>
      <c r="I847" s="7"/>
    </row>
    <row r="848" spans="1:9" ht="13.2">
      <c r="A848" s="5"/>
      <c r="B848" s="5"/>
      <c r="C848" s="5"/>
      <c r="D848" s="6">
        <f ca="1">IFERROR(__xludf.DUMMYFUNCTION("""COMPUTED_VALUE"""),0)</f>
        <v>0</v>
      </c>
      <c r="E848" s="7"/>
      <c r="F848" s="7"/>
      <c r="G848" s="7"/>
      <c r="H848" s="7"/>
      <c r="I848" s="7"/>
    </row>
    <row r="849" spans="1:9" ht="13.2">
      <c r="A849" s="5"/>
      <c r="B849" s="5"/>
      <c r="C849" s="5"/>
      <c r="D849" s="6">
        <f ca="1">IFERROR(__xludf.DUMMYFUNCTION("""COMPUTED_VALUE"""),0)</f>
        <v>0</v>
      </c>
      <c r="E849" s="7"/>
      <c r="F849" s="7"/>
      <c r="G849" s="7"/>
      <c r="H849" s="7"/>
      <c r="I849" s="7"/>
    </row>
    <row r="850" spans="1:9" ht="13.2">
      <c r="A850" s="5"/>
      <c r="B850" s="5"/>
      <c r="C850" s="5"/>
      <c r="D850" s="6">
        <f ca="1">IFERROR(__xludf.DUMMYFUNCTION("""COMPUTED_VALUE"""),0)</f>
        <v>0</v>
      </c>
      <c r="E850" s="7"/>
      <c r="F850" s="7"/>
      <c r="G850" s="7"/>
      <c r="H850" s="7"/>
      <c r="I850" s="7"/>
    </row>
    <row r="851" spans="1:9" ht="13.2">
      <c r="A851" s="5"/>
      <c r="B851" s="5"/>
      <c r="C851" s="5"/>
      <c r="D851" s="6">
        <f ca="1">IFERROR(__xludf.DUMMYFUNCTION("""COMPUTED_VALUE"""),0)</f>
        <v>0</v>
      </c>
      <c r="E851" s="7"/>
      <c r="F851" s="7"/>
      <c r="G851" s="7"/>
      <c r="H851" s="7"/>
      <c r="I851" s="7"/>
    </row>
    <row r="852" spans="1:9" ht="13.2">
      <c r="A852" s="5"/>
      <c r="B852" s="5"/>
      <c r="C852" s="5"/>
      <c r="D852" s="6">
        <f ca="1">IFERROR(__xludf.DUMMYFUNCTION("""COMPUTED_VALUE"""),0)</f>
        <v>0</v>
      </c>
      <c r="E852" s="7"/>
      <c r="F852" s="7"/>
      <c r="G852" s="7"/>
      <c r="H852" s="7"/>
      <c r="I852" s="7"/>
    </row>
    <row r="853" spans="1:9" ht="13.2">
      <c r="A853" s="5"/>
      <c r="B853" s="5"/>
      <c r="C853" s="5"/>
      <c r="D853" s="6">
        <f ca="1">IFERROR(__xludf.DUMMYFUNCTION("""COMPUTED_VALUE"""),0)</f>
        <v>0</v>
      </c>
      <c r="E853" s="7"/>
      <c r="F853" s="7"/>
      <c r="G853" s="7"/>
      <c r="H853" s="7"/>
      <c r="I853" s="7"/>
    </row>
    <row r="854" spans="1:9" ht="13.2">
      <c r="A854" s="5"/>
      <c r="B854" s="5"/>
      <c r="C854" s="5"/>
      <c r="D854" s="6">
        <f ca="1">IFERROR(__xludf.DUMMYFUNCTION("""COMPUTED_VALUE"""),0)</f>
        <v>0</v>
      </c>
      <c r="E854" s="7"/>
      <c r="F854" s="7"/>
      <c r="G854" s="7"/>
      <c r="H854" s="7"/>
      <c r="I854" s="7"/>
    </row>
    <row r="855" spans="1:9" ht="13.2">
      <c r="A855" s="5"/>
      <c r="B855" s="5"/>
      <c r="C855" s="5"/>
      <c r="D855" s="6">
        <f ca="1">IFERROR(__xludf.DUMMYFUNCTION("""COMPUTED_VALUE"""),0)</f>
        <v>0</v>
      </c>
      <c r="E855" s="7"/>
      <c r="F855" s="7"/>
      <c r="G855" s="7"/>
      <c r="H855" s="7"/>
      <c r="I855" s="7"/>
    </row>
    <row r="856" spans="1:9" ht="13.2">
      <c r="A856" s="5"/>
      <c r="B856" s="5"/>
      <c r="C856" s="5"/>
      <c r="D856" s="6">
        <f ca="1">IFERROR(__xludf.DUMMYFUNCTION("""COMPUTED_VALUE"""),0)</f>
        <v>0</v>
      </c>
      <c r="E856" s="7"/>
      <c r="F856" s="7"/>
      <c r="G856" s="7"/>
      <c r="H856" s="7"/>
      <c r="I856" s="7"/>
    </row>
    <row r="857" spans="1:9" ht="13.2">
      <c r="A857" s="5"/>
      <c r="B857" s="5"/>
      <c r="C857" s="5"/>
      <c r="D857" s="6">
        <f ca="1">IFERROR(__xludf.DUMMYFUNCTION("""COMPUTED_VALUE"""),0)</f>
        <v>0</v>
      </c>
      <c r="E857" s="7"/>
      <c r="F857" s="7"/>
      <c r="G857" s="7"/>
      <c r="H857" s="7"/>
      <c r="I857" s="7"/>
    </row>
    <row r="858" spans="1:9" ht="13.2">
      <c r="A858" s="5"/>
      <c r="B858" s="5"/>
      <c r="C858" s="5"/>
      <c r="D858" s="6">
        <f ca="1">IFERROR(__xludf.DUMMYFUNCTION("""COMPUTED_VALUE"""),0)</f>
        <v>0</v>
      </c>
      <c r="E858" s="7"/>
      <c r="F858" s="7"/>
      <c r="G858" s="7"/>
      <c r="H858" s="7"/>
      <c r="I858" s="7"/>
    </row>
    <row r="859" spans="1:9" ht="13.2">
      <c r="A859" s="5"/>
      <c r="B859" s="5"/>
      <c r="C859" s="5"/>
      <c r="D859" s="6">
        <f ca="1">IFERROR(__xludf.DUMMYFUNCTION("""COMPUTED_VALUE"""),0)</f>
        <v>0</v>
      </c>
      <c r="E859" s="7"/>
      <c r="F859" s="7"/>
      <c r="G859" s="7"/>
      <c r="H859" s="7"/>
      <c r="I859" s="7"/>
    </row>
    <row r="860" spans="1:9" ht="13.2">
      <c r="A860" s="5"/>
      <c r="B860" s="5"/>
      <c r="C860" s="5"/>
      <c r="D860" s="6">
        <f ca="1">IFERROR(__xludf.DUMMYFUNCTION("""COMPUTED_VALUE"""),0)</f>
        <v>0</v>
      </c>
      <c r="E860" s="7"/>
      <c r="F860" s="7"/>
      <c r="G860" s="7"/>
      <c r="H860" s="7"/>
      <c r="I860" s="7"/>
    </row>
    <row r="861" spans="1:9" ht="13.2">
      <c r="A861" s="5"/>
      <c r="B861" s="5"/>
      <c r="C861" s="5"/>
      <c r="D861" s="6">
        <f ca="1">IFERROR(__xludf.DUMMYFUNCTION("""COMPUTED_VALUE"""),0)</f>
        <v>0</v>
      </c>
      <c r="E861" s="7"/>
      <c r="F861" s="7"/>
      <c r="G861" s="7"/>
      <c r="H861" s="7"/>
      <c r="I861" s="7"/>
    </row>
    <row r="862" spans="1:9" ht="13.2">
      <c r="A862" s="5"/>
      <c r="B862" s="5"/>
      <c r="C862" s="5"/>
      <c r="D862" s="6">
        <f ca="1">IFERROR(__xludf.DUMMYFUNCTION("""COMPUTED_VALUE"""),0)</f>
        <v>0</v>
      </c>
      <c r="E862" s="7"/>
      <c r="F862" s="7"/>
      <c r="G862" s="7"/>
      <c r="H862" s="7"/>
      <c r="I862" s="7"/>
    </row>
    <row r="863" spans="1:9" ht="13.2">
      <c r="A863" s="5"/>
      <c r="B863" s="5"/>
      <c r="C863" s="5"/>
      <c r="D863" s="6">
        <f ca="1">IFERROR(__xludf.DUMMYFUNCTION("""COMPUTED_VALUE"""),0)</f>
        <v>0</v>
      </c>
      <c r="E863" s="7"/>
      <c r="F863" s="7"/>
      <c r="G863" s="7"/>
      <c r="H863" s="7"/>
      <c r="I863" s="7"/>
    </row>
    <row r="864" spans="1:9" ht="13.2">
      <c r="A864" s="5"/>
      <c r="B864" s="5"/>
      <c r="C864" s="5"/>
      <c r="D864" s="6">
        <f ca="1">IFERROR(__xludf.DUMMYFUNCTION("""COMPUTED_VALUE"""),0)</f>
        <v>0</v>
      </c>
      <c r="E864" s="7"/>
      <c r="F864" s="7"/>
      <c r="G864" s="7"/>
      <c r="H864" s="7"/>
      <c r="I864" s="7"/>
    </row>
    <row r="865" spans="1:9" ht="13.2">
      <c r="A865" s="5"/>
      <c r="B865" s="5"/>
      <c r="C865" s="5"/>
      <c r="D865" s="6">
        <f ca="1">IFERROR(__xludf.DUMMYFUNCTION("""COMPUTED_VALUE"""),0)</f>
        <v>0</v>
      </c>
      <c r="E865" s="7"/>
      <c r="F865" s="7"/>
      <c r="G865" s="7"/>
      <c r="H865" s="7"/>
      <c r="I865" s="7"/>
    </row>
    <row r="866" spans="1:9" ht="13.2">
      <c r="A866" s="5"/>
      <c r="B866" s="5"/>
      <c r="C866" s="5"/>
      <c r="D866" s="6">
        <f ca="1">IFERROR(__xludf.DUMMYFUNCTION("""COMPUTED_VALUE"""),0)</f>
        <v>0</v>
      </c>
      <c r="E866" s="7"/>
      <c r="F866" s="7"/>
      <c r="G866" s="7"/>
      <c r="H866" s="7"/>
      <c r="I866" s="7"/>
    </row>
    <row r="867" spans="1:9" ht="13.2">
      <c r="A867" s="5"/>
      <c r="B867" s="5"/>
      <c r="C867" s="5"/>
      <c r="D867" s="6">
        <f ca="1">IFERROR(__xludf.DUMMYFUNCTION("""COMPUTED_VALUE"""),0)</f>
        <v>0</v>
      </c>
      <c r="E867" s="7"/>
      <c r="F867" s="7"/>
      <c r="G867" s="7"/>
      <c r="H867" s="7"/>
      <c r="I867" s="7"/>
    </row>
    <row r="868" spans="1:9" ht="13.2">
      <c r="A868" s="5"/>
      <c r="B868" s="5"/>
      <c r="C868" s="5"/>
      <c r="D868" s="6">
        <f ca="1">IFERROR(__xludf.DUMMYFUNCTION("""COMPUTED_VALUE"""),0)</f>
        <v>0</v>
      </c>
      <c r="E868" s="7"/>
      <c r="F868" s="7"/>
      <c r="G868" s="7"/>
      <c r="H868" s="7"/>
      <c r="I868" s="7"/>
    </row>
    <row r="869" spans="1:9" ht="13.2">
      <c r="A869" s="5"/>
      <c r="B869" s="5"/>
      <c r="C869" s="5"/>
      <c r="D869" s="6">
        <f ca="1">IFERROR(__xludf.DUMMYFUNCTION("""COMPUTED_VALUE"""),0)</f>
        <v>0</v>
      </c>
      <c r="E869" s="7"/>
      <c r="F869" s="7"/>
      <c r="G869" s="7"/>
      <c r="H869" s="7"/>
      <c r="I869" s="7"/>
    </row>
    <row r="870" spans="1:9" ht="13.2">
      <c r="A870" s="5"/>
      <c r="B870" s="5"/>
      <c r="C870" s="5"/>
      <c r="D870" s="6">
        <f ca="1">IFERROR(__xludf.DUMMYFUNCTION("""COMPUTED_VALUE"""),0)</f>
        <v>0</v>
      </c>
      <c r="E870" s="7"/>
      <c r="F870" s="7"/>
      <c r="G870" s="7"/>
      <c r="H870" s="7"/>
      <c r="I870" s="7"/>
    </row>
    <row r="871" spans="1:9" ht="13.2">
      <c r="A871" s="5"/>
      <c r="B871" s="5"/>
      <c r="C871" s="5"/>
      <c r="D871" s="6">
        <f ca="1">IFERROR(__xludf.DUMMYFUNCTION("""COMPUTED_VALUE"""),0)</f>
        <v>0</v>
      </c>
      <c r="E871" s="7"/>
      <c r="F871" s="7"/>
      <c r="G871" s="7"/>
      <c r="H871" s="7"/>
      <c r="I871" s="7"/>
    </row>
    <row r="872" spans="1:9" ht="13.2">
      <c r="A872" s="5"/>
      <c r="B872" s="5"/>
      <c r="C872" s="5"/>
      <c r="D872" s="6">
        <f ca="1">IFERROR(__xludf.DUMMYFUNCTION("""COMPUTED_VALUE"""),0)</f>
        <v>0</v>
      </c>
      <c r="E872" s="7"/>
      <c r="F872" s="7"/>
      <c r="G872" s="7"/>
      <c r="H872" s="7"/>
      <c r="I872" s="7"/>
    </row>
    <row r="873" spans="1:9" ht="13.2">
      <c r="A873" s="5"/>
      <c r="B873" s="5"/>
      <c r="C873" s="5"/>
      <c r="D873" s="6">
        <f ca="1">IFERROR(__xludf.DUMMYFUNCTION("""COMPUTED_VALUE"""),0)</f>
        <v>0</v>
      </c>
      <c r="E873" s="7"/>
      <c r="F873" s="7"/>
      <c r="G873" s="7"/>
      <c r="H873" s="7"/>
      <c r="I873" s="7"/>
    </row>
    <row r="874" spans="1:9" ht="13.2">
      <c r="A874" s="5"/>
      <c r="B874" s="5"/>
      <c r="C874" s="5"/>
      <c r="D874" s="6">
        <f ca="1">IFERROR(__xludf.DUMMYFUNCTION("""COMPUTED_VALUE"""),0)</f>
        <v>0</v>
      </c>
      <c r="E874" s="7"/>
      <c r="F874" s="7"/>
      <c r="G874" s="7"/>
      <c r="H874" s="7"/>
      <c r="I874" s="7"/>
    </row>
    <row r="875" spans="1:9" ht="13.2">
      <c r="A875" s="5"/>
      <c r="B875" s="5"/>
      <c r="C875" s="5"/>
      <c r="D875" s="6">
        <f ca="1">IFERROR(__xludf.DUMMYFUNCTION("""COMPUTED_VALUE"""),0)</f>
        <v>0</v>
      </c>
      <c r="E875" s="7"/>
      <c r="F875" s="7"/>
      <c r="G875" s="7"/>
      <c r="H875" s="7"/>
      <c r="I875" s="7"/>
    </row>
    <row r="876" spans="1:9" ht="13.2">
      <c r="A876" s="5"/>
      <c r="B876" s="5"/>
      <c r="C876" s="5"/>
      <c r="D876" s="6">
        <f ca="1">IFERROR(__xludf.DUMMYFUNCTION("""COMPUTED_VALUE"""),0)</f>
        <v>0</v>
      </c>
      <c r="E876" s="7"/>
      <c r="F876" s="7"/>
      <c r="G876" s="7"/>
      <c r="H876" s="7"/>
      <c r="I876" s="7"/>
    </row>
    <row r="877" spans="1:9" ht="13.2">
      <c r="A877" s="5"/>
      <c r="B877" s="5"/>
      <c r="C877" s="5"/>
      <c r="D877" s="6">
        <f ca="1">IFERROR(__xludf.DUMMYFUNCTION("""COMPUTED_VALUE"""),0)</f>
        <v>0</v>
      </c>
      <c r="E877" s="7"/>
      <c r="F877" s="7"/>
      <c r="G877" s="7"/>
      <c r="H877" s="7"/>
      <c r="I877" s="7"/>
    </row>
    <row r="878" spans="1:9" ht="13.2">
      <c r="A878" s="5"/>
      <c r="B878" s="5"/>
      <c r="C878" s="5"/>
      <c r="D878" s="6">
        <f ca="1">IFERROR(__xludf.DUMMYFUNCTION("""COMPUTED_VALUE"""),0)</f>
        <v>0</v>
      </c>
      <c r="E878" s="7"/>
      <c r="F878" s="7"/>
      <c r="G878" s="7"/>
      <c r="H878" s="7"/>
      <c r="I878" s="7"/>
    </row>
    <row r="879" spans="1:9" ht="13.2">
      <c r="A879" s="5"/>
      <c r="B879" s="5"/>
      <c r="C879" s="5"/>
      <c r="D879" s="6">
        <f ca="1">IFERROR(__xludf.DUMMYFUNCTION("""COMPUTED_VALUE"""),0)</f>
        <v>0</v>
      </c>
      <c r="E879" s="7"/>
      <c r="F879" s="7"/>
      <c r="G879" s="7"/>
      <c r="H879" s="7"/>
      <c r="I879" s="7"/>
    </row>
    <row r="880" spans="1:9" ht="13.2">
      <c r="A880" s="5"/>
      <c r="B880" s="5"/>
      <c r="C880" s="5"/>
      <c r="D880" s="6">
        <f ca="1">IFERROR(__xludf.DUMMYFUNCTION("""COMPUTED_VALUE"""),0)</f>
        <v>0</v>
      </c>
      <c r="E880" s="7"/>
      <c r="F880" s="7"/>
      <c r="G880" s="7"/>
      <c r="H880" s="7"/>
      <c r="I880" s="7"/>
    </row>
    <row r="881" spans="1:9" ht="13.2">
      <c r="A881" s="5"/>
      <c r="B881" s="5"/>
      <c r="C881" s="5"/>
      <c r="D881" s="6">
        <f ca="1">IFERROR(__xludf.DUMMYFUNCTION("""COMPUTED_VALUE"""),0)</f>
        <v>0</v>
      </c>
      <c r="E881" s="7"/>
      <c r="F881" s="7"/>
      <c r="G881" s="7"/>
      <c r="H881" s="7"/>
      <c r="I881" s="7"/>
    </row>
    <row r="882" spans="1:9" ht="13.2">
      <c r="A882" s="5"/>
      <c r="B882" s="5"/>
      <c r="C882" s="5"/>
      <c r="D882" s="6">
        <f ca="1">IFERROR(__xludf.DUMMYFUNCTION("""COMPUTED_VALUE"""),0)</f>
        <v>0</v>
      </c>
      <c r="E882" s="7"/>
      <c r="F882" s="7"/>
      <c r="G882" s="7"/>
      <c r="H882" s="7"/>
      <c r="I882" s="7"/>
    </row>
    <row r="883" spans="1:9" ht="13.2">
      <c r="A883" s="5"/>
      <c r="B883" s="5"/>
      <c r="C883" s="5"/>
      <c r="D883" s="6">
        <f ca="1">IFERROR(__xludf.DUMMYFUNCTION("""COMPUTED_VALUE"""),0)</f>
        <v>0</v>
      </c>
      <c r="E883" s="7"/>
      <c r="F883" s="7"/>
      <c r="G883" s="7"/>
      <c r="H883" s="7"/>
      <c r="I883" s="7"/>
    </row>
    <row r="884" spans="1:9" ht="13.2">
      <c r="A884" s="5"/>
      <c r="B884" s="5"/>
      <c r="C884" s="5"/>
      <c r="D884" s="6">
        <f ca="1">IFERROR(__xludf.DUMMYFUNCTION("""COMPUTED_VALUE"""),0)</f>
        <v>0</v>
      </c>
      <c r="E884" s="7"/>
      <c r="F884" s="7"/>
      <c r="G884" s="7"/>
      <c r="H884" s="7"/>
      <c r="I884" s="7"/>
    </row>
    <row r="885" spans="1:9" ht="13.2">
      <c r="A885" s="5"/>
      <c r="B885" s="5"/>
      <c r="C885" s="5"/>
      <c r="D885" s="6">
        <f ca="1">IFERROR(__xludf.DUMMYFUNCTION("""COMPUTED_VALUE"""),0)</f>
        <v>0</v>
      </c>
      <c r="E885" s="7"/>
      <c r="F885" s="7"/>
      <c r="G885" s="7"/>
      <c r="H885" s="7"/>
      <c r="I885" s="7"/>
    </row>
    <row r="886" spans="1:9" ht="13.2">
      <c r="A886" s="5"/>
      <c r="B886" s="5"/>
      <c r="C886" s="5"/>
      <c r="D886" s="6">
        <f ca="1">IFERROR(__xludf.DUMMYFUNCTION("""COMPUTED_VALUE"""),0)</f>
        <v>0</v>
      </c>
      <c r="E886" s="7"/>
      <c r="F886" s="7"/>
      <c r="G886" s="7"/>
      <c r="H886" s="7"/>
      <c r="I886" s="7"/>
    </row>
    <row r="887" spans="1:9" ht="13.2">
      <c r="A887" s="5"/>
      <c r="B887" s="5"/>
      <c r="C887" s="5"/>
      <c r="D887" s="6">
        <f ca="1">IFERROR(__xludf.DUMMYFUNCTION("""COMPUTED_VALUE"""),0)</f>
        <v>0</v>
      </c>
      <c r="E887" s="7"/>
      <c r="F887" s="7"/>
      <c r="G887" s="7"/>
      <c r="H887" s="7"/>
      <c r="I887" s="7"/>
    </row>
    <row r="888" spans="1:9" ht="13.2">
      <c r="A888" s="5"/>
      <c r="B888" s="5"/>
      <c r="C888" s="5"/>
      <c r="D888" s="6">
        <f ca="1">IFERROR(__xludf.DUMMYFUNCTION("""COMPUTED_VALUE"""),0)</f>
        <v>0</v>
      </c>
      <c r="E888" s="7"/>
      <c r="F888" s="7"/>
      <c r="G888" s="7"/>
      <c r="H888" s="7"/>
      <c r="I888" s="7"/>
    </row>
    <row r="889" spans="1:9" ht="13.2">
      <c r="A889" s="5"/>
      <c r="B889" s="5"/>
      <c r="C889" s="5"/>
      <c r="D889" s="6">
        <f ca="1">IFERROR(__xludf.DUMMYFUNCTION("""COMPUTED_VALUE"""),0)</f>
        <v>0</v>
      </c>
      <c r="E889" s="7"/>
      <c r="F889" s="7"/>
      <c r="G889" s="7"/>
      <c r="H889" s="7"/>
      <c r="I889" s="7"/>
    </row>
    <row r="890" spans="1:9" ht="13.2">
      <c r="A890" s="5"/>
      <c r="B890" s="5"/>
      <c r="C890" s="5"/>
      <c r="D890" s="6">
        <f ca="1">IFERROR(__xludf.DUMMYFUNCTION("""COMPUTED_VALUE"""),0)</f>
        <v>0</v>
      </c>
      <c r="E890" s="7"/>
      <c r="F890" s="7"/>
      <c r="G890" s="7"/>
      <c r="H890" s="7"/>
      <c r="I890" s="7"/>
    </row>
    <row r="891" spans="1:9" ht="13.2">
      <c r="A891" s="5"/>
      <c r="B891" s="5"/>
      <c r="C891" s="5"/>
      <c r="D891" s="6">
        <f ca="1">IFERROR(__xludf.DUMMYFUNCTION("""COMPUTED_VALUE"""),0)</f>
        <v>0</v>
      </c>
      <c r="E891" s="7"/>
      <c r="F891" s="7"/>
      <c r="G891" s="7"/>
      <c r="H891" s="7"/>
      <c r="I891" s="7"/>
    </row>
    <row r="892" spans="1:9" ht="13.2">
      <c r="A892" s="5"/>
      <c r="B892" s="5"/>
      <c r="C892" s="5"/>
      <c r="D892" s="6">
        <f ca="1">IFERROR(__xludf.DUMMYFUNCTION("""COMPUTED_VALUE"""),0)</f>
        <v>0</v>
      </c>
      <c r="E892" s="7"/>
      <c r="F892" s="7"/>
      <c r="G892" s="7"/>
      <c r="H892" s="7"/>
      <c r="I892" s="7"/>
    </row>
    <row r="893" spans="1:9" ht="13.2">
      <c r="A893" s="5"/>
      <c r="B893" s="5"/>
      <c r="C893" s="5"/>
      <c r="D893" s="6">
        <f ca="1">IFERROR(__xludf.DUMMYFUNCTION("""COMPUTED_VALUE"""),0)</f>
        <v>0</v>
      </c>
      <c r="E893" s="7"/>
      <c r="F893" s="7"/>
      <c r="G893" s="7"/>
      <c r="H893" s="7"/>
      <c r="I893" s="7"/>
    </row>
    <row r="894" spans="1:9" ht="13.2">
      <c r="A894" s="5"/>
      <c r="B894" s="5"/>
      <c r="C894" s="5"/>
      <c r="D894" s="6">
        <f ca="1">IFERROR(__xludf.DUMMYFUNCTION("""COMPUTED_VALUE"""),0)</f>
        <v>0</v>
      </c>
      <c r="E894" s="7"/>
      <c r="F894" s="7"/>
      <c r="G894" s="7"/>
      <c r="H894" s="7"/>
      <c r="I894" s="7"/>
    </row>
    <row r="895" spans="1:9" ht="13.2">
      <c r="A895" s="5"/>
      <c r="B895" s="5"/>
      <c r="C895" s="5"/>
      <c r="D895" s="6">
        <f ca="1">IFERROR(__xludf.DUMMYFUNCTION("""COMPUTED_VALUE"""),0)</f>
        <v>0</v>
      </c>
      <c r="E895" s="7"/>
      <c r="F895" s="7"/>
      <c r="G895" s="7"/>
      <c r="H895" s="7"/>
      <c r="I895" s="7"/>
    </row>
    <row r="896" spans="1:9" ht="13.2">
      <c r="A896" s="5"/>
      <c r="B896" s="5"/>
      <c r="C896" s="5"/>
      <c r="D896" s="6">
        <f ca="1">IFERROR(__xludf.DUMMYFUNCTION("""COMPUTED_VALUE"""),0)</f>
        <v>0</v>
      </c>
      <c r="E896" s="7"/>
      <c r="F896" s="7"/>
      <c r="G896" s="7"/>
      <c r="H896" s="7"/>
      <c r="I896" s="7"/>
    </row>
    <row r="897" spans="1:9" ht="13.2">
      <c r="A897" s="5"/>
      <c r="B897" s="5"/>
      <c r="C897" s="5"/>
      <c r="D897" s="6">
        <f ca="1">IFERROR(__xludf.DUMMYFUNCTION("""COMPUTED_VALUE"""),0)</f>
        <v>0</v>
      </c>
      <c r="E897" s="7"/>
      <c r="F897" s="7"/>
      <c r="G897" s="7"/>
      <c r="H897" s="7"/>
      <c r="I897" s="7"/>
    </row>
    <row r="898" spans="1:9" ht="13.2">
      <c r="A898" s="5"/>
      <c r="B898" s="5"/>
      <c r="C898" s="5"/>
      <c r="D898" s="6">
        <f ca="1">IFERROR(__xludf.DUMMYFUNCTION("""COMPUTED_VALUE"""),0)</f>
        <v>0</v>
      </c>
      <c r="E898" s="7"/>
      <c r="F898" s="7"/>
      <c r="G898" s="7"/>
      <c r="H898" s="7"/>
      <c r="I898" s="7"/>
    </row>
    <row r="899" spans="1:9" ht="13.2">
      <c r="A899" s="5"/>
      <c r="B899" s="5"/>
      <c r="C899" s="5"/>
      <c r="D899" s="6">
        <f ca="1">IFERROR(__xludf.DUMMYFUNCTION("""COMPUTED_VALUE"""),0)</f>
        <v>0</v>
      </c>
      <c r="E899" s="7"/>
      <c r="F899" s="7"/>
      <c r="G899" s="7"/>
      <c r="H899" s="7"/>
      <c r="I899" s="7"/>
    </row>
    <row r="900" spans="1:9" ht="13.2">
      <c r="A900" s="5"/>
      <c r="B900" s="5"/>
      <c r="C900" s="5"/>
      <c r="D900" s="6">
        <f ca="1">IFERROR(__xludf.DUMMYFUNCTION("""COMPUTED_VALUE"""),0)</f>
        <v>0</v>
      </c>
      <c r="E900" s="7"/>
      <c r="F900" s="7"/>
      <c r="G900" s="7"/>
      <c r="H900" s="7"/>
      <c r="I900" s="7"/>
    </row>
    <row r="901" spans="1:9" ht="13.2">
      <c r="A901" s="5"/>
      <c r="B901" s="5"/>
      <c r="C901" s="5"/>
      <c r="D901" s="6">
        <f ca="1">IFERROR(__xludf.DUMMYFUNCTION("""COMPUTED_VALUE"""),0)</f>
        <v>0</v>
      </c>
      <c r="E901" s="7"/>
      <c r="F901" s="7"/>
      <c r="G901" s="7"/>
      <c r="H901" s="7"/>
      <c r="I901" s="7"/>
    </row>
    <row r="902" spans="1:9" ht="13.2">
      <c r="A902" s="5"/>
      <c r="B902" s="5"/>
      <c r="C902" s="5"/>
      <c r="D902" s="6">
        <f ca="1">IFERROR(__xludf.DUMMYFUNCTION("""COMPUTED_VALUE"""),0)</f>
        <v>0</v>
      </c>
      <c r="E902" s="7"/>
      <c r="F902" s="7"/>
      <c r="G902" s="7"/>
      <c r="H902" s="7"/>
      <c r="I902" s="7"/>
    </row>
    <row r="903" spans="1:9" ht="13.2">
      <c r="A903" s="5"/>
      <c r="B903" s="5"/>
      <c r="C903" s="5"/>
      <c r="D903" s="6">
        <f ca="1">IFERROR(__xludf.DUMMYFUNCTION("""COMPUTED_VALUE"""),0)</f>
        <v>0</v>
      </c>
      <c r="E903" s="7"/>
      <c r="F903" s="7"/>
      <c r="G903" s="7"/>
      <c r="H903" s="7"/>
      <c r="I903" s="7"/>
    </row>
    <row r="904" spans="1:9" ht="13.2">
      <c r="A904" s="5"/>
      <c r="B904" s="5"/>
      <c r="C904" s="5"/>
      <c r="D904" s="6">
        <f ca="1">IFERROR(__xludf.DUMMYFUNCTION("""COMPUTED_VALUE"""),0)</f>
        <v>0</v>
      </c>
      <c r="E904" s="7"/>
      <c r="F904" s="7"/>
      <c r="G904" s="7"/>
      <c r="H904" s="7"/>
      <c r="I904" s="7"/>
    </row>
    <row r="905" spans="1:9" ht="13.2">
      <c r="A905" s="5"/>
      <c r="B905" s="5"/>
      <c r="C905" s="5"/>
      <c r="D905" s="6">
        <f ca="1">IFERROR(__xludf.DUMMYFUNCTION("""COMPUTED_VALUE"""),0)</f>
        <v>0</v>
      </c>
      <c r="E905" s="7"/>
      <c r="F905" s="7"/>
      <c r="G905" s="7"/>
      <c r="H905" s="7"/>
      <c r="I905" s="7"/>
    </row>
    <row r="906" spans="1:9" ht="13.2">
      <c r="A906" s="5"/>
      <c r="B906" s="5"/>
      <c r="C906" s="5"/>
      <c r="D906" s="6">
        <f ca="1">IFERROR(__xludf.DUMMYFUNCTION("""COMPUTED_VALUE"""),0)</f>
        <v>0</v>
      </c>
      <c r="E906" s="7"/>
      <c r="F906" s="7"/>
      <c r="G906" s="7"/>
      <c r="H906" s="7"/>
      <c r="I906" s="7"/>
    </row>
    <row r="907" spans="1:9" ht="13.2">
      <c r="A907" s="5"/>
      <c r="B907" s="5"/>
      <c r="C907" s="5"/>
      <c r="D907" s="6">
        <f ca="1">IFERROR(__xludf.DUMMYFUNCTION("""COMPUTED_VALUE"""),0)</f>
        <v>0</v>
      </c>
      <c r="E907" s="7"/>
      <c r="F907" s="7"/>
      <c r="G907" s="7"/>
      <c r="H907" s="7"/>
      <c r="I907" s="7"/>
    </row>
    <row r="908" spans="1:9" ht="13.2">
      <c r="A908" s="5"/>
      <c r="B908" s="5"/>
      <c r="C908" s="5"/>
      <c r="D908" s="6">
        <f ca="1">IFERROR(__xludf.DUMMYFUNCTION("""COMPUTED_VALUE"""),0)</f>
        <v>0</v>
      </c>
      <c r="E908" s="7"/>
      <c r="F908" s="7"/>
      <c r="G908" s="7"/>
      <c r="H908" s="7"/>
      <c r="I908" s="7"/>
    </row>
    <row r="909" spans="1:9" ht="13.2">
      <c r="A909" s="5"/>
      <c r="B909" s="5"/>
      <c r="C909" s="5"/>
      <c r="D909" s="6">
        <f ca="1">IFERROR(__xludf.DUMMYFUNCTION("""COMPUTED_VALUE"""),0)</f>
        <v>0</v>
      </c>
      <c r="E909" s="7"/>
      <c r="F909" s="7"/>
      <c r="G909" s="7"/>
      <c r="H909" s="7"/>
      <c r="I909" s="7"/>
    </row>
    <row r="910" spans="1:9" ht="13.2">
      <c r="A910" s="5"/>
      <c r="B910" s="5"/>
      <c r="C910" s="5"/>
      <c r="D910" s="6">
        <f ca="1">IFERROR(__xludf.DUMMYFUNCTION("""COMPUTED_VALUE"""),0)</f>
        <v>0</v>
      </c>
      <c r="E910" s="7"/>
      <c r="F910" s="7"/>
      <c r="G910" s="7"/>
      <c r="H910" s="7"/>
      <c r="I910" s="7"/>
    </row>
    <row r="911" spans="1:9" ht="13.2">
      <c r="A911" s="5"/>
      <c r="B911" s="5"/>
      <c r="C911" s="5"/>
      <c r="D911" s="6">
        <f ca="1">IFERROR(__xludf.DUMMYFUNCTION("""COMPUTED_VALUE"""),0)</f>
        <v>0</v>
      </c>
      <c r="E911" s="7"/>
      <c r="F911" s="7"/>
      <c r="G911" s="7"/>
      <c r="H911" s="7"/>
      <c r="I911" s="7"/>
    </row>
    <row r="912" spans="1:9" ht="13.2">
      <c r="A912" s="5"/>
      <c r="B912" s="5"/>
      <c r="C912" s="5"/>
      <c r="D912" s="6">
        <f ca="1">IFERROR(__xludf.DUMMYFUNCTION("""COMPUTED_VALUE"""),0)</f>
        <v>0</v>
      </c>
      <c r="E912" s="7"/>
      <c r="F912" s="7"/>
      <c r="G912" s="7"/>
      <c r="H912" s="7"/>
      <c r="I912" s="7"/>
    </row>
    <row r="913" spans="1:9" ht="13.2">
      <c r="A913" s="5"/>
      <c r="B913" s="5"/>
      <c r="C913" s="5"/>
      <c r="D913" s="6">
        <f ca="1">IFERROR(__xludf.DUMMYFUNCTION("""COMPUTED_VALUE"""),0)</f>
        <v>0</v>
      </c>
      <c r="E913" s="7"/>
      <c r="F913" s="7"/>
      <c r="G913" s="7"/>
      <c r="H913" s="7"/>
      <c r="I913" s="7"/>
    </row>
    <row r="914" spans="1:9" ht="13.2">
      <c r="A914" s="5"/>
      <c r="B914" s="5"/>
      <c r="C914" s="5"/>
      <c r="D914" s="6">
        <f ca="1">IFERROR(__xludf.DUMMYFUNCTION("""COMPUTED_VALUE"""),0)</f>
        <v>0</v>
      </c>
      <c r="E914" s="7"/>
      <c r="F914" s="7"/>
      <c r="G914" s="7"/>
      <c r="H914" s="7"/>
      <c r="I914" s="7"/>
    </row>
    <row r="915" spans="1:9" ht="13.2">
      <c r="A915" s="5"/>
      <c r="B915" s="5"/>
      <c r="C915" s="5"/>
      <c r="D915" s="6">
        <f ca="1">IFERROR(__xludf.DUMMYFUNCTION("""COMPUTED_VALUE"""),0)</f>
        <v>0</v>
      </c>
      <c r="E915" s="7"/>
      <c r="F915" s="7"/>
      <c r="G915" s="7"/>
      <c r="H915" s="7"/>
      <c r="I915" s="7"/>
    </row>
    <row r="916" spans="1:9" ht="13.2">
      <c r="A916" s="5"/>
      <c r="B916" s="5"/>
      <c r="C916" s="5"/>
      <c r="D916" s="6">
        <f ca="1">IFERROR(__xludf.DUMMYFUNCTION("""COMPUTED_VALUE"""),0)</f>
        <v>0</v>
      </c>
      <c r="E916" s="7"/>
      <c r="F916" s="7"/>
      <c r="G916" s="7"/>
      <c r="H916" s="7"/>
      <c r="I916" s="7"/>
    </row>
    <row r="917" spans="1:9" ht="13.2">
      <c r="A917" s="5"/>
      <c r="B917" s="5"/>
      <c r="C917" s="5"/>
      <c r="D917" s="6">
        <f ca="1">IFERROR(__xludf.DUMMYFUNCTION("""COMPUTED_VALUE"""),0)</f>
        <v>0</v>
      </c>
      <c r="E917" s="7"/>
      <c r="F917" s="7"/>
      <c r="G917" s="7"/>
      <c r="H917" s="7"/>
      <c r="I917" s="7"/>
    </row>
    <row r="918" spans="1:9" ht="13.2">
      <c r="A918" s="5"/>
      <c r="B918" s="5"/>
      <c r="C918" s="5"/>
      <c r="D918" s="6">
        <f ca="1">IFERROR(__xludf.DUMMYFUNCTION("""COMPUTED_VALUE"""),0)</f>
        <v>0</v>
      </c>
      <c r="E918" s="7"/>
      <c r="F918" s="7"/>
      <c r="G918" s="7"/>
      <c r="H918" s="7"/>
      <c r="I918" s="7"/>
    </row>
    <row r="919" spans="1:9" ht="13.2">
      <c r="A919" s="5"/>
      <c r="B919" s="5"/>
      <c r="C919" s="5"/>
      <c r="D919" s="6">
        <f ca="1">IFERROR(__xludf.DUMMYFUNCTION("""COMPUTED_VALUE"""),0)</f>
        <v>0</v>
      </c>
      <c r="E919" s="7"/>
      <c r="F919" s="7"/>
      <c r="G919" s="7"/>
      <c r="H919" s="7"/>
      <c r="I919" s="7"/>
    </row>
    <row r="920" spans="1:9" ht="13.2">
      <c r="A920" s="5"/>
      <c r="B920" s="5"/>
      <c r="C920" s="5"/>
      <c r="D920" s="6">
        <f ca="1">IFERROR(__xludf.DUMMYFUNCTION("""COMPUTED_VALUE"""),0)</f>
        <v>0</v>
      </c>
      <c r="E920" s="7"/>
      <c r="F920" s="7"/>
      <c r="G920" s="7"/>
      <c r="H920" s="7"/>
      <c r="I920" s="7"/>
    </row>
    <row r="921" spans="1:9" ht="13.2">
      <c r="A921" s="5"/>
      <c r="B921" s="5"/>
      <c r="C921" s="5"/>
      <c r="D921" s="6">
        <f ca="1">IFERROR(__xludf.DUMMYFUNCTION("""COMPUTED_VALUE"""),0)</f>
        <v>0</v>
      </c>
      <c r="E921" s="7"/>
      <c r="F921" s="7"/>
      <c r="G921" s="7"/>
      <c r="H921" s="7"/>
      <c r="I921" s="7"/>
    </row>
    <row r="922" spans="1:9" ht="13.2">
      <c r="A922" s="5"/>
      <c r="B922" s="5"/>
      <c r="C922" s="5"/>
      <c r="D922" s="6">
        <f ca="1">IFERROR(__xludf.DUMMYFUNCTION("""COMPUTED_VALUE"""),0)</f>
        <v>0</v>
      </c>
      <c r="E922" s="7"/>
      <c r="F922" s="7"/>
      <c r="G922" s="7"/>
      <c r="H922" s="7"/>
      <c r="I922" s="7"/>
    </row>
    <row r="923" spans="1:9" ht="13.2">
      <c r="A923" s="5"/>
      <c r="B923" s="5"/>
      <c r="C923" s="5"/>
      <c r="D923" s="6">
        <f ca="1">IFERROR(__xludf.DUMMYFUNCTION("""COMPUTED_VALUE"""),0)</f>
        <v>0</v>
      </c>
      <c r="E923" s="7"/>
      <c r="F923" s="7"/>
      <c r="G923" s="7"/>
      <c r="H923" s="7"/>
      <c r="I923" s="7"/>
    </row>
    <row r="924" spans="1:9" ht="13.2">
      <c r="A924" s="5"/>
      <c r="B924" s="5"/>
      <c r="C924" s="5"/>
      <c r="D924" s="6">
        <f ca="1">IFERROR(__xludf.DUMMYFUNCTION("""COMPUTED_VALUE"""),0)</f>
        <v>0</v>
      </c>
      <c r="E924" s="7"/>
      <c r="F924" s="7"/>
      <c r="G924" s="7"/>
      <c r="H924" s="7"/>
      <c r="I924" s="7"/>
    </row>
    <row r="925" spans="1:9" ht="13.2">
      <c r="A925" s="5"/>
      <c r="B925" s="5"/>
      <c r="C925" s="5"/>
      <c r="D925" s="6">
        <f ca="1">IFERROR(__xludf.DUMMYFUNCTION("""COMPUTED_VALUE"""),0)</f>
        <v>0</v>
      </c>
      <c r="E925" s="7"/>
      <c r="F925" s="7"/>
      <c r="G925" s="7"/>
      <c r="H925" s="7"/>
      <c r="I925" s="7"/>
    </row>
    <row r="926" spans="1:9" ht="13.2">
      <c r="A926" s="5"/>
      <c r="B926" s="5"/>
      <c r="C926" s="5"/>
      <c r="D926" s="6">
        <f ca="1">IFERROR(__xludf.DUMMYFUNCTION("""COMPUTED_VALUE"""),0)</f>
        <v>0</v>
      </c>
      <c r="E926" s="7"/>
      <c r="F926" s="7"/>
      <c r="G926" s="7"/>
      <c r="H926" s="7"/>
      <c r="I926" s="7"/>
    </row>
    <row r="927" spans="1:9" ht="13.2">
      <c r="A927" s="5"/>
      <c r="B927" s="5"/>
      <c r="C927" s="5"/>
      <c r="D927" s="6">
        <f ca="1">IFERROR(__xludf.DUMMYFUNCTION("""COMPUTED_VALUE"""),0)</f>
        <v>0</v>
      </c>
      <c r="E927" s="7"/>
      <c r="F927" s="7"/>
      <c r="G927" s="7"/>
      <c r="H927" s="7"/>
      <c r="I927" s="7"/>
    </row>
    <row r="928" spans="1:9" ht="13.2">
      <c r="A928" s="5"/>
      <c r="B928" s="5"/>
      <c r="C928" s="5"/>
      <c r="D928" s="6">
        <f ca="1">IFERROR(__xludf.DUMMYFUNCTION("""COMPUTED_VALUE"""),0)</f>
        <v>0</v>
      </c>
      <c r="E928" s="7"/>
      <c r="F928" s="7"/>
      <c r="G928" s="7"/>
      <c r="H928" s="7"/>
      <c r="I928" s="7"/>
    </row>
    <row r="929" spans="1:9" ht="13.2">
      <c r="A929" s="5"/>
      <c r="B929" s="5"/>
      <c r="C929" s="5"/>
      <c r="D929" s="6">
        <f ca="1">IFERROR(__xludf.DUMMYFUNCTION("""COMPUTED_VALUE"""),0)</f>
        <v>0</v>
      </c>
      <c r="E929" s="7"/>
      <c r="F929" s="7"/>
      <c r="G929" s="7"/>
      <c r="H929" s="7"/>
      <c r="I929" s="7"/>
    </row>
    <row r="930" spans="1:9" ht="13.2">
      <c r="A930" s="5"/>
      <c r="B930" s="5"/>
      <c r="C930" s="5"/>
      <c r="D930" s="6">
        <f ca="1">IFERROR(__xludf.DUMMYFUNCTION("""COMPUTED_VALUE"""),0)</f>
        <v>0</v>
      </c>
      <c r="E930" s="7"/>
      <c r="F930" s="7"/>
      <c r="G930" s="7"/>
      <c r="H930" s="7"/>
      <c r="I930" s="7"/>
    </row>
    <row r="931" spans="1:9" ht="13.2">
      <c r="A931" s="5"/>
      <c r="B931" s="5"/>
      <c r="C931" s="5"/>
      <c r="D931" s="6">
        <f ca="1">IFERROR(__xludf.DUMMYFUNCTION("""COMPUTED_VALUE"""),0)</f>
        <v>0</v>
      </c>
      <c r="E931" s="7"/>
      <c r="F931" s="7"/>
      <c r="G931" s="7"/>
      <c r="H931" s="7"/>
      <c r="I931" s="7"/>
    </row>
    <row r="932" spans="1:9" ht="13.2">
      <c r="A932" s="5"/>
      <c r="B932" s="5"/>
      <c r="C932" s="5"/>
      <c r="D932" s="6">
        <f ca="1">IFERROR(__xludf.DUMMYFUNCTION("""COMPUTED_VALUE"""),0)</f>
        <v>0</v>
      </c>
      <c r="E932" s="7"/>
      <c r="F932" s="7"/>
      <c r="G932" s="7"/>
      <c r="H932" s="7"/>
      <c r="I932" s="7"/>
    </row>
    <row r="933" spans="1:9" ht="13.2">
      <c r="A933" s="5"/>
      <c r="B933" s="5"/>
      <c r="C933" s="5"/>
      <c r="D933" s="6">
        <f ca="1">IFERROR(__xludf.DUMMYFUNCTION("""COMPUTED_VALUE"""),0)</f>
        <v>0</v>
      </c>
      <c r="E933" s="7"/>
      <c r="F933" s="7"/>
      <c r="G933" s="7"/>
      <c r="H933" s="7"/>
      <c r="I933" s="7"/>
    </row>
    <row r="934" spans="1:9" ht="13.2">
      <c r="A934" s="5"/>
      <c r="B934" s="5"/>
      <c r="C934" s="5"/>
      <c r="D934" s="6">
        <f ca="1">IFERROR(__xludf.DUMMYFUNCTION("""COMPUTED_VALUE"""),0)</f>
        <v>0</v>
      </c>
      <c r="E934" s="7"/>
      <c r="F934" s="7"/>
      <c r="G934" s="7"/>
      <c r="H934" s="7"/>
      <c r="I934" s="7"/>
    </row>
    <row r="935" spans="1:9" ht="13.2">
      <c r="A935" s="5"/>
      <c r="B935" s="5"/>
      <c r="C935" s="5"/>
      <c r="D935" s="6">
        <f ca="1">IFERROR(__xludf.DUMMYFUNCTION("""COMPUTED_VALUE"""),0)</f>
        <v>0</v>
      </c>
      <c r="E935" s="7"/>
      <c r="F935" s="7"/>
      <c r="G935" s="7"/>
      <c r="H935" s="7"/>
      <c r="I935" s="7"/>
    </row>
    <row r="936" spans="1:9" ht="13.2">
      <c r="A936" s="5"/>
      <c r="B936" s="5"/>
      <c r="C936" s="5"/>
      <c r="D936" s="6">
        <f ca="1">IFERROR(__xludf.DUMMYFUNCTION("""COMPUTED_VALUE"""),0)</f>
        <v>0</v>
      </c>
      <c r="E936" s="7"/>
      <c r="F936" s="7"/>
      <c r="G936" s="7"/>
      <c r="H936" s="7"/>
      <c r="I936" s="7"/>
    </row>
    <row r="937" spans="1:9" ht="13.2">
      <c r="A937" s="5"/>
      <c r="B937" s="5"/>
      <c r="C937" s="5"/>
      <c r="D937" s="6">
        <f ca="1">IFERROR(__xludf.DUMMYFUNCTION("""COMPUTED_VALUE"""),0)</f>
        <v>0</v>
      </c>
      <c r="E937" s="7"/>
      <c r="F937" s="7"/>
      <c r="G937" s="7"/>
      <c r="H937" s="7"/>
      <c r="I937" s="7"/>
    </row>
    <row r="938" spans="1:9" ht="13.2">
      <c r="A938" s="5"/>
      <c r="B938" s="5"/>
      <c r="C938" s="5"/>
      <c r="D938" s="6">
        <f ca="1">IFERROR(__xludf.DUMMYFUNCTION("""COMPUTED_VALUE"""),0)</f>
        <v>0</v>
      </c>
      <c r="E938" s="7"/>
      <c r="F938" s="7"/>
      <c r="G938" s="7"/>
      <c r="H938" s="7"/>
      <c r="I938" s="7"/>
    </row>
    <row r="939" spans="1:9" ht="13.2">
      <c r="A939" s="5"/>
      <c r="B939" s="5"/>
      <c r="C939" s="5"/>
      <c r="D939" s="6">
        <f ca="1">IFERROR(__xludf.DUMMYFUNCTION("""COMPUTED_VALUE"""),0)</f>
        <v>0</v>
      </c>
      <c r="E939" s="7"/>
      <c r="F939" s="7"/>
      <c r="G939" s="7"/>
      <c r="H939" s="7"/>
      <c r="I939" s="7"/>
    </row>
    <row r="940" spans="1:9" ht="13.2">
      <c r="A940" s="5"/>
      <c r="B940" s="5"/>
      <c r="C940" s="5"/>
      <c r="D940" s="6">
        <f ca="1">IFERROR(__xludf.DUMMYFUNCTION("""COMPUTED_VALUE"""),0)</f>
        <v>0</v>
      </c>
      <c r="E940" s="7"/>
      <c r="F940" s="7"/>
      <c r="G940" s="7"/>
      <c r="H940" s="7"/>
      <c r="I940" s="7"/>
    </row>
    <row r="941" spans="1:9" ht="13.2">
      <c r="A941" s="5"/>
      <c r="B941" s="5"/>
      <c r="C941" s="5"/>
      <c r="D941" s="6">
        <f ca="1">IFERROR(__xludf.DUMMYFUNCTION("""COMPUTED_VALUE"""),0)</f>
        <v>0</v>
      </c>
      <c r="E941" s="7"/>
      <c r="F941" s="7"/>
      <c r="G941" s="7"/>
      <c r="H941" s="7"/>
      <c r="I941" s="7"/>
    </row>
    <row r="942" spans="1:9" ht="13.2">
      <c r="A942" s="5"/>
      <c r="B942" s="5"/>
      <c r="C942" s="5"/>
      <c r="D942" s="6">
        <f ca="1">IFERROR(__xludf.DUMMYFUNCTION("""COMPUTED_VALUE"""),0)</f>
        <v>0</v>
      </c>
      <c r="E942" s="7"/>
      <c r="F942" s="7"/>
      <c r="G942" s="7"/>
      <c r="H942" s="7"/>
      <c r="I942" s="7"/>
    </row>
    <row r="943" spans="1:9" ht="13.2">
      <c r="A943" s="5"/>
      <c r="B943" s="5"/>
      <c r="C943" s="5"/>
      <c r="D943" s="6">
        <f ca="1">IFERROR(__xludf.DUMMYFUNCTION("""COMPUTED_VALUE"""),0)</f>
        <v>0</v>
      </c>
      <c r="E943" s="7"/>
      <c r="F943" s="7"/>
      <c r="G943" s="7"/>
      <c r="H943" s="7"/>
      <c r="I943" s="7"/>
    </row>
    <row r="944" spans="1:9" ht="13.2">
      <c r="A944" s="5"/>
      <c r="B944" s="5"/>
      <c r="C944" s="5"/>
      <c r="D944" s="6">
        <f ca="1">IFERROR(__xludf.DUMMYFUNCTION("""COMPUTED_VALUE"""),0)</f>
        <v>0</v>
      </c>
      <c r="E944" s="7"/>
      <c r="F944" s="7"/>
      <c r="G944" s="7"/>
      <c r="H944" s="7"/>
      <c r="I944" s="7"/>
    </row>
    <row r="945" spans="1:9" ht="13.2">
      <c r="A945" s="5"/>
      <c r="B945" s="5"/>
      <c r="C945" s="5"/>
      <c r="D945" s="6">
        <f ca="1">IFERROR(__xludf.DUMMYFUNCTION("""COMPUTED_VALUE"""),0)</f>
        <v>0</v>
      </c>
      <c r="E945" s="7"/>
      <c r="F945" s="7"/>
      <c r="G945" s="7"/>
      <c r="H945" s="7"/>
      <c r="I945" s="7"/>
    </row>
    <row r="946" spans="1:9" ht="13.2">
      <c r="A946" s="5"/>
      <c r="B946" s="5"/>
      <c r="C946" s="5"/>
      <c r="D946" s="6">
        <f ca="1">IFERROR(__xludf.DUMMYFUNCTION("""COMPUTED_VALUE"""),0)</f>
        <v>0</v>
      </c>
      <c r="E946" s="7"/>
      <c r="F946" s="7"/>
      <c r="G946" s="7"/>
      <c r="H946" s="7"/>
      <c r="I946" s="7"/>
    </row>
    <row r="947" spans="1:9" ht="13.2">
      <c r="A947" s="5"/>
      <c r="B947" s="5"/>
      <c r="C947" s="5"/>
      <c r="D947" s="6">
        <f ca="1">IFERROR(__xludf.DUMMYFUNCTION("""COMPUTED_VALUE"""),0)</f>
        <v>0</v>
      </c>
      <c r="E947" s="7"/>
      <c r="F947" s="7"/>
      <c r="G947" s="7"/>
      <c r="H947" s="7"/>
      <c r="I947" s="7"/>
    </row>
    <row r="948" spans="1:9" ht="13.2">
      <c r="A948" s="5"/>
      <c r="B948" s="5"/>
      <c r="C948" s="5"/>
      <c r="D948" s="6">
        <f ca="1">IFERROR(__xludf.DUMMYFUNCTION("""COMPUTED_VALUE"""),0)</f>
        <v>0</v>
      </c>
      <c r="E948" s="7"/>
      <c r="F948" s="7"/>
      <c r="G948" s="7"/>
      <c r="H948" s="7"/>
      <c r="I948" s="7"/>
    </row>
    <row r="949" spans="1:9" ht="13.2">
      <c r="A949" s="5"/>
      <c r="B949" s="5"/>
      <c r="C949" s="5"/>
      <c r="D949" s="6">
        <f ca="1">IFERROR(__xludf.DUMMYFUNCTION("""COMPUTED_VALUE"""),0)</f>
        <v>0</v>
      </c>
      <c r="E949" s="7"/>
      <c r="F949" s="7"/>
      <c r="G949" s="7"/>
      <c r="H949" s="7"/>
      <c r="I949" s="7"/>
    </row>
    <row r="950" spans="1:9" ht="13.2">
      <c r="A950" s="5"/>
      <c r="B950" s="5"/>
      <c r="C950" s="5"/>
      <c r="D950" s="6">
        <f ca="1">IFERROR(__xludf.DUMMYFUNCTION("""COMPUTED_VALUE"""),0)</f>
        <v>0</v>
      </c>
      <c r="E950" s="7"/>
      <c r="F950" s="7"/>
      <c r="G950" s="7"/>
      <c r="H950" s="7"/>
      <c r="I950" s="7"/>
    </row>
    <row r="951" spans="1:9" ht="13.2">
      <c r="A951" s="5"/>
      <c r="B951" s="5"/>
      <c r="C951" s="5"/>
      <c r="D951" s="6">
        <f ca="1">IFERROR(__xludf.DUMMYFUNCTION("""COMPUTED_VALUE"""),0)</f>
        <v>0</v>
      </c>
      <c r="E951" s="7"/>
      <c r="F951" s="7"/>
      <c r="G951" s="7"/>
      <c r="H951" s="7"/>
      <c r="I951" s="7"/>
    </row>
    <row r="952" spans="1:9" ht="13.2">
      <c r="A952" s="5"/>
      <c r="B952" s="5"/>
      <c r="C952" s="5"/>
      <c r="D952" s="6">
        <f ca="1">IFERROR(__xludf.DUMMYFUNCTION("""COMPUTED_VALUE"""),0)</f>
        <v>0</v>
      </c>
      <c r="E952" s="7"/>
      <c r="F952" s="7"/>
      <c r="G952" s="7"/>
      <c r="H952" s="7"/>
      <c r="I952" s="7"/>
    </row>
    <row r="953" spans="1:9" ht="13.2">
      <c r="A953" s="5"/>
      <c r="B953" s="5"/>
      <c r="C953" s="5"/>
      <c r="D953" s="6">
        <f ca="1">IFERROR(__xludf.DUMMYFUNCTION("""COMPUTED_VALUE"""),0)</f>
        <v>0</v>
      </c>
      <c r="E953" s="7"/>
      <c r="F953" s="7"/>
      <c r="G953" s="7"/>
      <c r="H953" s="7"/>
      <c r="I953" s="7"/>
    </row>
    <row r="954" spans="1:9" ht="13.2">
      <c r="A954" s="5"/>
      <c r="B954" s="5"/>
      <c r="C954" s="5"/>
      <c r="D954" s="6">
        <f ca="1">IFERROR(__xludf.DUMMYFUNCTION("""COMPUTED_VALUE"""),0)</f>
        <v>0</v>
      </c>
      <c r="E954" s="7"/>
      <c r="F954" s="7"/>
      <c r="G954" s="7"/>
      <c r="H954" s="7"/>
      <c r="I954" s="7"/>
    </row>
    <row r="955" spans="1:9" ht="13.2">
      <c r="A955" s="5"/>
      <c r="B955" s="5"/>
      <c r="C955" s="5"/>
      <c r="D955" s="6">
        <f ca="1">IFERROR(__xludf.DUMMYFUNCTION("""COMPUTED_VALUE"""),0)</f>
        <v>0</v>
      </c>
      <c r="E955" s="7"/>
      <c r="F955" s="7"/>
      <c r="G955" s="7"/>
      <c r="H955" s="7"/>
      <c r="I955" s="7"/>
    </row>
    <row r="956" spans="1:9" ht="13.2">
      <c r="A956" s="5"/>
      <c r="B956" s="5"/>
      <c r="C956" s="5"/>
      <c r="D956" s="6">
        <f ca="1">IFERROR(__xludf.DUMMYFUNCTION("""COMPUTED_VALUE"""),0)</f>
        <v>0</v>
      </c>
      <c r="E956" s="7"/>
      <c r="F956" s="7"/>
      <c r="G956" s="7"/>
      <c r="H956" s="7"/>
      <c r="I956" s="7"/>
    </row>
    <row r="957" spans="1:9" ht="13.2">
      <c r="A957" s="5"/>
      <c r="B957" s="5"/>
      <c r="C957" s="5"/>
      <c r="D957" s="6">
        <f ca="1">IFERROR(__xludf.DUMMYFUNCTION("""COMPUTED_VALUE"""),0)</f>
        <v>0</v>
      </c>
      <c r="E957" s="7"/>
      <c r="F957" s="7"/>
      <c r="G957" s="7"/>
      <c r="H957" s="7"/>
      <c r="I957" s="7"/>
    </row>
    <row r="958" spans="1:9" ht="13.2">
      <c r="A958" s="5"/>
      <c r="B958" s="5"/>
      <c r="C958" s="5"/>
      <c r="D958" s="6">
        <f ca="1">IFERROR(__xludf.DUMMYFUNCTION("""COMPUTED_VALUE"""),0)</f>
        <v>0</v>
      </c>
      <c r="E958" s="7"/>
      <c r="F958" s="7"/>
      <c r="G958" s="7"/>
      <c r="H958" s="7"/>
      <c r="I958" s="7"/>
    </row>
    <row r="959" spans="1:9" ht="13.2">
      <c r="A959" s="5"/>
      <c r="B959" s="5"/>
      <c r="C959" s="5"/>
      <c r="D959" s="6">
        <f ca="1">IFERROR(__xludf.DUMMYFUNCTION("""COMPUTED_VALUE"""),0)</f>
        <v>0</v>
      </c>
      <c r="E959" s="7"/>
      <c r="F959" s="7"/>
      <c r="G959" s="7"/>
      <c r="H959" s="7"/>
      <c r="I959" s="7"/>
    </row>
    <row r="960" spans="1:9" ht="13.2">
      <c r="A960" s="5"/>
      <c r="B960" s="5"/>
      <c r="C960" s="5"/>
      <c r="D960" s="6">
        <f ca="1">IFERROR(__xludf.DUMMYFUNCTION("""COMPUTED_VALUE"""),0)</f>
        <v>0</v>
      </c>
      <c r="E960" s="7"/>
      <c r="F960" s="7"/>
      <c r="G960" s="7"/>
      <c r="H960" s="7"/>
      <c r="I960" s="7"/>
    </row>
    <row r="961" spans="1:9" ht="13.2">
      <c r="A961" s="5"/>
      <c r="B961" s="5"/>
      <c r="C961" s="5"/>
      <c r="D961" s="6">
        <f ca="1">IFERROR(__xludf.DUMMYFUNCTION("""COMPUTED_VALUE"""),0)</f>
        <v>0</v>
      </c>
      <c r="E961" s="7"/>
      <c r="F961" s="7"/>
      <c r="G961" s="7"/>
      <c r="H961" s="7"/>
      <c r="I961" s="7"/>
    </row>
    <row r="962" spans="1:9" ht="13.2">
      <c r="A962" s="5"/>
      <c r="B962" s="5"/>
      <c r="C962" s="5"/>
      <c r="D962" s="6">
        <f ca="1">IFERROR(__xludf.DUMMYFUNCTION("""COMPUTED_VALUE"""),0)</f>
        <v>0</v>
      </c>
      <c r="E962" s="7"/>
      <c r="F962" s="7"/>
      <c r="G962" s="7"/>
      <c r="H962" s="7"/>
      <c r="I962" s="7"/>
    </row>
    <row r="963" spans="1:9" ht="13.2">
      <c r="A963" s="5"/>
      <c r="B963" s="5"/>
      <c r="C963" s="5"/>
      <c r="D963" s="6">
        <f ca="1">IFERROR(__xludf.DUMMYFUNCTION("""COMPUTED_VALUE"""),0)</f>
        <v>0</v>
      </c>
      <c r="E963" s="7"/>
      <c r="F963" s="7"/>
      <c r="G963" s="7"/>
      <c r="H963" s="7"/>
      <c r="I963" s="7"/>
    </row>
    <row r="964" spans="1:9" ht="13.2">
      <c r="A964" s="5"/>
      <c r="B964" s="5"/>
      <c r="C964" s="5"/>
      <c r="D964" s="6">
        <f ca="1">IFERROR(__xludf.DUMMYFUNCTION("""COMPUTED_VALUE"""),0)</f>
        <v>0</v>
      </c>
      <c r="E964" s="7"/>
      <c r="F964" s="7"/>
      <c r="G964" s="7"/>
      <c r="H964" s="7"/>
      <c r="I964" s="7"/>
    </row>
    <row r="965" spans="1:9" ht="13.2">
      <c r="A965" s="5"/>
      <c r="B965" s="5"/>
      <c r="C965" s="5"/>
      <c r="D965" s="6">
        <f ca="1">IFERROR(__xludf.DUMMYFUNCTION("""COMPUTED_VALUE"""),0)</f>
        <v>0</v>
      </c>
      <c r="E965" s="7"/>
      <c r="F965" s="7"/>
      <c r="G965" s="7"/>
      <c r="H965" s="7"/>
      <c r="I965" s="7"/>
    </row>
    <row r="966" spans="1:9" ht="13.2">
      <c r="A966" s="5"/>
      <c r="B966" s="5"/>
      <c r="C966" s="5"/>
      <c r="D966" s="6">
        <f ca="1">IFERROR(__xludf.DUMMYFUNCTION("""COMPUTED_VALUE"""),0)</f>
        <v>0</v>
      </c>
      <c r="E966" s="7"/>
      <c r="F966" s="7"/>
      <c r="G966" s="7"/>
      <c r="H966" s="7"/>
      <c r="I966" s="7"/>
    </row>
    <row r="967" spans="1:9" ht="13.2">
      <c r="A967" s="5"/>
      <c r="B967" s="5"/>
      <c r="C967" s="5"/>
      <c r="D967" s="6">
        <f ca="1">IFERROR(__xludf.DUMMYFUNCTION("""COMPUTED_VALUE"""),0)</f>
        <v>0</v>
      </c>
      <c r="E967" s="7"/>
      <c r="F967" s="7"/>
      <c r="G967" s="7"/>
      <c r="H967" s="7"/>
      <c r="I967" s="7"/>
    </row>
    <row r="968" spans="1:9" ht="13.2">
      <c r="A968" s="5"/>
      <c r="B968" s="5"/>
      <c r="C968" s="5"/>
      <c r="D968" s="6">
        <f ca="1">IFERROR(__xludf.DUMMYFUNCTION("""COMPUTED_VALUE"""),0)</f>
        <v>0</v>
      </c>
      <c r="E968" s="7"/>
      <c r="F968" s="7"/>
      <c r="G968" s="7"/>
      <c r="H968" s="7"/>
      <c r="I968" s="7"/>
    </row>
    <row r="969" spans="1:9" ht="13.2">
      <c r="A969" s="5"/>
      <c r="B969" s="5"/>
      <c r="C969" s="5"/>
      <c r="D969" s="6">
        <f ca="1">IFERROR(__xludf.DUMMYFUNCTION("""COMPUTED_VALUE"""),0)</f>
        <v>0</v>
      </c>
      <c r="E969" s="7"/>
      <c r="F969" s="7"/>
      <c r="G969" s="7"/>
      <c r="H969" s="7"/>
      <c r="I969" s="7"/>
    </row>
    <row r="970" spans="1:9" ht="13.2">
      <c r="A970" s="5"/>
      <c r="B970" s="5"/>
      <c r="C970" s="5"/>
      <c r="D970" s="6">
        <f ca="1">IFERROR(__xludf.DUMMYFUNCTION("""COMPUTED_VALUE"""),0)</f>
        <v>0</v>
      </c>
      <c r="E970" s="7"/>
      <c r="F970" s="7"/>
      <c r="G970" s="7"/>
      <c r="H970" s="7"/>
      <c r="I970" s="7"/>
    </row>
    <row r="971" spans="1:9" ht="13.2">
      <c r="A971" s="5"/>
      <c r="B971" s="5"/>
      <c r="C971" s="5"/>
      <c r="D971" s="6">
        <f ca="1">IFERROR(__xludf.DUMMYFUNCTION("""COMPUTED_VALUE"""),0)</f>
        <v>0</v>
      </c>
      <c r="E971" s="7"/>
      <c r="F971" s="7"/>
      <c r="G971" s="7"/>
      <c r="H971" s="7"/>
      <c r="I971" s="7"/>
    </row>
    <row r="972" spans="1:9" ht="13.2">
      <c r="A972" s="5"/>
      <c r="B972" s="5"/>
      <c r="C972" s="5"/>
      <c r="D972" s="6">
        <f ca="1">IFERROR(__xludf.DUMMYFUNCTION("""COMPUTED_VALUE"""),0)</f>
        <v>0</v>
      </c>
      <c r="E972" s="7"/>
      <c r="F972" s="7"/>
      <c r="G972" s="7"/>
      <c r="H972" s="7"/>
      <c r="I972" s="7"/>
    </row>
    <row r="973" spans="1:9" ht="13.2">
      <c r="A973" s="5"/>
      <c r="B973" s="5"/>
      <c r="C973" s="5"/>
      <c r="D973" s="6">
        <f ca="1">IFERROR(__xludf.DUMMYFUNCTION("""COMPUTED_VALUE"""),0)</f>
        <v>0</v>
      </c>
      <c r="E973" s="7"/>
      <c r="F973" s="7"/>
      <c r="G973" s="7"/>
      <c r="H973" s="7"/>
      <c r="I973" s="7"/>
    </row>
    <row r="974" spans="1:9" ht="13.2">
      <c r="A974" s="5"/>
      <c r="B974" s="5"/>
      <c r="C974" s="5"/>
      <c r="D974" s="6">
        <f ca="1">IFERROR(__xludf.DUMMYFUNCTION("""COMPUTED_VALUE"""),0)</f>
        <v>0</v>
      </c>
      <c r="E974" s="7"/>
      <c r="F974" s="7"/>
      <c r="G974" s="7"/>
      <c r="H974" s="7"/>
      <c r="I974" s="7"/>
    </row>
    <row r="975" spans="1:9" ht="13.2">
      <c r="A975" s="5"/>
      <c r="B975" s="5"/>
      <c r="C975" s="5"/>
      <c r="D975" s="6">
        <f ca="1">IFERROR(__xludf.DUMMYFUNCTION("""COMPUTED_VALUE"""),0)</f>
        <v>0</v>
      </c>
      <c r="E975" s="7"/>
      <c r="F975" s="7"/>
      <c r="G975" s="7"/>
      <c r="H975" s="7"/>
      <c r="I975" s="7"/>
    </row>
    <row r="976" spans="1:9" ht="13.2">
      <c r="A976" s="5"/>
      <c r="B976" s="5"/>
      <c r="C976" s="5"/>
      <c r="D976" s="6">
        <f ca="1">IFERROR(__xludf.DUMMYFUNCTION("""COMPUTED_VALUE"""),0)</f>
        <v>0</v>
      </c>
      <c r="E976" s="7"/>
      <c r="F976" s="7"/>
      <c r="G976" s="7"/>
      <c r="H976" s="7"/>
      <c r="I976" s="7"/>
    </row>
    <row r="977" spans="1:9" ht="13.2">
      <c r="A977" s="5"/>
      <c r="B977" s="5"/>
      <c r="C977" s="5"/>
      <c r="D977" s="6">
        <f ca="1">IFERROR(__xludf.DUMMYFUNCTION("""COMPUTED_VALUE"""),0)</f>
        <v>0</v>
      </c>
      <c r="E977" s="7"/>
      <c r="F977" s="7"/>
      <c r="G977" s="7"/>
      <c r="H977" s="7"/>
      <c r="I977" s="7"/>
    </row>
    <row r="978" spans="1:9" ht="13.2">
      <c r="A978" s="5"/>
      <c r="B978" s="5"/>
      <c r="C978" s="5"/>
      <c r="D978" s="6">
        <f ca="1">IFERROR(__xludf.DUMMYFUNCTION("""COMPUTED_VALUE"""),0)</f>
        <v>0</v>
      </c>
      <c r="E978" s="7"/>
      <c r="F978" s="7"/>
      <c r="G978" s="7"/>
      <c r="H978" s="7"/>
      <c r="I978" s="7"/>
    </row>
    <row r="979" spans="1:9" ht="13.2">
      <c r="A979" s="5"/>
      <c r="B979" s="5"/>
      <c r="C979" s="5"/>
      <c r="D979" s="6">
        <f ca="1">IFERROR(__xludf.DUMMYFUNCTION("""COMPUTED_VALUE"""),0)</f>
        <v>0</v>
      </c>
      <c r="E979" s="7"/>
      <c r="F979" s="7"/>
      <c r="G979" s="7"/>
      <c r="H979" s="7"/>
      <c r="I979" s="7"/>
    </row>
    <row r="980" spans="1:9" ht="13.2">
      <c r="A980" s="5"/>
      <c r="B980" s="5"/>
      <c r="C980" s="5"/>
      <c r="D980" s="6">
        <f ca="1">IFERROR(__xludf.DUMMYFUNCTION("""COMPUTED_VALUE"""),0)</f>
        <v>0</v>
      </c>
      <c r="E980" s="7"/>
      <c r="F980" s="7"/>
      <c r="G980" s="7"/>
      <c r="H980" s="7"/>
      <c r="I980" s="7"/>
    </row>
    <row r="981" spans="1:9" ht="13.2">
      <c r="A981" s="5"/>
      <c r="B981" s="5"/>
      <c r="C981" s="5"/>
      <c r="D981" s="6">
        <f ca="1">IFERROR(__xludf.DUMMYFUNCTION("""COMPUTED_VALUE"""),0)</f>
        <v>0</v>
      </c>
      <c r="E981" s="7"/>
      <c r="F981" s="7"/>
      <c r="G981" s="7"/>
      <c r="H981" s="7"/>
      <c r="I981" s="7"/>
    </row>
    <row r="982" spans="1:9" ht="13.2">
      <c r="A982" s="5"/>
      <c r="B982" s="5"/>
      <c r="C982" s="5"/>
      <c r="D982" s="6">
        <f ca="1">IFERROR(__xludf.DUMMYFUNCTION("""COMPUTED_VALUE"""),0)</f>
        <v>0</v>
      </c>
      <c r="E982" s="7"/>
      <c r="F982" s="7"/>
      <c r="G982" s="7"/>
      <c r="H982" s="7"/>
      <c r="I982" s="7"/>
    </row>
    <row r="983" spans="1:9" ht="13.2">
      <c r="A983" s="5"/>
      <c r="B983" s="5"/>
      <c r="C983" s="5"/>
      <c r="D983" s="6">
        <f ca="1">IFERROR(__xludf.DUMMYFUNCTION("""COMPUTED_VALUE"""),0)</f>
        <v>0</v>
      </c>
      <c r="E983" s="7"/>
      <c r="F983" s="7"/>
      <c r="G983" s="7"/>
      <c r="H983" s="7"/>
      <c r="I983" s="7"/>
    </row>
    <row r="984" spans="1:9" ht="13.2">
      <c r="A984" s="5"/>
      <c r="B984" s="5"/>
      <c r="C984" s="5"/>
      <c r="D984" s="6">
        <f ca="1">IFERROR(__xludf.DUMMYFUNCTION("""COMPUTED_VALUE"""),0)</f>
        <v>0</v>
      </c>
      <c r="E984" s="7"/>
      <c r="F984" s="7"/>
      <c r="G984" s="7"/>
      <c r="H984" s="7"/>
      <c r="I984" s="7"/>
    </row>
    <row r="985" spans="1:9" ht="13.2">
      <c r="A985" s="5"/>
      <c r="B985" s="5"/>
      <c r="C985" s="5"/>
      <c r="D985" s="6">
        <f ca="1">IFERROR(__xludf.DUMMYFUNCTION("""COMPUTED_VALUE"""),0)</f>
        <v>0</v>
      </c>
      <c r="E985" s="7"/>
      <c r="F985" s="7"/>
      <c r="G985" s="7"/>
      <c r="H985" s="7"/>
      <c r="I985" s="7"/>
    </row>
    <row r="986" spans="1:9" ht="13.2">
      <c r="A986" s="5"/>
      <c r="B986" s="5"/>
      <c r="C986" s="5"/>
      <c r="D986" s="6">
        <f ca="1">IFERROR(__xludf.DUMMYFUNCTION("""COMPUTED_VALUE"""),0)</f>
        <v>0</v>
      </c>
      <c r="E986" s="7"/>
      <c r="F986" s="7"/>
      <c r="G986" s="7"/>
      <c r="H986" s="7"/>
      <c r="I986" s="7"/>
    </row>
    <row r="987" spans="1:9" ht="13.2">
      <c r="A987" s="5"/>
      <c r="B987" s="5"/>
      <c r="C987" s="5"/>
      <c r="D987" s="6">
        <f ca="1">IFERROR(__xludf.DUMMYFUNCTION("""COMPUTED_VALUE"""),0)</f>
        <v>0</v>
      </c>
      <c r="E987" s="7"/>
      <c r="F987" s="7"/>
      <c r="G987" s="7"/>
      <c r="H987" s="7"/>
      <c r="I987" s="7"/>
    </row>
    <row r="988" spans="1:9" ht="13.2">
      <c r="A988" s="5"/>
      <c r="B988" s="5"/>
      <c r="C988" s="5"/>
      <c r="D988" s="6">
        <f ca="1">IFERROR(__xludf.DUMMYFUNCTION("""COMPUTED_VALUE"""),0)</f>
        <v>0</v>
      </c>
      <c r="E988" s="7"/>
      <c r="F988" s="7"/>
      <c r="G988" s="7"/>
      <c r="H988" s="7"/>
      <c r="I988" s="7"/>
    </row>
    <row r="989" spans="1:9" ht="13.2">
      <c r="A989" s="5"/>
      <c r="B989" s="5"/>
      <c r="C989" s="5"/>
      <c r="D989" s="6">
        <f ca="1">IFERROR(__xludf.DUMMYFUNCTION("""COMPUTED_VALUE"""),0)</f>
        <v>0</v>
      </c>
      <c r="E989" s="7"/>
      <c r="F989" s="7"/>
      <c r="G989" s="7"/>
      <c r="H989" s="7"/>
      <c r="I989" s="7"/>
    </row>
    <row r="990" spans="1:9" ht="13.2">
      <c r="A990" s="5"/>
      <c r="B990" s="5"/>
      <c r="C990" s="5"/>
      <c r="D990" s="6">
        <f ca="1">IFERROR(__xludf.DUMMYFUNCTION("""COMPUTED_VALUE"""),0)</f>
        <v>0</v>
      </c>
      <c r="E990" s="7"/>
      <c r="F990" s="7"/>
      <c r="G990" s="7"/>
      <c r="H990" s="7"/>
      <c r="I990" s="7"/>
    </row>
    <row r="991" spans="1:9" ht="13.2">
      <c r="A991" s="5"/>
      <c r="B991" s="5"/>
      <c r="C991" s="5"/>
      <c r="D991" s="6">
        <f ca="1">IFERROR(__xludf.DUMMYFUNCTION("""COMPUTED_VALUE"""),0)</f>
        <v>0</v>
      </c>
      <c r="E991" s="7"/>
      <c r="F991" s="7"/>
      <c r="G991" s="7"/>
      <c r="H991" s="7"/>
      <c r="I991" s="7"/>
    </row>
    <row r="992" spans="1:9" ht="13.2">
      <c r="A992" s="5"/>
      <c r="B992" s="5"/>
      <c r="C992" s="5"/>
      <c r="D992" s="6">
        <f ca="1">IFERROR(__xludf.DUMMYFUNCTION("""COMPUTED_VALUE"""),0)</f>
        <v>0</v>
      </c>
      <c r="E992" s="7"/>
      <c r="F992" s="7"/>
      <c r="G992" s="7"/>
      <c r="H992" s="7"/>
      <c r="I992" s="7"/>
    </row>
    <row r="993" spans="1:9" ht="13.2">
      <c r="A993" s="5"/>
      <c r="B993" s="5"/>
      <c r="C993" s="5"/>
      <c r="D993" s="6">
        <f ca="1">IFERROR(__xludf.DUMMYFUNCTION("""COMPUTED_VALUE"""),0)</f>
        <v>0</v>
      </c>
      <c r="E993" s="7"/>
      <c r="F993" s="7"/>
      <c r="G993" s="7"/>
      <c r="H993" s="7"/>
      <c r="I993" s="7"/>
    </row>
    <row r="994" spans="1:9" ht="13.2">
      <c r="A994" s="5"/>
      <c r="B994" s="5"/>
      <c r="C994" s="5"/>
      <c r="D994" s="6">
        <f ca="1">IFERROR(__xludf.DUMMYFUNCTION("""COMPUTED_VALUE"""),0)</f>
        <v>0</v>
      </c>
      <c r="E994" s="7"/>
      <c r="F994" s="7"/>
      <c r="G994" s="7"/>
      <c r="H994" s="7"/>
      <c r="I994" s="7"/>
    </row>
    <row r="995" spans="1:9" ht="13.2">
      <c r="A995" s="5"/>
      <c r="B995" s="5"/>
      <c r="C995" s="5"/>
      <c r="D995" s="6">
        <f ca="1">IFERROR(__xludf.DUMMYFUNCTION("""COMPUTED_VALUE"""),0)</f>
        <v>0</v>
      </c>
      <c r="E995" s="7"/>
      <c r="F995" s="7"/>
      <c r="G995" s="7"/>
      <c r="H995" s="7"/>
      <c r="I995" s="7"/>
    </row>
    <row r="996" spans="1:9" ht="13.2">
      <c r="A996" s="5"/>
      <c r="B996" s="5"/>
      <c r="C996" s="5"/>
      <c r="D996" s="6">
        <f ca="1">IFERROR(__xludf.DUMMYFUNCTION("""COMPUTED_VALUE"""),0)</f>
        <v>0</v>
      </c>
      <c r="E996" s="7"/>
      <c r="F996" s="7"/>
      <c r="G996" s="7"/>
      <c r="H996" s="7"/>
      <c r="I996" s="7"/>
    </row>
    <row r="997" spans="1:9" ht="13.2">
      <c r="A997" s="5"/>
      <c r="B997" s="5"/>
      <c r="C997" s="5"/>
      <c r="D997" s="6">
        <f ca="1">IFERROR(__xludf.DUMMYFUNCTION("""COMPUTED_VALUE"""),0)</f>
        <v>0</v>
      </c>
      <c r="E997" s="7"/>
      <c r="F997" s="7"/>
      <c r="G997" s="7"/>
      <c r="H997" s="7"/>
      <c r="I997" s="7"/>
    </row>
    <row r="998" spans="1:9" ht="13.2">
      <c r="A998" s="5"/>
      <c r="B998" s="5"/>
      <c r="C998" s="5"/>
      <c r="D998" s="6">
        <f ca="1">IFERROR(__xludf.DUMMYFUNCTION("""COMPUTED_VALUE"""),0)</f>
        <v>0</v>
      </c>
      <c r="E998" s="7"/>
      <c r="F998" s="7"/>
      <c r="G998" s="7"/>
      <c r="H998" s="7"/>
      <c r="I998" s="7"/>
    </row>
    <row r="999" spans="1:9" ht="13.2">
      <c r="A999" s="5"/>
      <c r="B999" s="5"/>
      <c r="C999" s="5"/>
      <c r="D999" s="6">
        <f ca="1">IFERROR(__xludf.DUMMYFUNCTION("""COMPUTED_VALUE"""),0)</f>
        <v>0</v>
      </c>
      <c r="E999" s="7"/>
      <c r="F999" s="7"/>
      <c r="G999" s="7"/>
      <c r="H999" s="7"/>
      <c r="I999" s="7"/>
    </row>
    <row r="1000" spans="1:9" ht="13.2">
      <c r="A1000" s="5"/>
      <c r="B1000" s="5"/>
      <c r="C1000" s="5"/>
      <c r="D1000" s="6"/>
      <c r="E1000" s="7"/>
      <c r="F1000" s="7"/>
      <c r="G1000" s="7"/>
      <c r="H1000" s="7"/>
      <c r="I1000" s="7"/>
    </row>
    <row r="1001" spans="1:9" ht="13.2">
      <c r="A1001" s="5"/>
      <c r="B1001" s="5"/>
      <c r="C1001" s="5"/>
      <c r="D1001" s="6"/>
      <c r="E1001" s="7"/>
      <c r="F1001" s="7"/>
      <c r="G1001" s="7"/>
      <c r="H1001" s="7"/>
      <c r="I1001" s="7"/>
    </row>
  </sheetData>
  <mergeCells count="4">
    <mergeCell ref="F3:H4"/>
    <mergeCell ref="F5:H7"/>
    <mergeCell ref="F8:H8"/>
    <mergeCell ref="F9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3" max="3" width="25.44140625" customWidth="1"/>
    <col min="9" max="9" width="22.109375" customWidth="1"/>
    <col min="10" max="10" width="20.21875" customWidth="1"/>
  </cols>
  <sheetData>
    <row r="1" spans="1:27" ht="15.75" customHeight="1">
      <c r="A1" s="8" t="s">
        <v>0</v>
      </c>
      <c r="B1" s="8" t="s">
        <v>7</v>
      </c>
      <c r="C1" s="8" t="s">
        <v>1</v>
      </c>
      <c r="D1" s="9" t="s">
        <v>8</v>
      </c>
      <c r="E1" s="10" t="s">
        <v>9</v>
      </c>
      <c r="F1" s="8" t="s">
        <v>10</v>
      </c>
      <c r="G1" s="8" t="s">
        <v>2</v>
      </c>
      <c r="H1" s="8" t="s">
        <v>11</v>
      </c>
      <c r="I1" s="11" t="s">
        <v>12</v>
      </c>
      <c r="J1" s="12" t="s">
        <v>13</v>
      </c>
      <c r="K1" s="13" t="s">
        <v>14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5">
        <v>146</v>
      </c>
      <c r="B2" s="14" t="str">
        <f t="shared" ref="B2:B256" si="0">E2</f>
        <v>1/8</v>
      </c>
      <c r="C2" s="15" t="s">
        <v>15</v>
      </c>
      <c r="D2" s="16">
        <f t="shared" ref="D2:D256" si="1">IF(E2="1/8",25,IF(E2="1/4",50,IF(E2="1/2",100,IF(E2="1",200,IF(E2="2",450,IF(E2="3",700,IF(E2="4",1100,IF(E2="5",1800,IF(E2="6",2300,IF(E2="7",2900,IF(E2="8",3900,IF(E2="9",5000,IF(E2="10",5900,IF(E2="11",7200,IF(E2="12",8400,IF(E2="13",10000,IF(E2="14",11500,IF(E2="15",13000,IF(E2="16",15000,IF(E2="17",18000,IF(E2="18",20000,IF(E2="19",22000,IF(E2="20",25000,IF(E2="21",33000,IF(E2="22",41000,IF(E2="23",50000,IF(E2="24",62000,IF(E2="25",71000,IF(E2="26",90000,IF(E2="27",100000,IF(E2="28",110000,IF(E2="29",130000,IF(E2="30",155000,)))))))))))))))))))))))))))))))))</f>
        <v>25</v>
      </c>
      <c r="E2" s="17" t="s">
        <v>16</v>
      </c>
      <c r="F2" s="18" t="s">
        <v>17</v>
      </c>
      <c r="G2" s="15" t="s">
        <v>18</v>
      </c>
      <c r="H2" s="18">
        <v>11</v>
      </c>
      <c r="I2" s="19" t="s">
        <v>19</v>
      </c>
      <c r="J2" s="20" t="s">
        <v>20</v>
      </c>
      <c r="K2" s="21">
        <v>343</v>
      </c>
    </row>
    <row r="3" spans="1:27" ht="15.75" customHeight="1">
      <c r="A3" s="5">
        <v>147</v>
      </c>
      <c r="B3" s="14" t="str">
        <f t="shared" si="0"/>
        <v>1/8</v>
      </c>
      <c r="C3" s="15" t="s">
        <v>21</v>
      </c>
      <c r="D3" s="16">
        <f t="shared" si="1"/>
        <v>25</v>
      </c>
      <c r="E3" s="17" t="s">
        <v>16</v>
      </c>
      <c r="F3" s="18" t="s">
        <v>22</v>
      </c>
      <c r="G3" s="15" t="s">
        <v>23</v>
      </c>
      <c r="H3" s="18">
        <v>7</v>
      </c>
      <c r="I3" s="19" t="s">
        <v>24</v>
      </c>
      <c r="J3" s="20" t="s">
        <v>25</v>
      </c>
      <c r="K3" s="21">
        <v>319</v>
      </c>
    </row>
    <row r="4" spans="1:27" ht="15.75" customHeight="1">
      <c r="A4" s="5">
        <v>148</v>
      </c>
      <c r="B4" s="14" t="str">
        <f t="shared" si="0"/>
        <v>1/8</v>
      </c>
      <c r="C4" s="15" t="s">
        <v>26</v>
      </c>
      <c r="D4" s="16">
        <f t="shared" si="1"/>
        <v>25</v>
      </c>
      <c r="E4" s="17" t="s">
        <v>16</v>
      </c>
      <c r="F4" s="18" t="s">
        <v>22</v>
      </c>
      <c r="G4" s="15" t="s">
        <v>23</v>
      </c>
      <c r="H4" s="18">
        <v>15</v>
      </c>
      <c r="I4" s="19" t="s">
        <v>27</v>
      </c>
      <c r="J4" s="20" t="s">
        <v>25</v>
      </c>
      <c r="K4" s="21">
        <v>320</v>
      </c>
    </row>
    <row r="5" spans="1:27" ht="15.75" customHeight="1">
      <c r="A5" s="5">
        <v>149</v>
      </c>
      <c r="B5" s="14" t="str">
        <f t="shared" si="0"/>
        <v>1/8</v>
      </c>
      <c r="C5" s="15" t="s">
        <v>28</v>
      </c>
      <c r="D5" s="16">
        <f t="shared" si="1"/>
        <v>25</v>
      </c>
      <c r="E5" s="17" t="s">
        <v>16</v>
      </c>
      <c r="F5" s="18" t="s">
        <v>29</v>
      </c>
      <c r="G5" s="15" t="s">
        <v>18</v>
      </c>
      <c r="H5" s="18">
        <v>9</v>
      </c>
      <c r="I5" s="19" t="s">
        <v>19</v>
      </c>
      <c r="J5" s="20" t="s">
        <v>25</v>
      </c>
      <c r="K5" s="21">
        <v>345</v>
      </c>
    </row>
    <row r="6" spans="1:27" ht="15.75" customHeight="1">
      <c r="A6" s="5">
        <v>150</v>
      </c>
      <c r="B6" s="14" t="str">
        <f t="shared" si="0"/>
        <v>1/8</v>
      </c>
      <c r="C6" s="15" t="s">
        <v>30</v>
      </c>
      <c r="D6" s="16">
        <f t="shared" si="1"/>
        <v>25</v>
      </c>
      <c r="E6" s="17" t="s">
        <v>16</v>
      </c>
      <c r="F6" s="18" t="s">
        <v>31</v>
      </c>
      <c r="G6" s="15" t="s">
        <v>32</v>
      </c>
      <c r="H6" s="18">
        <v>7</v>
      </c>
      <c r="I6" s="19" t="s">
        <v>33</v>
      </c>
      <c r="J6" s="20" t="s">
        <v>25</v>
      </c>
      <c r="K6" s="21">
        <v>135</v>
      </c>
    </row>
    <row r="7" spans="1:27" ht="15.75" customHeight="1">
      <c r="A7" s="5">
        <v>151</v>
      </c>
      <c r="B7" s="14" t="str">
        <f t="shared" si="0"/>
        <v>1/8</v>
      </c>
      <c r="C7" s="15" t="s">
        <v>34</v>
      </c>
      <c r="D7" s="16">
        <f t="shared" si="1"/>
        <v>25</v>
      </c>
      <c r="E7" s="17" t="s">
        <v>16</v>
      </c>
      <c r="F7" s="18" t="s">
        <v>22</v>
      </c>
      <c r="G7" s="15" t="s">
        <v>23</v>
      </c>
      <c r="H7" s="18">
        <v>5</v>
      </c>
      <c r="I7" s="19" t="s">
        <v>35</v>
      </c>
      <c r="J7" s="20" t="s">
        <v>25</v>
      </c>
      <c r="K7" s="21">
        <v>322</v>
      </c>
    </row>
    <row r="8" spans="1:27" ht="15.75" customHeight="1">
      <c r="A8" s="5">
        <v>152</v>
      </c>
      <c r="B8" s="14" t="str">
        <f t="shared" si="0"/>
        <v>1/8</v>
      </c>
      <c r="C8" s="15" t="s">
        <v>36</v>
      </c>
      <c r="D8" s="16">
        <f t="shared" si="1"/>
        <v>25</v>
      </c>
      <c r="E8" s="17" t="s">
        <v>16</v>
      </c>
      <c r="F8" s="18" t="s">
        <v>22</v>
      </c>
      <c r="G8" s="15" t="s">
        <v>23</v>
      </c>
      <c r="H8" s="18">
        <v>13</v>
      </c>
      <c r="I8" s="19" t="s">
        <v>19</v>
      </c>
      <c r="J8" s="20" t="s">
        <v>25</v>
      </c>
      <c r="K8" s="21">
        <v>324</v>
      </c>
    </row>
    <row r="9" spans="1:27" ht="15.75" customHeight="1">
      <c r="A9" s="5">
        <v>153</v>
      </c>
      <c r="B9" s="14" t="str">
        <f t="shared" si="0"/>
        <v>1/8</v>
      </c>
      <c r="C9" s="15" t="s">
        <v>37</v>
      </c>
      <c r="D9" s="16">
        <f t="shared" si="1"/>
        <v>25</v>
      </c>
      <c r="E9" s="17" t="s">
        <v>16</v>
      </c>
      <c r="F9" s="18" t="s">
        <v>22</v>
      </c>
      <c r="G9" s="15" t="s">
        <v>23</v>
      </c>
      <c r="H9" s="18">
        <v>7</v>
      </c>
      <c r="I9" s="19" t="s">
        <v>24</v>
      </c>
      <c r="J9" s="20" t="s">
        <v>25</v>
      </c>
      <c r="K9" s="21">
        <v>327</v>
      </c>
    </row>
    <row r="10" spans="1:27" ht="15.75" customHeight="1">
      <c r="A10" s="5">
        <v>154</v>
      </c>
      <c r="B10" s="14" t="str">
        <f t="shared" si="0"/>
        <v>1/8</v>
      </c>
      <c r="C10" s="15" t="s">
        <v>38</v>
      </c>
      <c r="D10" s="16">
        <f t="shared" si="1"/>
        <v>25</v>
      </c>
      <c r="E10" s="17" t="s">
        <v>16</v>
      </c>
      <c r="F10" s="18" t="s">
        <v>22</v>
      </c>
      <c r="G10" s="15" t="s">
        <v>23</v>
      </c>
      <c r="H10" s="18">
        <v>9</v>
      </c>
      <c r="I10" s="19" t="s">
        <v>39</v>
      </c>
      <c r="J10" s="20" t="s">
        <v>25</v>
      </c>
      <c r="K10" s="21">
        <v>329</v>
      </c>
    </row>
    <row r="11" spans="1:27" ht="15.75" customHeight="1">
      <c r="A11" s="5">
        <v>155</v>
      </c>
      <c r="B11" s="14" t="str">
        <f t="shared" si="0"/>
        <v>1/8</v>
      </c>
      <c r="C11" s="15" t="s">
        <v>40</v>
      </c>
      <c r="D11" s="16">
        <f t="shared" si="1"/>
        <v>25</v>
      </c>
      <c r="E11" s="17" t="s">
        <v>16</v>
      </c>
      <c r="F11" s="18" t="s">
        <v>41</v>
      </c>
      <c r="G11" s="15" t="s">
        <v>18</v>
      </c>
      <c r="H11" s="18">
        <v>11</v>
      </c>
      <c r="I11" s="19" t="s">
        <v>19</v>
      </c>
      <c r="J11" s="20" t="s">
        <v>25</v>
      </c>
      <c r="K11" s="21">
        <v>347</v>
      </c>
    </row>
    <row r="12" spans="1:27" ht="15.75" customHeight="1">
      <c r="A12" s="5">
        <v>156</v>
      </c>
      <c r="B12" s="14" t="str">
        <f t="shared" si="0"/>
        <v>1/8</v>
      </c>
      <c r="C12" s="15" t="s">
        <v>42</v>
      </c>
      <c r="D12" s="16">
        <f t="shared" si="1"/>
        <v>25</v>
      </c>
      <c r="E12" s="17" t="s">
        <v>16</v>
      </c>
      <c r="F12" s="18" t="s">
        <v>43</v>
      </c>
      <c r="G12" s="15" t="s">
        <v>18</v>
      </c>
      <c r="H12" s="18">
        <v>5</v>
      </c>
      <c r="I12" s="19" t="s">
        <v>24</v>
      </c>
      <c r="J12" s="20" t="s">
        <v>24</v>
      </c>
      <c r="K12" s="21">
        <v>195</v>
      </c>
    </row>
    <row r="13" spans="1:27" ht="15.75" customHeight="1">
      <c r="A13" s="5">
        <v>157</v>
      </c>
      <c r="B13" s="14" t="str">
        <f t="shared" si="0"/>
        <v>1/8</v>
      </c>
      <c r="C13" s="15" t="s">
        <v>44</v>
      </c>
      <c r="D13" s="16">
        <f t="shared" si="1"/>
        <v>25</v>
      </c>
      <c r="E13" s="17" t="s">
        <v>16</v>
      </c>
      <c r="F13" s="18" t="s">
        <v>45</v>
      </c>
      <c r="G13" s="15" t="s">
        <v>46</v>
      </c>
      <c r="H13" s="18">
        <v>9</v>
      </c>
      <c r="I13" s="19" t="s">
        <v>47</v>
      </c>
      <c r="J13" s="20" t="s">
        <v>25</v>
      </c>
      <c r="K13" s="21">
        <v>60</v>
      </c>
    </row>
    <row r="14" spans="1:27" ht="15.75" customHeight="1">
      <c r="A14" s="5">
        <v>158</v>
      </c>
      <c r="B14" s="14" t="str">
        <f t="shared" si="0"/>
        <v>1/8</v>
      </c>
      <c r="C14" s="15" t="s">
        <v>48</v>
      </c>
      <c r="D14" s="16">
        <f t="shared" si="1"/>
        <v>25</v>
      </c>
      <c r="E14" s="17" t="s">
        <v>16</v>
      </c>
      <c r="F14" s="18" t="s">
        <v>22</v>
      </c>
      <c r="G14" s="15" t="s">
        <v>23</v>
      </c>
      <c r="H14" s="18">
        <v>5</v>
      </c>
      <c r="I14" s="19" t="s">
        <v>19</v>
      </c>
      <c r="J14" s="20" t="s">
        <v>25</v>
      </c>
      <c r="K14" s="21">
        <v>332</v>
      </c>
    </row>
    <row r="15" spans="1:27" ht="15.75" customHeight="1">
      <c r="A15" s="5">
        <v>159</v>
      </c>
      <c r="B15" s="14" t="str">
        <f t="shared" si="0"/>
        <v>1/8</v>
      </c>
      <c r="C15" s="15" t="s">
        <v>49</v>
      </c>
      <c r="D15" s="16">
        <f t="shared" si="1"/>
        <v>25</v>
      </c>
      <c r="E15" s="17" t="s">
        <v>16</v>
      </c>
      <c r="F15" s="18" t="s">
        <v>50</v>
      </c>
      <c r="G15" s="15" t="s">
        <v>18</v>
      </c>
      <c r="H15" s="18">
        <v>11</v>
      </c>
      <c r="I15" s="19" t="s">
        <v>51</v>
      </c>
      <c r="J15" s="20" t="s">
        <v>25</v>
      </c>
      <c r="K15" s="21">
        <v>218</v>
      </c>
    </row>
    <row r="16" spans="1:27" ht="15.75" customHeight="1">
      <c r="A16" s="5">
        <v>160</v>
      </c>
      <c r="B16" s="14" t="str">
        <f t="shared" si="0"/>
        <v>1/8</v>
      </c>
      <c r="C16" s="15" t="s">
        <v>52</v>
      </c>
      <c r="D16" s="16">
        <f t="shared" si="1"/>
        <v>25</v>
      </c>
      <c r="E16" s="17" t="s">
        <v>16</v>
      </c>
      <c r="F16" s="18" t="s">
        <v>53</v>
      </c>
      <c r="G16" s="15" t="s">
        <v>54</v>
      </c>
      <c r="H16" s="18">
        <v>5</v>
      </c>
      <c r="I16" s="19" t="s">
        <v>55</v>
      </c>
      <c r="J16" s="20" t="s">
        <v>19</v>
      </c>
      <c r="K16" s="21">
        <v>224</v>
      </c>
    </row>
    <row r="17" spans="1:11" ht="15.75" customHeight="1">
      <c r="A17" s="5">
        <v>161</v>
      </c>
      <c r="B17" s="14" t="str">
        <f t="shared" si="0"/>
        <v>1/8</v>
      </c>
      <c r="C17" s="15" t="s">
        <v>56</v>
      </c>
      <c r="D17" s="16">
        <f t="shared" si="1"/>
        <v>25</v>
      </c>
      <c r="E17" s="17" t="s">
        <v>16</v>
      </c>
      <c r="F17" s="18" t="s">
        <v>22</v>
      </c>
      <c r="G17" s="15" t="s">
        <v>23</v>
      </c>
      <c r="H17" s="18">
        <v>11</v>
      </c>
      <c r="I17" s="19" t="s">
        <v>24</v>
      </c>
      <c r="J17" s="20" t="s">
        <v>25</v>
      </c>
      <c r="K17" s="21">
        <v>333</v>
      </c>
    </row>
    <row r="18" spans="1:11" ht="15.75" customHeight="1">
      <c r="A18" s="5">
        <v>162</v>
      </c>
      <c r="B18" s="14" t="str">
        <f t="shared" si="0"/>
        <v>1/8</v>
      </c>
      <c r="C18" s="15" t="s">
        <v>57</v>
      </c>
      <c r="D18" s="16">
        <f t="shared" si="1"/>
        <v>25</v>
      </c>
      <c r="E18" s="17" t="s">
        <v>16</v>
      </c>
      <c r="F18" s="18" t="s">
        <v>41</v>
      </c>
      <c r="G18" s="15" t="s">
        <v>18</v>
      </c>
      <c r="H18" s="18">
        <v>9</v>
      </c>
      <c r="I18" s="19" t="s">
        <v>20</v>
      </c>
      <c r="J18" s="20" t="s">
        <v>25</v>
      </c>
      <c r="K18" s="21">
        <v>348</v>
      </c>
    </row>
    <row r="19" spans="1:11" ht="15.75" customHeight="1">
      <c r="A19" s="5">
        <v>163</v>
      </c>
      <c r="B19" s="14" t="str">
        <f t="shared" si="0"/>
        <v>1/8</v>
      </c>
      <c r="C19" s="15" t="s">
        <v>58</v>
      </c>
      <c r="D19" s="16">
        <f t="shared" si="1"/>
        <v>25</v>
      </c>
      <c r="E19" s="17" t="s">
        <v>16</v>
      </c>
      <c r="F19" s="18" t="s">
        <v>22</v>
      </c>
      <c r="G19" s="15" t="s">
        <v>23</v>
      </c>
      <c r="H19" s="18">
        <v>2</v>
      </c>
      <c r="I19" s="19">
        <v>1</v>
      </c>
      <c r="J19" s="20" t="s">
        <v>25</v>
      </c>
      <c r="K19" s="21">
        <v>334</v>
      </c>
    </row>
    <row r="20" spans="1:11" ht="15.75" customHeight="1">
      <c r="A20" s="5">
        <v>164</v>
      </c>
      <c r="B20" s="14" t="str">
        <f t="shared" si="0"/>
        <v>1/8</v>
      </c>
      <c r="C20" s="15" t="s">
        <v>59</v>
      </c>
      <c r="D20" s="16">
        <f t="shared" si="1"/>
        <v>25</v>
      </c>
      <c r="E20" s="17" t="s">
        <v>16</v>
      </c>
      <c r="F20" s="18" t="s">
        <v>22</v>
      </c>
      <c r="G20" s="15" t="s">
        <v>23</v>
      </c>
      <c r="H20" s="18">
        <v>11</v>
      </c>
      <c r="I20" s="19" t="s">
        <v>33</v>
      </c>
      <c r="J20" s="20" t="s">
        <v>25</v>
      </c>
      <c r="K20" s="21">
        <v>335</v>
      </c>
    </row>
    <row r="21" spans="1:11" ht="15.75" customHeight="1">
      <c r="A21" s="5">
        <v>165</v>
      </c>
      <c r="B21" s="14" t="str">
        <f t="shared" si="0"/>
        <v>1/8</v>
      </c>
      <c r="C21" s="15" t="s">
        <v>60</v>
      </c>
      <c r="D21" s="16">
        <f t="shared" si="1"/>
        <v>25</v>
      </c>
      <c r="E21" s="17" t="s">
        <v>16</v>
      </c>
      <c r="F21" s="18" t="s">
        <v>61</v>
      </c>
      <c r="G21" s="15" t="s">
        <v>32</v>
      </c>
      <c r="H21" s="18">
        <v>10</v>
      </c>
      <c r="I21" s="19" t="s">
        <v>24</v>
      </c>
      <c r="J21" s="20" t="s">
        <v>25</v>
      </c>
      <c r="K21" s="21">
        <v>276</v>
      </c>
    </row>
    <row r="22" spans="1:11" ht="15.75" customHeight="1">
      <c r="A22" s="5">
        <v>166</v>
      </c>
      <c r="B22" s="14" t="str">
        <f t="shared" si="0"/>
        <v>1/8</v>
      </c>
      <c r="C22" s="15" t="s">
        <v>62</v>
      </c>
      <c r="D22" s="16">
        <f t="shared" si="1"/>
        <v>25</v>
      </c>
      <c r="E22" s="17" t="s">
        <v>16</v>
      </c>
      <c r="F22" s="18" t="s">
        <v>22</v>
      </c>
      <c r="G22" s="15" t="s">
        <v>23</v>
      </c>
      <c r="H22" s="18">
        <v>2</v>
      </c>
      <c r="I22" s="19" t="s">
        <v>39</v>
      </c>
      <c r="J22" s="20" t="s">
        <v>25</v>
      </c>
      <c r="K22" s="21">
        <v>284</v>
      </c>
    </row>
    <row r="23" spans="1:11" ht="15.75" customHeight="1">
      <c r="A23" s="5">
        <v>167</v>
      </c>
      <c r="B23" s="14" t="str">
        <f t="shared" si="0"/>
        <v>1/8</v>
      </c>
      <c r="C23" s="15" t="s">
        <v>63</v>
      </c>
      <c r="D23" s="16">
        <f t="shared" si="1"/>
        <v>25</v>
      </c>
      <c r="E23" s="17" t="s">
        <v>16</v>
      </c>
      <c r="F23" s="18" t="s">
        <v>41</v>
      </c>
      <c r="G23" s="15" t="s">
        <v>18</v>
      </c>
      <c r="H23" s="18">
        <v>11</v>
      </c>
      <c r="I23" s="19" t="s">
        <v>20</v>
      </c>
      <c r="J23" s="20" t="s">
        <v>25</v>
      </c>
      <c r="K23" s="21">
        <v>350</v>
      </c>
    </row>
    <row r="24" spans="1:11" ht="15.75" customHeight="1">
      <c r="A24" s="5">
        <v>168</v>
      </c>
      <c r="B24" s="14" t="str">
        <f t="shared" si="0"/>
        <v>1/8</v>
      </c>
      <c r="C24" s="15" t="s">
        <v>64</v>
      </c>
      <c r="D24" s="16">
        <f t="shared" si="1"/>
        <v>25</v>
      </c>
      <c r="E24" s="17" t="s">
        <v>16</v>
      </c>
      <c r="F24" s="18" t="s">
        <v>65</v>
      </c>
      <c r="G24" s="15" t="s">
        <v>66</v>
      </c>
      <c r="H24" s="18">
        <v>4</v>
      </c>
      <c r="I24" s="19" t="s">
        <v>55</v>
      </c>
      <c r="J24" s="20" t="s">
        <v>25</v>
      </c>
      <c r="K24" s="21">
        <v>32</v>
      </c>
    </row>
    <row r="25" spans="1:11" ht="15.75" customHeight="1">
      <c r="A25" s="5">
        <v>102</v>
      </c>
      <c r="B25" s="14" t="str">
        <f t="shared" si="0"/>
        <v>1/4</v>
      </c>
      <c r="C25" s="15" t="s">
        <v>67</v>
      </c>
      <c r="D25" s="16">
        <f t="shared" si="1"/>
        <v>50</v>
      </c>
      <c r="E25" s="17" t="s">
        <v>68</v>
      </c>
      <c r="F25" s="18" t="s">
        <v>69</v>
      </c>
      <c r="G25" s="15" t="s">
        <v>18</v>
      </c>
      <c r="H25" s="18">
        <v>13</v>
      </c>
      <c r="I25" s="19" t="s">
        <v>24</v>
      </c>
      <c r="J25" s="20" t="s">
        <v>70</v>
      </c>
      <c r="K25" s="21">
        <v>12</v>
      </c>
    </row>
    <row r="26" spans="1:11" ht="15.75" customHeight="1">
      <c r="A26" s="5">
        <v>103</v>
      </c>
      <c r="B26" s="14" t="str">
        <f t="shared" si="0"/>
        <v>1/4</v>
      </c>
      <c r="C26" s="15" t="s">
        <v>71</v>
      </c>
      <c r="D26" s="16">
        <f t="shared" si="1"/>
        <v>50</v>
      </c>
      <c r="E26" s="17" t="s">
        <v>68</v>
      </c>
      <c r="F26" s="18" t="s">
        <v>41</v>
      </c>
      <c r="G26" s="15" t="s">
        <v>18</v>
      </c>
      <c r="H26" s="18">
        <v>9</v>
      </c>
      <c r="I26" s="19" t="s">
        <v>27</v>
      </c>
      <c r="J26" s="20" t="s">
        <v>25</v>
      </c>
      <c r="K26" s="21">
        <v>342</v>
      </c>
    </row>
    <row r="27" spans="1:11" ht="15.75" customHeight="1">
      <c r="A27" s="5">
        <v>104</v>
      </c>
      <c r="B27" s="14" t="str">
        <f t="shared" si="0"/>
        <v>1/4</v>
      </c>
      <c r="C27" s="15" t="s">
        <v>72</v>
      </c>
      <c r="D27" s="16">
        <f t="shared" si="1"/>
        <v>50</v>
      </c>
      <c r="E27" s="17" t="s">
        <v>68</v>
      </c>
      <c r="F27" s="18" t="s">
        <v>22</v>
      </c>
      <c r="G27" s="15" t="s">
        <v>23</v>
      </c>
      <c r="H27" s="18">
        <v>19</v>
      </c>
      <c r="I27" s="19" t="s">
        <v>73</v>
      </c>
      <c r="J27" s="20" t="s">
        <v>25</v>
      </c>
      <c r="K27" s="21">
        <v>317</v>
      </c>
    </row>
    <row r="28" spans="1:11" ht="15.75" customHeight="1">
      <c r="A28" s="5">
        <v>105</v>
      </c>
      <c r="B28" s="14" t="str">
        <f t="shared" si="0"/>
        <v>1/4</v>
      </c>
      <c r="C28" s="15" t="s">
        <v>74</v>
      </c>
      <c r="D28" s="16">
        <f t="shared" si="1"/>
        <v>50</v>
      </c>
      <c r="E28" s="17" t="s">
        <v>68</v>
      </c>
      <c r="F28" s="18" t="s">
        <v>31</v>
      </c>
      <c r="G28" s="15" t="s">
        <v>75</v>
      </c>
      <c r="H28" s="18">
        <v>22</v>
      </c>
      <c r="I28" s="19" t="s">
        <v>19</v>
      </c>
      <c r="J28" s="20" t="s">
        <v>25</v>
      </c>
      <c r="K28" s="21">
        <v>318</v>
      </c>
    </row>
    <row r="29" spans="1:11" ht="13.2">
      <c r="A29" s="5">
        <v>106</v>
      </c>
      <c r="B29" s="14" t="str">
        <f t="shared" si="0"/>
        <v>1/4</v>
      </c>
      <c r="C29" s="15" t="s">
        <v>76</v>
      </c>
      <c r="D29" s="16">
        <f t="shared" si="1"/>
        <v>50</v>
      </c>
      <c r="E29" s="17" t="s">
        <v>68</v>
      </c>
      <c r="F29" s="18" t="s">
        <v>22</v>
      </c>
      <c r="G29" s="15" t="s">
        <v>23</v>
      </c>
      <c r="H29" s="18">
        <v>11</v>
      </c>
      <c r="I29" s="19" t="s">
        <v>19</v>
      </c>
      <c r="J29" s="20" t="s">
        <v>25</v>
      </c>
      <c r="K29" s="21">
        <v>319</v>
      </c>
    </row>
    <row r="30" spans="1:11" ht="13.2">
      <c r="A30" s="5">
        <v>107</v>
      </c>
      <c r="B30" s="14" t="str">
        <f t="shared" si="0"/>
        <v>1/4</v>
      </c>
      <c r="C30" s="15" t="s">
        <v>77</v>
      </c>
      <c r="D30" s="16">
        <f t="shared" si="1"/>
        <v>50</v>
      </c>
      <c r="E30" s="17" t="s">
        <v>68</v>
      </c>
      <c r="F30" s="18" t="s">
        <v>65</v>
      </c>
      <c r="G30" s="15" t="s">
        <v>18</v>
      </c>
      <c r="H30" s="18">
        <v>11</v>
      </c>
      <c r="I30" s="19" t="s">
        <v>55</v>
      </c>
      <c r="J30" s="20" t="s">
        <v>20</v>
      </c>
      <c r="K30" s="21">
        <v>35</v>
      </c>
    </row>
    <row r="31" spans="1:11" ht="13.2">
      <c r="A31" s="5">
        <v>108</v>
      </c>
      <c r="B31" s="14" t="str">
        <f t="shared" si="0"/>
        <v>1/4</v>
      </c>
      <c r="C31" s="15" t="s">
        <v>78</v>
      </c>
      <c r="D31" s="16">
        <f t="shared" si="1"/>
        <v>50</v>
      </c>
      <c r="E31" s="17" t="s">
        <v>68</v>
      </c>
      <c r="F31" s="18" t="s">
        <v>22</v>
      </c>
      <c r="G31" s="15" t="s">
        <v>23</v>
      </c>
      <c r="H31" s="18">
        <v>13</v>
      </c>
      <c r="I31" s="19" t="s">
        <v>70</v>
      </c>
      <c r="J31" s="20" t="s">
        <v>73</v>
      </c>
      <c r="K31" s="21">
        <v>320</v>
      </c>
    </row>
    <row r="32" spans="1:11" ht="13.2">
      <c r="A32" s="5">
        <v>109</v>
      </c>
      <c r="B32" s="14" t="str">
        <f t="shared" si="0"/>
        <v>1/4</v>
      </c>
      <c r="C32" s="15" t="s">
        <v>79</v>
      </c>
      <c r="D32" s="16">
        <f t="shared" si="1"/>
        <v>50</v>
      </c>
      <c r="E32" s="17" t="s">
        <v>68</v>
      </c>
      <c r="F32" s="18" t="s">
        <v>22</v>
      </c>
      <c r="G32" s="15" t="s">
        <v>23</v>
      </c>
      <c r="H32" s="18">
        <v>19</v>
      </c>
      <c r="I32" s="19" t="s">
        <v>80</v>
      </c>
      <c r="J32" s="20" t="s">
        <v>25</v>
      </c>
      <c r="K32" s="21">
        <v>321</v>
      </c>
    </row>
    <row r="33" spans="1:11" ht="13.2">
      <c r="A33" s="5">
        <v>110</v>
      </c>
      <c r="B33" s="14" t="str">
        <f t="shared" si="0"/>
        <v>1/4</v>
      </c>
      <c r="C33" s="15" t="s">
        <v>81</v>
      </c>
      <c r="D33" s="16">
        <f t="shared" si="1"/>
        <v>50</v>
      </c>
      <c r="E33" s="17" t="s">
        <v>68</v>
      </c>
      <c r="F33" s="18" t="s">
        <v>45</v>
      </c>
      <c r="G33" s="15" t="s">
        <v>46</v>
      </c>
      <c r="H33" s="18">
        <v>18</v>
      </c>
      <c r="I33" s="19" t="s">
        <v>82</v>
      </c>
      <c r="J33" s="20" t="s">
        <v>47</v>
      </c>
      <c r="K33" s="21">
        <v>57</v>
      </c>
    </row>
    <row r="34" spans="1:11" ht="13.2">
      <c r="A34" s="5">
        <v>111</v>
      </c>
      <c r="B34" s="14" t="str">
        <f t="shared" si="0"/>
        <v>1/4</v>
      </c>
      <c r="C34" s="15" t="s">
        <v>83</v>
      </c>
      <c r="D34" s="16">
        <f t="shared" si="1"/>
        <v>50</v>
      </c>
      <c r="E34" s="17" t="s">
        <v>68</v>
      </c>
      <c r="F34" s="18" t="s">
        <v>65</v>
      </c>
      <c r="G34" s="15" t="s">
        <v>18</v>
      </c>
      <c r="H34" s="18">
        <v>13</v>
      </c>
      <c r="I34" s="19" t="s">
        <v>70</v>
      </c>
      <c r="J34" s="20" t="s">
        <v>70</v>
      </c>
      <c r="K34" s="21">
        <v>128</v>
      </c>
    </row>
    <row r="35" spans="1:11" ht="13.2">
      <c r="A35" s="5">
        <v>112</v>
      </c>
      <c r="B35" s="14" t="str">
        <f t="shared" si="0"/>
        <v>1/4</v>
      </c>
      <c r="C35" s="15" t="s">
        <v>84</v>
      </c>
      <c r="D35" s="16">
        <f t="shared" si="1"/>
        <v>50</v>
      </c>
      <c r="E35" s="17" t="s">
        <v>68</v>
      </c>
      <c r="F35" s="18" t="s">
        <v>53</v>
      </c>
      <c r="G35" s="15" t="s">
        <v>54</v>
      </c>
      <c r="H35" s="18">
        <v>11</v>
      </c>
      <c r="I35" s="19" t="s">
        <v>27</v>
      </c>
      <c r="J35" s="20" t="s">
        <v>19</v>
      </c>
      <c r="K35" s="21">
        <v>225</v>
      </c>
    </row>
    <row r="36" spans="1:11" ht="13.2">
      <c r="A36" s="5">
        <v>113</v>
      </c>
      <c r="B36" s="14" t="str">
        <f t="shared" si="0"/>
        <v>1/4</v>
      </c>
      <c r="C36" s="15" t="s">
        <v>85</v>
      </c>
      <c r="D36" s="16">
        <f t="shared" si="1"/>
        <v>50</v>
      </c>
      <c r="E36" s="17" t="s">
        <v>68</v>
      </c>
      <c r="F36" s="18" t="s">
        <v>22</v>
      </c>
      <c r="G36" s="15" t="s">
        <v>23</v>
      </c>
      <c r="H36" s="18">
        <v>13</v>
      </c>
      <c r="I36" s="19" t="s">
        <v>86</v>
      </c>
      <c r="J36" s="20" t="s">
        <v>87</v>
      </c>
      <c r="K36" s="21">
        <v>322</v>
      </c>
    </row>
    <row r="37" spans="1:11" ht="13.2">
      <c r="A37" s="5">
        <v>114</v>
      </c>
      <c r="B37" s="14" t="str">
        <f t="shared" si="0"/>
        <v>1/4</v>
      </c>
      <c r="C37" s="15" t="s">
        <v>88</v>
      </c>
      <c r="D37" s="16">
        <f t="shared" si="1"/>
        <v>50</v>
      </c>
      <c r="E37" s="17" t="s">
        <v>68</v>
      </c>
      <c r="F37" s="18" t="s">
        <v>22</v>
      </c>
      <c r="G37" s="15" t="s">
        <v>54</v>
      </c>
      <c r="H37" s="18">
        <v>17</v>
      </c>
      <c r="I37" s="19" t="s">
        <v>20</v>
      </c>
      <c r="J37" s="20" t="s">
        <v>25</v>
      </c>
      <c r="K37" s="21">
        <v>20</v>
      </c>
    </row>
    <row r="38" spans="1:11" ht="13.2">
      <c r="A38" s="5">
        <v>115</v>
      </c>
      <c r="B38" s="14" t="str">
        <f t="shared" si="0"/>
        <v>1/4</v>
      </c>
      <c r="C38" s="15" t="s">
        <v>89</v>
      </c>
      <c r="D38" s="16">
        <f t="shared" si="1"/>
        <v>50</v>
      </c>
      <c r="E38" s="17" t="s">
        <v>68</v>
      </c>
      <c r="F38" s="18" t="s">
        <v>22</v>
      </c>
      <c r="G38" s="15" t="s">
        <v>23</v>
      </c>
      <c r="H38" s="18">
        <v>13</v>
      </c>
      <c r="I38" s="19" t="s">
        <v>19</v>
      </c>
      <c r="J38" s="20" t="s">
        <v>90</v>
      </c>
      <c r="K38" s="21">
        <v>323</v>
      </c>
    </row>
    <row r="39" spans="1:11" ht="13.2">
      <c r="A39" s="5">
        <v>116</v>
      </c>
      <c r="B39" s="14" t="str">
        <f t="shared" si="0"/>
        <v>1/4</v>
      </c>
      <c r="C39" s="15" t="s">
        <v>91</v>
      </c>
      <c r="D39" s="16">
        <f t="shared" si="1"/>
        <v>50</v>
      </c>
      <c r="E39" s="17" t="s">
        <v>68</v>
      </c>
      <c r="F39" s="18" t="s">
        <v>22</v>
      </c>
      <c r="G39" s="15" t="s">
        <v>23</v>
      </c>
      <c r="H39" s="18">
        <v>22</v>
      </c>
      <c r="I39" s="19" t="s">
        <v>70</v>
      </c>
      <c r="J39" s="20" t="s">
        <v>25</v>
      </c>
      <c r="K39" s="21">
        <v>323</v>
      </c>
    </row>
    <row r="40" spans="1:11" ht="13.2">
      <c r="A40" s="5">
        <v>117</v>
      </c>
      <c r="B40" s="14" t="str">
        <f t="shared" si="0"/>
        <v>1/4</v>
      </c>
      <c r="C40" s="15" t="s">
        <v>92</v>
      </c>
      <c r="D40" s="16">
        <f t="shared" si="1"/>
        <v>50</v>
      </c>
      <c r="E40" s="17" t="s">
        <v>68</v>
      </c>
      <c r="F40" s="18" t="s">
        <v>22</v>
      </c>
      <c r="G40" s="15" t="s">
        <v>23</v>
      </c>
      <c r="H40" s="18">
        <v>4</v>
      </c>
      <c r="I40" s="19" t="s">
        <v>24</v>
      </c>
      <c r="J40" s="20" t="s">
        <v>25</v>
      </c>
      <c r="K40" s="21">
        <v>323</v>
      </c>
    </row>
    <row r="41" spans="1:11" ht="13.2">
      <c r="A41" s="5">
        <v>118</v>
      </c>
      <c r="B41" s="14" t="str">
        <f t="shared" si="0"/>
        <v>1/4</v>
      </c>
      <c r="C41" s="15" t="s">
        <v>93</v>
      </c>
      <c r="D41" s="16">
        <f t="shared" si="1"/>
        <v>50</v>
      </c>
      <c r="E41" s="17" t="s">
        <v>68</v>
      </c>
      <c r="F41" s="18" t="s">
        <v>22</v>
      </c>
      <c r="G41" s="15" t="s">
        <v>23</v>
      </c>
      <c r="H41" s="18">
        <v>18</v>
      </c>
      <c r="I41" s="19" t="s">
        <v>19</v>
      </c>
      <c r="J41" s="20" t="s">
        <v>25</v>
      </c>
      <c r="K41" s="21">
        <v>325</v>
      </c>
    </row>
    <row r="42" spans="1:11" ht="13.2">
      <c r="A42" s="5">
        <v>119</v>
      </c>
      <c r="B42" s="14" t="str">
        <f t="shared" si="0"/>
        <v>1/4</v>
      </c>
      <c r="C42" s="15" t="s">
        <v>94</v>
      </c>
      <c r="D42" s="16">
        <f t="shared" si="1"/>
        <v>50</v>
      </c>
      <c r="E42" s="17" t="s">
        <v>68</v>
      </c>
      <c r="F42" s="18" t="s">
        <v>22</v>
      </c>
      <c r="G42" s="15" t="s">
        <v>23</v>
      </c>
      <c r="H42" s="18">
        <v>19</v>
      </c>
      <c r="I42" s="19" t="s">
        <v>73</v>
      </c>
      <c r="J42" s="20" t="s">
        <v>25</v>
      </c>
      <c r="K42" s="21">
        <v>326</v>
      </c>
    </row>
    <row r="43" spans="1:11" ht="13.2">
      <c r="A43" s="5">
        <v>120</v>
      </c>
      <c r="B43" s="14" t="str">
        <f t="shared" si="0"/>
        <v>1/4</v>
      </c>
      <c r="C43" s="15" t="s">
        <v>95</v>
      </c>
      <c r="D43" s="16">
        <f t="shared" si="1"/>
        <v>50</v>
      </c>
      <c r="E43" s="17" t="s">
        <v>68</v>
      </c>
      <c r="F43" s="18" t="s">
        <v>22</v>
      </c>
      <c r="G43" s="15" t="s">
        <v>23</v>
      </c>
      <c r="H43" s="18">
        <v>19</v>
      </c>
      <c r="I43" s="19" t="s">
        <v>96</v>
      </c>
      <c r="J43" s="20" t="s">
        <v>25</v>
      </c>
      <c r="K43" s="21">
        <v>327</v>
      </c>
    </row>
    <row r="44" spans="1:11" ht="13.2">
      <c r="A44" s="5">
        <v>121</v>
      </c>
      <c r="B44" s="14" t="str">
        <f t="shared" si="0"/>
        <v>1/4</v>
      </c>
      <c r="C44" s="15" t="s">
        <v>97</v>
      </c>
      <c r="D44" s="16">
        <f t="shared" si="1"/>
        <v>50</v>
      </c>
      <c r="E44" s="17" t="s">
        <v>68</v>
      </c>
      <c r="F44" s="18" t="s">
        <v>22</v>
      </c>
      <c r="G44" s="15" t="s">
        <v>23</v>
      </c>
      <c r="H44" s="18">
        <v>11</v>
      </c>
      <c r="I44" s="19" t="s">
        <v>98</v>
      </c>
      <c r="J44" s="20" t="s">
        <v>25</v>
      </c>
      <c r="K44" s="21">
        <v>327</v>
      </c>
    </row>
    <row r="45" spans="1:11" ht="13.2">
      <c r="A45" s="5">
        <v>122</v>
      </c>
      <c r="B45" s="14" t="str">
        <f t="shared" si="0"/>
        <v>1/4</v>
      </c>
      <c r="C45" s="15" t="s">
        <v>99</v>
      </c>
      <c r="D45" s="16">
        <f t="shared" si="1"/>
        <v>50</v>
      </c>
      <c r="E45" s="17" t="s">
        <v>68</v>
      </c>
      <c r="F45" s="18" t="s">
        <v>22</v>
      </c>
      <c r="G45" s="15" t="s">
        <v>23</v>
      </c>
      <c r="H45" s="18">
        <v>11</v>
      </c>
      <c r="I45" s="19" t="s">
        <v>19</v>
      </c>
      <c r="J45" s="20" t="s">
        <v>25</v>
      </c>
      <c r="K45" s="21">
        <v>330</v>
      </c>
    </row>
    <row r="46" spans="1:11" ht="13.2">
      <c r="A46" s="5">
        <v>123</v>
      </c>
      <c r="B46" s="14" t="str">
        <f t="shared" si="0"/>
        <v>1/4</v>
      </c>
      <c r="C46" s="15" t="s">
        <v>100</v>
      </c>
      <c r="D46" s="16">
        <f t="shared" si="1"/>
        <v>50</v>
      </c>
      <c r="E46" s="17" t="s">
        <v>68</v>
      </c>
      <c r="F46" s="18" t="s">
        <v>65</v>
      </c>
      <c r="G46" s="15" t="s">
        <v>18</v>
      </c>
      <c r="H46" s="18">
        <v>7</v>
      </c>
      <c r="I46" s="19" t="s">
        <v>70</v>
      </c>
      <c r="J46" s="20" t="s">
        <v>70</v>
      </c>
      <c r="K46" s="21">
        <v>166</v>
      </c>
    </row>
    <row r="47" spans="1:11" ht="13.2">
      <c r="A47" s="5">
        <v>124</v>
      </c>
      <c r="B47" s="14" t="str">
        <f t="shared" si="0"/>
        <v>1/4</v>
      </c>
      <c r="C47" s="15" t="s">
        <v>101</v>
      </c>
      <c r="D47" s="16">
        <f t="shared" si="1"/>
        <v>50</v>
      </c>
      <c r="E47" s="17" t="s">
        <v>68</v>
      </c>
      <c r="F47" s="18" t="s">
        <v>65</v>
      </c>
      <c r="G47" s="15" t="s">
        <v>18</v>
      </c>
      <c r="H47" s="18">
        <v>11</v>
      </c>
      <c r="I47" s="19" t="s">
        <v>87</v>
      </c>
      <c r="J47" s="20" t="s">
        <v>25</v>
      </c>
      <c r="K47" s="21">
        <v>175</v>
      </c>
    </row>
    <row r="48" spans="1:11" ht="13.2">
      <c r="A48" s="5">
        <v>125</v>
      </c>
      <c r="B48" s="14" t="str">
        <f t="shared" si="0"/>
        <v>1/4</v>
      </c>
      <c r="C48" s="15" t="s">
        <v>102</v>
      </c>
      <c r="D48" s="16">
        <f t="shared" si="1"/>
        <v>50</v>
      </c>
      <c r="E48" s="17" t="s">
        <v>68</v>
      </c>
      <c r="F48" s="18" t="s">
        <v>61</v>
      </c>
      <c r="G48" s="15" t="s">
        <v>18</v>
      </c>
      <c r="H48" s="18">
        <v>13</v>
      </c>
      <c r="I48" s="19" t="s">
        <v>86</v>
      </c>
      <c r="J48" s="20" t="s">
        <v>86</v>
      </c>
      <c r="K48" s="21">
        <v>194</v>
      </c>
    </row>
    <row r="49" spans="1:11" ht="13.2">
      <c r="A49" s="5">
        <v>126</v>
      </c>
      <c r="B49" s="14" t="str">
        <f t="shared" si="0"/>
        <v>1/4</v>
      </c>
      <c r="C49" s="15" t="s">
        <v>103</v>
      </c>
      <c r="D49" s="16">
        <f t="shared" si="1"/>
        <v>50</v>
      </c>
      <c r="E49" s="17" t="s">
        <v>68</v>
      </c>
      <c r="F49" s="18" t="s">
        <v>65</v>
      </c>
      <c r="G49" s="15" t="s">
        <v>18</v>
      </c>
      <c r="H49" s="18">
        <v>18</v>
      </c>
      <c r="I49" s="19" t="s">
        <v>55</v>
      </c>
      <c r="J49" s="20" t="s">
        <v>20</v>
      </c>
      <c r="K49" s="21">
        <v>199</v>
      </c>
    </row>
    <row r="50" spans="1:11" ht="13.2">
      <c r="A50" s="5">
        <v>127</v>
      </c>
      <c r="B50" s="14" t="str">
        <f t="shared" si="0"/>
        <v>1/4</v>
      </c>
      <c r="C50" s="15" t="s">
        <v>104</v>
      </c>
      <c r="D50" s="16">
        <f t="shared" si="1"/>
        <v>50</v>
      </c>
      <c r="E50" s="17" t="s">
        <v>68</v>
      </c>
      <c r="F50" s="18" t="s">
        <v>65</v>
      </c>
      <c r="G50" s="15" t="s">
        <v>105</v>
      </c>
      <c r="H50" s="18">
        <v>27</v>
      </c>
      <c r="I50" s="19" t="s">
        <v>19</v>
      </c>
      <c r="J50" s="20" t="s">
        <v>25</v>
      </c>
      <c r="K50" s="21">
        <v>216</v>
      </c>
    </row>
    <row r="51" spans="1:11" ht="13.2">
      <c r="A51" s="5">
        <v>128</v>
      </c>
      <c r="B51" s="14" t="str">
        <f t="shared" si="0"/>
        <v>1/4</v>
      </c>
      <c r="C51" s="15" t="s">
        <v>106</v>
      </c>
      <c r="D51" s="16">
        <f t="shared" si="1"/>
        <v>50</v>
      </c>
      <c r="E51" s="17" t="s">
        <v>68</v>
      </c>
      <c r="F51" s="18" t="s">
        <v>65</v>
      </c>
      <c r="G51" s="15" t="s">
        <v>66</v>
      </c>
      <c r="H51" s="18">
        <v>11</v>
      </c>
      <c r="I51" s="19" t="s">
        <v>90</v>
      </c>
      <c r="J51" s="20" t="s">
        <v>96</v>
      </c>
      <c r="K51" s="21">
        <v>32</v>
      </c>
    </row>
    <row r="52" spans="1:11" ht="13.2">
      <c r="A52" s="5">
        <v>129</v>
      </c>
      <c r="B52" s="14" t="str">
        <f t="shared" si="0"/>
        <v>1/4</v>
      </c>
      <c r="C52" s="15" t="s">
        <v>107</v>
      </c>
      <c r="D52" s="16">
        <f t="shared" si="1"/>
        <v>50</v>
      </c>
      <c r="E52" s="17" t="s">
        <v>68</v>
      </c>
      <c r="F52" s="18" t="s">
        <v>22</v>
      </c>
      <c r="G52" s="15" t="s">
        <v>23</v>
      </c>
      <c r="H52" s="18">
        <v>13</v>
      </c>
      <c r="I52" s="19" t="s">
        <v>70</v>
      </c>
      <c r="J52" s="20" t="s">
        <v>24</v>
      </c>
      <c r="K52" s="21">
        <v>333</v>
      </c>
    </row>
    <row r="53" spans="1:11" ht="13.2">
      <c r="A53" s="5">
        <v>130</v>
      </c>
      <c r="B53" s="14" t="str">
        <f t="shared" si="0"/>
        <v>1/4</v>
      </c>
      <c r="C53" s="15" t="s">
        <v>108</v>
      </c>
      <c r="D53" s="16">
        <f t="shared" si="1"/>
        <v>50</v>
      </c>
      <c r="E53" s="17" t="s">
        <v>68</v>
      </c>
      <c r="F53" s="18" t="s">
        <v>69</v>
      </c>
      <c r="G53" s="15" t="s">
        <v>75</v>
      </c>
      <c r="H53" s="18">
        <v>1</v>
      </c>
      <c r="I53" s="19" t="s">
        <v>25</v>
      </c>
      <c r="J53" s="20" t="s">
        <v>25</v>
      </c>
      <c r="K53" s="21">
        <v>253</v>
      </c>
    </row>
    <row r="54" spans="1:11" ht="13.2">
      <c r="A54" s="5">
        <v>131</v>
      </c>
      <c r="B54" s="14" t="str">
        <f t="shared" si="0"/>
        <v>1/4</v>
      </c>
      <c r="C54" s="15" t="s">
        <v>109</v>
      </c>
      <c r="D54" s="16">
        <f t="shared" si="1"/>
        <v>50</v>
      </c>
      <c r="E54" s="17" t="s">
        <v>68</v>
      </c>
      <c r="F54" s="18" t="s">
        <v>69</v>
      </c>
      <c r="G54" s="15" t="s">
        <v>110</v>
      </c>
      <c r="H54" s="18">
        <v>7</v>
      </c>
      <c r="I54" s="19" t="s">
        <v>24</v>
      </c>
      <c r="J54" s="20" t="s">
        <v>24</v>
      </c>
      <c r="K54" s="21">
        <v>254</v>
      </c>
    </row>
    <row r="55" spans="1:11" ht="13.2">
      <c r="A55" s="5">
        <v>132</v>
      </c>
      <c r="B55" s="14" t="str">
        <f t="shared" si="0"/>
        <v>1/4</v>
      </c>
      <c r="C55" s="15" t="s">
        <v>111</v>
      </c>
      <c r="D55" s="16">
        <f t="shared" si="1"/>
        <v>50</v>
      </c>
      <c r="E55" s="17" t="s">
        <v>68</v>
      </c>
      <c r="F55" s="18" t="s">
        <v>22</v>
      </c>
      <c r="G55" s="15" t="s">
        <v>23</v>
      </c>
      <c r="H55" s="18">
        <v>13</v>
      </c>
      <c r="I55" s="19" t="s">
        <v>90</v>
      </c>
      <c r="J55" s="20" t="s">
        <v>25</v>
      </c>
      <c r="K55" s="21">
        <v>80</v>
      </c>
    </row>
    <row r="56" spans="1:11" ht="13.2">
      <c r="A56" s="5">
        <v>133</v>
      </c>
      <c r="B56" s="14" t="str">
        <f t="shared" si="0"/>
        <v>1/4</v>
      </c>
      <c r="C56" s="15" t="s">
        <v>112</v>
      </c>
      <c r="D56" s="16">
        <f t="shared" si="1"/>
        <v>50</v>
      </c>
      <c r="E56" s="17" t="s">
        <v>68</v>
      </c>
      <c r="F56" s="18" t="s">
        <v>22</v>
      </c>
      <c r="G56" s="15" t="s">
        <v>23</v>
      </c>
      <c r="H56" s="18">
        <v>13</v>
      </c>
      <c r="I56" s="19" t="s">
        <v>87</v>
      </c>
      <c r="J56" s="20" t="s">
        <v>25</v>
      </c>
      <c r="K56" s="21">
        <v>336</v>
      </c>
    </row>
    <row r="57" spans="1:11" ht="13.2">
      <c r="A57" s="5">
        <v>134</v>
      </c>
      <c r="B57" s="14" t="str">
        <f t="shared" si="0"/>
        <v>1/4</v>
      </c>
      <c r="C57" s="15" t="s">
        <v>113</v>
      </c>
      <c r="D57" s="16">
        <f t="shared" si="1"/>
        <v>50</v>
      </c>
      <c r="E57" s="17" t="s">
        <v>68</v>
      </c>
      <c r="F57" s="18" t="s">
        <v>43</v>
      </c>
      <c r="G57" s="15" t="s">
        <v>114</v>
      </c>
      <c r="H57" s="18">
        <v>13</v>
      </c>
      <c r="I57" s="19" t="s">
        <v>70</v>
      </c>
      <c r="J57" s="20" t="s">
        <v>70</v>
      </c>
      <c r="K57" s="21">
        <v>272</v>
      </c>
    </row>
    <row r="58" spans="1:11" ht="13.2">
      <c r="A58" s="5">
        <v>135</v>
      </c>
      <c r="B58" s="14" t="str">
        <f t="shared" si="0"/>
        <v>1/4</v>
      </c>
      <c r="C58" s="15" t="s">
        <v>115</v>
      </c>
      <c r="D58" s="16">
        <f t="shared" si="1"/>
        <v>50</v>
      </c>
      <c r="E58" s="17" t="s">
        <v>68</v>
      </c>
      <c r="F58" s="18" t="s">
        <v>65</v>
      </c>
      <c r="G58" s="15" t="s">
        <v>105</v>
      </c>
      <c r="H58" s="18">
        <v>22</v>
      </c>
      <c r="I58" s="19" t="s">
        <v>24</v>
      </c>
      <c r="J58" s="20" t="s">
        <v>25</v>
      </c>
      <c r="K58" s="21">
        <v>217</v>
      </c>
    </row>
    <row r="59" spans="1:11" ht="13.2">
      <c r="A59" s="5">
        <v>136</v>
      </c>
      <c r="B59" s="14" t="str">
        <f t="shared" si="0"/>
        <v>1/4</v>
      </c>
      <c r="C59" s="15" t="s">
        <v>116</v>
      </c>
      <c r="D59" s="16">
        <f t="shared" si="1"/>
        <v>50</v>
      </c>
      <c r="E59" s="17" t="s">
        <v>68</v>
      </c>
      <c r="F59" s="18" t="s">
        <v>69</v>
      </c>
      <c r="G59" s="15" t="s">
        <v>75</v>
      </c>
      <c r="H59" s="18">
        <v>2</v>
      </c>
      <c r="I59" s="19">
        <v>1</v>
      </c>
      <c r="J59" s="20" t="s">
        <v>25</v>
      </c>
      <c r="K59" s="21">
        <v>283</v>
      </c>
    </row>
    <row r="60" spans="1:11" ht="13.2">
      <c r="A60" s="5">
        <v>137</v>
      </c>
      <c r="B60" s="14" t="str">
        <f t="shared" si="0"/>
        <v>1/4</v>
      </c>
      <c r="C60" s="15" t="s">
        <v>117</v>
      </c>
      <c r="D60" s="16">
        <f t="shared" si="1"/>
        <v>50</v>
      </c>
      <c r="E60" s="17" t="s">
        <v>68</v>
      </c>
      <c r="F60" s="18" t="s">
        <v>65</v>
      </c>
      <c r="G60" s="15" t="s">
        <v>105</v>
      </c>
      <c r="H60" s="18">
        <v>21</v>
      </c>
      <c r="I60" s="19" t="s">
        <v>47</v>
      </c>
      <c r="J60" s="20" t="s">
        <v>25</v>
      </c>
      <c r="K60" s="21">
        <v>217</v>
      </c>
    </row>
    <row r="61" spans="1:11" ht="13.2">
      <c r="A61" s="5">
        <v>138</v>
      </c>
      <c r="B61" s="14" t="str">
        <f t="shared" si="0"/>
        <v>1/4</v>
      </c>
      <c r="C61" s="15" t="s">
        <v>118</v>
      </c>
      <c r="D61" s="16">
        <f t="shared" si="1"/>
        <v>50</v>
      </c>
      <c r="E61" s="17" t="s">
        <v>68</v>
      </c>
      <c r="F61" s="18" t="s">
        <v>22</v>
      </c>
      <c r="G61" s="15" t="s">
        <v>23</v>
      </c>
      <c r="H61" s="18">
        <v>22</v>
      </c>
      <c r="I61" s="19" t="s">
        <v>119</v>
      </c>
      <c r="J61" s="20" t="s">
        <v>25</v>
      </c>
      <c r="K61" s="21">
        <v>337</v>
      </c>
    </row>
    <row r="62" spans="1:11" ht="13.2">
      <c r="A62" s="5">
        <v>139</v>
      </c>
      <c r="B62" s="14" t="str">
        <f t="shared" si="0"/>
        <v>1/4</v>
      </c>
      <c r="C62" s="15" t="s">
        <v>120</v>
      </c>
      <c r="D62" s="16">
        <f t="shared" si="1"/>
        <v>50</v>
      </c>
      <c r="E62" s="17" t="s">
        <v>68</v>
      </c>
      <c r="F62" s="18" t="s">
        <v>22</v>
      </c>
      <c r="G62" s="15" t="s">
        <v>23</v>
      </c>
      <c r="H62" s="18">
        <v>24</v>
      </c>
      <c r="I62" s="19" t="s">
        <v>119</v>
      </c>
      <c r="J62" s="20" t="s">
        <v>25</v>
      </c>
      <c r="K62" s="21">
        <v>339</v>
      </c>
    </row>
    <row r="63" spans="1:11" ht="13.2">
      <c r="A63" s="5">
        <v>140</v>
      </c>
      <c r="B63" s="14" t="str">
        <f t="shared" si="0"/>
        <v>1/4</v>
      </c>
      <c r="C63" s="15" t="s">
        <v>121</v>
      </c>
      <c r="D63" s="16">
        <f t="shared" si="1"/>
        <v>50</v>
      </c>
      <c r="E63" s="17" t="s">
        <v>68</v>
      </c>
      <c r="F63" s="18" t="s">
        <v>22</v>
      </c>
      <c r="G63" s="15" t="s">
        <v>23</v>
      </c>
      <c r="H63" s="18">
        <v>24</v>
      </c>
      <c r="I63" s="19" t="s">
        <v>119</v>
      </c>
      <c r="J63" s="20" t="s">
        <v>25</v>
      </c>
      <c r="K63" s="21">
        <v>339</v>
      </c>
    </row>
    <row r="64" spans="1:11" ht="13.2">
      <c r="A64" s="5">
        <v>141</v>
      </c>
      <c r="B64" s="14" t="str">
        <f t="shared" si="0"/>
        <v>1/4</v>
      </c>
      <c r="C64" s="15" t="s">
        <v>122</v>
      </c>
      <c r="D64" s="16">
        <f t="shared" si="1"/>
        <v>50</v>
      </c>
      <c r="E64" s="17" t="s">
        <v>68</v>
      </c>
      <c r="F64" s="18" t="s">
        <v>45</v>
      </c>
      <c r="G64" s="15" t="s">
        <v>18</v>
      </c>
      <c r="H64" s="18">
        <v>13</v>
      </c>
      <c r="I64" s="19" t="s">
        <v>24</v>
      </c>
      <c r="J64" s="20" t="s">
        <v>24</v>
      </c>
      <c r="K64" s="21">
        <v>290</v>
      </c>
    </row>
    <row r="65" spans="1:11" ht="13.2">
      <c r="A65" s="5">
        <v>142</v>
      </c>
      <c r="B65" s="14" t="str">
        <f t="shared" si="0"/>
        <v>1/4</v>
      </c>
      <c r="C65" s="15" t="s">
        <v>123</v>
      </c>
      <c r="D65" s="16">
        <f t="shared" si="1"/>
        <v>50</v>
      </c>
      <c r="E65" s="17" t="s">
        <v>68</v>
      </c>
      <c r="F65" s="18" t="s">
        <v>22</v>
      </c>
      <c r="G65" s="15" t="s">
        <v>66</v>
      </c>
      <c r="H65" s="18">
        <v>18</v>
      </c>
      <c r="I65" s="19" t="s">
        <v>51</v>
      </c>
      <c r="J65" s="20" t="s">
        <v>25</v>
      </c>
      <c r="K65" s="21">
        <v>138</v>
      </c>
    </row>
    <row r="66" spans="1:11" ht="13.2">
      <c r="A66" s="5">
        <v>143</v>
      </c>
      <c r="B66" s="14" t="str">
        <f t="shared" si="0"/>
        <v>1/4</v>
      </c>
      <c r="C66" s="15" t="s">
        <v>124</v>
      </c>
      <c r="D66" s="16">
        <f t="shared" si="1"/>
        <v>50</v>
      </c>
      <c r="E66" s="17" t="s">
        <v>68</v>
      </c>
      <c r="F66" s="18" t="s">
        <v>43</v>
      </c>
      <c r="G66" s="15" t="s">
        <v>18</v>
      </c>
      <c r="H66" s="18">
        <v>7</v>
      </c>
      <c r="I66" s="19" t="s">
        <v>39</v>
      </c>
      <c r="J66" s="20" t="s">
        <v>86</v>
      </c>
      <c r="K66" s="21">
        <v>195</v>
      </c>
    </row>
    <row r="67" spans="1:11" ht="13.2">
      <c r="A67" s="5">
        <v>144</v>
      </c>
      <c r="B67" s="14" t="str">
        <f t="shared" si="0"/>
        <v>1/4</v>
      </c>
      <c r="C67" s="15" t="s">
        <v>125</v>
      </c>
      <c r="D67" s="16">
        <f t="shared" si="1"/>
        <v>50</v>
      </c>
      <c r="E67" s="17" t="s">
        <v>68</v>
      </c>
      <c r="F67" s="18" t="s">
        <v>22</v>
      </c>
      <c r="G67" s="15" t="s">
        <v>23</v>
      </c>
      <c r="H67" s="18">
        <v>11</v>
      </c>
      <c r="I67" s="19" t="s">
        <v>80</v>
      </c>
      <c r="J67" s="20" t="s">
        <v>25</v>
      </c>
      <c r="K67" s="21">
        <v>341</v>
      </c>
    </row>
    <row r="68" spans="1:11" ht="13.2">
      <c r="A68" s="5">
        <v>145</v>
      </c>
      <c r="B68" s="14" t="str">
        <f t="shared" si="0"/>
        <v>1/4</v>
      </c>
      <c r="C68" s="15" t="s">
        <v>126</v>
      </c>
      <c r="D68" s="16">
        <f t="shared" si="1"/>
        <v>50</v>
      </c>
      <c r="E68" s="17" t="s">
        <v>68</v>
      </c>
      <c r="F68" s="18" t="s">
        <v>65</v>
      </c>
      <c r="G68" s="15" t="s">
        <v>114</v>
      </c>
      <c r="H68" s="18">
        <v>22</v>
      </c>
      <c r="I68" s="19" t="s">
        <v>19</v>
      </c>
      <c r="J68" s="20" t="s">
        <v>25</v>
      </c>
      <c r="K68" s="21">
        <v>316</v>
      </c>
    </row>
    <row r="69" spans="1:11" ht="13.2">
      <c r="A69" s="5">
        <v>67</v>
      </c>
      <c r="B69" s="14" t="str">
        <f t="shared" si="0"/>
        <v>1/2</v>
      </c>
      <c r="C69" s="15" t="s">
        <v>127</v>
      </c>
      <c r="D69" s="16">
        <f t="shared" si="1"/>
        <v>100</v>
      </c>
      <c r="E69" s="17" t="s">
        <v>128</v>
      </c>
      <c r="F69" s="18" t="s">
        <v>22</v>
      </c>
      <c r="G69" s="15" t="s">
        <v>23</v>
      </c>
      <c r="H69" s="18">
        <v>19</v>
      </c>
      <c r="I69" s="19" t="s">
        <v>86</v>
      </c>
      <c r="J69" s="20" t="s">
        <v>86</v>
      </c>
      <c r="K69" s="21">
        <v>317</v>
      </c>
    </row>
    <row r="70" spans="1:11" ht="13.2">
      <c r="A70" s="5">
        <v>68</v>
      </c>
      <c r="B70" s="14" t="str">
        <f t="shared" si="0"/>
        <v>1/2</v>
      </c>
      <c r="C70" s="15" t="s">
        <v>129</v>
      </c>
      <c r="D70" s="16">
        <f t="shared" si="1"/>
        <v>100</v>
      </c>
      <c r="E70" s="17" t="s">
        <v>128</v>
      </c>
      <c r="F70" s="18" t="s">
        <v>22</v>
      </c>
      <c r="G70" s="15" t="s">
        <v>23</v>
      </c>
      <c r="H70" s="18">
        <v>19</v>
      </c>
      <c r="I70" s="19" t="s">
        <v>70</v>
      </c>
      <c r="J70" s="20" t="s">
        <v>33</v>
      </c>
      <c r="K70" s="21">
        <v>318</v>
      </c>
    </row>
    <row r="71" spans="1:11" ht="13.2">
      <c r="A71" s="5">
        <v>69</v>
      </c>
      <c r="B71" s="14" t="str">
        <f t="shared" si="0"/>
        <v>1/2</v>
      </c>
      <c r="C71" s="15" t="s">
        <v>130</v>
      </c>
      <c r="D71" s="16">
        <f t="shared" si="1"/>
        <v>100</v>
      </c>
      <c r="E71" s="17" t="s">
        <v>128</v>
      </c>
      <c r="F71" s="18" t="s">
        <v>22</v>
      </c>
      <c r="G71" s="15" t="s">
        <v>131</v>
      </c>
      <c r="H71" s="18">
        <v>27</v>
      </c>
      <c r="I71" s="19" t="s">
        <v>55</v>
      </c>
      <c r="J71" s="20" t="s">
        <v>25</v>
      </c>
      <c r="K71" s="21">
        <v>42</v>
      </c>
    </row>
    <row r="72" spans="1:11" ht="13.2">
      <c r="A72" s="5">
        <v>70</v>
      </c>
      <c r="B72" s="14" t="str">
        <f t="shared" si="0"/>
        <v>1/2</v>
      </c>
      <c r="C72" s="15" t="s">
        <v>132</v>
      </c>
      <c r="D72" s="16">
        <f t="shared" si="1"/>
        <v>100</v>
      </c>
      <c r="E72" s="17" t="s">
        <v>128</v>
      </c>
      <c r="F72" s="18" t="s">
        <v>22</v>
      </c>
      <c r="G72" s="15" t="s">
        <v>23</v>
      </c>
      <c r="H72" s="18">
        <v>19</v>
      </c>
      <c r="I72" s="19" t="s">
        <v>133</v>
      </c>
      <c r="J72" s="20" t="s">
        <v>25</v>
      </c>
      <c r="K72" s="21">
        <v>320</v>
      </c>
    </row>
    <row r="73" spans="1:11" ht="13.2">
      <c r="A73" s="5">
        <v>71</v>
      </c>
      <c r="B73" s="14" t="str">
        <f t="shared" si="0"/>
        <v>1/2</v>
      </c>
      <c r="C73" s="15" t="s">
        <v>134</v>
      </c>
      <c r="D73" s="16">
        <f t="shared" si="1"/>
        <v>100</v>
      </c>
      <c r="E73" s="17" t="s">
        <v>128</v>
      </c>
      <c r="F73" s="18" t="s">
        <v>22</v>
      </c>
      <c r="G73" s="15" t="s">
        <v>131</v>
      </c>
      <c r="H73" s="18">
        <v>22</v>
      </c>
      <c r="I73" s="19" t="s">
        <v>86</v>
      </c>
      <c r="J73" s="20" t="s">
        <v>25</v>
      </c>
      <c r="K73" s="21">
        <v>46</v>
      </c>
    </row>
    <row r="74" spans="1:11" ht="13.2">
      <c r="A74" s="5">
        <v>72</v>
      </c>
      <c r="B74" s="14" t="str">
        <f t="shared" si="0"/>
        <v>1/2</v>
      </c>
      <c r="C74" s="15" t="s">
        <v>135</v>
      </c>
      <c r="D74" s="16">
        <f t="shared" si="1"/>
        <v>100</v>
      </c>
      <c r="E74" s="17" t="s">
        <v>128</v>
      </c>
      <c r="F74" s="18" t="s">
        <v>65</v>
      </c>
      <c r="G74" s="15" t="s">
        <v>105</v>
      </c>
      <c r="H74" s="18">
        <v>17</v>
      </c>
      <c r="I74" s="19" t="s">
        <v>24</v>
      </c>
      <c r="J74" s="20" t="s">
        <v>25</v>
      </c>
      <c r="K74" s="21">
        <v>215</v>
      </c>
    </row>
    <row r="75" spans="1:11" ht="13.2">
      <c r="A75" s="5">
        <v>73</v>
      </c>
      <c r="B75" s="14" t="str">
        <f t="shared" si="0"/>
        <v>1/2</v>
      </c>
      <c r="C75" s="15" t="s">
        <v>136</v>
      </c>
      <c r="D75" s="16">
        <f t="shared" si="1"/>
        <v>100</v>
      </c>
      <c r="E75" s="17" t="s">
        <v>128</v>
      </c>
      <c r="F75" s="18" t="s">
        <v>22</v>
      </c>
      <c r="G75" s="15" t="s">
        <v>66</v>
      </c>
      <c r="H75" s="18">
        <v>1</v>
      </c>
      <c r="I75" s="19">
        <v>1</v>
      </c>
      <c r="J75" s="20" t="s">
        <v>25</v>
      </c>
      <c r="K75" s="21">
        <v>138</v>
      </c>
    </row>
    <row r="76" spans="1:11" ht="13.2">
      <c r="A76" s="5">
        <v>74</v>
      </c>
      <c r="B76" s="14" t="str">
        <f t="shared" si="0"/>
        <v>1/2</v>
      </c>
      <c r="C76" s="15" t="s">
        <v>137</v>
      </c>
      <c r="D76" s="16">
        <f t="shared" si="1"/>
        <v>100</v>
      </c>
      <c r="E76" s="17" t="s">
        <v>128</v>
      </c>
      <c r="F76" s="18" t="s">
        <v>22</v>
      </c>
      <c r="G76" s="15" t="s">
        <v>23</v>
      </c>
      <c r="H76" s="18">
        <v>19</v>
      </c>
      <c r="I76" s="19" t="s">
        <v>87</v>
      </c>
      <c r="J76" s="20" t="s">
        <v>25</v>
      </c>
      <c r="K76" s="21">
        <v>326</v>
      </c>
    </row>
    <row r="77" spans="1:11" ht="13.2">
      <c r="A77" s="5">
        <v>75</v>
      </c>
      <c r="B77" s="14" t="str">
        <f t="shared" si="0"/>
        <v>1/2</v>
      </c>
      <c r="C77" s="15" t="s">
        <v>138</v>
      </c>
      <c r="D77" s="16">
        <f t="shared" si="1"/>
        <v>100</v>
      </c>
      <c r="E77" s="17" t="s">
        <v>128</v>
      </c>
      <c r="F77" s="18" t="s">
        <v>22</v>
      </c>
      <c r="G77" s="15" t="s">
        <v>23</v>
      </c>
      <c r="H77" s="18">
        <v>16</v>
      </c>
      <c r="I77" s="19" t="s">
        <v>19</v>
      </c>
      <c r="J77" s="20" t="s">
        <v>25</v>
      </c>
      <c r="K77" s="21">
        <v>328</v>
      </c>
    </row>
    <row r="78" spans="1:11" ht="13.2">
      <c r="A78" s="5">
        <v>76</v>
      </c>
      <c r="B78" s="14" t="str">
        <f t="shared" si="0"/>
        <v>1/2</v>
      </c>
      <c r="C78" s="15" t="s">
        <v>139</v>
      </c>
      <c r="D78" s="16">
        <f t="shared" si="1"/>
        <v>100</v>
      </c>
      <c r="E78" s="17" t="s">
        <v>128</v>
      </c>
      <c r="F78" s="18" t="s">
        <v>22</v>
      </c>
      <c r="G78" s="15" t="s">
        <v>23</v>
      </c>
      <c r="H78" s="18">
        <v>13</v>
      </c>
      <c r="I78" s="19" t="s">
        <v>70</v>
      </c>
      <c r="J78" s="20" t="s">
        <v>25</v>
      </c>
      <c r="K78" s="21">
        <v>329</v>
      </c>
    </row>
    <row r="79" spans="1:11" ht="13.2">
      <c r="A79" s="5">
        <v>77</v>
      </c>
      <c r="B79" s="14" t="str">
        <f t="shared" si="0"/>
        <v>1/2</v>
      </c>
      <c r="C79" s="15" t="s">
        <v>140</v>
      </c>
      <c r="D79" s="16">
        <f t="shared" si="1"/>
        <v>100</v>
      </c>
      <c r="E79" s="17" t="s">
        <v>128</v>
      </c>
      <c r="F79" s="18" t="s">
        <v>45</v>
      </c>
      <c r="G79" s="15" t="s">
        <v>18</v>
      </c>
      <c r="H79" s="18">
        <v>22</v>
      </c>
      <c r="I79" s="19" t="s">
        <v>24</v>
      </c>
      <c r="J79" s="20" t="s">
        <v>73</v>
      </c>
      <c r="K79" s="21">
        <v>163</v>
      </c>
    </row>
    <row r="80" spans="1:11" ht="13.2">
      <c r="A80" s="5">
        <v>78</v>
      </c>
      <c r="B80" s="14" t="str">
        <f t="shared" si="0"/>
        <v>1/2</v>
      </c>
      <c r="C80" s="15" t="s">
        <v>141</v>
      </c>
      <c r="D80" s="16">
        <f t="shared" si="1"/>
        <v>100</v>
      </c>
      <c r="E80" s="17" t="s">
        <v>128</v>
      </c>
      <c r="F80" s="18" t="s">
        <v>69</v>
      </c>
      <c r="G80" s="15" t="s">
        <v>18</v>
      </c>
      <c r="H80" s="18">
        <v>16</v>
      </c>
      <c r="I80" s="19" t="s">
        <v>142</v>
      </c>
      <c r="J80" s="20" t="s">
        <v>25</v>
      </c>
      <c r="K80" s="21">
        <v>164</v>
      </c>
    </row>
    <row r="81" spans="1:11" ht="13.2">
      <c r="A81" s="5">
        <v>79</v>
      </c>
      <c r="B81" s="14" t="str">
        <f t="shared" si="0"/>
        <v>1/2</v>
      </c>
      <c r="C81" s="15" t="s">
        <v>143</v>
      </c>
      <c r="D81" s="16">
        <f t="shared" si="1"/>
        <v>100</v>
      </c>
      <c r="E81" s="17" t="s">
        <v>128</v>
      </c>
      <c r="F81" s="18" t="s">
        <v>22</v>
      </c>
      <c r="G81" s="15" t="s">
        <v>144</v>
      </c>
      <c r="H81" s="18">
        <v>22</v>
      </c>
      <c r="I81" s="19" t="s">
        <v>145</v>
      </c>
      <c r="J81" s="20" t="s">
        <v>25</v>
      </c>
      <c r="K81" s="21">
        <v>243</v>
      </c>
    </row>
    <row r="82" spans="1:11" ht="13.2">
      <c r="A82" s="5">
        <v>80</v>
      </c>
      <c r="B82" s="14" t="str">
        <f t="shared" si="0"/>
        <v>1/2</v>
      </c>
      <c r="C82" s="15" t="s">
        <v>146</v>
      </c>
      <c r="D82" s="16">
        <f t="shared" si="1"/>
        <v>100</v>
      </c>
      <c r="E82" s="17" t="s">
        <v>128</v>
      </c>
      <c r="F82" s="18" t="s">
        <v>43</v>
      </c>
      <c r="G82" s="15" t="s">
        <v>18</v>
      </c>
      <c r="H82" s="18">
        <v>11</v>
      </c>
      <c r="I82" s="19" t="s">
        <v>147</v>
      </c>
      <c r="J82" s="20" t="s">
        <v>20</v>
      </c>
      <c r="K82" s="21">
        <v>186</v>
      </c>
    </row>
    <row r="83" spans="1:11" ht="13.2">
      <c r="A83" s="5">
        <v>81</v>
      </c>
      <c r="B83" s="14" t="str">
        <f t="shared" si="0"/>
        <v>1/2</v>
      </c>
      <c r="C83" s="15" t="s">
        <v>148</v>
      </c>
      <c r="D83" s="16">
        <f t="shared" si="1"/>
        <v>100</v>
      </c>
      <c r="E83" s="17" t="s">
        <v>128</v>
      </c>
      <c r="F83" s="18" t="s">
        <v>65</v>
      </c>
      <c r="G83" s="15" t="s">
        <v>105</v>
      </c>
      <c r="H83" s="18">
        <v>21</v>
      </c>
      <c r="I83" s="19" t="s">
        <v>90</v>
      </c>
      <c r="J83" s="20" t="s">
        <v>47</v>
      </c>
      <c r="K83" s="21">
        <v>215</v>
      </c>
    </row>
    <row r="84" spans="1:11" ht="13.2">
      <c r="A84" s="5">
        <v>82</v>
      </c>
      <c r="B84" s="14" t="str">
        <f t="shared" si="0"/>
        <v>1/2</v>
      </c>
      <c r="C84" s="15" t="s">
        <v>149</v>
      </c>
      <c r="D84" s="16">
        <f t="shared" si="1"/>
        <v>100</v>
      </c>
      <c r="E84" s="17" t="s">
        <v>128</v>
      </c>
      <c r="F84" s="18" t="s">
        <v>45</v>
      </c>
      <c r="G84" s="15" t="s">
        <v>18</v>
      </c>
      <c r="H84" s="18">
        <v>18</v>
      </c>
      <c r="I84" s="19" t="s">
        <v>24</v>
      </c>
      <c r="J84" s="20" t="s">
        <v>70</v>
      </c>
      <c r="K84" s="21">
        <v>193</v>
      </c>
    </row>
    <row r="85" spans="1:11" ht="13.2">
      <c r="A85" s="5">
        <v>83</v>
      </c>
      <c r="B85" s="14" t="str">
        <f t="shared" si="0"/>
        <v>1/2</v>
      </c>
      <c r="C85" s="15" t="s">
        <v>150</v>
      </c>
      <c r="D85" s="16">
        <f t="shared" si="1"/>
        <v>100</v>
      </c>
      <c r="E85" s="17" t="s">
        <v>128</v>
      </c>
      <c r="F85" s="18" t="s">
        <v>50</v>
      </c>
      <c r="G85" s="15" t="s">
        <v>18</v>
      </c>
      <c r="H85" s="18">
        <v>22</v>
      </c>
      <c r="I85" s="19" t="s">
        <v>70</v>
      </c>
      <c r="J85" s="20" t="s">
        <v>70</v>
      </c>
      <c r="K85" s="21">
        <v>204</v>
      </c>
    </row>
    <row r="86" spans="1:11" ht="13.2">
      <c r="A86" s="5">
        <v>84</v>
      </c>
      <c r="B86" s="14" t="str">
        <f t="shared" si="0"/>
        <v>1/2</v>
      </c>
      <c r="C86" s="15" t="s">
        <v>151</v>
      </c>
      <c r="D86" s="16">
        <f t="shared" si="1"/>
        <v>100</v>
      </c>
      <c r="E86" s="17" t="s">
        <v>128</v>
      </c>
      <c r="F86" s="18" t="s">
        <v>65</v>
      </c>
      <c r="G86" s="15" t="s">
        <v>105</v>
      </c>
      <c r="H86" s="18">
        <v>22</v>
      </c>
      <c r="I86" s="19" t="s">
        <v>90</v>
      </c>
      <c r="J86" s="20" t="s">
        <v>25</v>
      </c>
      <c r="K86" s="21">
        <v>216</v>
      </c>
    </row>
    <row r="87" spans="1:11" ht="13.2">
      <c r="A87" s="5">
        <v>85</v>
      </c>
      <c r="B87" s="14" t="str">
        <f t="shared" si="0"/>
        <v>1/2</v>
      </c>
      <c r="C87" s="15" t="s">
        <v>152</v>
      </c>
      <c r="D87" s="16">
        <f t="shared" si="1"/>
        <v>100</v>
      </c>
      <c r="E87" s="17" t="s">
        <v>128</v>
      </c>
      <c r="F87" s="18" t="s">
        <v>61</v>
      </c>
      <c r="G87" s="15" t="s">
        <v>105</v>
      </c>
      <c r="H87" s="18">
        <v>9</v>
      </c>
      <c r="I87" s="19" t="s">
        <v>153</v>
      </c>
      <c r="J87" s="20" t="s">
        <v>25</v>
      </c>
      <c r="K87" s="21">
        <v>212</v>
      </c>
    </row>
    <row r="88" spans="1:11" ht="13.2">
      <c r="A88" s="5">
        <v>86</v>
      </c>
      <c r="B88" s="14" t="str">
        <f t="shared" si="0"/>
        <v>1/2</v>
      </c>
      <c r="C88" s="15" t="s">
        <v>154</v>
      </c>
      <c r="D88" s="16">
        <f t="shared" si="1"/>
        <v>100</v>
      </c>
      <c r="E88" s="17" t="s">
        <v>128</v>
      </c>
      <c r="F88" s="18" t="s">
        <v>53</v>
      </c>
      <c r="G88" s="15" t="s">
        <v>66</v>
      </c>
      <c r="H88" s="18">
        <v>22</v>
      </c>
      <c r="I88" s="19" t="s">
        <v>155</v>
      </c>
      <c r="J88" s="20" t="s">
        <v>25</v>
      </c>
      <c r="K88" s="21">
        <v>232</v>
      </c>
    </row>
    <row r="89" spans="1:11" ht="13.2">
      <c r="A89" s="5">
        <v>87</v>
      </c>
      <c r="B89" s="14" t="str">
        <f t="shared" si="0"/>
        <v>1/2</v>
      </c>
      <c r="C89" s="15" t="s">
        <v>156</v>
      </c>
      <c r="D89" s="16">
        <f t="shared" si="1"/>
        <v>100</v>
      </c>
      <c r="E89" s="17" t="s">
        <v>128</v>
      </c>
      <c r="F89" s="18" t="s">
        <v>45</v>
      </c>
      <c r="G89" s="15" t="s">
        <v>18</v>
      </c>
      <c r="H89" s="18">
        <v>15</v>
      </c>
      <c r="I89" s="19" t="s">
        <v>157</v>
      </c>
      <c r="J89" s="20" t="s">
        <v>86</v>
      </c>
      <c r="K89" s="21">
        <v>246</v>
      </c>
    </row>
    <row r="90" spans="1:11" ht="13.2">
      <c r="A90" s="5">
        <v>88</v>
      </c>
      <c r="B90" s="14" t="str">
        <f t="shared" si="0"/>
        <v>1/2</v>
      </c>
      <c r="C90" s="15" t="s">
        <v>158</v>
      </c>
      <c r="D90" s="16">
        <f t="shared" si="1"/>
        <v>100</v>
      </c>
      <c r="E90" s="17" t="s">
        <v>128</v>
      </c>
      <c r="F90" s="18" t="s">
        <v>22</v>
      </c>
      <c r="G90" s="15" t="s">
        <v>131</v>
      </c>
      <c r="H90" s="18">
        <v>22</v>
      </c>
      <c r="I90" s="19" t="s">
        <v>119</v>
      </c>
      <c r="J90" s="20" t="s">
        <v>25</v>
      </c>
      <c r="K90" s="21">
        <v>252</v>
      </c>
    </row>
    <row r="91" spans="1:11" ht="13.2">
      <c r="A91" s="5">
        <v>89</v>
      </c>
      <c r="B91" s="14" t="str">
        <f t="shared" si="0"/>
        <v>1/2</v>
      </c>
      <c r="C91" s="15" t="s">
        <v>159</v>
      </c>
      <c r="D91" s="16">
        <f t="shared" si="1"/>
        <v>100</v>
      </c>
      <c r="E91" s="17" t="s">
        <v>128</v>
      </c>
      <c r="F91" s="18" t="s">
        <v>22</v>
      </c>
      <c r="G91" s="15" t="s">
        <v>23</v>
      </c>
      <c r="H91" s="18">
        <v>22</v>
      </c>
      <c r="I91" s="19" t="s">
        <v>73</v>
      </c>
      <c r="J91" s="20" t="s">
        <v>25</v>
      </c>
      <c r="K91" s="21">
        <v>336</v>
      </c>
    </row>
    <row r="92" spans="1:11" ht="13.2">
      <c r="A92" s="5">
        <v>90</v>
      </c>
      <c r="B92" s="14" t="str">
        <f t="shared" si="0"/>
        <v>1/2</v>
      </c>
      <c r="C92" s="15" t="s">
        <v>160</v>
      </c>
      <c r="D92" s="16">
        <f t="shared" si="1"/>
        <v>100</v>
      </c>
      <c r="E92" s="17" t="s">
        <v>128</v>
      </c>
      <c r="F92" s="18" t="s">
        <v>22</v>
      </c>
      <c r="G92" s="15" t="s">
        <v>131</v>
      </c>
      <c r="H92" s="18">
        <v>27</v>
      </c>
      <c r="I92" s="19" t="s">
        <v>20</v>
      </c>
      <c r="J92" s="20" t="s">
        <v>25</v>
      </c>
      <c r="K92" s="21">
        <v>262</v>
      </c>
    </row>
    <row r="93" spans="1:11" ht="13.2">
      <c r="A93" s="5">
        <v>91</v>
      </c>
      <c r="B93" s="14" t="str">
        <f t="shared" si="0"/>
        <v>1/2</v>
      </c>
      <c r="C93" s="15" t="s">
        <v>161</v>
      </c>
      <c r="D93" s="16">
        <f t="shared" si="1"/>
        <v>100</v>
      </c>
      <c r="E93" s="17" t="s">
        <v>128</v>
      </c>
      <c r="F93" s="18" t="s">
        <v>43</v>
      </c>
      <c r="G93" s="15" t="s">
        <v>18</v>
      </c>
      <c r="H93" s="18">
        <v>22</v>
      </c>
      <c r="I93" s="19" t="s">
        <v>55</v>
      </c>
      <c r="J93" s="20" t="s">
        <v>55</v>
      </c>
      <c r="K93" s="21">
        <v>263</v>
      </c>
    </row>
    <row r="94" spans="1:11" ht="13.2">
      <c r="A94" s="5">
        <v>92</v>
      </c>
      <c r="B94" s="14" t="str">
        <f t="shared" si="0"/>
        <v>1/2</v>
      </c>
      <c r="C94" s="15" t="s">
        <v>162</v>
      </c>
      <c r="D94" s="16">
        <f t="shared" si="1"/>
        <v>100</v>
      </c>
      <c r="E94" s="17" t="s">
        <v>128</v>
      </c>
      <c r="F94" s="18" t="s">
        <v>61</v>
      </c>
      <c r="G94" s="15" t="s">
        <v>75</v>
      </c>
      <c r="H94" s="18">
        <v>31</v>
      </c>
      <c r="I94" s="19" t="s">
        <v>90</v>
      </c>
      <c r="J94" s="20" t="s">
        <v>86</v>
      </c>
      <c r="K94" s="21">
        <v>267</v>
      </c>
    </row>
    <row r="95" spans="1:11" ht="13.2">
      <c r="A95" s="5">
        <v>93</v>
      </c>
      <c r="B95" s="14" t="str">
        <f t="shared" si="0"/>
        <v>1/2</v>
      </c>
      <c r="C95" s="15" t="s">
        <v>163</v>
      </c>
      <c r="D95" s="16">
        <f t="shared" si="1"/>
        <v>100</v>
      </c>
      <c r="E95" s="17" t="s">
        <v>128</v>
      </c>
      <c r="F95" s="18" t="s">
        <v>41</v>
      </c>
      <c r="G95" s="15" t="s">
        <v>18</v>
      </c>
      <c r="H95" s="18">
        <v>16</v>
      </c>
      <c r="I95" s="19" t="s">
        <v>70</v>
      </c>
      <c r="J95" s="20" t="s">
        <v>73</v>
      </c>
      <c r="K95" s="21">
        <v>349</v>
      </c>
    </row>
    <row r="96" spans="1:11" ht="13.2">
      <c r="A96" s="5">
        <v>94</v>
      </c>
      <c r="B96" s="14" t="str">
        <f t="shared" si="0"/>
        <v>1/2</v>
      </c>
      <c r="C96" s="15" t="s">
        <v>164</v>
      </c>
      <c r="D96" s="16">
        <f t="shared" si="1"/>
        <v>100</v>
      </c>
      <c r="E96" s="17" t="s">
        <v>128</v>
      </c>
      <c r="F96" s="18" t="s">
        <v>45</v>
      </c>
      <c r="G96" s="15" t="s">
        <v>114</v>
      </c>
      <c r="H96" s="18">
        <v>16</v>
      </c>
      <c r="I96" s="19" t="s">
        <v>165</v>
      </c>
      <c r="J96" s="20" t="s">
        <v>25</v>
      </c>
      <c r="K96" s="21">
        <v>269</v>
      </c>
    </row>
    <row r="97" spans="1:11" ht="13.2">
      <c r="A97" s="5">
        <v>95</v>
      </c>
      <c r="B97" s="14" t="str">
        <f t="shared" si="0"/>
        <v>1/2</v>
      </c>
      <c r="C97" s="15" t="s">
        <v>166</v>
      </c>
      <c r="D97" s="16">
        <f t="shared" si="1"/>
        <v>100</v>
      </c>
      <c r="E97" s="17" t="s">
        <v>128</v>
      </c>
      <c r="F97" s="18" t="s">
        <v>22</v>
      </c>
      <c r="G97" s="15" t="s">
        <v>23</v>
      </c>
      <c r="H97" s="18">
        <v>22</v>
      </c>
      <c r="I97" s="19" t="s">
        <v>119</v>
      </c>
      <c r="J97" s="20" t="s">
        <v>25</v>
      </c>
      <c r="K97" s="21">
        <v>338</v>
      </c>
    </row>
    <row r="98" spans="1:11" ht="13.2">
      <c r="A98" s="5">
        <v>96</v>
      </c>
      <c r="B98" s="14" t="str">
        <f t="shared" si="0"/>
        <v>1/2</v>
      </c>
      <c r="C98" s="15" t="s">
        <v>167</v>
      </c>
      <c r="D98" s="16">
        <f t="shared" si="1"/>
        <v>100</v>
      </c>
      <c r="E98" s="17" t="s">
        <v>128</v>
      </c>
      <c r="F98" s="18" t="s">
        <v>29</v>
      </c>
      <c r="G98" s="15" t="s">
        <v>18</v>
      </c>
      <c r="H98" s="18">
        <v>32</v>
      </c>
      <c r="I98" s="19" t="s">
        <v>70</v>
      </c>
      <c r="J98" s="20" t="s">
        <v>168</v>
      </c>
      <c r="K98" s="21">
        <v>350</v>
      </c>
    </row>
    <row r="99" spans="1:11" ht="13.2">
      <c r="A99" s="5">
        <v>97</v>
      </c>
      <c r="B99" s="14" t="str">
        <f t="shared" si="0"/>
        <v>1/2</v>
      </c>
      <c r="C99" s="15" t="s">
        <v>169</v>
      </c>
      <c r="D99" s="16">
        <f t="shared" si="1"/>
        <v>100</v>
      </c>
      <c r="E99" s="17" t="s">
        <v>128</v>
      </c>
      <c r="F99" s="18" t="s">
        <v>53</v>
      </c>
      <c r="G99" s="15" t="s">
        <v>54</v>
      </c>
      <c r="H99" s="18">
        <v>16</v>
      </c>
      <c r="I99" s="19" t="s">
        <v>55</v>
      </c>
      <c r="J99" s="20" t="s">
        <v>19</v>
      </c>
      <c r="K99" s="21">
        <v>225</v>
      </c>
    </row>
    <row r="100" spans="1:11" ht="13.2">
      <c r="A100" s="5">
        <v>98</v>
      </c>
      <c r="B100" s="14" t="str">
        <f t="shared" si="0"/>
        <v>1/2</v>
      </c>
      <c r="C100" s="15" t="s">
        <v>170</v>
      </c>
      <c r="D100" s="16">
        <f t="shared" si="1"/>
        <v>100</v>
      </c>
      <c r="E100" s="17" t="s">
        <v>128</v>
      </c>
      <c r="F100" s="18" t="s">
        <v>65</v>
      </c>
      <c r="G100" s="15" t="s">
        <v>66</v>
      </c>
      <c r="H100" s="18">
        <v>26</v>
      </c>
      <c r="I100" s="19" t="s">
        <v>165</v>
      </c>
      <c r="J100" s="20" t="s">
        <v>25</v>
      </c>
      <c r="K100" s="21">
        <v>32</v>
      </c>
    </row>
    <row r="101" spans="1:11" ht="13.2">
      <c r="A101" s="5">
        <v>99</v>
      </c>
      <c r="B101" s="14" t="str">
        <f t="shared" si="0"/>
        <v>1/2</v>
      </c>
      <c r="C101" s="15" t="s">
        <v>171</v>
      </c>
      <c r="D101" s="16">
        <f t="shared" si="1"/>
        <v>100</v>
      </c>
      <c r="E101" s="17" t="s">
        <v>128</v>
      </c>
      <c r="F101" s="18" t="s">
        <v>22</v>
      </c>
      <c r="G101" s="15" t="s">
        <v>23</v>
      </c>
      <c r="H101" s="18">
        <v>19</v>
      </c>
      <c r="I101" s="19" t="s">
        <v>172</v>
      </c>
      <c r="J101" s="20" t="s">
        <v>25</v>
      </c>
      <c r="K101" s="21">
        <v>340</v>
      </c>
    </row>
    <row r="102" spans="1:11" ht="13.2">
      <c r="A102" s="5">
        <v>100</v>
      </c>
      <c r="B102" s="14" t="str">
        <f t="shared" si="0"/>
        <v>1/2</v>
      </c>
      <c r="C102" s="15" t="s">
        <v>173</v>
      </c>
      <c r="D102" s="16">
        <f t="shared" si="1"/>
        <v>100</v>
      </c>
      <c r="E102" s="17" t="s">
        <v>128</v>
      </c>
      <c r="F102" s="18" t="s">
        <v>43</v>
      </c>
      <c r="G102" s="15" t="s">
        <v>114</v>
      </c>
      <c r="H102" s="18">
        <v>22</v>
      </c>
      <c r="I102" s="19" t="s">
        <v>172</v>
      </c>
      <c r="J102" s="20" t="s">
        <v>25</v>
      </c>
      <c r="K102" s="21">
        <v>273</v>
      </c>
    </row>
    <row r="103" spans="1:11" ht="13.2">
      <c r="A103" s="5">
        <v>101</v>
      </c>
      <c r="B103" s="14" t="str">
        <f t="shared" si="0"/>
        <v>1/2</v>
      </c>
      <c r="C103" s="15" t="s">
        <v>174</v>
      </c>
      <c r="D103" s="16">
        <f t="shared" si="1"/>
        <v>100</v>
      </c>
      <c r="E103" s="17" t="s">
        <v>128</v>
      </c>
      <c r="F103" s="18" t="s">
        <v>65</v>
      </c>
      <c r="G103" s="15" t="s">
        <v>131</v>
      </c>
      <c r="H103" s="18">
        <v>26</v>
      </c>
      <c r="I103" s="19" t="s">
        <v>175</v>
      </c>
      <c r="J103" s="20" t="s">
        <v>25</v>
      </c>
      <c r="K103" s="21">
        <v>341</v>
      </c>
    </row>
    <row r="104" spans="1:11" ht="13.2">
      <c r="A104" s="5">
        <v>32</v>
      </c>
      <c r="B104" s="14" t="str">
        <f t="shared" si="0"/>
        <v>1</v>
      </c>
      <c r="C104" s="15" t="s">
        <v>176</v>
      </c>
      <c r="D104" s="16">
        <f t="shared" si="1"/>
        <v>200</v>
      </c>
      <c r="E104" s="17" t="s">
        <v>177</v>
      </c>
      <c r="F104" s="18" t="s">
        <v>22</v>
      </c>
      <c r="G104" s="15" t="s">
        <v>54</v>
      </c>
      <c r="H104" s="18">
        <v>33</v>
      </c>
      <c r="I104" s="19" t="s">
        <v>70</v>
      </c>
      <c r="J104" s="20" t="s">
        <v>25</v>
      </c>
      <c r="K104" s="21">
        <v>19</v>
      </c>
    </row>
    <row r="105" spans="1:11" ht="13.2">
      <c r="A105" s="5">
        <v>33</v>
      </c>
      <c r="B105" s="14" t="str">
        <f t="shared" si="0"/>
        <v>1</v>
      </c>
      <c r="C105" s="15" t="s">
        <v>178</v>
      </c>
      <c r="D105" s="16">
        <f t="shared" si="1"/>
        <v>200</v>
      </c>
      <c r="E105" s="17" t="s">
        <v>177</v>
      </c>
      <c r="F105" s="18" t="s">
        <v>179</v>
      </c>
      <c r="G105" s="15" t="s">
        <v>110</v>
      </c>
      <c r="H105" s="18">
        <v>16</v>
      </c>
      <c r="I105" s="19" t="s">
        <v>133</v>
      </c>
      <c r="J105" s="20" t="s">
        <v>180</v>
      </c>
      <c r="K105" s="21">
        <v>106</v>
      </c>
    </row>
    <row r="106" spans="1:11" ht="13.2">
      <c r="A106" s="5">
        <v>34</v>
      </c>
      <c r="B106" s="14" t="str">
        <f t="shared" si="0"/>
        <v>1</v>
      </c>
      <c r="C106" s="15" t="s">
        <v>181</v>
      </c>
      <c r="D106" s="16">
        <f t="shared" si="1"/>
        <v>200</v>
      </c>
      <c r="E106" s="17" t="s">
        <v>177</v>
      </c>
      <c r="F106" s="18" t="s">
        <v>22</v>
      </c>
      <c r="G106" s="15" t="s">
        <v>23</v>
      </c>
      <c r="H106" s="18">
        <v>34</v>
      </c>
      <c r="I106" s="19" t="s">
        <v>182</v>
      </c>
      <c r="J106" s="20" t="s">
        <v>172</v>
      </c>
      <c r="K106" s="21">
        <v>319</v>
      </c>
    </row>
    <row r="107" spans="1:11" ht="13.2">
      <c r="A107" s="5">
        <v>35</v>
      </c>
      <c r="B107" s="14" t="str">
        <f t="shared" si="0"/>
        <v>1</v>
      </c>
      <c r="C107" s="15" t="s">
        <v>183</v>
      </c>
      <c r="D107" s="16">
        <f t="shared" si="1"/>
        <v>200</v>
      </c>
      <c r="E107" s="17" t="s">
        <v>177</v>
      </c>
      <c r="F107" s="18" t="s">
        <v>45</v>
      </c>
      <c r="G107" s="15" t="s">
        <v>18</v>
      </c>
      <c r="H107" s="18">
        <v>27</v>
      </c>
      <c r="I107" s="19" t="s">
        <v>184</v>
      </c>
      <c r="J107" s="20" t="s">
        <v>165</v>
      </c>
      <c r="K107" s="21">
        <v>33</v>
      </c>
    </row>
    <row r="108" spans="1:11" ht="13.2">
      <c r="A108" s="5">
        <v>36</v>
      </c>
      <c r="B108" s="14" t="str">
        <f t="shared" si="0"/>
        <v>1</v>
      </c>
      <c r="C108" s="15" t="s">
        <v>185</v>
      </c>
      <c r="D108" s="16">
        <f t="shared" si="1"/>
        <v>200</v>
      </c>
      <c r="E108" s="17" t="s">
        <v>177</v>
      </c>
      <c r="F108" s="18" t="s">
        <v>179</v>
      </c>
      <c r="G108" s="15" t="s">
        <v>110</v>
      </c>
      <c r="H108" s="18">
        <v>22</v>
      </c>
      <c r="I108" s="19" t="s">
        <v>133</v>
      </c>
      <c r="J108" s="20" t="s">
        <v>186</v>
      </c>
      <c r="K108" s="21">
        <v>112</v>
      </c>
    </row>
    <row r="109" spans="1:11" ht="13.2">
      <c r="A109" s="5">
        <v>37</v>
      </c>
      <c r="B109" s="14" t="str">
        <f t="shared" si="0"/>
        <v>1</v>
      </c>
      <c r="C109" s="15" t="s">
        <v>187</v>
      </c>
      <c r="D109" s="16">
        <f t="shared" si="1"/>
        <v>200</v>
      </c>
      <c r="E109" s="17" t="s">
        <v>177</v>
      </c>
      <c r="F109" s="18" t="s">
        <v>65</v>
      </c>
      <c r="G109" s="15" t="s">
        <v>131</v>
      </c>
      <c r="H109" s="18">
        <v>39</v>
      </c>
      <c r="I109" s="19" t="s">
        <v>70</v>
      </c>
      <c r="J109" s="20" t="s">
        <v>25</v>
      </c>
      <c r="K109" s="21">
        <v>321</v>
      </c>
    </row>
    <row r="110" spans="1:11" ht="13.2">
      <c r="A110" s="5">
        <v>38</v>
      </c>
      <c r="B110" s="14" t="str">
        <f t="shared" si="0"/>
        <v>1</v>
      </c>
      <c r="C110" s="15" t="s">
        <v>188</v>
      </c>
      <c r="D110" s="16">
        <f t="shared" si="1"/>
        <v>200</v>
      </c>
      <c r="E110" s="17" t="s">
        <v>177</v>
      </c>
      <c r="F110" s="18" t="s">
        <v>22</v>
      </c>
      <c r="G110" s="15" t="s">
        <v>23</v>
      </c>
      <c r="H110" s="18">
        <v>37</v>
      </c>
      <c r="I110" s="19" t="s">
        <v>175</v>
      </c>
      <c r="J110" s="20" t="s">
        <v>25</v>
      </c>
      <c r="K110" s="21">
        <v>321</v>
      </c>
    </row>
    <row r="111" spans="1:11" ht="13.2">
      <c r="A111" s="5">
        <v>39</v>
      </c>
      <c r="B111" s="14" t="str">
        <f t="shared" si="0"/>
        <v>1</v>
      </c>
      <c r="C111" s="15" t="s">
        <v>189</v>
      </c>
      <c r="D111" s="16">
        <f t="shared" si="1"/>
        <v>200</v>
      </c>
      <c r="E111" s="17" t="s">
        <v>177</v>
      </c>
      <c r="F111" s="18" t="s">
        <v>50</v>
      </c>
      <c r="G111" s="15" t="s">
        <v>75</v>
      </c>
      <c r="H111" s="18">
        <v>22</v>
      </c>
      <c r="I111" s="19" t="s">
        <v>182</v>
      </c>
      <c r="J111" s="20" t="s">
        <v>25</v>
      </c>
      <c r="K111" s="21">
        <v>121</v>
      </c>
    </row>
    <row r="112" spans="1:11" ht="13.2">
      <c r="A112" s="5">
        <v>40</v>
      </c>
      <c r="B112" s="14" t="str">
        <f t="shared" si="0"/>
        <v>1</v>
      </c>
      <c r="C112" s="15" t="s">
        <v>190</v>
      </c>
      <c r="D112" s="16">
        <f t="shared" si="1"/>
        <v>200</v>
      </c>
      <c r="E112" s="17" t="s">
        <v>177</v>
      </c>
      <c r="F112" s="18" t="s">
        <v>43</v>
      </c>
      <c r="G112" s="15" t="s">
        <v>18</v>
      </c>
      <c r="H112" s="18">
        <v>26</v>
      </c>
      <c r="I112" s="19" t="s">
        <v>73</v>
      </c>
      <c r="J112" s="20" t="s">
        <v>70</v>
      </c>
      <c r="K112" s="21">
        <v>122</v>
      </c>
    </row>
    <row r="113" spans="1:11" ht="13.2">
      <c r="A113" s="5">
        <v>41</v>
      </c>
      <c r="B113" s="14" t="str">
        <f t="shared" si="0"/>
        <v>1</v>
      </c>
      <c r="C113" s="15" t="s">
        <v>191</v>
      </c>
      <c r="D113" s="16">
        <f t="shared" si="1"/>
        <v>200</v>
      </c>
      <c r="E113" s="17" t="s">
        <v>177</v>
      </c>
      <c r="F113" s="18" t="s">
        <v>179</v>
      </c>
      <c r="G113" s="15" t="s">
        <v>110</v>
      </c>
      <c r="H113" s="18">
        <v>14</v>
      </c>
      <c r="I113" s="19">
        <v>1</v>
      </c>
      <c r="J113" s="20" t="s">
        <v>25</v>
      </c>
      <c r="K113" s="21">
        <v>133</v>
      </c>
    </row>
    <row r="114" spans="1:11" ht="13.2">
      <c r="A114" s="5">
        <v>42</v>
      </c>
      <c r="B114" s="14" t="str">
        <f t="shared" si="0"/>
        <v>1</v>
      </c>
      <c r="C114" s="15" t="s">
        <v>192</v>
      </c>
      <c r="D114" s="16">
        <f t="shared" si="1"/>
        <v>200</v>
      </c>
      <c r="E114" s="17" t="s">
        <v>177</v>
      </c>
      <c r="F114" s="18" t="s">
        <v>65</v>
      </c>
      <c r="G114" s="15" t="s">
        <v>105</v>
      </c>
      <c r="H114" s="18">
        <v>22</v>
      </c>
      <c r="I114" s="19" t="s">
        <v>193</v>
      </c>
      <c r="J114" s="20" t="s">
        <v>193</v>
      </c>
      <c r="K114" s="21">
        <v>265</v>
      </c>
    </row>
    <row r="115" spans="1:11" ht="13.2">
      <c r="A115" s="5">
        <v>43</v>
      </c>
      <c r="B115" s="14" t="str">
        <f t="shared" si="0"/>
        <v>1</v>
      </c>
      <c r="C115" s="15" t="s">
        <v>194</v>
      </c>
      <c r="D115" s="16">
        <f t="shared" si="1"/>
        <v>200</v>
      </c>
      <c r="E115" s="17" t="s">
        <v>177</v>
      </c>
      <c r="F115" s="18" t="s">
        <v>45</v>
      </c>
      <c r="G115" s="15" t="s">
        <v>114</v>
      </c>
      <c r="H115" s="18">
        <v>22</v>
      </c>
      <c r="I115" s="19" t="s">
        <v>165</v>
      </c>
      <c r="J115" s="20" t="s">
        <v>33</v>
      </c>
      <c r="K115" s="21">
        <v>148</v>
      </c>
    </row>
    <row r="116" spans="1:11" ht="13.2">
      <c r="A116" s="5">
        <v>44</v>
      </c>
      <c r="B116" s="14" t="str">
        <f t="shared" si="0"/>
        <v>1</v>
      </c>
      <c r="C116" s="15" t="s">
        <v>195</v>
      </c>
      <c r="D116" s="16">
        <f t="shared" si="1"/>
        <v>200</v>
      </c>
      <c r="E116" s="17" t="s">
        <v>177</v>
      </c>
      <c r="F116" s="18" t="s">
        <v>22</v>
      </c>
      <c r="G116" s="15" t="s">
        <v>23</v>
      </c>
      <c r="H116" s="18">
        <v>26</v>
      </c>
      <c r="I116" s="19" t="s">
        <v>86</v>
      </c>
      <c r="J116" s="20" t="s">
        <v>175</v>
      </c>
      <c r="K116" s="21">
        <v>324</v>
      </c>
    </row>
    <row r="117" spans="1:11" ht="13.2">
      <c r="A117" s="5">
        <v>45</v>
      </c>
      <c r="B117" s="14" t="str">
        <f t="shared" si="0"/>
        <v>1</v>
      </c>
      <c r="C117" s="15" t="s">
        <v>196</v>
      </c>
      <c r="D117" s="16">
        <f t="shared" si="1"/>
        <v>200</v>
      </c>
      <c r="E117" s="17" t="s">
        <v>177</v>
      </c>
      <c r="F117" s="18" t="s">
        <v>22</v>
      </c>
      <c r="G117" s="15" t="s">
        <v>23</v>
      </c>
      <c r="H117" s="18">
        <v>45</v>
      </c>
      <c r="I117" s="19" t="s">
        <v>175</v>
      </c>
      <c r="J117" s="20" t="s">
        <v>25</v>
      </c>
      <c r="K117" s="21">
        <v>326</v>
      </c>
    </row>
    <row r="118" spans="1:11" ht="13.2">
      <c r="A118" s="5">
        <v>46</v>
      </c>
      <c r="B118" s="14" t="str">
        <f t="shared" si="0"/>
        <v>1</v>
      </c>
      <c r="C118" s="15" t="s">
        <v>197</v>
      </c>
      <c r="D118" s="16">
        <f t="shared" si="1"/>
        <v>200</v>
      </c>
      <c r="E118" s="17" t="s">
        <v>177</v>
      </c>
      <c r="F118" s="18" t="s">
        <v>22</v>
      </c>
      <c r="G118" s="15" t="s">
        <v>23</v>
      </c>
      <c r="H118" s="18">
        <v>52</v>
      </c>
      <c r="I118" s="19" t="s">
        <v>175</v>
      </c>
      <c r="J118" s="20" t="s">
        <v>25</v>
      </c>
      <c r="K118" s="21">
        <v>326</v>
      </c>
    </row>
    <row r="119" spans="1:11" ht="13.2">
      <c r="A119" s="5">
        <v>47</v>
      </c>
      <c r="B119" s="14" t="str">
        <f t="shared" si="0"/>
        <v>1</v>
      </c>
      <c r="C119" s="15" t="s">
        <v>198</v>
      </c>
      <c r="D119" s="16">
        <f t="shared" si="1"/>
        <v>200</v>
      </c>
      <c r="E119" s="17" t="s">
        <v>177</v>
      </c>
      <c r="F119" s="18" t="s">
        <v>22</v>
      </c>
      <c r="G119" s="15" t="s">
        <v>23</v>
      </c>
      <c r="H119" s="18">
        <v>26</v>
      </c>
      <c r="I119" s="19" t="s">
        <v>142</v>
      </c>
      <c r="J119" s="20" t="s">
        <v>25</v>
      </c>
      <c r="K119" s="21">
        <v>328</v>
      </c>
    </row>
    <row r="120" spans="1:11" ht="13.2">
      <c r="A120" s="5">
        <v>48</v>
      </c>
      <c r="B120" s="14" t="str">
        <f t="shared" si="0"/>
        <v>1</v>
      </c>
      <c r="C120" s="15" t="s">
        <v>199</v>
      </c>
      <c r="D120" s="16">
        <f t="shared" si="1"/>
        <v>200</v>
      </c>
      <c r="E120" s="17" t="s">
        <v>177</v>
      </c>
      <c r="F120" s="18" t="s">
        <v>22</v>
      </c>
      <c r="G120" s="15" t="s">
        <v>23</v>
      </c>
      <c r="H120" s="18">
        <v>39</v>
      </c>
      <c r="I120" s="19" t="s">
        <v>200</v>
      </c>
      <c r="J120" s="20" t="s">
        <v>25</v>
      </c>
      <c r="K120" s="21">
        <v>329</v>
      </c>
    </row>
    <row r="121" spans="1:11" ht="13.2">
      <c r="A121" s="5">
        <v>49</v>
      </c>
      <c r="B121" s="14" t="str">
        <f t="shared" si="0"/>
        <v>1</v>
      </c>
      <c r="C121" s="15" t="s">
        <v>201</v>
      </c>
      <c r="D121" s="16">
        <f t="shared" si="1"/>
        <v>200</v>
      </c>
      <c r="E121" s="17" t="s">
        <v>177</v>
      </c>
      <c r="F121" s="18" t="s">
        <v>65</v>
      </c>
      <c r="G121" s="15" t="s">
        <v>23</v>
      </c>
      <c r="H121" s="18">
        <v>22</v>
      </c>
      <c r="I121" s="19" t="s">
        <v>80</v>
      </c>
      <c r="J121" s="20" t="s">
        <v>165</v>
      </c>
      <c r="K121" s="21">
        <v>329</v>
      </c>
    </row>
    <row r="122" spans="1:11" ht="13.2">
      <c r="A122" s="5">
        <v>50</v>
      </c>
      <c r="B122" s="14" t="str">
        <f t="shared" si="0"/>
        <v>1</v>
      </c>
      <c r="C122" s="15" t="s">
        <v>202</v>
      </c>
      <c r="D122" s="16">
        <f t="shared" si="1"/>
        <v>200</v>
      </c>
      <c r="E122" s="17" t="s">
        <v>177</v>
      </c>
      <c r="F122" s="18" t="s">
        <v>65</v>
      </c>
      <c r="G122" s="15" t="s">
        <v>18</v>
      </c>
      <c r="H122" s="18">
        <v>21</v>
      </c>
      <c r="I122" s="19" t="s">
        <v>70</v>
      </c>
      <c r="J122" s="20" t="s">
        <v>70</v>
      </c>
      <c r="K122" s="21">
        <v>166</v>
      </c>
    </row>
    <row r="123" spans="1:11" ht="13.2">
      <c r="A123" s="5">
        <v>51</v>
      </c>
      <c r="B123" s="14" t="str">
        <f t="shared" si="0"/>
        <v>1</v>
      </c>
      <c r="C123" s="15" t="s">
        <v>203</v>
      </c>
      <c r="D123" s="16">
        <f t="shared" si="1"/>
        <v>200</v>
      </c>
      <c r="E123" s="17" t="s">
        <v>177</v>
      </c>
      <c r="F123" s="18" t="s">
        <v>204</v>
      </c>
      <c r="G123" s="15" t="s">
        <v>205</v>
      </c>
      <c r="H123" s="18">
        <v>30</v>
      </c>
      <c r="I123" s="19" t="s">
        <v>206</v>
      </c>
      <c r="J123" s="20" t="s">
        <v>175</v>
      </c>
      <c r="K123" s="21">
        <v>238</v>
      </c>
    </row>
    <row r="124" spans="1:11" ht="13.2">
      <c r="A124" s="5">
        <v>52</v>
      </c>
      <c r="B124" s="14" t="str">
        <f t="shared" si="0"/>
        <v>1</v>
      </c>
      <c r="C124" s="15" t="s">
        <v>207</v>
      </c>
      <c r="D124" s="16">
        <f t="shared" si="1"/>
        <v>200</v>
      </c>
      <c r="E124" s="17" t="s">
        <v>177</v>
      </c>
      <c r="F124" s="18" t="s">
        <v>45</v>
      </c>
      <c r="G124" s="15" t="s">
        <v>131</v>
      </c>
      <c r="H124" s="18">
        <v>38</v>
      </c>
      <c r="I124" s="19" t="s">
        <v>90</v>
      </c>
      <c r="J124" s="20" t="s">
        <v>55</v>
      </c>
      <c r="K124" s="21">
        <v>181</v>
      </c>
    </row>
    <row r="125" spans="1:11" ht="13.2">
      <c r="A125" s="5">
        <v>53</v>
      </c>
      <c r="B125" s="14" t="str">
        <f t="shared" si="0"/>
        <v>1</v>
      </c>
      <c r="C125" s="15" t="s">
        <v>208</v>
      </c>
      <c r="D125" s="16">
        <f t="shared" si="1"/>
        <v>200</v>
      </c>
      <c r="E125" s="17" t="s">
        <v>177</v>
      </c>
      <c r="F125" s="18" t="s">
        <v>22</v>
      </c>
      <c r="G125" s="15" t="s">
        <v>131</v>
      </c>
      <c r="H125" s="18">
        <v>19</v>
      </c>
      <c r="I125" s="19" t="s">
        <v>209</v>
      </c>
      <c r="J125" s="20" t="s">
        <v>175</v>
      </c>
      <c r="K125" s="21">
        <v>184</v>
      </c>
    </row>
    <row r="126" spans="1:11" ht="13.2">
      <c r="A126" s="5">
        <v>54</v>
      </c>
      <c r="B126" s="14" t="str">
        <f t="shared" si="0"/>
        <v>1</v>
      </c>
      <c r="C126" s="15" t="s">
        <v>210</v>
      </c>
      <c r="D126" s="16">
        <f t="shared" si="1"/>
        <v>200</v>
      </c>
      <c r="E126" s="17" t="s">
        <v>177</v>
      </c>
      <c r="F126" s="18" t="s">
        <v>43</v>
      </c>
      <c r="G126" s="15" t="s">
        <v>211</v>
      </c>
      <c r="H126" s="18">
        <v>10</v>
      </c>
      <c r="I126" s="19" t="s">
        <v>39</v>
      </c>
      <c r="J126" s="20" t="s">
        <v>25</v>
      </c>
      <c r="K126" s="21">
        <v>76</v>
      </c>
    </row>
    <row r="127" spans="1:11" ht="13.2">
      <c r="A127" s="5">
        <v>55</v>
      </c>
      <c r="B127" s="14" t="str">
        <f t="shared" si="0"/>
        <v>1</v>
      </c>
      <c r="C127" s="15" t="s">
        <v>212</v>
      </c>
      <c r="D127" s="16">
        <f t="shared" si="1"/>
        <v>200</v>
      </c>
      <c r="E127" s="17" t="s">
        <v>177</v>
      </c>
      <c r="F127" s="18" t="s">
        <v>65</v>
      </c>
      <c r="G127" s="15" t="s">
        <v>18</v>
      </c>
      <c r="H127" s="18">
        <v>65</v>
      </c>
      <c r="I127" s="19" t="s">
        <v>24</v>
      </c>
      <c r="J127" s="20" t="s">
        <v>70</v>
      </c>
      <c r="K127" s="21">
        <v>200</v>
      </c>
    </row>
    <row r="128" spans="1:11" ht="13.2">
      <c r="A128" s="5">
        <v>56</v>
      </c>
      <c r="B128" s="14" t="str">
        <f t="shared" si="0"/>
        <v>1</v>
      </c>
      <c r="C128" s="15" t="s">
        <v>213</v>
      </c>
      <c r="D128" s="16">
        <f t="shared" si="1"/>
        <v>200</v>
      </c>
      <c r="E128" s="17" t="s">
        <v>177</v>
      </c>
      <c r="F128" s="18" t="s">
        <v>22</v>
      </c>
      <c r="G128" s="15" t="s">
        <v>23</v>
      </c>
      <c r="H128" s="18">
        <v>26</v>
      </c>
      <c r="I128" s="19" t="s">
        <v>142</v>
      </c>
      <c r="J128" s="20" t="s">
        <v>86</v>
      </c>
      <c r="K128" s="21">
        <v>331</v>
      </c>
    </row>
    <row r="129" spans="1:11" ht="13.2">
      <c r="A129" s="5">
        <v>57</v>
      </c>
      <c r="B129" s="14" t="str">
        <f t="shared" si="0"/>
        <v>1</v>
      </c>
      <c r="C129" s="15" t="s">
        <v>214</v>
      </c>
      <c r="D129" s="16">
        <f t="shared" si="1"/>
        <v>200</v>
      </c>
      <c r="E129" s="17" t="s">
        <v>177</v>
      </c>
      <c r="F129" s="18" t="s">
        <v>53</v>
      </c>
      <c r="G129" s="15" t="s">
        <v>54</v>
      </c>
      <c r="H129" s="18">
        <v>22</v>
      </c>
      <c r="I129" s="19" t="s">
        <v>55</v>
      </c>
      <c r="J129" s="20" t="s">
        <v>19</v>
      </c>
      <c r="K129" s="21">
        <v>226</v>
      </c>
    </row>
    <row r="130" spans="1:11" ht="13.2">
      <c r="A130" s="5">
        <v>58</v>
      </c>
      <c r="B130" s="14" t="str">
        <f t="shared" si="0"/>
        <v>1</v>
      </c>
      <c r="C130" s="15" t="s">
        <v>215</v>
      </c>
      <c r="D130" s="16">
        <f t="shared" si="1"/>
        <v>200</v>
      </c>
      <c r="E130" s="17" t="s">
        <v>177</v>
      </c>
      <c r="F130" s="18" t="s">
        <v>22</v>
      </c>
      <c r="G130" s="15" t="s">
        <v>66</v>
      </c>
      <c r="H130" s="18">
        <v>45</v>
      </c>
      <c r="I130" s="19" t="s">
        <v>86</v>
      </c>
      <c r="J130" s="20" t="s">
        <v>25</v>
      </c>
      <c r="K130" s="21">
        <v>230</v>
      </c>
    </row>
    <row r="131" spans="1:11" ht="13.2">
      <c r="A131" s="5">
        <v>59</v>
      </c>
      <c r="B131" s="14" t="str">
        <f t="shared" si="0"/>
        <v>1</v>
      </c>
      <c r="C131" s="15" t="s">
        <v>216</v>
      </c>
      <c r="D131" s="16">
        <f t="shared" si="1"/>
        <v>200</v>
      </c>
      <c r="E131" s="17" t="s">
        <v>177</v>
      </c>
      <c r="F131" s="18" t="s">
        <v>45</v>
      </c>
      <c r="G131" s="15" t="s">
        <v>46</v>
      </c>
      <c r="H131" s="18">
        <v>7</v>
      </c>
      <c r="I131" s="19" t="s">
        <v>39</v>
      </c>
      <c r="J131" s="20" t="s">
        <v>25</v>
      </c>
      <c r="K131" s="21">
        <v>63</v>
      </c>
    </row>
    <row r="132" spans="1:11" ht="13.2">
      <c r="A132" s="5">
        <v>60</v>
      </c>
      <c r="B132" s="14" t="str">
        <f t="shared" si="0"/>
        <v>1</v>
      </c>
      <c r="C132" s="15" t="s">
        <v>217</v>
      </c>
      <c r="D132" s="16">
        <f t="shared" si="1"/>
        <v>200</v>
      </c>
      <c r="E132" s="17" t="s">
        <v>177</v>
      </c>
      <c r="F132" s="18" t="s">
        <v>45</v>
      </c>
      <c r="G132" s="15" t="s">
        <v>54</v>
      </c>
      <c r="H132" s="18">
        <v>36</v>
      </c>
      <c r="I132" s="19" t="s">
        <v>90</v>
      </c>
      <c r="J132" s="20" t="s">
        <v>25</v>
      </c>
      <c r="K132" s="21">
        <v>268</v>
      </c>
    </row>
    <row r="133" spans="1:11" ht="13.2">
      <c r="A133" s="5">
        <v>61</v>
      </c>
      <c r="B133" s="14" t="str">
        <f t="shared" si="0"/>
        <v>1</v>
      </c>
      <c r="C133" s="15" t="s">
        <v>218</v>
      </c>
      <c r="D133" s="16">
        <f t="shared" si="1"/>
        <v>200</v>
      </c>
      <c r="E133" s="17" t="s">
        <v>177</v>
      </c>
      <c r="F133" s="18" t="s">
        <v>45</v>
      </c>
      <c r="G133" s="15" t="s">
        <v>114</v>
      </c>
      <c r="H133" s="18">
        <v>22</v>
      </c>
      <c r="I133" s="19" t="s">
        <v>82</v>
      </c>
      <c r="J133" s="20" t="s">
        <v>25</v>
      </c>
      <c r="K133" s="21">
        <v>279</v>
      </c>
    </row>
    <row r="134" spans="1:11" ht="13.2">
      <c r="A134" s="5">
        <v>62</v>
      </c>
      <c r="B134" s="14" t="str">
        <f t="shared" si="0"/>
        <v>1</v>
      </c>
      <c r="C134" s="15" t="s">
        <v>219</v>
      </c>
      <c r="D134" s="16">
        <f t="shared" si="1"/>
        <v>200</v>
      </c>
      <c r="E134" s="17" t="s">
        <v>177</v>
      </c>
      <c r="F134" s="18" t="s">
        <v>41</v>
      </c>
      <c r="G134" s="15" t="s">
        <v>18</v>
      </c>
      <c r="H134" s="18">
        <v>27</v>
      </c>
      <c r="I134" s="19" t="s">
        <v>70</v>
      </c>
      <c r="J134" s="20" t="s">
        <v>70</v>
      </c>
      <c r="K134" s="21">
        <v>349</v>
      </c>
    </row>
    <row r="135" spans="1:11" ht="13.2">
      <c r="A135" s="5">
        <v>63</v>
      </c>
      <c r="B135" s="14" t="str">
        <f t="shared" si="0"/>
        <v>1</v>
      </c>
      <c r="C135" s="15" t="s">
        <v>220</v>
      </c>
      <c r="D135" s="16">
        <f t="shared" si="1"/>
        <v>200</v>
      </c>
      <c r="E135" s="17" t="s">
        <v>177</v>
      </c>
      <c r="F135" s="18" t="s">
        <v>22</v>
      </c>
      <c r="G135" s="15" t="s">
        <v>23</v>
      </c>
      <c r="H135" s="18">
        <v>28</v>
      </c>
      <c r="I135" s="19" t="s">
        <v>119</v>
      </c>
      <c r="J135" s="20" t="s">
        <v>25</v>
      </c>
      <c r="K135" s="21">
        <v>338</v>
      </c>
    </row>
    <row r="136" spans="1:11" ht="13.2">
      <c r="A136" s="5">
        <v>64</v>
      </c>
      <c r="B136" s="14" t="str">
        <f t="shared" si="0"/>
        <v>1</v>
      </c>
      <c r="C136" s="15" t="s">
        <v>221</v>
      </c>
      <c r="D136" s="16">
        <f t="shared" si="1"/>
        <v>200</v>
      </c>
      <c r="E136" s="17" t="s">
        <v>177</v>
      </c>
      <c r="F136" s="18" t="s">
        <v>61</v>
      </c>
      <c r="G136" s="15" t="s">
        <v>18</v>
      </c>
      <c r="H136" s="18">
        <v>33</v>
      </c>
      <c r="I136" s="19" t="s">
        <v>19</v>
      </c>
      <c r="J136" s="20" t="s">
        <v>90</v>
      </c>
      <c r="K136" s="21">
        <v>288</v>
      </c>
    </row>
    <row r="137" spans="1:11" ht="13.2">
      <c r="A137" s="5">
        <v>65</v>
      </c>
      <c r="B137" s="14" t="str">
        <f t="shared" si="0"/>
        <v>1</v>
      </c>
      <c r="C137" s="15" t="s">
        <v>222</v>
      </c>
      <c r="D137" s="16">
        <f t="shared" si="1"/>
        <v>200</v>
      </c>
      <c r="E137" s="17" t="s">
        <v>177</v>
      </c>
      <c r="F137" s="18" t="s">
        <v>22</v>
      </c>
      <c r="G137" s="15" t="s">
        <v>23</v>
      </c>
      <c r="H137" s="18">
        <v>37</v>
      </c>
      <c r="I137" s="19" t="s">
        <v>209</v>
      </c>
      <c r="J137" s="20" t="s">
        <v>142</v>
      </c>
      <c r="K137" s="21">
        <v>339</v>
      </c>
    </row>
    <row r="138" spans="1:11" ht="13.2">
      <c r="A138" s="5">
        <v>66</v>
      </c>
      <c r="B138" s="14" t="str">
        <f t="shared" si="0"/>
        <v>1</v>
      </c>
      <c r="C138" s="15" t="s">
        <v>223</v>
      </c>
      <c r="D138" s="16">
        <f t="shared" si="1"/>
        <v>200</v>
      </c>
      <c r="E138" s="17" t="s">
        <v>177</v>
      </c>
      <c r="F138" s="18" t="s">
        <v>65</v>
      </c>
      <c r="G138" s="15" t="s">
        <v>131</v>
      </c>
      <c r="H138" s="18">
        <v>40</v>
      </c>
      <c r="I138" s="19" t="s">
        <v>19</v>
      </c>
      <c r="J138" s="20" t="s">
        <v>19</v>
      </c>
      <c r="K138" s="21">
        <v>310</v>
      </c>
    </row>
    <row r="139" spans="1:11" ht="13.2">
      <c r="A139" s="5">
        <v>220</v>
      </c>
      <c r="B139" s="14" t="str">
        <f t="shared" si="0"/>
        <v>2</v>
      </c>
      <c r="C139" s="15" t="s">
        <v>224</v>
      </c>
      <c r="D139" s="16">
        <f t="shared" si="1"/>
        <v>450</v>
      </c>
      <c r="E139" s="17" t="s">
        <v>225</v>
      </c>
      <c r="F139" s="18" t="s">
        <v>22</v>
      </c>
      <c r="G139" s="15" t="s">
        <v>23</v>
      </c>
      <c r="H139" s="18">
        <v>51</v>
      </c>
      <c r="I139" s="19" t="s">
        <v>226</v>
      </c>
      <c r="J139" s="20" t="s">
        <v>182</v>
      </c>
      <c r="K139" s="21">
        <v>79</v>
      </c>
    </row>
    <row r="140" spans="1:11" ht="13.2">
      <c r="A140" s="5">
        <v>221</v>
      </c>
      <c r="B140" s="14" t="str">
        <f t="shared" si="0"/>
        <v>2</v>
      </c>
      <c r="C140" s="15" t="s">
        <v>227</v>
      </c>
      <c r="D140" s="16">
        <f t="shared" si="1"/>
        <v>450</v>
      </c>
      <c r="E140" s="17" t="s">
        <v>225</v>
      </c>
      <c r="F140" s="18" t="s">
        <v>22</v>
      </c>
      <c r="G140" s="15" t="s">
        <v>131</v>
      </c>
      <c r="H140" s="18">
        <v>39</v>
      </c>
      <c r="I140" s="19" t="s">
        <v>228</v>
      </c>
      <c r="J140" s="20" t="s">
        <v>229</v>
      </c>
      <c r="K140" s="21">
        <v>21</v>
      </c>
    </row>
    <row r="141" spans="1:11" ht="13.2">
      <c r="A141" s="5">
        <v>222</v>
      </c>
      <c r="B141" s="14" t="str">
        <f t="shared" si="0"/>
        <v>2</v>
      </c>
      <c r="C141" s="15" t="s">
        <v>230</v>
      </c>
      <c r="D141" s="16">
        <f t="shared" si="1"/>
        <v>450</v>
      </c>
      <c r="E141" s="17" t="s">
        <v>225</v>
      </c>
      <c r="F141" s="18" t="s">
        <v>22</v>
      </c>
      <c r="G141" s="15" t="s">
        <v>66</v>
      </c>
      <c r="H141" s="18">
        <v>59</v>
      </c>
      <c r="I141" s="19" t="s">
        <v>231</v>
      </c>
      <c r="J141" s="20" t="s">
        <v>25</v>
      </c>
      <c r="K141" s="21">
        <v>317</v>
      </c>
    </row>
    <row r="142" spans="1:11" ht="13.2">
      <c r="A142" s="5">
        <v>223</v>
      </c>
      <c r="B142" s="14" t="str">
        <f t="shared" si="0"/>
        <v>2</v>
      </c>
      <c r="C142" s="15" t="s">
        <v>232</v>
      </c>
      <c r="D142" s="16">
        <f t="shared" si="1"/>
        <v>450</v>
      </c>
      <c r="E142" s="17" t="s">
        <v>225</v>
      </c>
      <c r="F142" s="18" t="s">
        <v>53</v>
      </c>
      <c r="G142" s="15" t="s">
        <v>105</v>
      </c>
      <c r="H142" s="18">
        <v>39</v>
      </c>
      <c r="I142" s="19" t="s">
        <v>142</v>
      </c>
      <c r="J142" s="20" t="s">
        <v>25</v>
      </c>
      <c r="K142" s="21">
        <v>22</v>
      </c>
    </row>
    <row r="143" spans="1:11" ht="13.2">
      <c r="A143" s="5">
        <v>224</v>
      </c>
      <c r="B143" s="14" t="str">
        <f t="shared" si="0"/>
        <v>2</v>
      </c>
      <c r="C143" s="15" t="s">
        <v>233</v>
      </c>
      <c r="D143" s="16">
        <f t="shared" si="1"/>
        <v>450</v>
      </c>
      <c r="E143" s="17" t="s">
        <v>225</v>
      </c>
      <c r="F143" s="18" t="s">
        <v>17</v>
      </c>
      <c r="G143" s="15" t="s">
        <v>18</v>
      </c>
      <c r="H143" s="18">
        <v>65</v>
      </c>
      <c r="I143" s="19" t="s">
        <v>86</v>
      </c>
      <c r="J143" s="20" t="s">
        <v>39</v>
      </c>
      <c r="K143" s="21">
        <v>344</v>
      </c>
    </row>
    <row r="144" spans="1:11" ht="13.2">
      <c r="A144" s="5">
        <v>225</v>
      </c>
      <c r="B144" s="14" t="str">
        <f t="shared" si="0"/>
        <v>2</v>
      </c>
      <c r="C144" s="15" t="s">
        <v>234</v>
      </c>
      <c r="D144" s="16">
        <f t="shared" si="1"/>
        <v>450</v>
      </c>
      <c r="E144" s="17" t="s">
        <v>225</v>
      </c>
      <c r="F144" s="18" t="s">
        <v>204</v>
      </c>
      <c r="G144" s="15" t="s">
        <v>18</v>
      </c>
      <c r="H144" s="18">
        <v>67</v>
      </c>
      <c r="I144" s="19" t="s">
        <v>157</v>
      </c>
      <c r="J144" s="20" t="s">
        <v>25</v>
      </c>
      <c r="K144" s="21">
        <v>344</v>
      </c>
    </row>
    <row r="145" spans="1:11" ht="13.2">
      <c r="A145" s="5">
        <v>226</v>
      </c>
      <c r="B145" s="14" t="str">
        <f t="shared" si="0"/>
        <v>2</v>
      </c>
      <c r="C145" s="15" t="s">
        <v>235</v>
      </c>
      <c r="D145" s="16">
        <f t="shared" si="1"/>
        <v>450</v>
      </c>
      <c r="E145" s="17" t="s">
        <v>225</v>
      </c>
      <c r="F145" s="18" t="s">
        <v>45</v>
      </c>
      <c r="G145" s="15" t="s">
        <v>110</v>
      </c>
      <c r="H145" s="18">
        <v>33</v>
      </c>
      <c r="I145" s="19" t="s">
        <v>236</v>
      </c>
      <c r="J145" s="20" t="s">
        <v>237</v>
      </c>
      <c r="K145" s="21">
        <v>88</v>
      </c>
    </row>
    <row r="146" spans="1:11" ht="13.2">
      <c r="A146" s="5">
        <v>227</v>
      </c>
      <c r="B146" s="14" t="str">
        <f t="shared" si="0"/>
        <v>2</v>
      </c>
      <c r="C146" s="15" t="s">
        <v>238</v>
      </c>
      <c r="D146" s="16">
        <f t="shared" si="1"/>
        <v>450</v>
      </c>
      <c r="E146" s="17" t="s">
        <v>225</v>
      </c>
      <c r="F146" s="18" t="s">
        <v>31</v>
      </c>
      <c r="G146" s="15" t="s">
        <v>110</v>
      </c>
      <c r="H146" s="18">
        <v>32</v>
      </c>
      <c r="I146" s="19" t="s">
        <v>209</v>
      </c>
      <c r="J146" s="20" t="s">
        <v>239</v>
      </c>
      <c r="K146" s="21">
        <v>109</v>
      </c>
    </row>
    <row r="147" spans="1:11" ht="13.2">
      <c r="A147" s="5">
        <v>228</v>
      </c>
      <c r="B147" s="14" t="str">
        <f t="shared" si="0"/>
        <v>2</v>
      </c>
      <c r="C147" s="15" t="s">
        <v>240</v>
      </c>
      <c r="D147" s="16">
        <f t="shared" si="1"/>
        <v>450</v>
      </c>
      <c r="E147" s="17" t="s">
        <v>225</v>
      </c>
      <c r="F147" s="18" t="s">
        <v>22</v>
      </c>
      <c r="G147" s="15" t="s">
        <v>131</v>
      </c>
      <c r="H147" s="18">
        <v>51</v>
      </c>
      <c r="I147" s="19" t="s">
        <v>24</v>
      </c>
      <c r="J147" s="20" t="s">
        <v>33</v>
      </c>
      <c r="K147" s="21">
        <v>37</v>
      </c>
    </row>
    <row r="148" spans="1:11" ht="13.2">
      <c r="A148" s="5">
        <v>229</v>
      </c>
      <c r="B148" s="14" t="str">
        <f t="shared" si="0"/>
        <v>2</v>
      </c>
      <c r="C148" s="15" t="s">
        <v>241</v>
      </c>
      <c r="D148" s="16">
        <f t="shared" si="1"/>
        <v>450</v>
      </c>
      <c r="E148" s="17" t="s">
        <v>225</v>
      </c>
      <c r="F148" s="18" t="s">
        <v>69</v>
      </c>
      <c r="G148" s="15" t="s">
        <v>131</v>
      </c>
      <c r="H148" s="18">
        <v>45</v>
      </c>
      <c r="I148" s="19" t="s">
        <v>242</v>
      </c>
      <c r="J148" s="20" t="s">
        <v>172</v>
      </c>
      <c r="K148" s="21">
        <v>38</v>
      </c>
    </row>
    <row r="149" spans="1:11" ht="13.2">
      <c r="A149" s="5">
        <v>230</v>
      </c>
      <c r="B149" s="14" t="str">
        <f t="shared" si="0"/>
        <v>2</v>
      </c>
      <c r="C149" s="15" t="s">
        <v>243</v>
      </c>
      <c r="D149" s="16">
        <f t="shared" si="1"/>
        <v>450</v>
      </c>
      <c r="E149" s="17" t="s">
        <v>225</v>
      </c>
      <c r="F149" s="18" t="s">
        <v>29</v>
      </c>
      <c r="G149" s="15" t="s">
        <v>18</v>
      </c>
      <c r="H149" s="18">
        <v>33</v>
      </c>
      <c r="I149" s="19" t="s">
        <v>24</v>
      </c>
      <c r="J149" s="20" t="s">
        <v>25</v>
      </c>
      <c r="K149" s="21">
        <v>345</v>
      </c>
    </row>
    <row r="150" spans="1:11" ht="13.2">
      <c r="A150" s="5">
        <v>231</v>
      </c>
      <c r="B150" s="14" t="str">
        <f t="shared" si="0"/>
        <v>2</v>
      </c>
      <c r="C150" s="15" t="s">
        <v>244</v>
      </c>
      <c r="D150" s="16">
        <f t="shared" si="1"/>
        <v>450</v>
      </c>
      <c r="E150" s="17" t="s">
        <v>225</v>
      </c>
      <c r="F150" s="18" t="s">
        <v>41</v>
      </c>
      <c r="G150" s="15" t="s">
        <v>18</v>
      </c>
      <c r="H150" s="18">
        <v>27</v>
      </c>
      <c r="I150" s="19" t="s">
        <v>51</v>
      </c>
      <c r="J150" s="20" t="s">
        <v>25</v>
      </c>
      <c r="K150" s="21">
        <v>346</v>
      </c>
    </row>
    <row r="151" spans="1:11" ht="13.2">
      <c r="A151" s="5">
        <v>232</v>
      </c>
      <c r="B151" s="14" t="str">
        <f t="shared" si="0"/>
        <v>2</v>
      </c>
      <c r="C151" s="15" t="s">
        <v>245</v>
      </c>
      <c r="D151" s="16">
        <f t="shared" si="1"/>
        <v>450</v>
      </c>
      <c r="E151" s="17" t="s">
        <v>225</v>
      </c>
      <c r="F151" s="18" t="s">
        <v>65</v>
      </c>
      <c r="G151" s="15" t="s">
        <v>131</v>
      </c>
      <c r="H151" s="18">
        <v>44</v>
      </c>
      <c r="I151" s="19" t="s">
        <v>184</v>
      </c>
      <c r="J151" s="20" t="s">
        <v>33</v>
      </c>
      <c r="K151" s="21">
        <v>131</v>
      </c>
    </row>
    <row r="152" spans="1:11" ht="13.2">
      <c r="A152" s="5">
        <v>233</v>
      </c>
      <c r="B152" s="14" t="str">
        <f t="shared" si="0"/>
        <v>2</v>
      </c>
      <c r="C152" s="15" t="s">
        <v>246</v>
      </c>
      <c r="D152" s="16">
        <f t="shared" si="1"/>
        <v>450</v>
      </c>
      <c r="E152" s="17" t="s">
        <v>225</v>
      </c>
      <c r="F152" s="18" t="s">
        <v>45</v>
      </c>
      <c r="G152" s="15" t="s">
        <v>105</v>
      </c>
      <c r="H152" s="18">
        <v>52</v>
      </c>
      <c r="I152" s="19" t="s">
        <v>70</v>
      </c>
      <c r="J152" s="20" t="s">
        <v>70</v>
      </c>
      <c r="K152" s="21">
        <v>140</v>
      </c>
    </row>
    <row r="153" spans="1:11" ht="13.2">
      <c r="A153" s="5">
        <v>234</v>
      </c>
      <c r="B153" s="14" t="str">
        <f t="shared" si="0"/>
        <v>2</v>
      </c>
      <c r="C153" s="15" t="s">
        <v>247</v>
      </c>
      <c r="D153" s="16">
        <f t="shared" si="1"/>
        <v>450</v>
      </c>
      <c r="E153" s="17" t="s">
        <v>225</v>
      </c>
      <c r="F153" s="18" t="s">
        <v>22</v>
      </c>
      <c r="G153" s="15" t="s">
        <v>144</v>
      </c>
      <c r="H153" s="18">
        <v>84</v>
      </c>
      <c r="I153" s="19" t="s">
        <v>229</v>
      </c>
      <c r="J153" s="20" t="s">
        <v>25</v>
      </c>
      <c r="K153" s="21">
        <v>242</v>
      </c>
    </row>
    <row r="154" spans="1:11" ht="13.2">
      <c r="A154" s="5">
        <v>235</v>
      </c>
      <c r="B154" s="14" t="str">
        <f t="shared" si="0"/>
        <v>2</v>
      </c>
      <c r="C154" s="15" t="s">
        <v>248</v>
      </c>
      <c r="D154" s="16">
        <f t="shared" si="1"/>
        <v>450</v>
      </c>
      <c r="E154" s="17" t="s">
        <v>225</v>
      </c>
      <c r="F154" s="18" t="s">
        <v>45</v>
      </c>
      <c r="G154" s="15" t="s">
        <v>114</v>
      </c>
      <c r="H154" s="18">
        <v>36</v>
      </c>
      <c r="I154" s="19" t="s">
        <v>249</v>
      </c>
      <c r="J154" s="20" t="s">
        <v>175</v>
      </c>
      <c r="K154" s="21">
        <v>148</v>
      </c>
    </row>
    <row r="155" spans="1:11" ht="13.2">
      <c r="A155" s="5">
        <v>236</v>
      </c>
      <c r="B155" s="14" t="str">
        <f t="shared" si="0"/>
        <v>2</v>
      </c>
      <c r="C155" s="15" t="s">
        <v>250</v>
      </c>
      <c r="D155" s="16">
        <f t="shared" si="1"/>
        <v>450</v>
      </c>
      <c r="E155" s="17" t="s">
        <v>225</v>
      </c>
      <c r="F155" s="18" t="s">
        <v>22</v>
      </c>
      <c r="G155" s="15" t="s">
        <v>23</v>
      </c>
      <c r="H155" s="18">
        <v>42</v>
      </c>
      <c r="I155" s="19" t="s">
        <v>251</v>
      </c>
      <c r="J155" s="20" t="s">
        <v>25</v>
      </c>
      <c r="K155" s="21">
        <v>323</v>
      </c>
    </row>
    <row r="156" spans="1:11" ht="13.2">
      <c r="A156" s="5">
        <v>237</v>
      </c>
      <c r="B156" s="14" t="str">
        <f t="shared" si="0"/>
        <v>2</v>
      </c>
      <c r="C156" s="15" t="s">
        <v>252</v>
      </c>
      <c r="D156" s="16">
        <f t="shared" si="1"/>
        <v>450</v>
      </c>
      <c r="E156" s="17" t="s">
        <v>225</v>
      </c>
      <c r="F156" s="18" t="s">
        <v>22</v>
      </c>
      <c r="G156" s="15" t="s">
        <v>23</v>
      </c>
      <c r="H156" s="18">
        <v>60</v>
      </c>
      <c r="I156" s="19" t="s">
        <v>172</v>
      </c>
      <c r="J156" s="20" t="s">
        <v>253</v>
      </c>
      <c r="K156" s="21">
        <v>324</v>
      </c>
    </row>
    <row r="157" spans="1:11" ht="13.2">
      <c r="A157" s="5">
        <v>238</v>
      </c>
      <c r="B157" s="14" t="str">
        <f t="shared" si="0"/>
        <v>2</v>
      </c>
      <c r="C157" s="15" t="s">
        <v>254</v>
      </c>
      <c r="D157" s="16">
        <f t="shared" si="1"/>
        <v>450</v>
      </c>
      <c r="E157" s="17" t="s">
        <v>225</v>
      </c>
      <c r="F157" s="18" t="s">
        <v>22</v>
      </c>
      <c r="G157" s="15" t="s">
        <v>23</v>
      </c>
      <c r="H157" s="18">
        <v>42</v>
      </c>
      <c r="I157" s="19" t="s">
        <v>172</v>
      </c>
      <c r="J157" s="20" t="s">
        <v>255</v>
      </c>
      <c r="K157" s="21">
        <v>325</v>
      </c>
    </row>
    <row r="158" spans="1:11" ht="13.2">
      <c r="A158" s="5">
        <v>239</v>
      </c>
      <c r="B158" s="14" t="str">
        <f t="shared" si="0"/>
        <v>2</v>
      </c>
      <c r="C158" s="15" t="s">
        <v>256</v>
      </c>
      <c r="D158" s="16">
        <f t="shared" si="1"/>
        <v>450</v>
      </c>
      <c r="E158" s="17" t="s">
        <v>225</v>
      </c>
      <c r="F158" s="18" t="s">
        <v>50</v>
      </c>
      <c r="G158" s="15" t="s">
        <v>32</v>
      </c>
      <c r="H158" s="18">
        <v>67</v>
      </c>
      <c r="I158" s="19" t="s">
        <v>257</v>
      </c>
      <c r="J158" s="20" t="s">
        <v>25</v>
      </c>
      <c r="K158" s="21">
        <v>157</v>
      </c>
    </row>
    <row r="159" spans="1:11" ht="13.2">
      <c r="A159" s="5">
        <v>240</v>
      </c>
      <c r="B159" s="14" t="str">
        <f t="shared" si="0"/>
        <v>2</v>
      </c>
      <c r="C159" s="15" t="s">
        <v>258</v>
      </c>
      <c r="D159" s="16">
        <f t="shared" si="1"/>
        <v>450</v>
      </c>
      <c r="E159" s="17" t="s">
        <v>225</v>
      </c>
      <c r="F159" s="18" t="s">
        <v>53</v>
      </c>
      <c r="G159" s="15" t="s">
        <v>18</v>
      </c>
      <c r="H159" s="18">
        <v>38</v>
      </c>
      <c r="I159" s="19" t="s">
        <v>259</v>
      </c>
      <c r="J159" s="20" t="s">
        <v>25</v>
      </c>
      <c r="K159" s="21">
        <v>161</v>
      </c>
    </row>
    <row r="160" spans="1:11" ht="13.2">
      <c r="A160" s="5">
        <v>241</v>
      </c>
      <c r="B160" s="14" t="str">
        <f t="shared" si="0"/>
        <v>2</v>
      </c>
      <c r="C160" s="15" t="s">
        <v>260</v>
      </c>
      <c r="D160" s="16">
        <f t="shared" si="1"/>
        <v>450</v>
      </c>
      <c r="E160" s="17" t="s">
        <v>225</v>
      </c>
      <c r="F160" s="18" t="s">
        <v>45</v>
      </c>
      <c r="G160" s="15" t="s">
        <v>18</v>
      </c>
      <c r="H160" s="18">
        <v>49</v>
      </c>
      <c r="I160" s="19" t="s">
        <v>39</v>
      </c>
      <c r="J160" s="20" t="s">
        <v>209</v>
      </c>
      <c r="K160" s="21">
        <v>163</v>
      </c>
    </row>
    <row r="161" spans="1:11" ht="13.2">
      <c r="A161" s="5">
        <v>242</v>
      </c>
      <c r="B161" s="14" t="str">
        <f t="shared" si="0"/>
        <v>2</v>
      </c>
      <c r="C161" s="15" t="s">
        <v>261</v>
      </c>
      <c r="D161" s="16">
        <f t="shared" si="1"/>
        <v>450</v>
      </c>
      <c r="E161" s="17" t="s">
        <v>225</v>
      </c>
      <c r="F161" s="18" t="s">
        <v>43</v>
      </c>
      <c r="G161" s="15" t="s">
        <v>110</v>
      </c>
      <c r="H161" s="18">
        <v>38</v>
      </c>
      <c r="I161" s="19" t="s">
        <v>262</v>
      </c>
      <c r="J161" s="20" t="s">
        <v>263</v>
      </c>
      <c r="K161" s="21">
        <v>95</v>
      </c>
    </row>
    <row r="162" spans="1:11" ht="13.2">
      <c r="A162" s="5">
        <v>243</v>
      </c>
      <c r="B162" s="14" t="str">
        <f t="shared" si="0"/>
        <v>2</v>
      </c>
      <c r="C162" s="15" t="s">
        <v>264</v>
      </c>
      <c r="D162" s="16">
        <f t="shared" si="1"/>
        <v>450</v>
      </c>
      <c r="E162" s="17" t="s">
        <v>225</v>
      </c>
      <c r="F162" s="18" t="s">
        <v>50</v>
      </c>
      <c r="G162" s="15" t="s">
        <v>131</v>
      </c>
      <c r="H162" s="18">
        <v>27</v>
      </c>
      <c r="I162" s="19" t="s">
        <v>165</v>
      </c>
      <c r="J162" s="20" t="s">
        <v>70</v>
      </c>
      <c r="K162" s="21">
        <v>173</v>
      </c>
    </row>
    <row r="163" spans="1:11" ht="13.2">
      <c r="A163" s="5">
        <v>244</v>
      </c>
      <c r="B163" s="14" t="str">
        <f t="shared" si="0"/>
        <v>2</v>
      </c>
      <c r="C163" s="15" t="s">
        <v>265</v>
      </c>
      <c r="D163" s="16">
        <f t="shared" si="1"/>
        <v>450</v>
      </c>
      <c r="E163" s="17" t="s">
        <v>225</v>
      </c>
      <c r="F163" s="18" t="s">
        <v>22</v>
      </c>
      <c r="G163" s="15" t="s">
        <v>131</v>
      </c>
      <c r="H163" s="18">
        <v>59</v>
      </c>
      <c r="I163" s="19" t="s">
        <v>182</v>
      </c>
      <c r="J163" s="20" t="s">
        <v>172</v>
      </c>
      <c r="K163" s="21">
        <v>174</v>
      </c>
    </row>
    <row r="164" spans="1:11" ht="13.2">
      <c r="A164" s="5">
        <v>245</v>
      </c>
      <c r="B164" s="14" t="str">
        <f t="shared" si="0"/>
        <v>2</v>
      </c>
      <c r="C164" s="15" t="s">
        <v>266</v>
      </c>
      <c r="D164" s="16">
        <f t="shared" si="1"/>
        <v>450</v>
      </c>
      <c r="E164" s="17" t="s">
        <v>225</v>
      </c>
      <c r="F164" s="18" t="s">
        <v>22</v>
      </c>
      <c r="G164" s="15" t="s">
        <v>23</v>
      </c>
      <c r="H164" s="18">
        <v>45</v>
      </c>
      <c r="I164" s="19" t="s">
        <v>253</v>
      </c>
      <c r="J164" s="20" t="s">
        <v>25</v>
      </c>
      <c r="K164" s="21">
        <v>330</v>
      </c>
    </row>
    <row r="165" spans="1:11" ht="13.2">
      <c r="A165" s="5">
        <v>246</v>
      </c>
      <c r="B165" s="14" t="str">
        <f t="shared" si="0"/>
        <v>2</v>
      </c>
      <c r="C165" s="15" t="s">
        <v>267</v>
      </c>
      <c r="D165" s="16">
        <f t="shared" si="1"/>
        <v>450</v>
      </c>
      <c r="E165" s="17" t="s">
        <v>225</v>
      </c>
      <c r="F165" s="18" t="s">
        <v>43</v>
      </c>
      <c r="G165" s="15" t="s">
        <v>32</v>
      </c>
      <c r="H165" s="18">
        <v>21</v>
      </c>
      <c r="I165" s="19" t="s">
        <v>33</v>
      </c>
      <c r="J165" s="20" t="s">
        <v>25</v>
      </c>
      <c r="K165" s="21">
        <v>191</v>
      </c>
    </row>
    <row r="166" spans="1:11" ht="13.2">
      <c r="A166" s="5">
        <v>247</v>
      </c>
      <c r="B166" s="14" t="str">
        <f t="shared" si="0"/>
        <v>2</v>
      </c>
      <c r="C166" s="15" t="s">
        <v>268</v>
      </c>
      <c r="D166" s="16">
        <f t="shared" si="1"/>
        <v>450</v>
      </c>
      <c r="E166" s="17" t="s">
        <v>225</v>
      </c>
      <c r="F166" s="18" t="s">
        <v>50</v>
      </c>
      <c r="G166" s="15" t="s">
        <v>18</v>
      </c>
      <c r="H166" s="18">
        <v>27</v>
      </c>
      <c r="I166" s="19" t="s">
        <v>70</v>
      </c>
      <c r="J166" s="20" t="s">
        <v>24</v>
      </c>
      <c r="K166" s="21">
        <v>205</v>
      </c>
    </row>
    <row r="167" spans="1:11" ht="13.2">
      <c r="A167" s="5">
        <v>248</v>
      </c>
      <c r="B167" s="14" t="str">
        <f t="shared" si="0"/>
        <v>2</v>
      </c>
      <c r="C167" s="15" t="s">
        <v>269</v>
      </c>
      <c r="D167" s="16">
        <f t="shared" si="1"/>
        <v>450</v>
      </c>
      <c r="E167" s="17" t="s">
        <v>225</v>
      </c>
      <c r="F167" s="18" t="s">
        <v>45</v>
      </c>
      <c r="G167" s="15" t="s">
        <v>131</v>
      </c>
      <c r="H167" s="18">
        <v>45</v>
      </c>
      <c r="I167" s="19" t="s">
        <v>182</v>
      </c>
      <c r="J167" s="20" t="s">
        <v>80</v>
      </c>
      <c r="K167" s="21">
        <v>219</v>
      </c>
    </row>
    <row r="168" spans="1:11" ht="13.2">
      <c r="A168" s="5">
        <v>249</v>
      </c>
      <c r="B168" s="14" t="str">
        <f t="shared" si="0"/>
        <v>2</v>
      </c>
      <c r="C168" s="15" t="s">
        <v>270</v>
      </c>
      <c r="D168" s="16">
        <f t="shared" si="1"/>
        <v>450</v>
      </c>
      <c r="E168" s="17" t="s">
        <v>225</v>
      </c>
      <c r="F168" s="18" t="s">
        <v>50</v>
      </c>
      <c r="G168" s="15" t="s">
        <v>131</v>
      </c>
      <c r="H168" s="18">
        <v>58</v>
      </c>
      <c r="I168" s="19" t="s">
        <v>142</v>
      </c>
      <c r="J168" s="20" t="s">
        <v>249</v>
      </c>
      <c r="K168" s="21">
        <v>220</v>
      </c>
    </row>
    <row r="169" spans="1:11" ht="13.2">
      <c r="A169" s="5">
        <v>250</v>
      </c>
      <c r="B169" s="14" t="str">
        <f t="shared" si="0"/>
        <v>2</v>
      </c>
      <c r="C169" s="15" t="s">
        <v>271</v>
      </c>
      <c r="D169" s="16">
        <f t="shared" si="1"/>
        <v>450</v>
      </c>
      <c r="E169" s="17" t="s">
        <v>225</v>
      </c>
      <c r="F169" s="18" t="s">
        <v>43</v>
      </c>
      <c r="G169" s="15" t="s">
        <v>114</v>
      </c>
      <c r="H169" s="18">
        <v>67</v>
      </c>
      <c r="I169" s="19" t="s">
        <v>272</v>
      </c>
      <c r="J169" s="20" t="s">
        <v>253</v>
      </c>
      <c r="K169" s="21">
        <v>273</v>
      </c>
    </row>
    <row r="170" spans="1:11" ht="13.2">
      <c r="A170" s="5">
        <v>251</v>
      </c>
      <c r="B170" s="14" t="str">
        <f t="shared" si="0"/>
        <v>2</v>
      </c>
      <c r="C170" s="15" t="s">
        <v>273</v>
      </c>
      <c r="D170" s="16">
        <f t="shared" si="1"/>
        <v>450</v>
      </c>
      <c r="E170" s="17" t="s">
        <v>225</v>
      </c>
      <c r="F170" s="18" t="s">
        <v>53</v>
      </c>
      <c r="G170" s="15" t="s">
        <v>66</v>
      </c>
      <c r="H170" s="18">
        <v>60</v>
      </c>
      <c r="I170" s="19" t="s">
        <v>274</v>
      </c>
      <c r="J170" s="20" t="s">
        <v>25</v>
      </c>
      <c r="K170" s="21">
        <v>232</v>
      </c>
    </row>
    <row r="171" spans="1:11" ht="13.2">
      <c r="A171" s="5">
        <v>252</v>
      </c>
      <c r="B171" s="14" t="str">
        <f t="shared" si="0"/>
        <v>2</v>
      </c>
      <c r="C171" s="15" t="s">
        <v>275</v>
      </c>
      <c r="D171" s="16">
        <f t="shared" si="1"/>
        <v>450</v>
      </c>
      <c r="E171" s="17" t="s">
        <v>225</v>
      </c>
      <c r="F171" s="18" t="s">
        <v>65</v>
      </c>
      <c r="G171" s="15" t="s">
        <v>32</v>
      </c>
      <c r="H171" s="18">
        <v>45</v>
      </c>
      <c r="I171" s="19" t="s">
        <v>86</v>
      </c>
      <c r="J171" s="20" t="s">
        <v>25</v>
      </c>
      <c r="K171" s="21">
        <v>236</v>
      </c>
    </row>
    <row r="172" spans="1:11" ht="13.2">
      <c r="A172" s="5">
        <v>253</v>
      </c>
      <c r="B172" s="14" t="str">
        <f t="shared" si="0"/>
        <v>2</v>
      </c>
      <c r="C172" s="15" t="s">
        <v>276</v>
      </c>
      <c r="D172" s="16">
        <f t="shared" si="1"/>
        <v>450</v>
      </c>
      <c r="E172" s="17" t="s">
        <v>225</v>
      </c>
      <c r="F172" s="18" t="s">
        <v>22</v>
      </c>
      <c r="G172" s="15" t="s">
        <v>144</v>
      </c>
      <c r="H172" s="18">
        <v>45</v>
      </c>
      <c r="I172" s="19" t="s">
        <v>277</v>
      </c>
      <c r="J172" s="20" t="s">
        <v>25</v>
      </c>
      <c r="K172" s="21">
        <v>243</v>
      </c>
    </row>
    <row r="173" spans="1:11" ht="13.2">
      <c r="A173" s="5">
        <v>254</v>
      </c>
      <c r="B173" s="14" t="str">
        <f t="shared" si="0"/>
        <v>2</v>
      </c>
      <c r="C173" s="15" t="s">
        <v>278</v>
      </c>
      <c r="D173" s="16">
        <f t="shared" si="1"/>
        <v>450</v>
      </c>
      <c r="E173" s="17" t="s">
        <v>225</v>
      </c>
      <c r="F173" s="18" t="s">
        <v>45</v>
      </c>
      <c r="G173" s="15" t="s">
        <v>205</v>
      </c>
      <c r="H173" s="18">
        <v>59</v>
      </c>
      <c r="I173" s="19" t="s">
        <v>253</v>
      </c>
      <c r="J173" s="20" t="s">
        <v>172</v>
      </c>
      <c r="K173" s="21">
        <v>237</v>
      </c>
    </row>
    <row r="174" spans="1:11" ht="13.2">
      <c r="A174" s="5">
        <v>255</v>
      </c>
      <c r="B174" s="14" t="str">
        <f t="shared" si="0"/>
        <v>2</v>
      </c>
      <c r="C174" s="15" t="s">
        <v>279</v>
      </c>
      <c r="D174" s="16">
        <f t="shared" si="1"/>
        <v>450</v>
      </c>
      <c r="E174" s="17" t="s">
        <v>225</v>
      </c>
      <c r="F174" s="18" t="s">
        <v>65</v>
      </c>
      <c r="G174" s="15" t="s">
        <v>114</v>
      </c>
      <c r="H174" s="18">
        <v>85</v>
      </c>
      <c r="I174" s="19" t="s">
        <v>280</v>
      </c>
      <c r="J174" s="20" t="s">
        <v>25</v>
      </c>
      <c r="K174" s="21">
        <v>316</v>
      </c>
    </row>
    <row r="175" spans="1:11" ht="13.2">
      <c r="A175" s="5">
        <v>256</v>
      </c>
      <c r="B175" s="14" t="str">
        <f t="shared" si="0"/>
        <v>2</v>
      </c>
      <c r="C175" s="15" t="s">
        <v>281</v>
      </c>
      <c r="D175" s="16">
        <f t="shared" si="1"/>
        <v>450</v>
      </c>
      <c r="E175" s="17" t="s">
        <v>225</v>
      </c>
      <c r="F175" s="18" t="s">
        <v>45</v>
      </c>
      <c r="G175" s="15" t="s">
        <v>18</v>
      </c>
      <c r="H175" s="18">
        <v>45</v>
      </c>
      <c r="I175" s="19" t="s">
        <v>249</v>
      </c>
      <c r="J175" s="20" t="s">
        <v>25</v>
      </c>
      <c r="K175" s="21">
        <v>247</v>
      </c>
    </row>
    <row r="176" spans="1:11" ht="13.2">
      <c r="A176" s="5">
        <v>257</v>
      </c>
      <c r="B176" s="14" t="str">
        <f t="shared" si="0"/>
        <v>2</v>
      </c>
      <c r="C176" s="15" t="s">
        <v>282</v>
      </c>
      <c r="D176" s="16">
        <f t="shared" si="1"/>
        <v>450</v>
      </c>
      <c r="E176" s="17" t="s">
        <v>225</v>
      </c>
      <c r="F176" s="18" t="s">
        <v>45</v>
      </c>
      <c r="G176" s="15" t="s">
        <v>18</v>
      </c>
      <c r="H176" s="18">
        <v>42</v>
      </c>
      <c r="I176" s="19" t="s">
        <v>283</v>
      </c>
      <c r="J176" s="20" t="s">
        <v>284</v>
      </c>
      <c r="K176" s="21">
        <v>247</v>
      </c>
    </row>
    <row r="177" spans="1:11" ht="13.2">
      <c r="A177" s="5">
        <v>258</v>
      </c>
      <c r="B177" s="14" t="str">
        <f t="shared" si="0"/>
        <v>2</v>
      </c>
      <c r="C177" s="15" t="s">
        <v>285</v>
      </c>
      <c r="D177" s="16">
        <f t="shared" si="1"/>
        <v>450</v>
      </c>
      <c r="E177" s="17" t="s">
        <v>225</v>
      </c>
      <c r="F177" s="18" t="s">
        <v>179</v>
      </c>
      <c r="G177" s="15" t="s">
        <v>286</v>
      </c>
      <c r="H177" s="18">
        <v>59</v>
      </c>
      <c r="I177" s="19" t="s">
        <v>172</v>
      </c>
      <c r="J177" s="20" t="s">
        <v>25</v>
      </c>
      <c r="K177" s="21">
        <v>250</v>
      </c>
    </row>
    <row r="178" spans="1:11" ht="13.2">
      <c r="A178" s="5">
        <v>259</v>
      </c>
      <c r="B178" s="14" t="str">
        <f t="shared" si="0"/>
        <v>2</v>
      </c>
      <c r="C178" s="15" t="s">
        <v>287</v>
      </c>
      <c r="D178" s="16">
        <f t="shared" si="1"/>
        <v>450</v>
      </c>
      <c r="E178" s="17" t="s">
        <v>225</v>
      </c>
      <c r="F178" s="18" t="s">
        <v>53</v>
      </c>
      <c r="G178" s="15" t="s">
        <v>54</v>
      </c>
      <c r="H178" s="18">
        <v>32</v>
      </c>
      <c r="I178" s="19" t="s">
        <v>70</v>
      </c>
      <c r="J178" s="20" t="s">
        <v>25</v>
      </c>
      <c r="K178" s="21">
        <v>226</v>
      </c>
    </row>
    <row r="179" spans="1:11" ht="13.2">
      <c r="A179" s="5">
        <v>260</v>
      </c>
      <c r="B179" s="14" t="str">
        <f t="shared" si="0"/>
        <v>2</v>
      </c>
      <c r="C179" s="15" t="s">
        <v>288</v>
      </c>
      <c r="D179" s="16">
        <f t="shared" si="1"/>
        <v>450</v>
      </c>
      <c r="E179" s="17" t="s">
        <v>225</v>
      </c>
      <c r="F179" s="18" t="s">
        <v>45</v>
      </c>
      <c r="G179" s="15" t="s">
        <v>131</v>
      </c>
      <c r="H179" s="18">
        <v>33</v>
      </c>
      <c r="I179" s="19" t="s">
        <v>142</v>
      </c>
      <c r="J179" s="20" t="s">
        <v>87</v>
      </c>
      <c r="K179" s="21">
        <v>251</v>
      </c>
    </row>
    <row r="180" spans="1:11" ht="13.2">
      <c r="A180" s="5">
        <v>261</v>
      </c>
      <c r="B180" s="14" t="str">
        <f t="shared" si="0"/>
        <v>2</v>
      </c>
      <c r="C180" s="15" t="s">
        <v>289</v>
      </c>
      <c r="D180" s="16">
        <f t="shared" si="1"/>
        <v>450</v>
      </c>
      <c r="E180" s="17" t="s">
        <v>225</v>
      </c>
      <c r="F180" s="18" t="s">
        <v>22</v>
      </c>
      <c r="G180" s="15" t="s">
        <v>23</v>
      </c>
      <c r="H180" s="18">
        <v>68</v>
      </c>
      <c r="I180" s="19" t="s">
        <v>231</v>
      </c>
      <c r="J180" s="20" t="s">
        <v>25</v>
      </c>
      <c r="K180" s="21">
        <v>80</v>
      </c>
    </row>
    <row r="181" spans="1:11" ht="13.2">
      <c r="A181" s="5">
        <v>262</v>
      </c>
      <c r="B181" s="14" t="str">
        <f t="shared" si="0"/>
        <v>2</v>
      </c>
      <c r="C181" s="15" t="s">
        <v>290</v>
      </c>
      <c r="D181" s="16">
        <f t="shared" si="1"/>
        <v>450</v>
      </c>
      <c r="E181" s="17" t="s">
        <v>225</v>
      </c>
      <c r="F181" s="18" t="s">
        <v>22</v>
      </c>
      <c r="G181" s="15" t="s">
        <v>23</v>
      </c>
      <c r="H181" s="18">
        <v>42</v>
      </c>
      <c r="I181" s="19" t="s">
        <v>291</v>
      </c>
      <c r="J181" s="20" t="s">
        <v>292</v>
      </c>
      <c r="K181" s="21">
        <v>334</v>
      </c>
    </row>
    <row r="182" spans="1:11" ht="13.2">
      <c r="A182" s="5">
        <v>263</v>
      </c>
      <c r="B182" s="14" t="str">
        <f t="shared" si="0"/>
        <v>2</v>
      </c>
      <c r="C182" s="15" t="s">
        <v>293</v>
      </c>
      <c r="D182" s="16">
        <f t="shared" si="1"/>
        <v>450</v>
      </c>
      <c r="E182" s="17" t="s">
        <v>225</v>
      </c>
      <c r="F182" s="18" t="s">
        <v>41</v>
      </c>
      <c r="G182" s="15" t="s">
        <v>18</v>
      </c>
      <c r="H182" s="18">
        <v>27</v>
      </c>
      <c r="I182" s="19" t="s">
        <v>82</v>
      </c>
      <c r="J182" s="20" t="s">
        <v>25</v>
      </c>
      <c r="K182" s="21">
        <v>348</v>
      </c>
    </row>
    <row r="183" spans="1:11" ht="13.2">
      <c r="A183" s="5">
        <v>264</v>
      </c>
      <c r="B183" s="14" t="str">
        <f t="shared" si="0"/>
        <v>2</v>
      </c>
      <c r="C183" s="15" t="s">
        <v>294</v>
      </c>
      <c r="D183" s="16">
        <f t="shared" si="1"/>
        <v>450</v>
      </c>
      <c r="E183" s="17" t="s">
        <v>225</v>
      </c>
      <c r="F183" s="18" t="s">
        <v>61</v>
      </c>
      <c r="G183" s="15" t="s">
        <v>18</v>
      </c>
      <c r="H183" s="18">
        <v>45</v>
      </c>
      <c r="I183" s="19" t="s">
        <v>86</v>
      </c>
      <c r="J183" s="20" t="s">
        <v>25</v>
      </c>
      <c r="K183" s="21">
        <v>256</v>
      </c>
    </row>
    <row r="184" spans="1:11" ht="13.2">
      <c r="A184" s="5">
        <v>265</v>
      </c>
      <c r="B184" s="14" t="str">
        <f t="shared" si="0"/>
        <v>2</v>
      </c>
      <c r="C184" s="15" t="s">
        <v>295</v>
      </c>
      <c r="D184" s="16">
        <f t="shared" si="1"/>
        <v>450</v>
      </c>
      <c r="E184" s="17" t="s">
        <v>225</v>
      </c>
      <c r="F184" s="18" t="s">
        <v>22</v>
      </c>
      <c r="G184" s="15" t="s">
        <v>23</v>
      </c>
      <c r="H184" s="18">
        <v>45</v>
      </c>
      <c r="I184" s="19" t="s">
        <v>296</v>
      </c>
      <c r="J184" s="20" t="s">
        <v>25</v>
      </c>
      <c r="K184" s="21">
        <v>336</v>
      </c>
    </row>
    <row r="185" spans="1:11" ht="13.2">
      <c r="A185" s="5">
        <v>266</v>
      </c>
      <c r="B185" s="14" t="str">
        <f t="shared" si="0"/>
        <v>2</v>
      </c>
      <c r="C185" s="15" t="s">
        <v>297</v>
      </c>
      <c r="D185" s="16">
        <f t="shared" si="1"/>
        <v>450</v>
      </c>
      <c r="E185" s="17" t="s">
        <v>225</v>
      </c>
      <c r="F185" s="18" t="s">
        <v>22</v>
      </c>
      <c r="G185" s="15" t="s">
        <v>54</v>
      </c>
      <c r="H185" s="18">
        <v>33</v>
      </c>
      <c r="I185" s="19" t="s">
        <v>175</v>
      </c>
      <c r="J185" s="20" t="s">
        <v>25</v>
      </c>
      <c r="K185" s="21">
        <v>20</v>
      </c>
    </row>
    <row r="186" spans="1:11" ht="13.2">
      <c r="A186" s="5">
        <v>267</v>
      </c>
      <c r="B186" s="14" t="str">
        <f t="shared" si="0"/>
        <v>2</v>
      </c>
      <c r="C186" s="15" t="s">
        <v>298</v>
      </c>
      <c r="D186" s="16">
        <f t="shared" si="1"/>
        <v>450</v>
      </c>
      <c r="E186" s="17" t="s">
        <v>225</v>
      </c>
      <c r="F186" s="18" t="s">
        <v>22</v>
      </c>
      <c r="G186" s="15" t="s">
        <v>23</v>
      </c>
      <c r="H186" s="18">
        <v>52</v>
      </c>
      <c r="I186" s="19" t="s">
        <v>299</v>
      </c>
      <c r="J186" s="20" t="s">
        <v>292</v>
      </c>
      <c r="K186" s="21">
        <v>336</v>
      </c>
    </row>
    <row r="187" spans="1:11" ht="13.2">
      <c r="A187" s="5">
        <v>268</v>
      </c>
      <c r="B187" s="14" t="str">
        <f t="shared" si="0"/>
        <v>2</v>
      </c>
      <c r="C187" s="15" t="s">
        <v>300</v>
      </c>
      <c r="D187" s="16">
        <f t="shared" si="1"/>
        <v>450</v>
      </c>
      <c r="E187" s="17" t="s">
        <v>225</v>
      </c>
      <c r="F187" s="18" t="s">
        <v>43</v>
      </c>
      <c r="G187" s="15" t="s">
        <v>18</v>
      </c>
      <c r="H187" s="18">
        <v>33</v>
      </c>
      <c r="I187" s="19" t="s">
        <v>55</v>
      </c>
      <c r="J187" s="20" t="s">
        <v>55</v>
      </c>
      <c r="K187" s="21">
        <v>264</v>
      </c>
    </row>
    <row r="188" spans="1:11" ht="13.2">
      <c r="A188" s="5">
        <v>269</v>
      </c>
      <c r="B188" s="14" t="str">
        <f t="shared" si="0"/>
        <v>2</v>
      </c>
      <c r="C188" s="15" t="s">
        <v>301</v>
      </c>
      <c r="D188" s="16">
        <f t="shared" si="1"/>
        <v>450</v>
      </c>
      <c r="E188" s="17" t="s">
        <v>225</v>
      </c>
      <c r="F188" s="18" t="s">
        <v>45</v>
      </c>
      <c r="G188" s="15" t="s">
        <v>75</v>
      </c>
      <c r="H188" s="18">
        <v>52</v>
      </c>
      <c r="I188" s="19" t="s">
        <v>175</v>
      </c>
      <c r="J188" s="20" t="s">
        <v>25</v>
      </c>
      <c r="K188" s="21">
        <v>179</v>
      </c>
    </row>
    <row r="189" spans="1:11" ht="13.2">
      <c r="A189" s="5">
        <v>270</v>
      </c>
      <c r="B189" s="14" t="str">
        <f t="shared" si="0"/>
        <v>2</v>
      </c>
      <c r="C189" s="15" t="s">
        <v>302</v>
      </c>
      <c r="D189" s="16">
        <f t="shared" si="1"/>
        <v>450</v>
      </c>
      <c r="E189" s="17" t="s">
        <v>225</v>
      </c>
      <c r="F189" s="18" t="s">
        <v>31</v>
      </c>
      <c r="G189" s="15" t="s">
        <v>110</v>
      </c>
      <c r="H189" s="18">
        <v>45</v>
      </c>
      <c r="I189" s="19" t="s">
        <v>242</v>
      </c>
      <c r="J189" s="20" t="s">
        <v>186</v>
      </c>
      <c r="K189" s="21">
        <v>118</v>
      </c>
    </row>
    <row r="190" spans="1:11" ht="13.2">
      <c r="A190" s="5">
        <v>271</v>
      </c>
      <c r="B190" s="14" t="str">
        <f t="shared" si="0"/>
        <v>2</v>
      </c>
      <c r="C190" s="15" t="s">
        <v>303</v>
      </c>
      <c r="D190" s="16">
        <f t="shared" si="1"/>
        <v>450</v>
      </c>
      <c r="E190" s="17" t="s">
        <v>225</v>
      </c>
      <c r="F190" s="18" t="s">
        <v>43</v>
      </c>
      <c r="G190" s="15" t="s">
        <v>211</v>
      </c>
      <c r="H190" s="18">
        <v>110</v>
      </c>
      <c r="I190" s="19" t="s">
        <v>86</v>
      </c>
      <c r="J190" s="20" t="s">
        <v>175</v>
      </c>
      <c r="K190" s="21">
        <v>78</v>
      </c>
    </row>
    <row r="191" spans="1:11" ht="13.2">
      <c r="A191" s="5">
        <v>272</v>
      </c>
      <c r="B191" s="14" t="str">
        <f t="shared" si="0"/>
        <v>2</v>
      </c>
      <c r="C191" s="15" t="s">
        <v>304</v>
      </c>
      <c r="D191" s="16">
        <f t="shared" si="1"/>
        <v>450</v>
      </c>
      <c r="E191" s="17" t="s">
        <v>225</v>
      </c>
      <c r="F191" s="18" t="s">
        <v>22</v>
      </c>
      <c r="G191" s="15" t="s">
        <v>23</v>
      </c>
      <c r="H191" s="18">
        <v>36</v>
      </c>
      <c r="I191" s="19" t="s">
        <v>119</v>
      </c>
      <c r="J191" s="20" t="s">
        <v>25</v>
      </c>
      <c r="K191" s="21">
        <v>338</v>
      </c>
    </row>
    <row r="192" spans="1:11" ht="13.2">
      <c r="A192" s="5">
        <v>273</v>
      </c>
      <c r="B192" s="14" t="str">
        <f t="shared" si="0"/>
        <v>2</v>
      </c>
      <c r="C192" s="15" t="s">
        <v>305</v>
      </c>
      <c r="D192" s="16">
        <f t="shared" si="1"/>
        <v>450</v>
      </c>
      <c r="E192" s="17" t="s">
        <v>225</v>
      </c>
      <c r="F192" s="18" t="s">
        <v>43</v>
      </c>
      <c r="G192" s="15" t="s">
        <v>18</v>
      </c>
      <c r="H192" s="18">
        <v>35</v>
      </c>
      <c r="I192" s="19" t="s">
        <v>24</v>
      </c>
      <c r="J192" s="20" t="s">
        <v>70</v>
      </c>
      <c r="K192" s="21">
        <v>209</v>
      </c>
    </row>
    <row r="193" spans="1:11" ht="13.2">
      <c r="A193" s="5">
        <v>274</v>
      </c>
      <c r="B193" s="14" t="str">
        <f t="shared" si="0"/>
        <v>2</v>
      </c>
      <c r="C193" s="15" t="s">
        <v>306</v>
      </c>
      <c r="D193" s="16">
        <f t="shared" si="1"/>
        <v>450</v>
      </c>
      <c r="E193" s="17" t="s">
        <v>225</v>
      </c>
      <c r="F193" s="18" t="s">
        <v>45</v>
      </c>
      <c r="G193" s="15" t="s">
        <v>110</v>
      </c>
      <c r="H193" s="18">
        <v>32</v>
      </c>
      <c r="I193" s="19" t="s">
        <v>236</v>
      </c>
      <c r="J193" s="20" t="s">
        <v>237</v>
      </c>
      <c r="K193" s="21">
        <v>102</v>
      </c>
    </row>
    <row r="194" spans="1:11" ht="13.2">
      <c r="A194" s="5">
        <v>275</v>
      </c>
      <c r="B194" s="14" t="str">
        <f t="shared" si="0"/>
        <v>2</v>
      </c>
      <c r="C194" s="15" t="s">
        <v>307</v>
      </c>
      <c r="D194" s="16">
        <f t="shared" si="1"/>
        <v>450</v>
      </c>
      <c r="E194" s="17" t="s">
        <v>225</v>
      </c>
      <c r="F194" s="18" t="s">
        <v>45</v>
      </c>
      <c r="G194" s="15" t="s">
        <v>114</v>
      </c>
      <c r="H194" s="18">
        <v>22</v>
      </c>
      <c r="I194" s="19" t="s">
        <v>308</v>
      </c>
      <c r="J194" s="20" t="s">
        <v>25</v>
      </c>
      <c r="K194" s="21">
        <v>301</v>
      </c>
    </row>
    <row r="195" spans="1:11" ht="13.2">
      <c r="A195" s="5">
        <v>291</v>
      </c>
      <c r="B195" s="14" t="str">
        <f t="shared" si="0"/>
        <v>3</v>
      </c>
      <c r="C195" s="15" t="s">
        <v>309</v>
      </c>
      <c r="D195" s="16">
        <f t="shared" si="1"/>
        <v>700</v>
      </c>
      <c r="E195" s="17" t="s">
        <v>310</v>
      </c>
      <c r="F195" s="18" t="s">
        <v>22</v>
      </c>
      <c r="G195" s="15" t="s">
        <v>23</v>
      </c>
      <c r="H195" s="18">
        <v>68</v>
      </c>
      <c r="I195" s="19" t="s">
        <v>311</v>
      </c>
      <c r="J195" s="20" t="s">
        <v>25</v>
      </c>
      <c r="K195" s="21">
        <v>79</v>
      </c>
    </row>
    <row r="196" spans="1:11" ht="13.2">
      <c r="A196" s="5">
        <v>292</v>
      </c>
      <c r="B196" s="14" t="str">
        <f t="shared" si="0"/>
        <v>3</v>
      </c>
      <c r="C196" s="15" t="s">
        <v>312</v>
      </c>
      <c r="D196" s="16">
        <f t="shared" si="1"/>
        <v>700</v>
      </c>
      <c r="E196" s="17" t="s">
        <v>310</v>
      </c>
      <c r="F196" s="18" t="s">
        <v>22</v>
      </c>
      <c r="G196" s="15" t="s">
        <v>131</v>
      </c>
      <c r="H196" s="18">
        <v>52</v>
      </c>
      <c r="I196" s="19" t="s">
        <v>313</v>
      </c>
      <c r="J196" s="20" t="s">
        <v>25</v>
      </c>
      <c r="K196" s="21">
        <v>24</v>
      </c>
    </row>
    <row r="197" spans="1:11" ht="13.2">
      <c r="A197" s="5">
        <v>293</v>
      </c>
      <c r="B197" s="14" t="str">
        <f t="shared" si="0"/>
        <v>3</v>
      </c>
      <c r="C197" s="15" t="s">
        <v>314</v>
      </c>
      <c r="D197" s="16">
        <f t="shared" si="1"/>
        <v>700</v>
      </c>
      <c r="E197" s="17" t="s">
        <v>310</v>
      </c>
      <c r="F197" s="18" t="s">
        <v>43</v>
      </c>
      <c r="G197" s="15" t="s">
        <v>211</v>
      </c>
      <c r="H197" s="18">
        <v>52</v>
      </c>
      <c r="I197" s="19" t="s">
        <v>73</v>
      </c>
      <c r="J197" s="20" t="s">
        <v>209</v>
      </c>
      <c r="K197" s="21">
        <v>70</v>
      </c>
    </row>
    <row r="198" spans="1:11" ht="13.2">
      <c r="A198" s="5">
        <v>294</v>
      </c>
      <c r="B198" s="14" t="str">
        <f t="shared" si="0"/>
        <v>3</v>
      </c>
      <c r="C198" s="15" t="s">
        <v>315</v>
      </c>
      <c r="D198" s="16">
        <f t="shared" si="1"/>
        <v>700</v>
      </c>
      <c r="E198" s="17" t="s">
        <v>310</v>
      </c>
      <c r="F198" s="18" t="s">
        <v>43</v>
      </c>
      <c r="G198" s="15" t="s">
        <v>110</v>
      </c>
      <c r="H198" s="18">
        <v>52</v>
      </c>
      <c r="I198" s="19" t="s">
        <v>316</v>
      </c>
      <c r="J198" s="20" t="s">
        <v>317</v>
      </c>
      <c r="K198" s="21">
        <v>91</v>
      </c>
    </row>
    <row r="199" spans="1:11" ht="13.2">
      <c r="A199" s="5">
        <v>295</v>
      </c>
      <c r="B199" s="14" t="str">
        <f t="shared" si="0"/>
        <v>3</v>
      </c>
      <c r="C199" s="15" t="s">
        <v>318</v>
      </c>
      <c r="D199" s="16">
        <f t="shared" si="1"/>
        <v>700</v>
      </c>
      <c r="E199" s="17" t="s">
        <v>310</v>
      </c>
      <c r="F199" s="18" t="s">
        <v>45</v>
      </c>
      <c r="G199" s="15" t="s">
        <v>18</v>
      </c>
      <c r="H199" s="18">
        <v>65</v>
      </c>
      <c r="I199" s="19" t="s">
        <v>249</v>
      </c>
      <c r="J199" s="20" t="s">
        <v>175</v>
      </c>
      <c r="K199" s="21">
        <v>33</v>
      </c>
    </row>
    <row r="200" spans="1:11" ht="13.2">
      <c r="A200" s="5">
        <v>296</v>
      </c>
      <c r="B200" s="14" t="str">
        <f t="shared" si="0"/>
        <v>3</v>
      </c>
      <c r="C200" s="15" t="s">
        <v>319</v>
      </c>
      <c r="D200" s="16">
        <f t="shared" si="1"/>
        <v>700</v>
      </c>
      <c r="E200" s="17" t="s">
        <v>310</v>
      </c>
      <c r="F200" s="18" t="s">
        <v>43</v>
      </c>
      <c r="G200" s="15" t="s">
        <v>131</v>
      </c>
      <c r="H200" s="18">
        <v>85</v>
      </c>
      <c r="I200" s="19" t="s">
        <v>172</v>
      </c>
      <c r="J200" s="20" t="s">
        <v>25</v>
      </c>
      <c r="K200" s="21">
        <v>81</v>
      </c>
    </row>
    <row r="201" spans="1:11" ht="13.2">
      <c r="A201" s="5">
        <v>297</v>
      </c>
      <c r="B201" s="14" t="str">
        <f t="shared" si="0"/>
        <v>3</v>
      </c>
      <c r="C201" s="15" t="s">
        <v>320</v>
      </c>
      <c r="D201" s="16">
        <f t="shared" si="1"/>
        <v>700</v>
      </c>
      <c r="E201" s="17" t="s">
        <v>310</v>
      </c>
      <c r="F201" s="18" t="s">
        <v>50</v>
      </c>
      <c r="G201" s="15" t="s">
        <v>131</v>
      </c>
      <c r="H201" s="18">
        <v>52</v>
      </c>
      <c r="I201" s="19" t="s">
        <v>284</v>
      </c>
      <c r="J201" s="20" t="s">
        <v>25</v>
      </c>
      <c r="K201" s="21">
        <v>82</v>
      </c>
    </row>
    <row r="202" spans="1:11" ht="13.2">
      <c r="A202" s="5">
        <v>298</v>
      </c>
      <c r="B202" s="14" t="str">
        <f t="shared" si="0"/>
        <v>3</v>
      </c>
      <c r="C202" s="15" t="s">
        <v>321</v>
      </c>
      <c r="D202" s="16">
        <f t="shared" si="1"/>
        <v>700</v>
      </c>
      <c r="E202" s="17" t="s">
        <v>310</v>
      </c>
      <c r="F202" s="18" t="s">
        <v>22</v>
      </c>
      <c r="G202" s="15" t="s">
        <v>23</v>
      </c>
      <c r="H202" s="18">
        <v>52</v>
      </c>
      <c r="I202" s="19" t="s">
        <v>73</v>
      </c>
      <c r="J202" s="20" t="s">
        <v>133</v>
      </c>
      <c r="K202" s="21">
        <v>327</v>
      </c>
    </row>
    <row r="203" spans="1:11" ht="13.2">
      <c r="A203" s="5">
        <v>299</v>
      </c>
      <c r="B203" s="14" t="str">
        <f t="shared" si="0"/>
        <v>3</v>
      </c>
      <c r="C203" s="15" t="s">
        <v>322</v>
      </c>
      <c r="D203" s="16">
        <f t="shared" si="1"/>
        <v>700</v>
      </c>
      <c r="E203" s="17" t="s">
        <v>310</v>
      </c>
      <c r="F203" s="18" t="s">
        <v>43</v>
      </c>
      <c r="G203" s="15" t="s">
        <v>18</v>
      </c>
      <c r="H203" s="18">
        <v>46</v>
      </c>
      <c r="I203" s="19" t="s">
        <v>323</v>
      </c>
      <c r="J203" s="20" t="s">
        <v>25</v>
      </c>
      <c r="K203" s="21">
        <v>160</v>
      </c>
    </row>
    <row r="204" spans="1:11" ht="13.2">
      <c r="A204" s="5">
        <v>300</v>
      </c>
      <c r="B204" s="14" t="str">
        <f t="shared" si="0"/>
        <v>3</v>
      </c>
      <c r="C204" s="15" t="s">
        <v>324</v>
      </c>
      <c r="D204" s="16">
        <f t="shared" si="1"/>
        <v>700</v>
      </c>
      <c r="E204" s="17" t="s">
        <v>310</v>
      </c>
      <c r="F204" s="18" t="s">
        <v>31</v>
      </c>
      <c r="G204" s="15" t="s">
        <v>110</v>
      </c>
      <c r="H204" s="18">
        <v>60</v>
      </c>
      <c r="I204" s="19" t="s">
        <v>242</v>
      </c>
      <c r="J204" s="20" t="s">
        <v>317</v>
      </c>
      <c r="K204" s="21">
        <v>115</v>
      </c>
    </row>
    <row r="205" spans="1:11" ht="13.2">
      <c r="A205" s="5">
        <v>301</v>
      </c>
      <c r="B205" s="14" t="str">
        <f t="shared" si="0"/>
        <v>3</v>
      </c>
      <c r="C205" s="15" t="s">
        <v>325</v>
      </c>
      <c r="D205" s="16">
        <f t="shared" si="1"/>
        <v>700</v>
      </c>
      <c r="E205" s="17" t="s">
        <v>310</v>
      </c>
      <c r="F205" s="18" t="s">
        <v>65</v>
      </c>
      <c r="G205" s="15" t="s">
        <v>75</v>
      </c>
      <c r="H205" s="18">
        <v>82</v>
      </c>
      <c r="I205" s="19" t="s">
        <v>253</v>
      </c>
      <c r="J205" s="20" t="s">
        <v>25</v>
      </c>
      <c r="K205" s="21">
        <v>177</v>
      </c>
    </row>
    <row r="206" spans="1:11" ht="13.2">
      <c r="A206" s="5">
        <v>302</v>
      </c>
      <c r="B206" s="14" t="str">
        <f t="shared" si="0"/>
        <v>3</v>
      </c>
      <c r="C206" s="15" t="s">
        <v>326</v>
      </c>
      <c r="D206" s="16">
        <f t="shared" si="1"/>
        <v>700</v>
      </c>
      <c r="E206" s="17" t="s">
        <v>310</v>
      </c>
      <c r="F206" s="18" t="s">
        <v>65</v>
      </c>
      <c r="G206" s="15" t="s">
        <v>32</v>
      </c>
      <c r="H206" s="18">
        <v>55</v>
      </c>
      <c r="I206" s="19" t="s">
        <v>133</v>
      </c>
      <c r="J206" s="20" t="s">
        <v>33</v>
      </c>
      <c r="K206" s="21">
        <v>172</v>
      </c>
    </row>
    <row r="207" spans="1:11" ht="13.2">
      <c r="A207" s="5">
        <v>303</v>
      </c>
      <c r="B207" s="14" t="str">
        <f t="shared" si="0"/>
        <v>3</v>
      </c>
      <c r="C207" s="15" t="s">
        <v>327</v>
      </c>
      <c r="D207" s="16">
        <f t="shared" si="1"/>
        <v>700</v>
      </c>
      <c r="E207" s="17" t="s">
        <v>310</v>
      </c>
      <c r="F207" s="18" t="s">
        <v>43</v>
      </c>
      <c r="G207" s="15" t="s">
        <v>328</v>
      </c>
      <c r="H207" s="18">
        <v>45</v>
      </c>
      <c r="I207" s="19" t="s">
        <v>329</v>
      </c>
      <c r="J207" s="20" t="s">
        <v>263</v>
      </c>
      <c r="K207" s="21">
        <v>182</v>
      </c>
    </row>
    <row r="208" spans="1:11" ht="13.2">
      <c r="A208" s="5">
        <v>304</v>
      </c>
      <c r="B208" s="14" t="str">
        <f t="shared" si="0"/>
        <v>3</v>
      </c>
      <c r="C208" s="15" t="s">
        <v>330</v>
      </c>
      <c r="D208" s="16">
        <f t="shared" si="1"/>
        <v>700</v>
      </c>
      <c r="E208" s="17" t="s">
        <v>310</v>
      </c>
      <c r="F208" s="18" t="s">
        <v>43</v>
      </c>
      <c r="G208" s="15" t="s">
        <v>18</v>
      </c>
      <c r="H208" s="18">
        <v>39</v>
      </c>
      <c r="I208" s="19" t="s">
        <v>165</v>
      </c>
      <c r="J208" s="20" t="s">
        <v>70</v>
      </c>
      <c r="K208" s="21">
        <v>186</v>
      </c>
    </row>
    <row r="209" spans="1:11" ht="13.2">
      <c r="A209" s="5">
        <v>305</v>
      </c>
      <c r="B209" s="14" t="str">
        <f t="shared" si="0"/>
        <v>3</v>
      </c>
      <c r="C209" s="15" t="s">
        <v>331</v>
      </c>
      <c r="D209" s="16">
        <f t="shared" si="1"/>
        <v>700</v>
      </c>
      <c r="E209" s="17" t="s">
        <v>310</v>
      </c>
      <c r="F209" s="18" t="s">
        <v>50</v>
      </c>
      <c r="G209" s="15" t="s">
        <v>131</v>
      </c>
      <c r="H209" s="18">
        <v>75</v>
      </c>
      <c r="I209" s="19" t="s">
        <v>172</v>
      </c>
      <c r="J209" s="20" t="s">
        <v>25</v>
      </c>
      <c r="K209" s="21">
        <v>189</v>
      </c>
    </row>
    <row r="210" spans="1:11" ht="13.2">
      <c r="A210" s="5">
        <v>306</v>
      </c>
      <c r="B210" s="14" t="str">
        <f t="shared" si="0"/>
        <v>3</v>
      </c>
      <c r="C210" s="15" t="s">
        <v>332</v>
      </c>
      <c r="D210" s="16">
        <f t="shared" si="1"/>
        <v>700</v>
      </c>
      <c r="E210" s="17" t="s">
        <v>310</v>
      </c>
      <c r="F210" s="18" t="s">
        <v>22</v>
      </c>
      <c r="G210" s="15" t="s">
        <v>23</v>
      </c>
      <c r="H210" s="18">
        <v>90</v>
      </c>
      <c r="I210" s="19" t="s">
        <v>333</v>
      </c>
      <c r="J210" s="20" t="s">
        <v>25</v>
      </c>
      <c r="K210" s="21">
        <v>331</v>
      </c>
    </row>
    <row r="211" spans="1:11" ht="13.2">
      <c r="A211" s="5">
        <v>307</v>
      </c>
      <c r="B211" s="14" t="str">
        <f t="shared" si="0"/>
        <v>3</v>
      </c>
      <c r="C211" s="15" t="s">
        <v>334</v>
      </c>
      <c r="D211" s="16">
        <f t="shared" si="1"/>
        <v>700</v>
      </c>
      <c r="E211" s="17" t="s">
        <v>310</v>
      </c>
      <c r="F211" s="18" t="s">
        <v>41</v>
      </c>
      <c r="G211" s="15" t="s">
        <v>18</v>
      </c>
      <c r="H211" s="18">
        <v>52</v>
      </c>
      <c r="I211" s="19" t="s">
        <v>175</v>
      </c>
      <c r="J211" s="20" t="s">
        <v>168</v>
      </c>
      <c r="K211" s="21">
        <v>347</v>
      </c>
    </row>
    <row r="212" spans="1:11" ht="13.2">
      <c r="A212" s="5">
        <v>308</v>
      </c>
      <c r="B212" s="14" t="str">
        <f t="shared" si="0"/>
        <v>3</v>
      </c>
      <c r="C212" s="15" t="s">
        <v>335</v>
      </c>
      <c r="D212" s="16">
        <f t="shared" si="1"/>
        <v>700</v>
      </c>
      <c r="E212" s="17" t="s">
        <v>310</v>
      </c>
      <c r="F212" s="18" t="s">
        <v>43</v>
      </c>
      <c r="G212" s="15" t="s">
        <v>131</v>
      </c>
      <c r="H212" s="18">
        <v>68</v>
      </c>
      <c r="I212" s="19" t="s">
        <v>142</v>
      </c>
      <c r="J212" s="20" t="s">
        <v>86</v>
      </c>
      <c r="K212" s="21">
        <v>213</v>
      </c>
    </row>
    <row r="213" spans="1:11" ht="13.2">
      <c r="A213" s="5">
        <v>309</v>
      </c>
      <c r="B213" s="14" t="str">
        <f t="shared" si="0"/>
        <v>3</v>
      </c>
      <c r="C213" s="15" t="s">
        <v>336</v>
      </c>
      <c r="D213" s="16">
        <f t="shared" si="1"/>
        <v>700</v>
      </c>
      <c r="E213" s="17" t="s">
        <v>310</v>
      </c>
      <c r="F213" s="18" t="s">
        <v>45</v>
      </c>
      <c r="G213" s="15" t="s">
        <v>131</v>
      </c>
      <c r="H213" s="18">
        <v>76</v>
      </c>
      <c r="I213" s="19" t="s">
        <v>272</v>
      </c>
      <c r="J213" s="20" t="s">
        <v>253</v>
      </c>
      <c r="K213" s="21">
        <v>223</v>
      </c>
    </row>
    <row r="214" spans="1:11" ht="13.2">
      <c r="A214" s="5">
        <v>310</v>
      </c>
      <c r="B214" s="14" t="str">
        <f t="shared" si="0"/>
        <v>3</v>
      </c>
      <c r="C214" s="15" t="s">
        <v>337</v>
      </c>
      <c r="D214" s="16">
        <f t="shared" si="1"/>
        <v>700</v>
      </c>
      <c r="E214" s="17" t="s">
        <v>310</v>
      </c>
      <c r="F214" s="18" t="s">
        <v>43</v>
      </c>
      <c r="G214" s="15" t="s">
        <v>114</v>
      </c>
      <c r="H214" s="18">
        <v>58</v>
      </c>
      <c r="I214" s="19" t="s">
        <v>338</v>
      </c>
      <c r="J214" s="20" t="s">
        <v>25</v>
      </c>
      <c r="K214" s="21">
        <v>228</v>
      </c>
    </row>
    <row r="215" spans="1:11" ht="13.2">
      <c r="A215" s="5">
        <v>311</v>
      </c>
      <c r="B215" s="14" t="str">
        <f t="shared" si="0"/>
        <v>3</v>
      </c>
      <c r="C215" s="15" t="s">
        <v>339</v>
      </c>
      <c r="D215" s="16">
        <f t="shared" si="1"/>
        <v>700</v>
      </c>
      <c r="E215" s="17" t="s">
        <v>310</v>
      </c>
      <c r="F215" s="18" t="s">
        <v>65</v>
      </c>
      <c r="G215" s="15" t="s">
        <v>328</v>
      </c>
      <c r="H215" s="18">
        <v>68</v>
      </c>
      <c r="I215" s="19" t="s">
        <v>340</v>
      </c>
      <c r="J215" s="20" t="s">
        <v>25</v>
      </c>
      <c r="K215" s="21">
        <v>235</v>
      </c>
    </row>
    <row r="216" spans="1:11" ht="13.2">
      <c r="A216" s="5">
        <v>312</v>
      </c>
      <c r="B216" s="14" t="str">
        <f t="shared" si="0"/>
        <v>3</v>
      </c>
      <c r="C216" s="15" t="s">
        <v>341</v>
      </c>
      <c r="D216" s="16">
        <f t="shared" si="1"/>
        <v>700</v>
      </c>
      <c r="E216" s="17" t="s">
        <v>310</v>
      </c>
      <c r="F216" s="18" t="s">
        <v>22</v>
      </c>
      <c r="G216" s="15" t="s">
        <v>131</v>
      </c>
      <c r="H216" s="18">
        <v>59</v>
      </c>
      <c r="I216" s="19" t="s">
        <v>299</v>
      </c>
      <c r="J216" s="20" t="s">
        <v>296</v>
      </c>
      <c r="K216" s="21">
        <v>249</v>
      </c>
    </row>
    <row r="217" spans="1:11" ht="13.2">
      <c r="A217" s="5">
        <v>313</v>
      </c>
      <c r="B217" s="14" t="str">
        <f t="shared" si="0"/>
        <v>3</v>
      </c>
      <c r="C217" s="15" t="s">
        <v>342</v>
      </c>
      <c r="D217" s="16">
        <f t="shared" si="1"/>
        <v>700</v>
      </c>
      <c r="E217" s="17" t="s">
        <v>310</v>
      </c>
      <c r="F217" s="18" t="s">
        <v>22</v>
      </c>
      <c r="G217" s="15" t="s">
        <v>131</v>
      </c>
      <c r="H217" s="18">
        <v>32</v>
      </c>
      <c r="I217" s="19" t="s">
        <v>133</v>
      </c>
      <c r="J217" s="20" t="s">
        <v>25</v>
      </c>
      <c r="K217" s="21">
        <v>334</v>
      </c>
    </row>
    <row r="218" spans="1:11" ht="13.2">
      <c r="A218" s="5">
        <v>314</v>
      </c>
      <c r="B218" s="14" t="str">
        <f t="shared" si="0"/>
        <v>3</v>
      </c>
      <c r="C218" s="15" t="s">
        <v>343</v>
      </c>
      <c r="D218" s="16">
        <f t="shared" si="1"/>
        <v>700</v>
      </c>
      <c r="E218" s="17" t="s">
        <v>310</v>
      </c>
      <c r="F218" s="18" t="s">
        <v>53</v>
      </c>
      <c r="G218" s="15" t="s">
        <v>32</v>
      </c>
      <c r="H218" s="18">
        <v>39</v>
      </c>
      <c r="I218" s="19" t="s">
        <v>344</v>
      </c>
      <c r="J218" s="20" t="s">
        <v>25</v>
      </c>
      <c r="K218" s="21">
        <v>30</v>
      </c>
    </row>
    <row r="219" spans="1:11" ht="13.2">
      <c r="A219" s="5">
        <v>315</v>
      </c>
      <c r="B219" s="14" t="str">
        <f t="shared" si="0"/>
        <v>3</v>
      </c>
      <c r="C219" s="15" t="s">
        <v>345</v>
      </c>
      <c r="D219" s="16">
        <f t="shared" si="1"/>
        <v>700</v>
      </c>
      <c r="E219" s="17" t="s">
        <v>310</v>
      </c>
      <c r="F219" s="18" t="s">
        <v>41</v>
      </c>
      <c r="G219" s="15" t="s">
        <v>18</v>
      </c>
      <c r="H219" s="18">
        <v>58</v>
      </c>
      <c r="I219" s="19" t="s">
        <v>209</v>
      </c>
      <c r="J219" s="20" t="s">
        <v>86</v>
      </c>
      <c r="K219" s="21">
        <v>350</v>
      </c>
    </row>
    <row r="220" spans="1:11" ht="13.2">
      <c r="A220" s="5">
        <v>316</v>
      </c>
      <c r="B220" s="14" t="str">
        <f t="shared" si="0"/>
        <v>3</v>
      </c>
      <c r="C220" s="15" t="s">
        <v>346</v>
      </c>
      <c r="D220" s="16">
        <f t="shared" si="1"/>
        <v>700</v>
      </c>
      <c r="E220" s="17" t="s">
        <v>310</v>
      </c>
      <c r="F220" s="18" t="s">
        <v>50</v>
      </c>
      <c r="G220" s="15" t="s">
        <v>105</v>
      </c>
      <c r="H220" s="18">
        <v>58</v>
      </c>
      <c r="I220" s="19" t="s">
        <v>175</v>
      </c>
      <c r="J220" s="20" t="s">
        <v>25</v>
      </c>
      <c r="K220" s="21">
        <v>299</v>
      </c>
    </row>
    <row r="221" spans="1:11" ht="13.2">
      <c r="A221" s="5">
        <v>317</v>
      </c>
      <c r="B221" s="14" t="str">
        <f t="shared" si="0"/>
        <v>3</v>
      </c>
      <c r="C221" s="15" t="s">
        <v>347</v>
      </c>
      <c r="D221" s="16">
        <f t="shared" si="1"/>
        <v>700</v>
      </c>
      <c r="E221" s="17" t="s">
        <v>310</v>
      </c>
      <c r="F221" s="18" t="s">
        <v>45</v>
      </c>
      <c r="G221" s="15" t="s">
        <v>18</v>
      </c>
      <c r="H221" s="18">
        <v>58</v>
      </c>
      <c r="I221" s="19" t="s">
        <v>73</v>
      </c>
      <c r="J221" s="20" t="s">
        <v>33</v>
      </c>
      <c r="K221" s="21">
        <v>211</v>
      </c>
    </row>
    <row r="222" spans="1:11" ht="13.2">
      <c r="A222" s="5">
        <v>318</v>
      </c>
      <c r="B222" s="14" t="str">
        <f t="shared" si="0"/>
        <v>3</v>
      </c>
      <c r="C222" s="15" t="s">
        <v>348</v>
      </c>
      <c r="D222" s="16">
        <f t="shared" si="1"/>
        <v>700</v>
      </c>
      <c r="E222" s="17" t="s">
        <v>310</v>
      </c>
      <c r="F222" s="18" t="s">
        <v>65</v>
      </c>
      <c r="G222" s="15" t="s">
        <v>114</v>
      </c>
      <c r="H222" s="18">
        <v>45</v>
      </c>
      <c r="I222" s="19" t="s">
        <v>70</v>
      </c>
      <c r="J222" s="20" t="s">
        <v>133</v>
      </c>
      <c r="K222" s="21">
        <v>300</v>
      </c>
    </row>
    <row r="223" spans="1:11" ht="13.2">
      <c r="A223" s="5">
        <v>319</v>
      </c>
      <c r="B223" s="14" t="str">
        <f t="shared" si="0"/>
        <v>3</v>
      </c>
      <c r="C223" s="15" t="s">
        <v>349</v>
      </c>
      <c r="D223" s="16">
        <f t="shared" si="1"/>
        <v>700</v>
      </c>
      <c r="E223" s="17" t="s">
        <v>310</v>
      </c>
      <c r="F223" s="18" t="s">
        <v>65</v>
      </c>
      <c r="G223" s="15" t="s">
        <v>131</v>
      </c>
      <c r="H223" s="18">
        <v>75</v>
      </c>
      <c r="I223" s="19" t="s">
        <v>172</v>
      </c>
      <c r="J223" s="20" t="s">
        <v>186</v>
      </c>
      <c r="K223" s="21">
        <v>340</v>
      </c>
    </row>
    <row r="224" spans="1:11" ht="13.2">
      <c r="A224" s="5">
        <v>320</v>
      </c>
      <c r="B224" s="14" t="str">
        <f t="shared" si="0"/>
        <v>3</v>
      </c>
      <c r="C224" s="15" t="s">
        <v>350</v>
      </c>
      <c r="D224" s="16">
        <f t="shared" si="1"/>
        <v>700</v>
      </c>
      <c r="E224" s="17" t="s">
        <v>310</v>
      </c>
      <c r="F224" s="18" t="s">
        <v>45</v>
      </c>
      <c r="G224" s="15" t="s">
        <v>131</v>
      </c>
      <c r="H224" s="18">
        <v>51</v>
      </c>
      <c r="I224" s="19" t="s">
        <v>172</v>
      </c>
      <c r="J224" s="20" t="s">
        <v>25</v>
      </c>
      <c r="K224" s="21">
        <v>305</v>
      </c>
    </row>
    <row r="225" spans="1:11" ht="13.2">
      <c r="A225" s="5">
        <v>321</v>
      </c>
      <c r="B225" s="14" t="str">
        <f t="shared" si="0"/>
        <v>3</v>
      </c>
      <c r="C225" s="15" t="s">
        <v>351</v>
      </c>
      <c r="D225" s="16">
        <f t="shared" si="1"/>
        <v>700</v>
      </c>
      <c r="E225" s="17" t="s">
        <v>310</v>
      </c>
      <c r="F225" s="18" t="s">
        <v>65</v>
      </c>
      <c r="G225" s="15" t="s">
        <v>131</v>
      </c>
      <c r="H225" s="18">
        <v>66</v>
      </c>
      <c r="I225" s="19" t="s">
        <v>119</v>
      </c>
      <c r="J225" s="20" t="s">
        <v>25</v>
      </c>
      <c r="K225" s="21">
        <v>309</v>
      </c>
    </row>
    <row r="226" spans="1:11" ht="13.2">
      <c r="A226" s="5">
        <v>323</v>
      </c>
      <c r="B226" s="14" t="str">
        <f t="shared" si="0"/>
        <v>4</v>
      </c>
      <c r="C226" s="15" t="s">
        <v>352</v>
      </c>
      <c r="D226" s="16">
        <f t="shared" si="1"/>
        <v>1100</v>
      </c>
      <c r="E226" s="17" t="s">
        <v>353</v>
      </c>
      <c r="F226" s="18" t="s">
        <v>45</v>
      </c>
      <c r="G226" s="15" t="s">
        <v>114</v>
      </c>
      <c r="H226" s="18">
        <v>58</v>
      </c>
      <c r="I226" s="19" t="s">
        <v>277</v>
      </c>
      <c r="J226" s="20" t="s">
        <v>25</v>
      </c>
      <c r="K226" s="21">
        <v>23</v>
      </c>
    </row>
    <row r="227" spans="1:11" ht="13.2">
      <c r="A227" s="5">
        <v>324</v>
      </c>
      <c r="B227" s="14" t="str">
        <f t="shared" si="0"/>
        <v>4</v>
      </c>
      <c r="C227" s="15" t="s">
        <v>354</v>
      </c>
      <c r="D227" s="16">
        <f t="shared" si="1"/>
        <v>1100</v>
      </c>
      <c r="E227" s="17" t="s">
        <v>353</v>
      </c>
      <c r="F227" s="18" t="s">
        <v>22</v>
      </c>
      <c r="G227" s="15" t="s">
        <v>144</v>
      </c>
      <c r="H227" s="18">
        <v>85</v>
      </c>
      <c r="I227" s="19" t="s">
        <v>355</v>
      </c>
      <c r="J227" s="20" t="s">
        <v>25</v>
      </c>
      <c r="K227" s="21">
        <v>241</v>
      </c>
    </row>
    <row r="228" spans="1:11" ht="13.2">
      <c r="A228" s="5">
        <v>325</v>
      </c>
      <c r="B228" s="14" t="str">
        <f t="shared" si="0"/>
        <v>4</v>
      </c>
      <c r="C228" s="15" t="s">
        <v>356</v>
      </c>
      <c r="D228" s="16">
        <f t="shared" si="1"/>
        <v>1100</v>
      </c>
      <c r="E228" s="17" t="s">
        <v>353</v>
      </c>
      <c r="F228" s="18" t="s">
        <v>43</v>
      </c>
      <c r="G228" s="15" t="s">
        <v>114</v>
      </c>
      <c r="H228" s="18">
        <v>58</v>
      </c>
      <c r="I228" s="19" t="s">
        <v>338</v>
      </c>
      <c r="J228" s="20" t="s">
        <v>25</v>
      </c>
      <c r="K228" s="21">
        <v>233</v>
      </c>
    </row>
    <row r="229" spans="1:11" ht="13.2">
      <c r="A229" s="5">
        <v>326</v>
      </c>
      <c r="B229" s="14" t="str">
        <f t="shared" si="0"/>
        <v>4</v>
      </c>
      <c r="C229" s="15" t="s">
        <v>357</v>
      </c>
      <c r="D229" s="16">
        <f t="shared" si="1"/>
        <v>1100</v>
      </c>
      <c r="E229" s="17" t="s">
        <v>353</v>
      </c>
      <c r="F229" s="18" t="s">
        <v>45</v>
      </c>
      <c r="G229" s="15" t="s">
        <v>32</v>
      </c>
      <c r="H229" s="18">
        <v>93</v>
      </c>
      <c r="I229" s="19" t="s">
        <v>172</v>
      </c>
      <c r="J229" s="20" t="s">
        <v>25</v>
      </c>
      <c r="K229" s="21">
        <v>40</v>
      </c>
    </row>
    <row r="230" spans="1:11" ht="13.2">
      <c r="A230" s="5">
        <v>327</v>
      </c>
      <c r="B230" s="14" t="str">
        <f t="shared" si="0"/>
        <v>4</v>
      </c>
      <c r="C230" s="15" t="s">
        <v>358</v>
      </c>
      <c r="D230" s="16">
        <f t="shared" si="1"/>
        <v>1100</v>
      </c>
      <c r="E230" s="17" t="s">
        <v>353</v>
      </c>
      <c r="F230" s="18" t="s">
        <v>31</v>
      </c>
      <c r="G230" s="15" t="s">
        <v>286</v>
      </c>
      <c r="H230" s="18">
        <v>97</v>
      </c>
      <c r="I230" s="19" t="s">
        <v>359</v>
      </c>
      <c r="J230" s="20" t="s">
        <v>175</v>
      </c>
      <c r="K230" s="21">
        <v>43</v>
      </c>
    </row>
    <row r="231" spans="1:11" ht="13.2">
      <c r="A231" s="5">
        <v>328</v>
      </c>
      <c r="B231" s="14" t="str">
        <f t="shared" si="0"/>
        <v>4</v>
      </c>
      <c r="C231" s="15" t="s">
        <v>360</v>
      </c>
      <c r="D231" s="16">
        <f t="shared" si="1"/>
        <v>1100</v>
      </c>
      <c r="E231" s="17" t="s">
        <v>353</v>
      </c>
      <c r="F231" s="18" t="s">
        <v>22</v>
      </c>
      <c r="G231" s="15" t="s">
        <v>23</v>
      </c>
      <c r="H231" s="18">
        <v>76</v>
      </c>
      <c r="I231" s="19" t="s">
        <v>361</v>
      </c>
      <c r="J231" s="20" t="s">
        <v>362</v>
      </c>
      <c r="K231" s="21">
        <v>322</v>
      </c>
    </row>
    <row r="232" spans="1:11" ht="13.2">
      <c r="A232" s="5">
        <v>329</v>
      </c>
      <c r="B232" s="14" t="str">
        <f t="shared" si="0"/>
        <v>4</v>
      </c>
      <c r="C232" s="15" t="s">
        <v>363</v>
      </c>
      <c r="D232" s="16">
        <f t="shared" si="1"/>
        <v>1100</v>
      </c>
      <c r="E232" s="17" t="s">
        <v>353</v>
      </c>
      <c r="F232" s="18" t="s">
        <v>45</v>
      </c>
      <c r="G232" s="15" t="s">
        <v>205</v>
      </c>
      <c r="H232" s="18">
        <v>85</v>
      </c>
      <c r="I232" s="19" t="s">
        <v>296</v>
      </c>
      <c r="J232" s="20" t="s">
        <v>296</v>
      </c>
      <c r="K232" s="21">
        <v>132</v>
      </c>
    </row>
    <row r="233" spans="1:11" ht="13.2">
      <c r="A233" s="5">
        <v>330</v>
      </c>
      <c r="B233" s="14" t="str">
        <f t="shared" si="0"/>
        <v>4</v>
      </c>
      <c r="C233" s="15" t="s">
        <v>364</v>
      </c>
      <c r="D233" s="16">
        <f t="shared" si="1"/>
        <v>1100</v>
      </c>
      <c r="E233" s="17" t="s">
        <v>353</v>
      </c>
      <c r="F233" s="18" t="s">
        <v>65</v>
      </c>
      <c r="G233" s="15" t="s">
        <v>114</v>
      </c>
      <c r="H233" s="18">
        <v>40</v>
      </c>
      <c r="I233" s="19" t="s">
        <v>229</v>
      </c>
      <c r="J233" s="20" t="s">
        <v>25</v>
      </c>
      <c r="K233" s="21">
        <v>134</v>
      </c>
    </row>
    <row r="234" spans="1:11" ht="13.2">
      <c r="A234" s="5">
        <v>331</v>
      </c>
      <c r="B234" s="14" t="str">
        <f t="shared" si="0"/>
        <v>4</v>
      </c>
      <c r="C234" s="15" t="s">
        <v>365</v>
      </c>
      <c r="D234" s="16">
        <f t="shared" si="1"/>
        <v>1100</v>
      </c>
      <c r="E234" s="17" t="s">
        <v>353</v>
      </c>
      <c r="F234" s="18" t="s">
        <v>41</v>
      </c>
      <c r="G234" s="15" t="s">
        <v>114</v>
      </c>
      <c r="H234" s="18">
        <v>45</v>
      </c>
      <c r="I234" s="19" t="s">
        <v>313</v>
      </c>
      <c r="J234" s="20" t="s">
        <v>25</v>
      </c>
      <c r="K234" s="21">
        <v>147</v>
      </c>
    </row>
    <row r="235" spans="1:11" ht="13.2">
      <c r="A235" s="5">
        <v>332</v>
      </c>
      <c r="B235" s="14" t="str">
        <f t="shared" si="0"/>
        <v>4</v>
      </c>
      <c r="C235" s="15" t="s">
        <v>366</v>
      </c>
      <c r="D235" s="16">
        <f t="shared" si="1"/>
        <v>1100</v>
      </c>
      <c r="E235" s="17" t="s">
        <v>353</v>
      </c>
      <c r="F235" s="18" t="s">
        <v>45</v>
      </c>
      <c r="G235" s="15" t="s">
        <v>18</v>
      </c>
      <c r="H235" s="18">
        <v>65</v>
      </c>
      <c r="I235" s="19" t="s">
        <v>86</v>
      </c>
      <c r="J235" s="20" t="s">
        <v>142</v>
      </c>
      <c r="K235" s="21">
        <v>163</v>
      </c>
    </row>
    <row r="236" spans="1:11" ht="13.2">
      <c r="A236" s="5">
        <v>333</v>
      </c>
      <c r="B236" s="14" t="str">
        <f t="shared" si="0"/>
        <v>4</v>
      </c>
      <c r="C236" s="15" t="s">
        <v>367</v>
      </c>
      <c r="D236" s="16">
        <f t="shared" si="1"/>
        <v>1100</v>
      </c>
      <c r="E236" s="17" t="s">
        <v>353</v>
      </c>
      <c r="F236" s="18" t="s">
        <v>50</v>
      </c>
      <c r="G236" s="15" t="s">
        <v>54</v>
      </c>
      <c r="H236" s="18">
        <v>60</v>
      </c>
      <c r="I236" s="19" t="s">
        <v>242</v>
      </c>
      <c r="J236" s="20" t="s">
        <v>25</v>
      </c>
      <c r="K236" s="21">
        <v>183</v>
      </c>
    </row>
    <row r="237" spans="1:11" ht="13.2">
      <c r="A237" s="5">
        <v>334</v>
      </c>
      <c r="B237" s="14" t="str">
        <f t="shared" si="0"/>
        <v>4</v>
      </c>
      <c r="C237" s="15" t="s">
        <v>368</v>
      </c>
      <c r="D237" s="16">
        <f t="shared" si="1"/>
        <v>1100</v>
      </c>
      <c r="E237" s="17" t="s">
        <v>353</v>
      </c>
      <c r="F237" s="18" t="s">
        <v>45</v>
      </c>
      <c r="G237" s="15" t="s">
        <v>131</v>
      </c>
      <c r="H237" s="18">
        <v>97</v>
      </c>
      <c r="I237" s="19" t="s">
        <v>206</v>
      </c>
      <c r="J237" s="20" t="s">
        <v>39</v>
      </c>
      <c r="K237" s="21">
        <v>201</v>
      </c>
    </row>
    <row r="238" spans="1:11" ht="13.2">
      <c r="A238" s="5">
        <v>335</v>
      </c>
      <c r="B238" s="14" t="str">
        <f t="shared" si="0"/>
        <v>4</v>
      </c>
      <c r="C238" s="15" t="s">
        <v>369</v>
      </c>
      <c r="D238" s="16">
        <f t="shared" si="1"/>
        <v>1100</v>
      </c>
      <c r="E238" s="17" t="s">
        <v>353</v>
      </c>
      <c r="F238" s="18" t="s">
        <v>45</v>
      </c>
      <c r="G238" s="15" t="s">
        <v>18</v>
      </c>
      <c r="H238" s="18">
        <v>78</v>
      </c>
      <c r="I238" s="19" t="s">
        <v>86</v>
      </c>
      <c r="J238" s="20" t="s">
        <v>39</v>
      </c>
      <c r="K238" s="21">
        <v>205</v>
      </c>
    </row>
    <row r="239" spans="1:11" ht="13.2">
      <c r="A239" s="5">
        <v>336</v>
      </c>
      <c r="B239" s="14" t="str">
        <f t="shared" si="0"/>
        <v>4</v>
      </c>
      <c r="C239" s="15" t="s">
        <v>370</v>
      </c>
      <c r="D239" s="16">
        <f t="shared" si="1"/>
        <v>1100</v>
      </c>
      <c r="E239" s="17" t="s">
        <v>353</v>
      </c>
      <c r="F239" s="18" t="s">
        <v>45</v>
      </c>
      <c r="G239" s="15" t="s">
        <v>18</v>
      </c>
      <c r="H239" s="18">
        <v>93</v>
      </c>
      <c r="I239" s="19" t="s">
        <v>371</v>
      </c>
      <c r="J239" s="20" t="s">
        <v>253</v>
      </c>
      <c r="K239" s="21">
        <v>246</v>
      </c>
    </row>
    <row r="240" spans="1:11" ht="13.2">
      <c r="A240" s="5">
        <v>337</v>
      </c>
      <c r="B240" s="14" t="str">
        <f t="shared" si="0"/>
        <v>4</v>
      </c>
      <c r="C240" s="15" t="s">
        <v>372</v>
      </c>
      <c r="D240" s="16">
        <f t="shared" si="1"/>
        <v>1100</v>
      </c>
      <c r="E240" s="17" t="s">
        <v>353</v>
      </c>
      <c r="F240" s="18" t="s">
        <v>45</v>
      </c>
      <c r="G240" s="15" t="s">
        <v>110</v>
      </c>
      <c r="H240" s="18">
        <v>75</v>
      </c>
      <c r="I240" s="19" t="s">
        <v>373</v>
      </c>
      <c r="J240" s="20" t="s">
        <v>374</v>
      </c>
      <c r="K240" s="21">
        <v>98</v>
      </c>
    </row>
    <row r="241" spans="1:11" ht="13.2">
      <c r="A241" s="5">
        <v>338</v>
      </c>
      <c r="B241" s="14" t="str">
        <f t="shared" si="0"/>
        <v>4</v>
      </c>
      <c r="C241" s="15" t="s">
        <v>375</v>
      </c>
      <c r="D241" s="16">
        <f t="shared" si="1"/>
        <v>1100</v>
      </c>
      <c r="E241" s="17" t="s">
        <v>353</v>
      </c>
      <c r="F241" s="18" t="s">
        <v>45</v>
      </c>
      <c r="G241" s="15" t="s">
        <v>46</v>
      </c>
      <c r="H241" s="18">
        <v>66</v>
      </c>
      <c r="I241" s="19" t="s">
        <v>175</v>
      </c>
      <c r="J241" s="20" t="s">
        <v>25</v>
      </c>
      <c r="K241" s="21">
        <v>64</v>
      </c>
    </row>
    <row r="242" spans="1:11" ht="13.2">
      <c r="A242" s="5">
        <v>339</v>
      </c>
      <c r="B242" s="14" t="str">
        <f t="shared" si="0"/>
        <v>4</v>
      </c>
      <c r="C242" s="15" t="s">
        <v>376</v>
      </c>
      <c r="D242" s="16">
        <f t="shared" si="1"/>
        <v>1100</v>
      </c>
      <c r="E242" s="17" t="s">
        <v>353</v>
      </c>
      <c r="F242" s="18" t="s">
        <v>65</v>
      </c>
      <c r="G242" s="15" t="s">
        <v>328</v>
      </c>
      <c r="H242" s="18">
        <v>66</v>
      </c>
      <c r="I242" s="19" t="s">
        <v>86</v>
      </c>
      <c r="J242" s="20" t="s">
        <v>25</v>
      </c>
      <c r="K242" s="21">
        <v>285</v>
      </c>
    </row>
    <row r="243" spans="1:11" ht="13.2">
      <c r="A243" s="5">
        <v>340</v>
      </c>
      <c r="B243" s="14" t="str">
        <f t="shared" si="0"/>
        <v>4</v>
      </c>
      <c r="C243" s="15" t="s">
        <v>377</v>
      </c>
      <c r="D243" s="16">
        <f t="shared" si="1"/>
        <v>1100</v>
      </c>
      <c r="E243" s="17" t="s">
        <v>353</v>
      </c>
      <c r="F243" s="18" t="s">
        <v>65</v>
      </c>
      <c r="G243" s="15" t="s">
        <v>18</v>
      </c>
      <c r="H243" s="18">
        <v>78</v>
      </c>
      <c r="I243" s="19" t="s">
        <v>175</v>
      </c>
      <c r="J243" s="20" t="s">
        <v>175</v>
      </c>
      <c r="K243" s="21">
        <v>209</v>
      </c>
    </row>
    <row r="244" spans="1:11" ht="13.2">
      <c r="A244" s="5">
        <v>341</v>
      </c>
      <c r="B244" s="14" t="str">
        <f t="shared" si="0"/>
        <v>4</v>
      </c>
      <c r="C244" s="15" t="s">
        <v>378</v>
      </c>
      <c r="D244" s="16">
        <f t="shared" si="1"/>
        <v>1100</v>
      </c>
      <c r="E244" s="17" t="s">
        <v>353</v>
      </c>
      <c r="F244" s="18" t="s">
        <v>50</v>
      </c>
      <c r="G244" s="15" t="s">
        <v>18</v>
      </c>
      <c r="H244" s="18">
        <v>120</v>
      </c>
      <c r="I244" s="19" t="s">
        <v>209</v>
      </c>
      <c r="J244" s="20" t="s">
        <v>142</v>
      </c>
      <c r="K244" s="21">
        <v>210</v>
      </c>
    </row>
    <row r="245" spans="1:11" ht="13.2">
      <c r="A245" s="5">
        <v>342</v>
      </c>
      <c r="B245" s="14" t="str">
        <f t="shared" si="0"/>
        <v>5</v>
      </c>
      <c r="C245" s="15" t="s">
        <v>379</v>
      </c>
      <c r="D245" s="16">
        <f t="shared" si="1"/>
        <v>1800</v>
      </c>
      <c r="E245" s="17" t="s">
        <v>380</v>
      </c>
      <c r="F245" s="18" t="s">
        <v>50</v>
      </c>
      <c r="G245" s="15" t="s">
        <v>105</v>
      </c>
      <c r="H245" s="18">
        <v>90</v>
      </c>
      <c r="I245" s="19" t="s">
        <v>296</v>
      </c>
      <c r="J245" s="20" t="s">
        <v>259</v>
      </c>
      <c r="K245" s="21">
        <v>124</v>
      </c>
    </row>
    <row r="246" spans="1:11" ht="13.2">
      <c r="A246" s="5">
        <v>343</v>
      </c>
      <c r="B246" s="14" t="str">
        <f t="shared" si="0"/>
        <v>5</v>
      </c>
      <c r="C246" s="15" t="s">
        <v>381</v>
      </c>
      <c r="D246" s="16">
        <f t="shared" si="1"/>
        <v>1800</v>
      </c>
      <c r="E246" s="17" t="s">
        <v>380</v>
      </c>
      <c r="F246" s="18" t="s">
        <v>43</v>
      </c>
      <c r="G246" s="15" t="s">
        <v>211</v>
      </c>
      <c r="H246" s="18">
        <v>110</v>
      </c>
      <c r="I246" s="19" t="s">
        <v>86</v>
      </c>
      <c r="J246" s="20" t="s">
        <v>175</v>
      </c>
      <c r="K246" s="21">
        <v>70</v>
      </c>
    </row>
    <row r="247" spans="1:11" ht="13.2">
      <c r="A247" s="5">
        <v>344</v>
      </c>
      <c r="B247" s="14" t="str">
        <f t="shared" si="0"/>
        <v>5</v>
      </c>
      <c r="C247" s="15" t="s">
        <v>382</v>
      </c>
      <c r="D247" s="16">
        <f t="shared" si="1"/>
        <v>1800</v>
      </c>
      <c r="E247" s="17" t="s">
        <v>380</v>
      </c>
      <c r="F247" s="18" t="s">
        <v>45</v>
      </c>
      <c r="G247" s="15" t="s">
        <v>46</v>
      </c>
      <c r="H247" s="18">
        <v>68</v>
      </c>
      <c r="I247" s="19" t="s">
        <v>172</v>
      </c>
      <c r="J247" s="20" t="s">
        <v>242</v>
      </c>
      <c r="K247" s="21">
        <v>56</v>
      </c>
    </row>
    <row r="248" spans="1:11" ht="13.2">
      <c r="A248" s="5">
        <v>345</v>
      </c>
      <c r="B248" s="14" t="str">
        <f t="shared" si="0"/>
        <v>5</v>
      </c>
      <c r="C248" s="15" t="s">
        <v>383</v>
      </c>
      <c r="D248" s="16">
        <f t="shared" si="1"/>
        <v>1800</v>
      </c>
      <c r="E248" s="17" t="s">
        <v>380</v>
      </c>
      <c r="F248" s="18" t="s">
        <v>65</v>
      </c>
      <c r="G248" s="15" t="s">
        <v>114</v>
      </c>
      <c r="H248" s="18">
        <v>93</v>
      </c>
      <c r="I248" s="19" t="s">
        <v>180</v>
      </c>
      <c r="J248" s="20" t="s">
        <v>25</v>
      </c>
      <c r="K248" s="21">
        <v>316</v>
      </c>
    </row>
    <row r="249" spans="1:11" ht="13.2">
      <c r="A249" s="5">
        <v>346</v>
      </c>
      <c r="B249" s="14" t="str">
        <f t="shared" si="0"/>
        <v>5</v>
      </c>
      <c r="C249" s="15" t="s">
        <v>384</v>
      </c>
      <c r="D249" s="16">
        <f t="shared" si="1"/>
        <v>1800</v>
      </c>
      <c r="E249" s="17" t="s">
        <v>380</v>
      </c>
      <c r="F249" s="18" t="s">
        <v>22</v>
      </c>
      <c r="G249" s="15" t="s">
        <v>131</v>
      </c>
      <c r="H249" s="18">
        <v>94</v>
      </c>
      <c r="I249" s="19" t="s">
        <v>385</v>
      </c>
      <c r="J249" s="20" t="s">
        <v>25</v>
      </c>
      <c r="K249" s="21">
        <v>34</v>
      </c>
    </row>
    <row r="250" spans="1:11" ht="13.2">
      <c r="A250" s="5">
        <v>347</v>
      </c>
      <c r="B250" s="14" t="str">
        <f t="shared" si="0"/>
        <v>5</v>
      </c>
      <c r="C250" s="15" t="s">
        <v>386</v>
      </c>
      <c r="D250" s="16">
        <f t="shared" si="1"/>
        <v>1800</v>
      </c>
      <c r="E250" s="17" t="s">
        <v>380</v>
      </c>
      <c r="F250" s="18" t="s">
        <v>387</v>
      </c>
      <c r="G250" s="15" t="s">
        <v>328</v>
      </c>
      <c r="H250" s="18">
        <v>82</v>
      </c>
      <c r="I250" s="19" t="s">
        <v>388</v>
      </c>
      <c r="J250" s="20" t="s">
        <v>229</v>
      </c>
      <c r="K250" s="21">
        <v>36</v>
      </c>
    </row>
    <row r="251" spans="1:11" ht="13.2">
      <c r="A251" s="5">
        <v>348</v>
      </c>
      <c r="B251" s="14" t="str">
        <f t="shared" si="0"/>
        <v>5</v>
      </c>
      <c r="C251" s="15" t="s">
        <v>389</v>
      </c>
      <c r="D251" s="16">
        <f t="shared" si="1"/>
        <v>1800</v>
      </c>
      <c r="E251" s="17" t="s">
        <v>380</v>
      </c>
      <c r="F251" s="18" t="s">
        <v>65</v>
      </c>
      <c r="G251" s="15" t="s">
        <v>18</v>
      </c>
      <c r="H251" s="18">
        <v>71</v>
      </c>
      <c r="I251" s="19" t="s">
        <v>311</v>
      </c>
      <c r="J251" s="20" t="s">
        <v>284</v>
      </c>
      <c r="K251" s="21">
        <v>128</v>
      </c>
    </row>
    <row r="252" spans="1:11" ht="13.2">
      <c r="A252" s="5">
        <v>349</v>
      </c>
      <c r="B252" s="14" t="str">
        <f t="shared" si="0"/>
        <v>5</v>
      </c>
      <c r="C252" s="15" t="s">
        <v>390</v>
      </c>
      <c r="D252" s="16">
        <f t="shared" si="1"/>
        <v>1800</v>
      </c>
      <c r="E252" s="17" t="s">
        <v>380</v>
      </c>
      <c r="F252" s="18" t="s">
        <v>50</v>
      </c>
      <c r="G252" s="15" t="s">
        <v>105</v>
      </c>
      <c r="H252" s="18">
        <v>126</v>
      </c>
      <c r="I252" s="19" t="s">
        <v>296</v>
      </c>
      <c r="J252" s="20" t="s">
        <v>25</v>
      </c>
      <c r="K252" s="21">
        <v>124</v>
      </c>
    </row>
    <row r="253" spans="1:11" ht="13.2">
      <c r="A253" s="5">
        <v>350</v>
      </c>
      <c r="B253" s="14" t="str">
        <f t="shared" si="0"/>
        <v>5</v>
      </c>
      <c r="C253" s="15" t="s">
        <v>391</v>
      </c>
      <c r="D253" s="16">
        <f t="shared" si="1"/>
        <v>1800</v>
      </c>
      <c r="E253" s="17" t="s">
        <v>380</v>
      </c>
      <c r="F253" s="18" t="s">
        <v>50</v>
      </c>
      <c r="G253" s="15" t="s">
        <v>105</v>
      </c>
      <c r="H253" s="18">
        <v>102</v>
      </c>
      <c r="I253" s="19" t="s">
        <v>175</v>
      </c>
      <c r="J253" s="20" t="s">
        <v>25</v>
      </c>
      <c r="K253" s="21">
        <v>125</v>
      </c>
    </row>
    <row r="254" spans="1:11" ht="13.2">
      <c r="A254" s="5">
        <v>351</v>
      </c>
      <c r="B254" s="14" t="str">
        <f t="shared" si="0"/>
        <v>5</v>
      </c>
      <c r="C254" s="15" t="s">
        <v>392</v>
      </c>
      <c r="D254" s="16">
        <f t="shared" si="1"/>
        <v>1800</v>
      </c>
      <c r="E254" s="17" t="s">
        <v>380</v>
      </c>
      <c r="F254" s="18" t="s">
        <v>50</v>
      </c>
      <c r="G254" s="15" t="s">
        <v>54</v>
      </c>
      <c r="H254" s="18">
        <v>93</v>
      </c>
      <c r="I254" s="19" t="s">
        <v>253</v>
      </c>
      <c r="J254" s="20" t="s">
        <v>25</v>
      </c>
      <c r="K254" s="21">
        <v>169</v>
      </c>
    </row>
    <row r="255" spans="1:11" ht="13.2">
      <c r="A255" s="5">
        <v>352</v>
      </c>
      <c r="B255" s="14" t="str">
        <f t="shared" si="0"/>
        <v>5</v>
      </c>
      <c r="C255" s="15" t="s">
        <v>393</v>
      </c>
      <c r="D255" s="16">
        <f t="shared" si="1"/>
        <v>1800</v>
      </c>
      <c r="E255" s="17" t="s">
        <v>380</v>
      </c>
      <c r="F255" s="18" t="s">
        <v>22</v>
      </c>
      <c r="G255" s="15" t="s">
        <v>23</v>
      </c>
      <c r="H255" s="18">
        <v>85</v>
      </c>
      <c r="I255" s="19" t="s">
        <v>362</v>
      </c>
      <c r="J255" s="20" t="s">
        <v>296</v>
      </c>
      <c r="K255" s="21">
        <v>324</v>
      </c>
    </row>
    <row r="256" spans="1:11" ht="13.2">
      <c r="A256" s="5">
        <v>353</v>
      </c>
      <c r="B256" s="14" t="str">
        <f t="shared" si="0"/>
        <v>5</v>
      </c>
      <c r="C256" s="15" t="s">
        <v>394</v>
      </c>
      <c r="D256" s="16">
        <f t="shared" si="1"/>
        <v>1800</v>
      </c>
      <c r="E256" s="17" t="s">
        <v>380</v>
      </c>
      <c r="F256" s="18" t="s">
        <v>22</v>
      </c>
      <c r="G256" s="15" t="s">
        <v>23</v>
      </c>
      <c r="H256" s="18">
        <v>126</v>
      </c>
      <c r="I256" s="19" t="s">
        <v>395</v>
      </c>
      <c r="J256" s="20" t="s">
        <v>25</v>
      </c>
      <c r="K256" s="21">
        <v>328</v>
      </c>
    </row>
    <row r="257" spans="1:11" ht="13.2">
      <c r="A257" s="5">
        <v>354</v>
      </c>
      <c r="B257" s="14" t="str">
        <f t="shared" ref="B257:B429" si="2">E257</f>
        <v>5</v>
      </c>
      <c r="C257" s="15" t="s">
        <v>396</v>
      </c>
      <c r="D257" s="16">
        <f t="shared" ref="D257:D429" si="3">IF(E257="1/8",25,IF(E257="1/4",50,IF(E257="1/2",100,IF(E257="1",200,IF(E257="2",450,IF(E257="3",700,IF(E257="4",1100,IF(E257="5",1800,IF(E257="6",2300,IF(E257="7",2900,IF(E257="8",3900,IF(E257="9",5000,IF(E257="10",5900,IF(E257="11",7200,IF(E257="12",8400,IF(E257="13",10000,IF(E257="14",11500,IF(E257="15",13000,IF(E257="16",15000,IF(E257="17",18000,IF(E257="18",20000,IF(E257="19",22000,IF(E257="20",25000,IF(E257="21",33000,IF(E257="22",41000,IF(E257="23",50000,IF(E257="24",62000,IF(E257="25",71000,IF(E257="26",90000,IF(E257="27",100000,IF(E257="28",110000,IF(E257="29",130000,IF(E257="30",155000,)))))))))))))))))))))))))))))))))</f>
        <v>1800</v>
      </c>
      <c r="E257" s="17" t="s">
        <v>380</v>
      </c>
      <c r="F257" s="18" t="s">
        <v>41</v>
      </c>
      <c r="G257" s="15" t="s">
        <v>18</v>
      </c>
      <c r="H257" s="18">
        <v>112</v>
      </c>
      <c r="I257" s="19" t="s">
        <v>253</v>
      </c>
      <c r="J257" s="20" t="s">
        <v>80</v>
      </c>
      <c r="K257" s="21">
        <v>346</v>
      </c>
    </row>
    <row r="258" spans="1:11" ht="13.2">
      <c r="A258" s="5">
        <v>355</v>
      </c>
      <c r="B258" s="14" t="str">
        <f t="shared" si="2"/>
        <v>5</v>
      </c>
      <c r="C258" s="15" t="s">
        <v>397</v>
      </c>
      <c r="D258" s="16">
        <f t="shared" si="3"/>
        <v>1800</v>
      </c>
      <c r="E258" s="17" t="s">
        <v>380</v>
      </c>
      <c r="F258" s="18" t="s">
        <v>22</v>
      </c>
      <c r="G258" s="15" t="s">
        <v>54</v>
      </c>
      <c r="H258" s="18">
        <v>114</v>
      </c>
      <c r="I258" s="19" t="s">
        <v>398</v>
      </c>
      <c r="J258" s="20" t="s">
        <v>399</v>
      </c>
      <c r="K258" s="21">
        <v>171</v>
      </c>
    </row>
    <row r="259" spans="1:11" ht="13.2">
      <c r="A259" s="5">
        <v>356</v>
      </c>
      <c r="B259" s="14" t="str">
        <f t="shared" si="2"/>
        <v>5</v>
      </c>
      <c r="C259" s="15" t="s">
        <v>400</v>
      </c>
      <c r="D259" s="16">
        <f t="shared" si="3"/>
        <v>1800</v>
      </c>
      <c r="E259" s="17" t="s">
        <v>380</v>
      </c>
      <c r="F259" s="18" t="s">
        <v>41</v>
      </c>
      <c r="G259" s="15" t="s">
        <v>18</v>
      </c>
      <c r="H259" s="18">
        <v>65</v>
      </c>
      <c r="I259" s="19" t="s">
        <v>209</v>
      </c>
      <c r="J259" s="20" t="s">
        <v>86</v>
      </c>
      <c r="K259" s="21">
        <v>180</v>
      </c>
    </row>
    <row r="260" spans="1:11" ht="13.2">
      <c r="A260" s="5">
        <v>357</v>
      </c>
      <c r="B260" s="14" t="str">
        <f t="shared" si="2"/>
        <v>5</v>
      </c>
      <c r="C260" s="15" t="s">
        <v>401</v>
      </c>
      <c r="D260" s="16">
        <f t="shared" si="3"/>
        <v>1800</v>
      </c>
      <c r="E260" s="17" t="s">
        <v>380</v>
      </c>
      <c r="F260" s="18" t="s">
        <v>45</v>
      </c>
      <c r="G260" s="15" t="s">
        <v>205</v>
      </c>
      <c r="H260" s="18">
        <v>105</v>
      </c>
      <c r="I260" s="19" t="s">
        <v>361</v>
      </c>
      <c r="J260" s="20" t="s">
        <v>362</v>
      </c>
      <c r="K260" s="21">
        <v>155</v>
      </c>
    </row>
    <row r="261" spans="1:11" ht="13.2">
      <c r="A261" s="5">
        <v>358</v>
      </c>
      <c r="B261" s="14" t="str">
        <f t="shared" si="2"/>
        <v>5</v>
      </c>
      <c r="C261" s="15" t="s">
        <v>402</v>
      </c>
      <c r="D261" s="16">
        <f t="shared" si="3"/>
        <v>1800</v>
      </c>
      <c r="E261" s="17" t="s">
        <v>380</v>
      </c>
      <c r="F261" s="18" t="s">
        <v>65</v>
      </c>
      <c r="G261" s="15" t="s">
        <v>328</v>
      </c>
      <c r="H261" s="18">
        <v>75</v>
      </c>
      <c r="I261" s="19" t="s">
        <v>80</v>
      </c>
      <c r="J261" s="20" t="s">
        <v>284</v>
      </c>
      <c r="K261" s="21">
        <v>313</v>
      </c>
    </row>
    <row r="262" spans="1:11" ht="13.2">
      <c r="A262" s="5">
        <v>359</v>
      </c>
      <c r="B262" s="14" t="str">
        <f t="shared" si="2"/>
        <v>5</v>
      </c>
      <c r="C262" s="15" t="s">
        <v>403</v>
      </c>
      <c r="D262" s="16">
        <f t="shared" si="3"/>
        <v>1800</v>
      </c>
      <c r="E262" s="17" t="s">
        <v>380</v>
      </c>
      <c r="F262" s="18" t="s">
        <v>65</v>
      </c>
      <c r="G262" s="15" t="s">
        <v>328</v>
      </c>
      <c r="H262" s="18">
        <v>112</v>
      </c>
      <c r="I262" s="19" t="s">
        <v>253</v>
      </c>
      <c r="J262" s="20" t="s">
        <v>25</v>
      </c>
      <c r="K262" s="21">
        <v>178</v>
      </c>
    </row>
    <row r="263" spans="1:11" ht="13.2">
      <c r="A263" s="5">
        <v>360</v>
      </c>
      <c r="B263" s="14" t="str">
        <f t="shared" si="2"/>
        <v>5</v>
      </c>
      <c r="C263" s="15" t="s">
        <v>404</v>
      </c>
      <c r="D263" s="16">
        <f t="shared" si="3"/>
        <v>1800</v>
      </c>
      <c r="E263" s="17" t="s">
        <v>380</v>
      </c>
      <c r="F263" s="18" t="s">
        <v>50</v>
      </c>
      <c r="G263" s="15" t="s">
        <v>32</v>
      </c>
      <c r="H263" s="18">
        <v>114</v>
      </c>
      <c r="I263" s="19" t="s">
        <v>249</v>
      </c>
      <c r="J263" s="20" t="s">
        <v>249</v>
      </c>
      <c r="K263" s="21">
        <v>248</v>
      </c>
    </row>
    <row r="264" spans="1:11" ht="13.2">
      <c r="A264" s="5">
        <v>361</v>
      </c>
      <c r="B264" s="14" t="str">
        <f t="shared" si="2"/>
        <v>5</v>
      </c>
      <c r="C264" s="15" t="s">
        <v>405</v>
      </c>
      <c r="D264" s="16">
        <f t="shared" si="3"/>
        <v>1800</v>
      </c>
      <c r="E264" s="17" t="s">
        <v>380</v>
      </c>
      <c r="F264" s="18" t="s">
        <v>61</v>
      </c>
      <c r="G264" s="15" t="s">
        <v>32</v>
      </c>
      <c r="H264" s="18">
        <v>93</v>
      </c>
      <c r="I264" s="19" t="s">
        <v>87</v>
      </c>
      <c r="J264" s="20" t="s">
        <v>142</v>
      </c>
      <c r="K264" s="21">
        <v>276</v>
      </c>
    </row>
    <row r="265" spans="1:11" ht="13.2">
      <c r="A265" s="5">
        <v>362</v>
      </c>
      <c r="B265" s="14" t="str">
        <f t="shared" si="2"/>
        <v>5</v>
      </c>
      <c r="C265" s="15" t="s">
        <v>406</v>
      </c>
      <c r="D265" s="16">
        <f t="shared" si="3"/>
        <v>1800</v>
      </c>
      <c r="E265" s="17" t="s">
        <v>380</v>
      </c>
      <c r="F265" s="18" t="s">
        <v>50</v>
      </c>
      <c r="G265" s="15" t="s">
        <v>114</v>
      </c>
      <c r="H265" s="18">
        <v>136</v>
      </c>
      <c r="I265" s="19" t="s">
        <v>172</v>
      </c>
      <c r="J265" s="20" t="s">
        <v>25</v>
      </c>
      <c r="K265" s="21">
        <v>259</v>
      </c>
    </row>
    <row r="266" spans="1:11" ht="13.2">
      <c r="A266" s="5">
        <v>363</v>
      </c>
      <c r="B266" s="14" t="str">
        <f t="shared" si="2"/>
        <v>5</v>
      </c>
      <c r="C266" s="15" t="s">
        <v>407</v>
      </c>
      <c r="D266" s="16">
        <f t="shared" si="3"/>
        <v>1800</v>
      </c>
      <c r="E266" s="17" t="s">
        <v>380</v>
      </c>
      <c r="F266" s="18" t="s">
        <v>65</v>
      </c>
      <c r="G266" s="15" t="s">
        <v>131</v>
      </c>
      <c r="H266" s="18">
        <v>93</v>
      </c>
      <c r="I266" s="19" t="s">
        <v>255</v>
      </c>
      <c r="J266" s="20" t="s">
        <v>25</v>
      </c>
      <c r="K266" s="21">
        <v>261</v>
      </c>
    </row>
    <row r="267" spans="1:11" ht="13.2">
      <c r="A267" s="5">
        <v>364</v>
      </c>
      <c r="B267" s="14" t="str">
        <f t="shared" si="2"/>
        <v>5</v>
      </c>
      <c r="C267" s="15" t="s">
        <v>408</v>
      </c>
      <c r="D267" s="16">
        <f t="shared" si="3"/>
        <v>1800</v>
      </c>
      <c r="E267" s="17" t="s">
        <v>380</v>
      </c>
      <c r="F267" s="18" t="s">
        <v>43</v>
      </c>
      <c r="G267" s="15" t="s">
        <v>18</v>
      </c>
      <c r="H267" s="18">
        <v>76</v>
      </c>
      <c r="I267" s="19" t="s">
        <v>80</v>
      </c>
      <c r="J267" s="20" t="s">
        <v>172</v>
      </c>
      <c r="K267" s="21">
        <v>264</v>
      </c>
    </row>
    <row r="268" spans="1:11" ht="13.2">
      <c r="A268" s="5">
        <v>365</v>
      </c>
      <c r="B268" s="14" t="str">
        <f t="shared" si="2"/>
        <v>5</v>
      </c>
      <c r="C268" s="15" t="s">
        <v>409</v>
      </c>
      <c r="D268" s="16">
        <f t="shared" si="3"/>
        <v>1800</v>
      </c>
      <c r="E268" s="17" t="s">
        <v>380</v>
      </c>
      <c r="F268" s="18" t="s">
        <v>65</v>
      </c>
      <c r="G268" s="15" t="s">
        <v>105</v>
      </c>
      <c r="H268" s="18">
        <v>90</v>
      </c>
      <c r="I268" s="19" t="s">
        <v>410</v>
      </c>
      <c r="J268" s="20" t="s">
        <v>311</v>
      </c>
      <c r="K268" s="21">
        <v>266</v>
      </c>
    </row>
    <row r="269" spans="1:11" ht="13.2">
      <c r="A269" s="5">
        <v>366</v>
      </c>
      <c r="B269" s="14" t="str">
        <f t="shared" si="2"/>
        <v>5</v>
      </c>
      <c r="C269" s="15" t="s">
        <v>411</v>
      </c>
      <c r="D269" s="16">
        <f t="shared" si="3"/>
        <v>1800</v>
      </c>
      <c r="E269" s="17" t="s">
        <v>380</v>
      </c>
      <c r="F269" s="18" t="s">
        <v>22</v>
      </c>
      <c r="G269" s="15" t="s">
        <v>66</v>
      </c>
      <c r="H269" s="18">
        <v>136</v>
      </c>
      <c r="I269" s="19" t="s">
        <v>253</v>
      </c>
      <c r="J269" s="20" t="s">
        <v>25</v>
      </c>
      <c r="K269" s="21">
        <v>270</v>
      </c>
    </row>
    <row r="270" spans="1:11" ht="13.2">
      <c r="A270" s="5">
        <v>367</v>
      </c>
      <c r="B270" s="14" t="str">
        <f t="shared" si="2"/>
        <v>5</v>
      </c>
      <c r="C270" s="15" t="s">
        <v>412</v>
      </c>
      <c r="D270" s="16">
        <f t="shared" si="3"/>
        <v>1800</v>
      </c>
      <c r="E270" s="17" t="s">
        <v>380</v>
      </c>
      <c r="F270" s="18" t="s">
        <v>22</v>
      </c>
      <c r="G270" s="15" t="s">
        <v>23</v>
      </c>
      <c r="H270" s="18">
        <v>95</v>
      </c>
      <c r="I270" s="19" t="s">
        <v>413</v>
      </c>
      <c r="J270" s="20" t="s">
        <v>395</v>
      </c>
      <c r="K270" s="21">
        <v>80</v>
      </c>
    </row>
    <row r="271" spans="1:11" ht="13.2">
      <c r="A271" s="5">
        <v>368</v>
      </c>
      <c r="B271" s="14" t="str">
        <f t="shared" si="2"/>
        <v>5</v>
      </c>
      <c r="C271" s="15" t="s">
        <v>414</v>
      </c>
      <c r="D271" s="16">
        <f t="shared" si="3"/>
        <v>1800</v>
      </c>
      <c r="E271" s="17" t="s">
        <v>380</v>
      </c>
      <c r="F271" s="18" t="s">
        <v>45</v>
      </c>
      <c r="G271" s="15" t="s">
        <v>205</v>
      </c>
      <c r="H271" s="18">
        <v>84</v>
      </c>
      <c r="I271" s="19" t="s">
        <v>284</v>
      </c>
      <c r="J271" s="20" t="s">
        <v>172</v>
      </c>
      <c r="K271" s="21">
        <v>291</v>
      </c>
    </row>
    <row r="272" spans="1:11" ht="13.2">
      <c r="A272" s="5">
        <v>369</v>
      </c>
      <c r="B272" s="14" t="str">
        <f t="shared" si="2"/>
        <v>5</v>
      </c>
      <c r="C272" s="15" t="s">
        <v>415</v>
      </c>
      <c r="D272" s="16">
        <f t="shared" si="3"/>
        <v>1800</v>
      </c>
      <c r="E272" s="17" t="s">
        <v>380</v>
      </c>
      <c r="F272" s="18" t="s">
        <v>45</v>
      </c>
      <c r="G272" s="15" t="s">
        <v>131</v>
      </c>
      <c r="H272" s="18">
        <v>93</v>
      </c>
      <c r="I272" s="19" t="s">
        <v>291</v>
      </c>
      <c r="J272" s="20" t="s">
        <v>296</v>
      </c>
      <c r="K272" s="21">
        <v>292</v>
      </c>
    </row>
    <row r="273" spans="1:11" ht="13.2">
      <c r="A273" s="5">
        <v>370</v>
      </c>
      <c r="B273" s="14" t="str">
        <f t="shared" si="2"/>
        <v>5</v>
      </c>
      <c r="C273" s="15" t="s">
        <v>416</v>
      </c>
      <c r="D273" s="16">
        <f t="shared" si="3"/>
        <v>1800</v>
      </c>
      <c r="E273" s="17" t="s">
        <v>380</v>
      </c>
      <c r="F273" s="18" t="s">
        <v>31</v>
      </c>
      <c r="G273" s="15" t="s">
        <v>286</v>
      </c>
      <c r="H273" s="18">
        <v>67</v>
      </c>
      <c r="I273" s="19" t="s">
        <v>172</v>
      </c>
      <c r="J273" s="20" t="s">
        <v>182</v>
      </c>
      <c r="K273" s="21">
        <v>294</v>
      </c>
    </row>
    <row r="274" spans="1:11" ht="13.2">
      <c r="A274" s="5">
        <v>371</v>
      </c>
      <c r="B274" s="14" t="str">
        <f t="shared" si="2"/>
        <v>5</v>
      </c>
      <c r="C274" s="15" t="s">
        <v>417</v>
      </c>
      <c r="D274" s="16">
        <f t="shared" si="3"/>
        <v>1800</v>
      </c>
      <c r="E274" s="17" t="s">
        <v>380</v>
      </c>
      <c r="F274" s="18" t="s">
        <v>65</v>
      </c>
      <c r="G274" s="15" t="s">
        <v>114</v>
      </c>
      <c r="H274" s="18">
        <v>82</v>
      </c>
      <c r="I274" s="19" t="s">
        <v>87</v>
      </c>
      <c r="J274" s="20" t="s">
        <v>228</v>
      </c>
      <c r="K274" s="21">
        <v>298</v>
      </c>
    </row>
    <row r="275" spans="1:11" ht="13.2">
      <c r="A275" s="5">
        <v>372</v>
      </c>
      <c r="B275" s="14" t="str">
        <f t="shared" si="2"/>
        <v>5</v>
      </c>
      <c r="C275" s="15" t="s">
        <v>418</v>
      </c>
      <c r="D275" s="16">
        <f t="shared" si="3"/>
        <v>1800</v>
      </c>
      <c r="E275" s="17" t="s">
        <v>380</v>
      </c>
      <c r="F275" s="18" t="s">
        <v>50</v>
      </c>
      <c r="G275" s="15" t="s">
        <v>105</v>
      </c>
      <c r="H275" s="18">
        <v>114</v>
      </c>
      <c r="I275" s="19" t="s">
        <v>253</v>
      </c>
      <c r="J275" s="20" t="s">
        <v>25</v>
      </c>
      <c r="K275" s="21">
        <v>125</v>
      </c>
    </row>
    <row r="276" spans="1:11" ht="13.2">
      <c r="A276" s="5">
        <v>373</v>
      </c>
      <c r="B276" s="14" t="str">
        <f t="shared" si="2"/>
        <v>5</v>
      </c>
      <c r="C276" s="15" t="s">
        <v>419</v>
      </c>
      <c r="D276" s="16">
        <f t="shared" si="3"/>
        <v>1800</v>
      </c>
      <c r="E276" s="17" t="s">
        <v>380</v>
      </c>
      <c r="F276" s="18" t="s">
        <v>69</v>
      </c>
      <c r="G276" s="15" t="s">
        <v>18</v>
      </c>
      <c r="H276" s="18">
        <v>135</v>
      </c>
      <c r="I276" s="19" t="s">
        <v>226</v>
      </c>
      <c r="J276" s="20" t="s">
        <v>25</v>
      </c>
      <c r="K276" s="21">
        <v>208</v>
      </c>
    </row>
    <row r="277" spans="1:11" ht="13.2">
      <c r="A277" s="5">
        <v>374</v>
      </c>
      <c r="B277" s="14" t="str">
        <f t="shared" si="2"/>
        <v>5</v>
      </c>
      <c r="C277" s="15" t="s">
        <v>420</v>
      </c>
      <c r="D277" s="16">
        <f t="shared" si="3"/>
        <v>1800</v>
      </c>
      <c r="E277" s="17" t="s">
        <v>380</v>
      </c>
      <c r="F277" s="18" t="s">
        <v>65</v>
      </c>
      <c r="G277" s="15" t="s">
        <v>114</v>
      </c>
      <c r="H277" s="18">
        <v>67</v>
      </c>
      <c r="I277" s="19" t="s">
        <v>421</v>
      </c>
      <c r="J277" s="20" t="s">
        <v>25</v>
      </c>
      <c r="K277" s="21">
        <v>302</v>
      </c>
    </row>
    <row r="278" spans="1:11" ht="13.2">
      <c r="A278" s="5">
        <v>375</v>
      </c>
      <c r="B278" s="14" t="str">
        <f t="shared" si="2"/>
        <v>5</v>
      </c>
      <c r="C278" s="15" t="s">
        <v>422</v>
      </c>
      <c r="D278" s="16">
        <f t="shared" si="3"/>
        <v>1800</v>
      </c>
      <c r="E278" s="17" t="s">
        <v>380</v>
      </c>
      <c r="F278" s="18" t="s">
        <v>50</v>
      </c>
      <c r="G278" s="15" t="s">
        <v>105</v>
      </c>
      <c r="H278" s="18">
        <v>73</v>
      </c>
      <c r="I278" s="19" t="s">
        <v>86</v>
      </c>
      <c r="J278" s="20" t="s">
        <v>228</v>
      </c>
      <c r="K278" s="21">
        <v>304</v>
      </c>
    </row>
    <row r="279" spans="1:11" ht="13.2">
      <c r="A279" s="5">
        <v>376</v>
      </c>
      <c r="B279" s="14" t="str">
        <f t="shared" si="2"/>
        <v>5</v>
      </c>
      <c r="C279" s="15" t="s">
        <v>423</v>
      </c>
      <c r="D279" s="16">
        <f t="shared" si="3"/>
        <v>1800</v>
      </c>
      <c r="E279" s="17" t="s">
        <v>380</v>
      </c>
      <c r="F279" s="18" t="s">
        <v>22</v>
      </c>
      <c r="G279" s="15" t="s">
        <v>131</v>
      </c>
      <c r="H279" s="18">
        <v>93</v>
      </c>
      <c r="I279" s="19" t="s">
        <v>424</v>
      </c>
      <c r="J279" s="20" t="s">
        <v>25</v>
      </c>
      <c r="K279" s="21">
        <v>258</v>
      </c>
    </row>
    <row r="280" spans="1:11" ht="13.2">
      <c r="A280" s="5">
        <v>377</v>
      </c>
      <c r="B280" s="14" t="str">
        <f t="shared" si="2"/>
        <v>6</v>
      </c>
      <c r="C280" s="15" t="s">
        <v>425</v>
      </c>
      <c r="D280" s="16">
        <f t="shared" si="3"/>
        <v>2300</v>
      </c>
      <c r="E280" s="17" t="s">
        <v>426</v>
      </c>
      <c r="F280" s="18" t="s">
        <v>179</v>
      </c>
      <c r="G280" s="15" t="s">
        <v>110</v>
      </c>
      <c r="H280" s="18">
        <v>110</v>
      </c>
      <c r="I280" s="19" t="s">
        <v>226</v>
      </c>
      <c r="J280" s="20" t="s">
        <v>172</v>
      </c>
      <c r="K280" s="21">
        <v>105</v>
      </c>
    </row>
    <row r="281" spans="1:11" ht="13.2">
      <c r="A281" s="5">
        <v>378</v>
      </c>
      <c r="B281" s="14" t="str">
        <f t="shared" si="2"/>
        <v>6</v>
      </c>
      <c r="C281" s="15" t="s">
        <v>427</v>
      </c>
      <c r="D281" s="16">
        <f t="shared" si="3"/>
        <v>2300</v>
      </c>
      <c r="E281" s="17" t="s">
        <v>426</v>
      </c>
      <c r="F281" s="18" t="s">
        <v>45</v>
      </c>
      <c r="G281" s="15" t="s">
        <v>46</v>
      </c>
      <c r="H281" s="18">
        <v>84</v>
      </c>
      <c r="I281" s="19" t="s">
        <v>428</v>
      </c>
      <c r="J281" s="20" t="s">
        <v>25</v>
      </c>
      <c r="K281" s="21">
        <v>57</v>
      </c>
    </row>
    <row r="282" spans="1:11" ht="13.2">
      <c r="A282" s="5">
        <v>379</v>
      </c>
      <c r="B282" s="14" t="str">
        <f t="shared" si="2"/>
        <v>6</v>
      </c>
      <c r="C282" s="15" t="s">
        <v>429</v>
      </c>
      <c r="D282" s="16">
        <f t="shared" si="3"/>
        <v>2300</v>
      </c>
      <c r="E282" s="17" t="s">
        <v>426</v>
      </c>
      <c r="F282" s="18" t="s">
        <v>45</v>
      </c>
      <c r="G282" s="15" t="s">
        <v>131</v>
      </c>
      <c r="H282" s="18">
        <v>114</v>
      </c>
      <c r="I282" s="19" t="s">
        <v>172</v>
      </c>
      <c r="J282" s="20" t="s">
        <v>283</v>
      </c>
      <c r="K282" s="21">
        <v>39</v>
      </c>
    </row>
    <row r="283" spans="1:11" ht="13.2">
      <c r="A283" s="5">
        <v>380</v>
      </c>
      <c r="B283" s="14" t="str">
        <f t="shared" si="2"/>
        <v>6</v>
      </c>
      <c r="C283" s="15" t="s">
        <v>430</v>
      </c>
      <c r="D283" s="16">
        <f t="shared" si="3"/>
        <v>2300</v>
      </c>
      <c r="E283" s="17" t="s">
        <v>426</v>
      </c>
      <c r="F283" s="18" t="s">
        <v>61</v>
      </c>
      <c r="G283" s="15" t="s">
        <v>205</v>
      </c>
      <c r="H283" s="18">
        <v>138</v>
      </c>
      <c r="I283" s="19" t="s">
        <v>431</v>
      </c>
      <c r="J283" s="20" t="s">
        <v>432</v>
      </c>
      <c r="K283" s="21">
        <v>45</v>
      </c>
    </row>
    <row r="284" spans="1:11" ht="13.2">
      <c r="A284" s="5">
        <v>381</v>
      </c>
      <c r="B284" s="14" t="str">
        <f t="shared" si="2"/>
        <v>6</v>
      </c>
      <c r="C284" s="15" t="s">
        <v>433</v>
      </c>
      <c r="D284" s="16">
        <f t="shared" si="3"/>
        <v>2300</v>
      </c>
      <c r="E284" s="17" t="s">
        <v>426</v>
      </c>
      <c r="F284" s="18" t="s">
        <v>45</v>
      </c>
      <c r="G284" s="15" t="s">
        <v>131</v>
      </c>
      <c r="H284" s="18">
        <v>123</v>
      </c>
      <c r="I284" s="19" t="s">
        <v>434</v>
      </c>
      <c r="J284" s="20" t="s">
        <v>209</v>
      </c>
      <c r="K284" s="21">
        <v>120</v>
      </c>
    </row>
    <row r="285" spans="1:11" ht="13.2">
      <c r="A285" s="5">
        <v>382</v>
      </c>
      <c r="B285" s="14" t="str">
        <f t="shared" si="2"/>
        <v>6</v>
      </c>
      <c r="C285" s="15" t="s">
        <v>435</v>
      </c>
      <c r="D285" s="16">
        <f t="shared" si="3"/>
        <v>2300</v>
      </c>
      <c r="E285" s="17" t="s">
        <v>426</v>
      </c>
      <c r="F285" s="18" t="s">
        <v>50</v>
      </c>
      <c r="G285" s="15" t="s">
        <v>105</v>
      </c>
      <c r="H285" s="18">
        <v>85</v>
      </c>
      <c r="I285" s="19" t="s">
        <v>292</v>
      </c>
      <c r="J285" s="20" t="s">
        <v>25</v>
      </c>
      <c r="K285" s="21">
        <v>139</v>
      </c>
    </row>
    <row r="286" spans="1:11" ht="13.2">
      <c r="A286" s="5">
        <v>383</v>
      </c>
      <c r="B286" s="14" t="str">
        <f t="shared" si="2"/>
        <v>6</v>
      </c>
      <c r="C286" s="15" t="s">
        <v>436</v>
      </c>
      <c r="D286" s="16">
        <f t="shared" si="3"/>
        <v>2300</v>
      </c>
      <c r="E286" s="17" t="s">
        <v>426</v>
      </c>
      <c r="F286" s="18" t="s">
        <v>53</v>
      </c>
      <c r="G286" s="15" t="s">
        <v>18</v>
      </c>
      <c r="H286" s="18">
        <v>84</v>
      </c>
      <c r="I286" s="19" t="s">
        <v>437</v>
      </c>
      <c r="J286" s="20" t="s">
        <v>25</v>
      </c>
      <c r="K286" s="21">
        <v>161</v>
      </c>
    </row>
    <row r="287" spans="1:11" ht="13.2">
      <c r="A287" s="5">
        <v>384</v>
      </c>
      <c r="B287" s="14" t="str">
        <f t="shared" si="2"/>
        <v>6</v>
      </c>
      <c r="C287" s="15" t="s">
        <v>438</v>
      </c>
      <c r="D287" s="16">
        <f t="shared" si="3"/>
        <v>2300</v>
      </c>
      <c r="E287" s="17" t="s">
        <v>426</v>
      </c>
      <c r="F287" s="18" t="s">
        <v>43</v>
      </c>
      <c r="G287" s="15" t="s">
        <v>18</v>
      </c>
      <c r="H287" s="18">
        <v>97</v>
      </c>
      <c r="I287" s="19" t="s">
        <v>209</v>
      </c>
      <c r="J287" s="20" t="s">
        <v>39</v>
      </c>
      <c r="K287" s="21">
        <v>187</v>
      </c>
    </row>
    <row r="288" spans="1:11" ht="13.2">
      <c r="A288" s="5">
        <v>385</v>
      </c>
      <c r="B288" s="14" t="str">
        <f t="shared" si="2"/>
        <v>6</v>
      </c>
      <c r="C288" s="15" t="s">
        <v>439</v>
      </c>
      <c r="D288" s="16">
        <f t="shared" si="3"/>
        <v>2300</v>
      </c>
      <c r="E288" s="17" t="s">
        <v>426</v>
      </c>
      <c r="F288" s="18" t="s">
        <v>50</v>
      </c>
      <c r="G288" s="15" t="s">
        <v>105</v>
      </c>
      <c r="H288" s="18">
        <v>104</v>
      </c>
      <c r="I288" s="19" t="s">
        <v>175</v>
      </c>
      <c r="J288" s="20" t="s">
        <v>25</v>
      </c>
      <c r="K288" s="21">
        <v>192</v>
      </c>
    </row>
    <row r="289" spans="1:11" ht="13.2">
      <c r="A289" s="5">
        <v>386</v>
      </c>
      <c r="B289" s="14" t="str">
        <f t="shared" si="2"/>
        <v>6</v>
      </c>
      <c r="C289" s="15" t="s">
        <v>440</v>
      </c>
      <c r="D289" s="16">
        <f t="shared" si="3"/>
        <v>2300</v>
      </c>
      <c r="E289" s="17" t="s">
        <v>426</v>
      </c>
      <c r="F289" s="18" t="s">
        <v>65</v>
      </c>
      <c r="G289" s="15" t="s">
        <v>18</v>
      </c>
      <c r="H289" s="18">
        <v>97</v>
      </c>
      <c r="I289" s="19" t="s">
        <v>338</v>
      </c>
      <c r="J289" s="20" t="s">
        <v>24</v>
      </c>
      <c r="K289" s="21">
        <v>200</v>
      </c>
    </row>
    <row r="290" spans="1:11" ht="13.2">
      <c r="A290" s="5">
        <v>387</v>
      </c>
      <c r="B290" s="14" t="str">
        <f t="shared" si="2"/>
        <v>6</v>
      </c>
      <c r="C290" s="15" t="s">
        <v>441</v>
      </c>
      <c r="D290" s="16">
        <f t="shared" si="3"/>
        <v>2300</v>
      </c>
      <c r="E290" s="17" t="s">
        <v>426</v>
      </c>
      <c r="F290" s="18" t="s">
        <v>41</v>
      </c>
      <c r="G290" s="15" t="s">
        <v>18</v>
      </c>
      <c r="H290" s="18">
        <v>40</v>
      </c>
      <c r="I290" s="19" t="s">
        <v>24</v>
      </c>
      <c r="J290" s="20" t="s">
        <v>25</v>
      </c>
      <c r="K290" s="21">
        <v>347</v>
      </c>
    </row>
    <row r="291" spans="1:11" ht="13.2">
      <c r="A291" s="5">
        <v>388</v>
      </c>
      <c r="B291" s="14" t="str">
        <f t="shared" si="2"/>
        <v>6</v>
      </c>
      <c r="C291" s="15" t="s">
        <v>442</v>
      </c>
      <c r="D291" s="16">
        <f t="shared" si="3"/>
        <v>2300</v>
      </c>
      <c r="E291" s="17" t="s">
        <v>426</v>
      </c>
      <c r="F291" s="18" t="s">
        <v>22</v>
      </c>
      <c r="G291" s="15" t="s">
        <v>23</v>
      </c>
      <c r="H291" s="18">
        <v>126</v>
      </c>
      <c r="I291" s="19" t="s">
        <v>443</v>
      </c>
      <c r="J291" s="20" t="s">
        <v>444</v>
      </c>
      <c r="K291" s="21">
        <v>332</v>
      </c>
    </row>
    <row r="292" spans="1:11" ht="13.2">
      <c r="A292" s="5">
        <v>389</v>
      </c>
      <c r="B292" s="14" t="str">
        <f t="shared" si="2"/>
        <v>6</v>
      </c>
      <c r="C292" s="15" t="s">
        <v>445</v>
      </c>
      <c r="D292" s="16">
        <f t="shared" si="3"/>
        <v>2300</v>
      </c>
      <c r="E292" s="17" t="s">
        <v>426</v>
      </c>
      <c r="F292" s="18" t="s">
        <v>43</v>
      </c>
      <c r="G292" s="15" t="s">
        <v>131</v>
      </c>
      <c r="H292" s="18">
        <v>127</v>
      </c>
      <c r="I292" s="19" t="s">
        <v>446</v>
      </c>
      <c r="J292" s="20" t="s">
        <v>70</v>
      </c>
      <c r="K292" s="21">
        <v>214</v>
      </c>
    </row>
    <row r="293" spans="1:11" ht="13.2">
      <c r="A293" s="5">
        <v>390</v>
      </c>
      <c r="B293" s="14" t="str">
        <f t="shared" si="2"/>
        <v>6</v>
      </c>
      <c r="C293" s="15" t="s">
        <v>447</v>
      </c>
      <c r="D293" s="16">
        <f t="shared" si="3"/>
        <v>2300</v>
      </c>
      <c r="E293" s="17" t="s">
        <v>426</v>
      </c>
      <c r="F293" s="18" t="s">
        <v>45</v>
      </c>
      <c r="G293" s="15" t="s">
        <v>46</v>
      </c>
      <c r="H293" s="18">
        <v>104</v>
      </c>
      <c r="I293" s="19" t="s">
        <v>175</v>
      </c>
      <c r="J293" s="20" t="s">
        <v>206</v>
      </c>
      <c r="K293" s="21">
        <v>64</v>
      </c>
    </row>
    <row r="294" spans="1:11" ht="13.2">
      <c r="A294" s="5">
        <v>391</v>
      </c>
      <c r="B294" s="14" t="str">
        <f t="shared" si="2"/>
        <v>6</v>
      </c>
      <c r="C294" s="15" t="s">
        <v>448</v>
      </c>
      <c r="D294" s="16">
        <f t="shared" si="3"/>
        <v>2300</v>
      </c>
      <c r="E294" s="17" t="s">
        <v>426</v>
      </c>
      <c r="F294" s="18" t="s">
        <v>45</v>
      </c>
      <c r="G294" s="15" t="s">
        <v>110</v>
      </c>
      <c r="H294" s="18">
        <v>135</v>
      </c>
      <c r="I294" s="19" t="s">
        <v>449</v>
      </c>
      <c r="J294" s="20" t="s">
        <v>172</v>
      </c>
      <c r="K294" s="21">
        <v>101</v>
      </c>
    </row>
    <row r="295" spans="1:11" ht="13.2">
      <c r="A295" s="5">
        <v>392</v>
      </c>
      <c r="B295" s="14" t="str">
        <f t="shared" si="2"/>
        <v>6</v>
      </c>
      <c r="C295" s="15" t="s">
        <v>450</v>
      </c>
      <c r="D295" s="16">
        <f t="shared" si="3"/>
        <v>2300</v>
      </c>
      <c r="E295" s="17" t="s">
        <v>426</v>
      </c>
      <c r="F295" s="18" t="s">
        <v>22</v>
      </c>
      <c r="G295" s="15" t="s">
        <v>110</v>
      </c>
      <c r="H295" s="18">
        <v>110</v>
      </c>
      <c r="I295" s="19" t="s">
        <v>172</v>
      </c>
      <c r="J295" s="20" t="s">
        <v>253</v>
      </c>
      <c r="K295" s="21">
        <v>303</v>
      </c>
    </row>
    <row r="296" spans="1:11" ht="13.2">
      <c r="A296" s="5">
        <v>393</v>
      </c>
      <c r="B296" s="14" t="str">
        <f t="shared" si="2"/>
        <v>7</v>
      </c>
      <c r="C296" s="15" t="s">
        <v>451</v>
      </c>
      <c r="D296" s="16">
        <f t="shared" si="3"/>
        <v>2900</v>
      </c>
      <c r="E296" s="17" t="s">
        <v>452</v>
      </c>
      <c r="F296" s="18" t="s">
        <v>45</v>
      </c>
      <c r="G296" s="15" t="s">
        <v>110</v>
      </c>
      <c r="H296" s="18">
        <v>127</v>
      </c>
      <c r="I296" s="19" t="s">
        <v>449</v>
      </c>
      <c r="J296" s="20" t="s">
        <v>172</v>
      </c>
      <c r="K296" s="21">
        <v>88</v>
      </c>
    </row>
    <row r="297" spans="1:11" ht="13.2">
      <c r="A297" s="5">
        <v>394</v>
      </c>
      <c r="B297" s="14" t="str">
        <f t="shared" si="2"/>
        <v>7</v>
      </c>
      <c r="C297" s="15" t="s">
        <v>453</v>
      </c>
      <c r="D297" s="16">
        <f t="shared" si="3"/>
        <v>2900</v>
      </c>
      <c r="E297" s="17" t="s">
        <v>452</v>
      </c>
      <c r="F297" s="18" t="s">
        <v>61</v>
      </c>
      <c r="G297" s="15" t="s">
        <v>32</v>
      </c>
      <c r="H297" s="18">
        <v>123</v>
      </c>
      <c r="I297" s="19" t="s">
        <v>292</v>
      </c>
      <c r="J297" s="20" t="s">
        <v>292</v>
      </c>
      <c r="K297" s="21">
        <v>276</v>
      </c>
    </row>
    <row r="298" spans="1:11" ht="13.2">
      <c r="A298" s="5">
        <v>395</v>
      </c>
      <c r="B298" s="14" t="str">
        <f t="shared" si="2"/>
        <v>7</v>
      </c>
      <c r="C298" s="15" t="s">
        <v>454</v>
      </c>
      <c r="D298" s="16">
        <f t="shared" si="3"/>
        <v>2900</v>
      </c>
      <c r="E298" s="17" t="s">
        <v>452</v>
      </c>
      <c r="F298" s="18" t="s">
        <v>179</v>
      </c>
      <c r="G298" s="15" t="s">
        <v>110</v>
      </c>
      <c r="H298" s="18">
        <v>119</v>
      </c>
      <c r="I298" s="19" t="s">
        <v>226</v>
      </c>
      <c r="J298" s="20" t="s">
        <v>172</v>
      </c>
      <c r="K298" s="21">
        <v>111</v>
      </c>
    </row>
    <row r="299" spans="1:11" ht="13.2">
      <c r="A299" s="5">
        <v>396</v>
      </c>
      <c r="B299" s="14" t="str">
        <f t="shared" si="2"/>
        <v>7</v>
      </c>
      <c r="C299" s="15" t="s">
        <v>455</v>
      </c>
      <c r="D299" s="16">
        <f t="shared" si="3"/>
        <v>2900</v>
      </c>
      <c r="E299" s="17" t="s">
        <v>452</v>
      </c>
      <c r="F299" s="18" t="s">
        <v>65</v>
      </c>
      <c r="G299" s="15" t="s">
        <v>18</v>
      </c>
      <c r="H299" s="18">
        <v>45</v>
      </c>
      <c r="I299" s="19" t="s">
        <v>456</v>
      </c>
      <c r="J299" s="20" t="s">
        <v>25</v>
      </c>
      <c r="K299" s="21">
        <v>129</v>
      </c>
    </row>
    <row r="300" spans="1:11" ht="13.2">
      <c r="A300" s="5">
        <v>397</v>
      </c>
      <c r="B300" s="14" t="str">
        <f t="shared" si="2"/>
        <v>7</v>
      </c>
      <c r="C300" s="15" t="s">
        <v>457</v>
      </c>
      <c r="D300" s="16">
        <f t="shared" si="3"/>
        <v>2900</v>
      </c>
      <c r="E300" s="17" t="s">
        <v>452</v>
      </c>
      <c r="F300" s="18" t="s">
        <v>22</v>
      </c>
      <c r="G300" s="15" t="s">
        <v>23</v>
      </c>
      <c r="H300" s="18">
        <v>157</v>
      </c>
      <c r="I300" s="19" t="s">
        <v>395</v>
      </c>
      <c r="J300" s="20" t="s">
        <v>458</v>
      </c>
      <c r="K300" s="21">
        <v>323</v>
      </c>
    </row>
    <row r="301" spans="1:11" ht="13.2">
      <c r="A301" s="5">
        <v>398</v>
      </c>
      <c r="B301" s="14" t="str">
        <f t="shared" si="2"/>
        <v>7</v>
      </c>
      <c r="C301" s="15" t="s">
        <v>459</v>
      </c>
      <c r="D301" s="16">
        <f t="shared" si="3"/>
        <v>2900</v>
      </c>
      <c r="E301" s="17" t="s">
        <v>452</v>
      </c>
      <c r="F301" s="18" t="s">
        <v>50</v>
      </c>
      <c r="G301" s="15" t="s">
        <v>131</v>
      </c>
      <c r="H301" s="18">
        <v>75</v>
      </c>
      <c r="I301" s="19" t="s">
        <v>172</v>
      </c>
      <c r="J301" s="20" t="s">
        <v>255</v>
      </c>
      <c r="K301" s="21">
        <v>173</v>
      </c>
    </row>
    <row r="302" spans="1:11" ht="13.2">
      <c r="A302" s="5">
        <v>399</v>
      </c>
      <c r="B302" s="14" t="str">
        <f t="shared" si="2"/>
        <v>7</v>
      </c>
      <c r="C302" s="15" t="s">
        <v>460</v>
      </c>
      <c r="D302" s="16">
        <f t="shared" si="3"/>
        <v>2900</v>
      </c>
      <c r="E302" s="17" t="s">
        <v>452</v>
      </c>
      <c r="F302" s="18" t="s">
        <v>43</v>
      </c>
      <c r="G302" s="15" t="s">
        <v>32</v>
      </c>
      <c r="H302" s="18">
        <v>71</v>
      </c>
      <c r="I302" s="19" t="s">
        <v>226</v>
      </c>
      <c r="J302" s="20" t="s">
        <v>461</v>
      </c>
      <c r="K302" s="21">
        <v>222</v>
      </c>
    </row>
    <row r="303" spans="1:11" ht="13.2">
      <c r="A303" s="5">
        <v>400</v>
      </c>
      <c r="B303" s="14" t="str">
        <f t="shared" si="2"/>
        <v>7</v>
      </c>
      <c r="C303" s="15" t="s">
        <v>462</v>
      </c>
      <c r="D303" s="16">
        <f t="shared" si="3"/>
        <v>2900</v>
      </c>
      <c r="E303" s="17" t="s">
        <v>452</v>
      </c>
      <c r="F303" s="18" t="s">
        <v>43</v>
      </c>
      <c r="G303" s="15" t="s">
        <v>205</v>
      </c>
      <c r="H303" s="18">
        <v>110</v>
      </c>
      <c r="I303" s="19" t="s">
        <v>182</v>
      </c>
      <c r="J303" s="20" t="s">
        <v>226</v>
      </c>
      <c r="K303" s="21">
        <v>239</v>
      </c>
    </row>
    <row r="304" spans="1:11" ht="13.2">
      <c r="A304" s="5">
        <v>401</v>
      </c>
      <c r="B304" s="14" t="str">
        <f t="shared" si="2"/>
        <v>7</v>
      </c>
      <c r="C304" s="15" t="s">
        <v>463</v>
      </c>
      <c r="D304" s="16">
        <f t="shared" si="3"/>
        <v>2900</v>
      </c>
      <c r="E304" s="17" t="s">
        <v>452</v>
      </c>
      <c r="F304" s="18" t="s">
        <v>22</v>
      </c>
      <c r="G304" s="15" t="s">
        <v>54</v>
      </c>
      <c r="H304" s="18">
        <v>142</v>
      </c>
      <c r="I304" s="19" t="s">
        <v>172</v>
      </c>
      <c r="J304" s="20" t="s">
        <v>25</v>
      </c>
      <c r="K304" s="21">
        <v>271</v>
      </c>
    </row>
    <row r="305" spans="1:11" ht="13.2">
      <c r="A305" s="5">
        <v>402</v>
      </c>
      <c r="B305" s="14" t="str">
        <f t="shared" si="2"/>
        <v>7</v>
      </c>
      <c r="C305" s="15" t="s">
        <v>464</v>
      </c>
      <c r="D305" s="16">
        <f t="shared" si="3"/>
        <v>2900</v>
      </c>
      <c r="E305" s="17" t="s">
        <v>452</v>
      </c>
      <c r="F305" s="18" t="s">
        <v>50</v>
      </c>
      <c r="G305" s="15" t="s">
        <v>205</v>
      </c>
      <c r="H305" s="18">
        <v>126</v>
      </c>
      <c r="I305" s="19" t="s">
        <v>431</v>
      </c>
      <c r="J305" s="20" t="s">
        <v>432</v>
      </c>
      <c r="K305" s="21">
        <v>156</v>
      </c>
    </row>
    <row r="306" spans="1:11" ht="13.2">
      <c r="A306" s="5">
        <v>403</v>
      </c>
      <c r="B306" s="14" t="str">
        <f t="shared" si="2"/>
        <v>7</v>
      </c>
      <c r="C306" s="15" t="s">
        <v>465</v>
      </c>
      <c r="D306" s="16">
        <f t="shared" si="3"/>
        <v>2900</v>
      </c>
      <c r="E306" s="17" t="s">
        <v>452</v>
      </c>
      <c r="F306" s="18" t="s">
        <v>65</v>
      </c>
      <c r="G306" s="15" t="s">
        <v>131</v>
      </c>
      <c r="H306" s="18">
        <v>127</v>
      </c>
      <c r="I306" s="19" t="s">
        <v>311</v>
      </c>
      <c r="J306" s="20" t="s">
        <v>172</v>
      </c>
      <c r="K306" s="21">
        <v>308</v>
      </c>
    </row>
    <row r="307" spans="1:11" ht="13.2">
      <c r="A307" s="5">
        <v>404</v>
      </c>
      <c r="B307" s="14" t="str">
        <f t="shared" si="2"/>
        <v>8</v>
      </c>
      <c r="C307" s="15" t="s">
        <v>466</v>
      </c>
      <c r="D307" s="16">
        <f t="shared" si="3"/>
        <v>3900</v>
      </c>
      <c r="E307" s="17" t="s">
        <v>467</v>
      </c>
      <c r="F307" s="18" t="s">
        <v>29</v>
      </c>
      <c r="G307" s="15" t="s">
        <v>18</v>
      </c>
      <c r="H307" s="18">
        <v>78</v>
      </c>
      <c r="I307" s="19" t="s">
        <v>86</v>
      </c>
      <c r="J307" s="20" t="s">
        <v>142</v>
      </c>
      <c r="K307" s="21">
        <v>343</v>
      </c>
    </row>
    <row r="308" spans="1:11" ht="13.2">
      <c r="A308" s="5">
        <v>405</v>
      </c>
      <c r="B308" s="14" t="str">
        <f t="shared" si="2"/>
        <v>8</v>
      </c>
      <c r="C308" s="15" t="s">
        <v>468</v>
      </c>
      <c r="D308" s="16">
        <f t="shared" si="3"/>
        <v>3900</v>
      </c>
      <c r="E308" s="17" t="s">
        <v>467</v>
      </c>
      <c r="F308" s="18" t="s">
        <v>31</v>
      </c>
      <c r="G308" s="15" t="s">
        <v>110</v>
      </c>
      <c r="H308" s="18">
        <v>142</v>
      </c>
      <c r="I308" s="19" t="s">
        <v>399</v>
      </c>
      <c r="J308" s="20" t="s">
        <v>292</v>
      </c>
      <c r="K308" s="21">
        <v>108</v>
      </c>
    </row>
    <row r="309" spans="1:11" ht="13.2">
      <c r="A309" s="5">
        <v>406</v>
      </c>
      <c r="B309" s="14" t="str">
        <f t="shared" si="2"/>
        <v>8</v>
      </c>
      <c r="C309" s="15" t="s">
        <v>469</v>
      </c>
      <c r="D309" s="16">
        <f t="shared" si="3"/>
        <v>3900</v>
      </c>
      <c r="E309" s="17" t="s">
        <v>467</v>
      </c>
      <c r="F309" s="18" t="s">
        <v>43</v>
      </c>
      <c r="G309" s="15" t="s">
        <v>211</v>
      </c>
      <c r="H309" s="18">
        <v>85</v>
      </c>
      <c r="I309" s="19" t="s">
        <v>172</v>
      </c>
      <c r="J309" s="20" t="s">
        <v>25</v>
      </c>
      <c r="K309" s="21">
        <v>72</v>
      </c>
    </row>
    <row r="310" spans="1:11" ht="13.2">
      <c r="A310" s="5">
        <v>407</v>
      </c>
      <c r="B310" s="14" t="str">
        <f t="shared" si="2"/>
        <v>8</v>
      </c>
      <c r="C310" s="15" t="s">
        <v>470</v>
      </c>
      <c r="D310" s="16">
        <f t="shared" si="3"/>
        <v>3900</v>
      </c>
      <c r="E310" s="17" t="s">
        <v>467</v>
      </c>
      <c r="F310" s="18" t="s">
        <v>61</v>
      </c>
      <c r="G310" s="15" t="s">
        <v>32</v>
      </c>
      <c r="H310" s="18">
        <v>78</v>
      </c>
      <c r="I310" s="19" t="s">
        <v>175</v>
      </c>
      <c r="J310" s="20" t="s">
        <v>142</v>
      </c>
      <c r="K310" s="21">
        <v>41</v>
      </c>
    </row>
    <row r="311" spans="1:11" ht="13.2">
      <c r="A311" s="5">
        <v>408</v>
      </c>
      <c r="B311" s="14" t="str">
        <f t="shared" si="2"/>
        <v>8</v>
      </c>
      <c r="C311" s="15" t="s">
        <v>471</v>
      </c>
      <c r="D311" s="16">
        <f t="shared" si="3"/>
        <v>3900</v>
      </c>
      <c r="E311" s="17" t="s">
        <v>467</v>
      </c>
      <c r="F311" s="18" t="s">
        <v>65</v>
      </c>
      <c r="G311" s="15" t="s">
        <v>18</v>
      </c>
      <c r="H311" s="18">
        <v>71</v>
      </c>
      <c r="I311" s="19" t="s">
        <v>472</v>
      </c>
      <c r="J311" s="20" t="s">
        <v>25</v>
      </c>
      <c r="K311" s="21">
        <v>129</v>
      </c>
    </row>
    <row r="312" spans="1:11" ht="13.2">
      <c r="A312" s="5">
        <v>409</v>
      </c>
      <c r="B312" s="14" t="str">
        <f t="shared" si="2"/>
        <v>8</v>
      </c>
      <c r="C312" s="15" t="s">
        <v>473</v>
      </c>
      <c r="D312" s="16">
        <f t="shared" si="3"/>
        <v>3900</v>
      </c>
      <c r="E312" s="17" t="s">
        <v>467</v>
      </c>
      <c r="F312" s="18" t="s">
        <v>45</v>
      </c>
      <c r="G312" s="15" t="s">
        <v>205</v>
      </c>
      <c r="H312" s="18">
        <v>149</v>
      </c>
      <c r="I312" s="19" t="s">
        <v>431</v>
      </c>
      <c r="J312" s="20" t="s">
        <v>474</v>
      </c>
      <c r="K312" s="21">
        <v>136</v>
      </c>
    </row>
    <row r="313" spans="1:11" ht="13.2">
      <c r="A313" s="5">
        <v>410</v>
      </c>
      <c r="B313" s="14" t="str">
        <f t="shared" si="2"/>
        <v>8</v>
      </c>
      <c r="C313" s="15" t="s">
        <v>475</v>
      </c>
      <c r="D313" s="16">
        <f t="shared" si="3"/>
        <v>3900</v>
      </c>
      <c r="E313" s="17" t="s">
        <v>467</v>
      </c>
      <c r="F313" s="18" t="s">
        <v>65</v>
      </c>
      <c r="G313" s="15" t="s">
        <v>205</v>
      </c>
      <c r="H313" s="18">
        <v>138</v>
      </c>
      <c r="I313" s="19" t="s">
        <v>476</v>
      </c>
      <c r="J313" s="20" t="s">
        <v>432</v>
      </c>
      <c r="K313" s="21">
        <v>155</v>
      </c>
    </row>
    <row r="314" spans="1:11" ht="13.2">
      <c r="A314" s="5">
        <v>411</v>
      </c>
      <c r="B314" s="14" t="str">
        <f t="shared" si="2"/>
        <v>8</v>
      </c>
      <c r="C314" s="15" t="s">
        <v>477</v>
      </c>
      <c r="D314" s="16">
        <f t="shared" si="3"/>
        <v>3900</v>
      </c>
      <c r="E314" s="17" t="s">
        <v>467</v>
      </c>
      <c r="F314" s="18" t="s">
        <v>43</v>
      </c>
      <c r="G314" s="15" t="s">
        <v>18</v>
      </c>
      <c r="H314" s="18">
        <v>91</v>
      </c>
      <c r="I314" s="19" t="s">
        <v>478</v>
      </c>
      <c r="J314" s="20" t="s">
        <v>25</v>
      </c>
      <c r="K314" s="21">
        <v>160</v>
      </c>
    </row>
    <row r="315" spans="1:11" ht="13.2">
      <c r="A315" s="5">
        <v>412</v>
      </c>
      <c r="B315" s="14" t="str">
        <f t="shared" si="2"/>
        <v>8</v>
      </c>
      <c r="C315" s="15" t="s">
        <v>479</v>
      </c>
      <c r="D315" s="16">
        <f t="shared" si="3"/>
        <v>3900</v>
      </c>
      <c r="E315" s="17" t="s">
        <v>467</v>
      </c>
      <c r="F315" s="18" t="s">
        <v>43</v>
      </c>
      <c r="G315" s="15" t="s">
        <v>110</v>
      </c>
      <c r="H315" s="18">
        <v>136</v>
      </c>
      <c r="I315" s="19" t="s">
        <v>480</v>
      </c>
      <c r="J315" s="20" t="s">
        <v>172</v>
      </c>
      <c r="K315" s="21">
        <v>94</v>
      </c>
    </row>
    <row r="316" spans="1:11" ht="13.2">
      <c r="A316" s="5">
        <v>413</v>
      </c>
      <c r="B316" s="14" t="str">
        <f t="shared" si="2"/>
        <v>8</v>
      </c>
      <c r="C316" s="15" t="s">
        <v>481</v>
      </c>
      <c r="D316" s="16">
        <f t="shared" si="3"/>
        <v>3900</v>
      </c>
      <c r="E316" s="17" t="s">
        <v>467</v>
      </c>
      <c r="F316" s="18" t="s">
        <v>61</v>
      </c>
      <c r="G316" s="15" t="s">
        <v>32</v>
      </c>
      <c r="H316" s="18">
        <v>127</v>
      </c>
      <c r="I316" s="19" t="s">
        <v>172</v>
      </c>
      <c r="J316" s="20" t="s">
        <v>284</v>
      </c>
      <c r="K316" s="21">
        <v>277</v>
      </c>
    </row>
    <row r="317" spans="1:11" ht="13.2">
      <c r="A317" s="5">
        <v>414</v>
      </c>
      <c r="B317" s="14" t="str">
        <f t="shared" si="2"/>
        <v>8</v>
      </c>
      <c r="C317" s="15" t="s">
        <v>482</v>
      </c>
      <c r="D317" s="16">
        <f t="shared" si="3"/>
        <v>3900</v>
      </c>
      <c r="E317" s="17" t="s">
        <v>467</v>
      </c>
      <c r="F317" s="18" t="s">
        <v>45</v>
      </c>
      <c r="G317" s="15" t="s">
        <v>46</v>
      </c>
      <c r="H317" s="18">
        <v>136</v>
      </c>
      <c r="I317" s="19" t="s">
        <v>226</v>
      </c>
      <c r="J317" s="20" t="s">
        <v>172</v>
      </c>
      <c r="K317" s="21">
        <v>60</v>
      </c>
    </row>
    <row r="318" spans="1:11" ht="13.2">
      <c r="A318" s="5">
        <v>415</v>
      </c>
      <c r="B318" s="14" t="str">
        <f t="shared" si="2"/>
        <v>8</v>
      </c>
      <c r="C318" s="15" t="s">
        <v>483</v>
      </c>
      <c r="D318" s="16">
        <f t="shared" si="3"/>
        <v>3900</v>
      </c>
      <c r="E318" s="17" t="s">
        <v>467</v>
      </c>
      <c r="F318" s="18" t="s">
        <v>22</v>
      </c>
      <c r="G318" s="15" t="s">
        <v>131</v>
      </c>
      <c r="H318" s="18">
        <v>172</v>
      </c>
      <c r="I318" s="19" t="s">
        <v>299</v>
      </c>
      <c r="J318" s="20" t="s">
        <v>25</v>
      </c>
      <c r="K318" s="21">
        <v>190</v>
      </c>
    </row>
    <row r="319" spans="1:11" ht="13.2">
      <c r="A319" s="5">
        <v>416</v>
      </c>
      <c r="B319" s="14" t="str">
        <f t="shared" si="2"/>
        <v>8</v>
      </c>
      <c r="C319" s="15" t="s">
        <v>484</v>
      </c>
      <c r="D319" s="16">
        <f t="shared" si="3"/>
        <v>3900</v>
      </c>
      <c r="E319" s="17" t="s">
        <v>467</v>
      </c>
      <c r="F319" s="18" t="s">
        <v>45</v>
      </c>
      <c r="G319" s="15" t="s">
        <v>131</v>
      </c>
      <c r="H319" s="18">
        <v>75</v>
      </c>
      <c r="I319" s="19" t="s">
        <v>284</v>
      </c>
      <c r="J319" s="20" t="s">
        <v>25</v>
      </c>
      <c r="K319" s="21">
        <v>234</v>
      </c>
    </row>
    <row r="320" spans="1:11" ht="13.2">
      <c r="A320" s="5">
        <v>417</v>
      </c>
      <c r="B320" s="14" t="str">
        <f t="shared" si="2"/>
        <v>8</v>
      </c>
      <c r="C320" s="15" t="s">
        <v>485</v>
      </c>
      <c r="D320" s="16">
        <f t="shared" si="3"/>
        <v>3900</v>
      </c>
      <c r="E320" s="17" t="s">
        <v>467</v>
      </c>
      <c r="F320" s="18" t="s">
        <v>22</v>
      </c>
      <c r="G320" s="15" t="s">
        <v>23</v>
      </c>
      <c r="H320" s="18">
        <v>136</v>
      </c>
      <c r="I320" s="19" t="s">
        <v>486</v>
      </c>
      <c r="J320" s="20" t="s">
        <v>487</v>
      </c>
      <c r="K320" s="21">
        <v>80</v>
      </c>
    </row>
    <row r="321" spans="1:11" ht="13.2">
      <c r="A321" s="5">
        <v>418</v>
      </c>
      <c r="B321" s="14" t="str">
        <f t="shared" si="2"/>
        <v>9</v>
      </c>
      <c r="C321" s="15" t="s">
        <v>488</v>
      </c>
      <c r="D321" s="16">
        <f t="shared" si="3"/>
        <v>5000</v>
      </c>
      <c r="E321" s="17" t="s">
        <v>489</v>
      </c>
      <c r="F321" s="18" t="s">
        <v>45</v>
      </c>
      <c r="G321" s="15" t="s">
        <v>131</v>
      </c>
      <c r="H321" s="18">
        <v>137</v>
      </c>
      <c r="I321" s="19" t="s">
        <v>490</v>
      </c>
      <c r="J321" s="20" t="s">
        <v>263</v>
      </c>
      <c r="K321" s="21">
        <v>306</v>
      </c>
    </row>
    <row r="322" spans="1:11" ht="13.2">
      <c r="A322" s="5">
        <v>419</v>
      </c>
      <c r="B322" s="14" t="str">
        <f t="shared" si="2"/>
        <v>9</v>
      </c>
      <c r="C322" s="15" t="s">
        <v>491</v>
      </c>
      <c r="D322" s="16">
        <f t="shared" si="3"/>
        <v>5000</v>
      </c>
      <c r="E322" s="17" t="s">
        <v>489</v>
      </c>
      <c r="F322" s="18" t="s">
        <v>43</v>
      </c>
      <c r="G322" s="15" t="s">
        <v>110</v>
      </c>
      <c r="H322" s="18">
        <v>152</v>
      </c>
      <c r="I322" s="19" t="s">
        <v>362</v>
      </c>
      <c r="J322" s="20" t="s">
        <v>292</v>
      </c>
      <c r="K322" s="21">
        <v>91</v>
      </c>
    </row>
    <row r="323" spans="1:11" ht="13.2">
      <c r="A323" s="5">
        <v>420</v>
      </c>
      <c r="B323" s="14" t="str">
        <f t="shared" si="2"/>
        <v>9</v>
      </c>
      <c r="C323" s="15" t="s">
        <v>492</v>
      </c>
      <c r="D323" s="16">
        <f t="shared" si="3"/>
        <v>5000</v>
      </c>
      <c r="E323" s="17" t="s">
        <v>489</v>
      </c>
      <c r="F323" s="18" t="s">
        <v>43</v>
      </c>
      <c r="G323" s="15" t="s">
        <v>211</v>
      </c>
      <c r="H323" s="18">
        <v>142</v>
      </c>
      <c r="I323" s="19" t="s">
        <v>182</v>
      </c>
      <c r="J323" s="20" t="s">
        <v>253</v>
      </c>
      <c r="K323" s="21">
        <v>71</v>
      </c>
    </row>
    <row r="324" spans="1:11" ht="13.2">
      <c r="A324" s="5">
        <v>421</v>
      </c>
      <c r="B324" s="14" t="str">
        <f t="shared" si="2"/>
        <v>9</v>
      </c>
      <c r="C324" s="15" t="s">
        <v>493</v>
      </c>
      <c r="D324" s="16">
        <f t="shared" si="3"/>
        <v>5000</v>
      </c>
      <c r="E324" s="17" t="s">
        <v>489</v>
      </c>
      <c r="F324" s="18" t="s">
        <v>22</v>
      </c>
      <c r="G324" s="15" t="s">
        <v>54</v>
      </c>
      <c r="H324" s="18">
        <v>133</v>
      </c>
      <c r="I324" s="19" t="s">
        <v>399</v>
      </c>
      <c r="J324" s="20" t="s">
        <v>25</v>
      </c>
      <c r="K324" s="21">
        <v>168</v>
      </c>
    </row>
    <row r="325" spans="1:11" ht="13.2">
      <c r="A325" s="5">
        <v>422</v>
      </c>
      <c r="B325" s="14" t="str">
        <f t="shared" si="2"/>
        <v>9</v>
      </c>
      <c r="C325" s="15" t="s">
        <v>494</v>
      </c>
      <c r="D325" s="16">
        <f t="shared" si="3"/>
        <v>5000</v>
      </c>
      <c r="E325" s="17" t="s">
        <v>489</v>
      </c>
      <c r="F325" s="18" t="s">
        <v>50</v>
      </c>
      <c r="G325" s="15" t="s">
        <v>205</v>
      </c>
      <c r="H325" s="18">
        <v>200</v>
      </c>
      <c r="I325" s="19" t="s">
        <v>495</v>
      </c>
      <c r="J325" s="20" t="s">
        <v>496</v>
      </c>
      <c r="K325" s="21">
        <v>154</v>
      </c>
    </row>
    <row r="326" spans="1:11" ht="13.2">
      <c r="A326" s="5">
        <v>423</v>
      </c>
      <c r="B326" s="14" t="str">
        <f t="shared" si="2"/>
        <v>9</v>
      </c>
      <c r="C326" s="15" t="s">
        <v>497</v>
      </c>
      <c r="D326" s="16">
        <f t="shared" si="3"/>
        <v>5000</v>
      </c>
      <c r="E326" s="17" t="s">
        <v>489</v>
      </c>
      <c r="F326" s="18" t="s">
        <v>43</v>
      </c>
      <c r="G326" s="15" t="s">
        <v>205</v>
      </c>
      <c r="H326" s="18">
        <v>162</v>
      </c>
      <c r="I326" s="19" t="s">
        <v>498</v>
      </c>
      <c r="J326" s="20" t="s">
        <v>444</v>
      </c>
      <c r="K326" s="21">
        <v>154</v>
      </c>
    </row>
    <row r="327" spans="1:11" ht="13.2">
      <c r="A327" s="5">
        <v>424</v>
      </c>
      <c r="B327" s="14" t="str">
        <f t="shared" si="2"/>
        <v>9</v>
      </c>
      <c r="C327" s="15" t="s">
        <v>499</v>
      </c>
      <c r="D327" s="16">
        <f t="shared" si="3"/>
        <v>5000</v>
      </c>
      <c r="E327" s="17" t="s">
        <v>489</v>
      </c>
      <c r="F327" s="18" t="s">
        <v>45</v>
      </c>
      <c r="G327" s="15" t="s">
        <v>46</v>
      </c>
      <c r="H327" s="18">
        <v>157</v>
      </c>
      <c r="I327" s="19" t="s">
        <v>399</v>
      </c>
      <c r="J327" s="20" t="s">
        <v>33</v>
      </c>
      <c r="K327" s="21">
        <v>58</v>
      </c>
    </row>
    <row r="328" spans="1:11" ht="13.2">
      <c r="A328" s="5">
        <v>425</v>
      </c>
      <c r="B328" s="14" t="str">
        <f t="shared" si="2"/>
        <v>9</v>
      </c>
      <c r="C328" s="15" t="s">
        <v>500</v>
      </c>
      <c r="D328" s="16">
        <f t="shared" si="3"/>
        <v>5000</v>
      </c>
      <c r="E328" s="17" t="s">
        <v>489</v>
      </c>
      <c r="F328" s="18" t="s">
        <v>61</v>
      </c>
      <c r="G328" s="15" t="s">
        <v>32</v>
      </c>
      <c r="H328" s="18">
        <v>127</v>
      </c>
      <c r="I328" s="19" t="s">
        <v>86</v>
      </c>
      <c r="J328" s="20" t="s">
        <v>209</v>
      </c>
      <c r="K328" s="21">
        <v>277</v>
      </c>
    </row>
    <row r="329" spans="1:11" ht="13.2">
      <c r="A329" s="5">
        <v>426</v>
      </c>
      <c r="B329" s="14" t="str">
        <f t="shared" si="2"/>
        <v>9</v>
      </c>
      <c r="C329" s="15" t="s">
        <v>501</v>
      </c>
      <c r="D329" s="16">
        <f t="shared" si="3"/>
        <v>5000</v>
      </c>
      <c r="E329" s="17" t="s">
        <v>489</v>
      </c>
      <c r="F329" s="18" t="s">
        <v>65</v>
      </c>
      <c r="G329" s="15" t="s">
        <v>328</v>
      </c>
      <c r="H329" s="18">
        <v>123</v>
      </c>
      <c r="I329" s="19" t="s">
        <v>292</v>
      </c>
      <c r="J329" s="20" t="s">
        <v>398</v>
      </c>
      <c r="K329" s="21">
        <v>314</v>
      </c>
    </row>
    <row r="330" spans="1:11" ht="13.2">
      <c r="A330" s="5">
        <v>427</v>
      </c>
      <c r="B330" s="14" t="str">
        <f t="shared" si="2"/>
        <v>9</v>
      </c>
      <c r="C330" s="15" t="s">
        <v>502</v>
      </c>
      <c r="D330" s="16">
        <f t="shared" si="3"/>
        <v>5000</v>
      </c>
      <c r="E330" s="17" t="s">
        <v>489</v>
      </c>
      <c r="F330" s="18" t="s">
        <v>31</v>
      </c>
      <c r="G330" s="15" t="s">
        <v>110</v>
      </c>
      <c r="H330" s="18">
        <v>168</v>
      </c>
      <c r="I330" s="19" t="s">
        <v>503</v>
      </c>
      <c r="J330" s="20" t="s">
        <v>504</v>
      </c>
      <c r="K330" s="21">
        <v>118</v>
      </c>
    </row>
    <row r="331" spans="1:11" ht="13.2">
      <c r="A331" s="5">
        <v>428</v>
      </c>
      <c r="B331" s="14" t="str">
        <f t="shared" si="2"/>
        <v>9</v>
      </c>
      <c r="C331" s="15" t="s">
        <v>505</v>
      </c>
      <c r="D331" s="16">
        <f t="shared" si="3"/>
        <v>5000</v>
      </c>
      <c r="E331" s="17" t="s">
        <v>489</v>
      </c>
      <c r="F331" s="18" t="s">
        <v>179</v>
      </c>
      <c r="G331" s="15" t="s">
        <v>66</v>
      </c>
      <c r="H331" s="18">
        <v>138</v>
      </c>
      <c r="I331" s="19" t="s">
        <v>506</v>
      </c>
      <c r="J331" s="20" t="s">
        <v>432</v>
      </c>
      <c r="K331" s="21">
        <v>289</v>
      </c>
    </row>
    <row r="332" spans="1:11" ht="13.2">
      <c r="A332" s="5">
        <v>169</v>
      </c>
      <c r="B332" s="14" t="str">
        <f t="shared" si="2"/>
        <v>10</v>
      </c>
      <c r="C332" s="15" t="s">
        <v>507</v>
      </c>
      <c r="D332" s="16">
        <f t="shared" si="3"/>
        <v>5900</v>
      </c>
      <c r="E332" s="17" t="s">
        <v>508</v>
      </c>
      <c r="F332" s="18" t="s">
        <v>43</v>
      </c>
      <c r="G332" s="15" t="s">
        <v>32</v>
      </c>
      <c r="H332" s="18">
        <v>135</v>
      </c>
      <c r="I332" s="19" t="s">
        <v>292</v>
      </c>
      <c r="J332" s="20" t="s">
        <v>509</v>
      </c>
      <c r="K332" s="21">
        <v>13</v>
      </c>
    </row>
    <row r="333" spans="1:11" ht="13.2">
      <c r="A333" s="5">
        <v>170</v>
      </c>
      <c r="B333" s="14" t="str">
        <f t="shared" si="2"/>
        <v>10</v>
      </c>
      <c r="C333" s="15" t="s">
        <v>510</v>
      </c>
      <c r="D333" s="16">
        <f t="shared" si="3"/>
        <v>5900</v>
      </c>
      <c r="E333" s="17" t="s">
        <v>508</v>
      </c>
      <c r="F333" s="18" t="s">
        <v>45</v>
      </c>
      <c r="G333" s="15" t="s">
        <v>32</v>
      </c>
      <c r="H333" s="18">
        <v>170</v>
      </c>
      <c r="I333" s="19" t="s">
        <v>511</v>
      </c>
      <c r="J333" s="20" t="s">
        <v>512</v>
      </c>
      <c r="K333" s="21">
        <v>278</v>
      </c>
    </row>
    <row r="334" spans="1:11" ht="13.2">
      <c r="A334" s="5">
        <v>171</v>
      </c>
      <c r="B334" s="14" t="str">
        <f t="shared" si="2"/>
        <v>10</v>
      </c>
      <c r="C334" s="15" t="s">
        <v>513</v>
      </c>
      <c r="D334" s="16">
        <f t="shared" si="3"/>
        <v>5900</v>
      </c>
      <c r="E334" s="17" t="s">
        <v>508</v>
      </c>
      <c r="F334" s="18" t="s">
        <v>31</v>
      </c>
      <c r="G334" s="15" t="s">
        <v>286</v>
      </c>
      <c r="H334" s="18">
        <v>136</v>
      </c>
      <c r="I334" s="19" t="s">
        <v>514</v>
      </c>
      <c r="J334" s="20" t="s">
        <v>25</v>
      </c>
      <c r="K334" s="21">
        <v>16</v>
      </c>
    </row>
    <row r="335" spans="1:11" ht="13.2">
      <c r="A335" s="5">
        <v>172</v>
      </c>
      <c r="B335" s="14" t="str">
        <f t="shared" si="2"/>
        <v>10</v>
      </c>
      <c r="C335" s="15" t="s">
        <v>515</v>
      </c>
      <c r="D335" s="16">
        <f t="shared" si="3"/>
        <v>5900</v>
      </c>
      <c r="E335" s="17" t="s">
        <v>508</v>
      </c>
      <c r="F335" s="18" t="s">
        <v>31</v>
      </c>
      <c r="G335" s="15" t="s">
        <v>110</v>
      </c>
      <c r="H335" s="18">
        <v>178</v>
      </c>
      <c r="I335" s="19" t="s">
        <v>503</v>
      </c>
      <c r="J335" s="20" t="s">
        <v>504</v>
      </c>
      <c r="K335" s="21">
        <v>115</v>
      </c>
    </row>
    <row r="336" spans="1:11" ht="13.2">
      <c r="A336" s="5">
        <v>173</v>
      </c>
      <c r="B336" s="14" t="str">
        <f t="shared" si="2"/>
        <v>10</v>
      </c>
      <c r="C336" s="15" t="s">
        <v>516</v>
      </c>
      <c r="D336" s="16">
        <f t="shared" si="3"/>
        <v>5900</v>
      </c>
      <c r="E336" s="17" t="s">
        <v>508</v>
      </c>
      <c r="F336" s="18" t="s">
        <v>31</v>
      </c>
      <c r="G336" s="15" t="s">
        <v>131</v>
      </c>
      <c r="H336" s="18">
        <v>127</v>
      </c>
      <c r="I336" s="19" t="s">
        <v>182</v>
      </c>
      <c r="J336" s="20" t="s">
        <v>25</v>
      </c>
      <c r="K336" s="21">
        <v>234</v>
      </c>
    </row>
    <row r="337" spans="1:11" ht="13.2">
      <c r="A337" s="5">
        <v>174</v>
      </c>
      <c r="B337" s="14" t="str">
        <f t="shared" si="2"/>
        <v>10</v>
      </c>
      <c r="C337" s="15" t="s">
        <v>517</v>
      </c>
      <c r="D337" s="16">
        <f t="shared" si="3"/>
        <v>5900</v>
      </c>
      <c r="E337" s="17" t="s">
        <v>508</v>
      </c>
      <c r="F337" s="18" t="s">
        <v>45</v>
      </c>
      <c r="G337" s="15" t="s">
        <v>110</v>
      </c>
      <c r="H337" s="18">
        <v>178</v>
      </c>
      <c r="I337" s="19" t="s">
        <v>518</v>
      </c>
      <c r="J337" s="20" t="s">
        <v>504</v>
      </c>
      <c r="K337" s="21">
        <v>98</v>
      </c>
    </row>
    <row r="338" spans="1:11" ht="13.2">
      <c r="A338" s="5">
        <v>175</v>
      </c>
      <c r="B338" s="14" t="str">
        <f t="shared" si="2"/>
        <v>10</v>
      </c>
      <c r="C338" s="15" t="s">
        <v>519</v>
      </c>
      <c r="D338" s="16">
        <f t="shared" si="3"/>
        <v>5900</v>
      </c>
      <c r="E338" s="17" t="s">
        <v>508</v>
      </c>
      <c r="F338" s="18" t="s">
        <v>22</v>
      </c>
      <c r="G338" s="15" t="s">
        <v>54</v>
      </c>
      <c r="H338" s="18">
        <v>178</v>
      </c>
      <c r="I338" s="19" t="s">
        <v>431</v>
      </c>
      <c r="J338" s="20" t="s">
        <v>25</v>
      </c>
      <c r="K338" s="21">
        <v>170</v>
      </c>
    </row>
    <row r="339" spans="1:11" ht="13.2">
      <c r="A339" s="5">
        <v>176</v>
      </c>
      <c r="B339" s="14" t="str">
        <f t="shared" si="2"/>
        <v>10</v>
      </c>
      <c r="C339" s="15" t="s">
        <v>520</v>
      </c>
      <c r="D339" s="16">
        <f t="shared" si="3"/>
        <v>5900</v>
      </c>
      <c r="E339" s="17" t="s">
        <v>508</v>
      </c>
      <c r="F339" s="18" t="s">
        <v>45</v>
      </c>
      <c r="G339" s="15" t="s">
        <v>46</v>
      </c>
      <c r="H339" s="18">
        <v>136</v>
      </c>
      <c r="I339" s="19" t="s">
        <v>521</v>
      </c>
      <c r="J339" s="20" t="s">
        <v>25</v>
      </c>
      <c r="K339" s="21">
        <v>65</v>
      </c>
    </row>
    <row r="340" spans="1:11" ht="13.2">
      <c r="A340" s="5">
        <v>177</v>
      </c>
      <c r="B340" s="14" t="str">
        <f t="shared" si="2"/>
        <v>11</v>
      </c>
      <c r="C340" s="15" t="s">
        <v>522</v>
      </c>
      <c r="D340" s="16">
        <f t="shared" si="3"/>
        <v>7200</v>
      </c>
      <c r="E340" s="17" t="s">
        <v>523</v>
      </c>
      <c r="F340" s="18" t="s">
        <v>65</v>
      </c>
      <c r="G340" s="15" t="s">
        <v>131</v>
      </c>
      <c r="H340" s="18">
        <v>168</v>
      </c>
      <c r="I340" s="19" t="s">
        <v>395</v>
      </c>
      <c r="J340" s="20" t="s">
        <v>524</v>
      </c>
      <c r="K340" s="21">
        <v>25</v>
      </c>
    </row>
    <row r="341" spans="1:11" ht="13.2">
      <c r="A341" s="5">
        <v>178</v>
      </c>
      <c r="B341" s="14" t="str">
        <f t="shared" si="2"/>
        <v>11</v>
      </c>
      <c r="C341" s="15" t="s">
        <v>525</v>
      </c>
      <c r="D341" s="16">
        <f t="shared" si="3"/>
        <v>7200</v>
      </c>
      <c r="E341" s="17" t="s">
        <v>523</v>
      </c>
      <c r="F341" s="18" t="s">
        <v>65</v>
      </c>
      <c r="G341" s="15" t="s">
        <v>105</v>
      </c>
      <c r="H341" s="18">
        <v>187</v>
      </c>
      <c r="I341" s="19" t="s">
        <v>280</v>
      </c>
      <c r="J341" s="20" t="s">
        <v>526</v>
      </c>
      <c r="K341" s="21">
        <v>143</v>
      </c>
    </row>
    <row r="342" spans="1:11" ht="13.2">
      <c r="A342" s="5">
        <v>179</v>
      </c>
      <c r="B342" s="14" t="str">
        <f t="shared" si="2"/>
        <v>11</v>
      </c>
      <c r="C342" s="15" t="s">
        <v>527</v>
      </c>
      <c r="D342" s="16">
        <f t="shared" si="3"/>
        <v>7200</v>
      </c>
      <c r="E342" s="17" t="s">
        <v>523</v>
      </c>
      <c r="F342" s="18" t="s">
        <v>179</v>
      </c>
      <c r="G342" s="15" t="s">
        <v>105</v>
      </c>
      <c r="H342" s="18">
        <v>161</v>
      </c>
      <c r="I342" s="19" t="s">
        <v>292</v>
      </c>
      <c r="J342" s="20" t="s">
        <v>25</v>
      </c>
      <c r="K342" s="21">
        <v>144</v>
      </c>
    </row>
    <row r="343" spans="1:11" ht="13.2">
      <c r="A343" s="5">
        <v>180</v>
      </c>
      <c r="B343" s="14" t="str">
        <f t="shared" si="2"/>
        <v>11</v>
      </c>
      <c r="C343" s="15" t="s">
        <v>528</v>
      </c>
      <c r="D343" s="16">
        <f t="shared" si="3"/>
        <v>7200</v>
      </c>
      <c r="E343" s="17" t="s">
        <v>523</v>
      </c>
      <c r="F343" s="18" t="s">
        <v>43</v>
      </c>
      <c r="G343" s="15" t="s">
        <v>105</v>
      </c>
      <c r="H343" s="18">
        <v>200</v>
      </c>
      <c r="I343" s="19" t="s">
        <v>504</v>
      </c>
      <c r="J343" s="20" t="s">
        <v>257</v>
      </c>
      <c r="K343" s="21">
        <v>145</v>
      </c>
    </row>
    <row r="344" spans="1:11" ht="13.2">
      <c r="A344" s="5">
        <v>181</v>
      </c>
      <c r="B344" s="14" t="str">
        <f t="shared" si="2"/>
        <v>11</v>
      </c>
      <c r="C344" s="15" t="s">
        <v>529</v>
      </c>
      <c r="D344" s="16">
        <f t="shared" si="3"/>
        <v>7200</v>
      </c>
      <c r="E344" s="17" t="s">
        <v>523</v>
      </c>
      <c r="F344" s="18" t="s">
        <v>53</v>
      </c>
      <c r="G344" s="15" t="s">
        <v>131</v>
      </c>
      <c r="H344" s="18">
        <v>136</v>
      </c>
      <c r="I344" s="19" t="s">
        <v>253</v>
      </c>
      <c r="J344" s="20" t="s">
        <v>25</v>
      </c>
      <c r="K344" s="21">
        <v>282</v>
      </c>
    </row>
    <row r="345" spans="1:11" ht="13.2">
      <c r="A345" s="5">
        <v>182</v>
      </c>
      <c r="B345" s="14" t="str">
        <f t="shared" si="2"/>
        <v>11</v>
      </c>
      <c r="C345" s="15" t="s">
        <v>530</v>
      </c>
      <c r="D345" s="16">
        <f t="shared" si="3"/>
        <v>7200</v>
      </c>
      <c r="E345" s="17" t="s">
        <v>523</v>
      </c>
      <c r="F345" s="18" t="s">
        <v>43</v>
      </c>
      <c r="G345" s="15" t="s">
        <v>211</v>
      </c>
      <c r="H345" s="18">
        <v>178</v>
      </c>
      <c r="I345" s="19" t="s">
        <v>280</v>
      </c>
      <c r="J345" s="20" t="s">
        <v>531</v>
      </c>
      <c r="K345" s="21">
        <v>74</v>
      </c>
    </row>
    <row r="346" spans="1:11" ht="13.2">
      <c r="A346" s="5">
        <v>183</v>
      </c>
      <c r="B346" s="14" t="str">
        <f t="shared" si="2"/>
        <v>11</v>
      </c>
      <c r="C346" s="15" t="s">
        <v>532</v>
      </c>
      <c r="D346" s="16">
        <f t="shared" si="3"/>
        <v>7200</v>
      </c>
      <c r="E346" s="17" t="s">
        <v>523</v>
      </c>
      <c r="F346" s="18" t="s">
        <v>61</v>
      </c>
      <c r="G346" s="15" t="s">
        <v>105</v>
      </c>
      <c r="H346" s="18">
        <v>229</v>
      </c>
      <c r="I346" s="19" t="s">
        <v>280</v>
      </c>
      <c r="J346" s="20" t="s">
        <v>263</v>
      </c>
      <c r="K346" s="21">
        <v>146</v>
      </c>
    </row>
    <row r="347" spans="1:11" ht="13.2">
      <c r="A347" s="5">
        <v>184</v>
      </c>
      <c r="B347" s="14" t="str">
        <f t="shared" si="2"/>
        <v>11</v>
      </c>
      <c r="C347" s="15" t="s">
        <v>533</v>
      </c>
      <c r="D347" s="16">
        <f t="shared" si="3"/>
        <v>7200</v>
      </c>
      <c r="E347" s="17" t="s">
        <v>523</v>
      </c>
      <c r="F347" s="18" t="s">
        <v>22</v>
      </c>
      <c r="G347" s="15" t="s">
        <v>131</v>
      </c>
      <c r="H347" s="18">
        <v>195</v>
      </c>
      <c r="I347" s="19" t="s">
        <v>534</v>
      </c>
      <c r="J347" s="20" t="s">
        <v>25</v>
      </c>
      <c r="K347" s="21">
        <v>258</v>
      </c>
    </row>
    <row r="348" spans="1:11" ht="13.2">
      <c r="A348" s="5">
        <v>185</v>
      </c>
      <c r="B348" s="14" t="str">
        <f t="shared" si="2"/>
        <v>11</v>
      </c>
      <c r="C348" s="15" t="s">
        <v>535</v>
      </c>
      <c r="D348" s="16">
        <f t="shared" si="3"/>
        <v>7200</v>
      </c>
      <c r="E348" s="17" t="s">
        <v>523</v>
      </c>
      <c r="F348" s="18" t="s">
        <v>22</v>
      </c>
      <c r="G348" s="15" t="s">
        <v>131</v>
      </c>
      <c r="H348" s="18">
        <v>248</v>
      </c>
      <c r="I348" s="19" t="s">
        <v>536</v>
      </c>
      <c r="J348" s="20" t="s">
        <v>537</v>
      </c>
      <c r="K348" s="21">
        <v>260</v>
      </c>
    </row>
    <row r="349" spans="1:11" ht="13.2">
      <c r="A349" s="5">
        <v>186</v>
      </c>
      <c r="B349" s="14" t="str">
        <f t="shared" si="2"/>
        <v>12</v>
      </c>
      <c r="C349" s="15" t="s">
        <v>538</v>
      </c>
      <c r="D349" s="16">
        <f t="shared" si="3"/>
        <v>8400</v>
      </c>
      <c r="E349" s="17" t="s">
        <v>539</v>
      </c>
      <c r="F349" s="18" t="s">
        <v>65</v>
      </c>
      <c r="G349" s="15" t="s">
        <v>328</v>
      </c>
      <c r="H349" s="18">
        <v>104</v>
      </c>
      <c r="I349" s="19" t="s">
        <v>87</v>
      </c>
      <c r="J349" s="20" t="s">
        <v>25</v>
      </c>
      <c r="K349" s="21">
        <v>313</v>
      </c>
    </row>
    <row r="350" spans="1:11" ht="13.2">
      <c r="A350" s="5">
        <v>187</v>
      </c>
      <c r="B350" s="14" t="str">
        <f t="shared" si="2"/>
        <v>12</v>
      </c>
      <c r="C350" s="15" t="s">
        <v>540</v>
      </c>
      <c r="D350" s="16">
        <f t="shared" si="3"/>
        <v>8400</v>
      </c>
      <c r="E350" s="17" t="s">
        <v>539</v>
      </c>
      <c r="F350" s="18" t="s">
        <v>41</v>
      </c>
      <c r="G350" s="15" t="s">
        <v>18</v>
      </c>
      <c r="H350" s="18">
        <v>99</v>
      </c>
      <c r="I350" s="19" t="s">
        <v>24</v>
      </c>
      <c r="J350" s="20" t="s">
        <v>25</v>
      </c>
      <c r="K350" s="21">
        <v>342</v>
      </c>
    </row>
    <row r="351" spans="1:11" ht="13.2">
      <c r="A351" s="5">
        <v>188</v>
      </c>
      <c r="B351" s="14" t="str">
        <f t="shared" si="2"/>
        <v>12</v>
      </c>
      <c r="C351" s="15" t="s">
        <v>541</v>
      </c>
      <c r="D351" s="16">
        <f t="shared" si="3"/>
        <v>8400</v>
      </c>
      <c r="E351" s="17" t="s">
        <v>539</v>
      </c>
      <c r="F351" s="18" t="s">
        <v>43</v>
      </c>
      <c r="G351" s="15" t="s">
        <v>211</v>
      </c>
      <c r="H351" s="18">
        <v>153</v>
      </c>
      <c r="I351" s="19" t="s">
        <v>542</v>
      </c>
      <c r="J351" s="20" t="s">
        <v>421</v>
      </c>
      <c r="K351" s="21">
        <v>73</v>
      </c>
    </row>
    <row r="352" spans="1:11" ht="13.2">
      <c r="A352" s="5">
        <v>189</v>
      </c>
      <c r="B352" s="14" t="str">
        <f t="shared" si="2"/>
        <v>13</v>
      </c>
      <c r="C352" s="15" t="s">
        <v>543</v>
      </c>
      <c r="D352" s="16">
        <f t="shared" si="3"/>
        <v>10000</v>
      </c>
      <c r="E352" s="17" t="s">
        <v>544</v>
      </c>
      <c r="F352" s="18" t="s">
        <v>43</v>
      </c>
      <c r="G352" s="15" t="s">
        <v>32</v>
      </c>
      <c r="H352" s="18">
        <v>180</v>
      </c>
      <c r="I352" s="19" t="s">
        <v>180</v>
      </c>
      <c r="J352" s="20" t="s">
        <v>25</v>
      </c>
      <c r="K352" s="21">
        <v>28</v>
      </c>
    </row>
    <row r="353" spans="1:11" ht="13.2">
      <c r="A353" s="5">
        <v>190</v>
      </c>
      <c r="B353" s="14" t="str">
        <f t="shared" si="2"/>
        <v>13</v>
      </c>
      <c r="C353" s="15" t="s">
        <v>545</v>
      </c>
      <c r="D353" s="16">
        <f t="shared" si="3"/>
        <v>10000</v>
      </c>
      <c r="E353" s="17" t="s">
        <v>544</v>
      </c>
      <c r="F353" s="18" t="s">
        <v>179</v>
      </c>
      <c r="G353" s="15" t="s">
        <v>110</v>
      </c>
      <c r="H353" s="18">
        <v>172</v>
      </c>
      <c r="I353" s="19" t="s">
        <v>503</v>
      </c>
      <c r="J353" s="20" t="s">
        <v>504</v>
      </c>
      <c r="K353" s="21">
        <v>105</v>
      </c>
    </row>
    <row r="354" spans="1:11" ht="13.2">
      <c r="A354" s="5">
        <v>191</v>
      </c>
      <c r="B354" s="14" t="str">
        <f t="shared" si="2"/>
        <v>13</v>
      </c>
      <c r="C354" s="15" t="s">
        <v>546</v>
      </c>
      <c r="D354" s="16">
        <f t="shared" si="3"/>
        <v>10000</v>
      </c>
      <c r="E354" s="17" t="s">
        <v>544</v>
      </c>
      <c r="F354" s="18" t="s">
        <v>43</v>
      </c>
      <c r="G354" s="15" t="s">
        <v>46</v>
      </c>
      <c r="H354" s="18">
        <v>184</v>
      </c>
      <c r="I354" s="19" t="s">
        <v>547</v>
      </c>
      <c r="J354" s="20" t="s">
        <v>509</v>
      </c>
      <c r="K354" s="21">
        <v>62</v>
      </c>
    </row>
    <row r="355" spans="1:11" ht="13.2">
      <c r="A355" s="5">
        <v>192</v>
      </c>
      <c r="B355" s="14" t="str">
        <f t="shared" si="2"/>
        <v>13</v>
      </c>
      <c r="C355" s="15" t="s">
        <v>548</v>
      </c>
      <c r="D355" s="16">
        <f t="shared" si="3"/>
        <v>10000</v>
      </c>
      <c r="E355" s="17" t="s">
        <v>544</v>
      </c>
      <c r="F355" s="18" t="s">
        <v>43</v>
      </c>
      <c r="G355" s="15" t="s">
        <v>328</v>
      </c>
      <c r="H355" s="18">
        <v>110</v>
      </c>
      <c r="I355" s="19" t="s">
        <v>165</v>
      </c>
      <c r="J355" s="20" t="s">
        <v>25</v>
      </c>
      <c r="K355" s="21">
        <v>257</v>
      </c>
    </row>
    <row r="356" spans="1:11" ht="13.2">
      <c r="A356" s="5">
        <v>193</v>
      </c>
      <c r="B356" s="14" t="str">
        <f t="shared" si="2"/>
        <v>13</v>
      </c>
      <c r="C356" s="15" t="s">
        <v>549</v>
      </c>
      <c r="D356" s="16">
        <f t="shared" si="3"/>
        <v>10000</v>
      </c>
      <c r="E356" s="17" t="s">
        <v>544</v>
      </c>
      <c r="F356" s="18" t="s">
        <v>45</v>
      </c>
      <c r="G356" s="15" t="s">
        <v>110</v>
      </c>
      <c r="H356" s="18">
        <v>178</v>
      </c>
      <c r="I356" s="19" t="s">
        <v>518</v>
      </c>
      <c r="J356" s="20" t="s">
        <v>504</v>
      </c>
      <c r="K356" s="21">
        <v>85</v>
      </c>
    </row>
    <row r="357" spans="1:11" ht="13.2">
      <c r="A357" s="5">
        <v>194</v>
      </c>
      <c r="B357" s="14" t="str">
        <f t="shared" si="2"/>
        <v>13</v>
      </c>
      <c r="C357" s="15" t="s">
        <v>550</v>
      </c>
      <c r="D357" s="16">
        <f t="shared" si="3"/>
        <v>10000</v>
      </c>
      <c r="E357" s="17" t="s">
        <v>544</v>
      </c>
      <c r="F357" s="18" t="s">
        <v>179</v>
      </c>
      <c r="G357" s="15" t="s">
        <v>205</v>
      </c>
      <c r="H357" s="18">
        <v>230</v>
      </c>
      <c r="I357" s="19" t="s">
        <v>551</v>
      </c>
      <c r="J357" s="20" t="s">
        <v>552</v>
      </c>
      <c r="K357" s="21">
        <v>156</v>
      </c>
    </row>
    <row r="358" spans="1:11" ht="13.2">
      <c r="A358" s="5">
        <v>195</v>
      </c>
      <c r="B358" s="14" t="str">
        <f t="shared" si="2"/>
        <v>13</v>
      </c>
      <c r="C358" s="15" t="s">
        <v>553</v>
      </c>
      <c r="D358" s="16">
        <f t="shared" si="3"/>
        <v>10000</v>
      </c>
      <c r="E358" s="17" t="s">
        <v>544</v>
      </c>
      <c r="F358" s="18" t="s">
        <v>65</v>
      </c>
      <c r="G358" s="15" t="s">
        <v>328</v>
      </c>
      <c r="H358" s="18">
        <v>153</v>
      </c>
      <c r="I358" s="19" t="s">
        <v>209</v>
      </c>
      <c r="J358" s="20" t="s">
        <v>25</v>
      </c>
      <c r="K358" s="21">
        <v>314</v>
      </c>
    </row>
    <row r="359" spans="1:11" ht="13.2">
      <c r="A359" s="5">
        <v>196</v>
      </c>
      <c r="B359" s="14" t="str">
        <f t="shared" si="2"/>
        <v>13</v>
      </c>
      <c r="C359" s="15" t="s">
        <v>554</v>
      </c>
      <c r="D359" s="16">
        <f t="shared" si="3"/>
        <v>10000</v>
      </c>
      <c r="E359" s="17" t="s">
        <v>544</v>
      </c>
      <c r="F359" s="18" t="s">
        <v>43</v>
      </c>
      <c r="G359" s="15" t="s">
        <v>114</v>
      </c>
      <c r="H359" s="18">
        <v>144</v>
      </c>
      <c r="I359" s="19" t="s">
        <v>311</v>
      </c>
      <c r="J359" s="20" t="s">
        <v>25</v>
      </c>
      <c r="K359" s="21">
        <v>297</v>
      </c>
    </row>
    <row r="360" spans="1:11" ht="13.2">
      <c r="A360" s="5">
        <v>197</v>
      </c>
      <c r="B360" s="14" t="str">
        <f t="shared" si="2"/>
        <v>13</v>
      </c>
      <c r="C360" s="15" t="s">
        <v>555</v>
      </c>
      <c r="D360" s="16">
        <f t="shared" si="3"/>
        <v>10000</v>
      </c>
      <c r="E360" s="17" t="s">
        <v>544</v>
      </c>
      <c r="F360" s="18" t="s">
        <v>45</v>
      </c>
      <c r="G360" s="15" t="s">
        <v>110</v>
      </c>
      <c r="H360" s="18">
        <v>200</v>
      </c>
      <c r="I360" s="19" t="s">
        <v>556</v>
      </c>
      <c r="J360" s="20" t="s">
        <v>504</v>
      </c>
      <c r="K360" s="21">
        <v>101</v>
      </c>
    </row>
    <row r="361" spans="1:11" ht="13.2">
      <c r="A361" s="5">
        <v>198</v>
      </c>
      <c r="B361" s="14" t="str">
        <f t="shared" si="2"/>
        <v>14</v>
      </c>
      <c r="C361" s="15" t="s">
        <v>557</v>
      </c>
      <c r="D361" s="16">
        <f t="shared" si="3"/>
        <v>11500</v>
      </c>
      <c r="E361" s="17" t="s">
        <v>558</v>
      </c>
      <c r="F361" s="18" t="s">
        <v>45</v>
      </c>
      <c r="G361" s="15" t="s">
        <v>110</v>
      </c>
      <c r="H361" s="18">
        <v>195</v>
      </c>
      <c r="I361" s="19" t="s">
        <v>556</v>
      </c>
      <c r="J361" s="20" t="s">
        <v>504</v>
      </c>
      <c r="K361" s="21">
        <v>88</v>
      </c>
    </row>
    <row r="362" spans="1:11" ht="13.2">
      <c r="A362" s="5">
        <v>199</v>
      </c>
      <c r="B362" s="14" t="str">
        <f t="shared" si="2"/>
        <v>14</v>
      </c>
      <c r="C362" s="15" t="s">
        <v>559</v>
      </c>
      <c r="D362" s="16">
        <f t="shared" si="3"/>
        <v>11500</v>
      </c>
      <c r="E362" s="17" t="s">
        <v>558</v>
      </c>
      <c r="F362" s="18" t="s">
        <v>179</v>
      </c>
      <c r="G362" s="15" t="s">
        <v>110</v>
      </c>
      <c r="H362" s="18">
        <v>184</v>
      </c>
      <c r="I362" s="19" t="s">
        <v>503</v>
      </c>
      <c r="J362" s="20" t="s">
        <v>504</v>
      </c>
      <c r="K362" s="21">
        <v>111</v>
      </c>
    </row>
    <row r="363" spans="1:11" ht="13.2">
      <c r="A363" s="5">
        <v>200</v>
      </c>
      <c r="B363" s="14" t="str">
        <f t="shared" si="2"/>
        <v>14</v>
      </c>
      <c r="C363" s="15" t="s">
        <v>560</v>
      </c>
      <c r="D363" s="16">
        <f t="shared" si="3"/>
        <v>11500</v>
      </c>
      <c r="E363" s="17" t="s">
        <v>558</v>
      </c>
      <c r="F363" s="18" t="s">
        <v>43</v>
      </c>
      <c r="G363" s="15" t="s">
        <v>114</v>
      </c>
      <c r="H363" s="18">
        <v>187</v>
      </c>
      <c r="I363" s="19" t="s">
        <v>180</v>
      </c>
      <c r="J363" s="20" t="s">
        <v>25</v>
      </c>
      <c r="K363" s="21">
        <v>29</v>
      </c>
    </row>
    <row r="364" spans="1:11" ht="13.2">
      <c r="A364" s="5">
        <v>201</v>
      </c>
      <c r="B364" s="14" t="str">
        <f t="shared" si="2"/>
        <v>14</v>
      </c>
      <c r="C364" s="15" t="s">
        <v>561</v>
      </c>
      <c r="D364" s="16">
        <f t="shared" si="3"/>
        <v>11500</v>
      </c>
      <c r="E364" s="17" t="s">
        <v>558</v>
      </c>
      <c r="F364" s="18" t="s">
        <v>43</v>
      </c>
      <c r="G364" s="15" t="s">
        <v>211</v>
      </c>
      <c r="H364" s="18">
        <v>180</v>
      </c>
      <c r="I364" s="19" t="s">
        <v>562</v>
      </c>
      <c r="J364" s="20" t="s">
        <v>563</v>
      </c>
      <c r="K364" s="21">
        <v>75</v>
      </c>
    </row>
    <row r="365" spans="1:11" ht="13.2">
      <c r="A365" s="5">
        <v>202</v>
      </c>
      <c r="B365" s="14" t="str">
        <f t="shared" si="2"/>
        <v>15</v>
      </c>
      <c r="C365" s="15" t="s">
        <v>564</v>
      </c>
      <c r="D365" s="16">
        <f t="shared" si="3"/>
        <v>13000</v>
      </c>
      <c r="E365" s="17" t="s">
        <v>565</v>
      </c>
      <c r="F365" s="18" t="s">
        <v>31</v>
      </c>
      <c r="G365" s="15" t="s">
        <v>110</v>
      </c>
      <c r="H365" s="18">
        <v>212</v>
      </c>
      <c r="I365" s="19" t="s">
        <v>566</v>
      </c>
      <c r="J365" s="20" t="s">
        <v>567</v>
      </c>
      <c r="K365" s="21">
        <v>108</v>
      </c>
    </row>
    <row r="366" spans="1:11" ht="13.2">
      <c r="A366" s="5">
        <v>203</v>
      </c>
      <c r="B366" s="14" t="str">
        <f t="shared" si="2"/>
        <v>15</v>
      </c>
      <c r="C366" s="15" t="s">
        <v>568</v>
      </c>
      <c r="D366" s="16">
        <f t="shared" si="3"/>
        <v>13000</v>
      </c>
      <c r="E366" s="17" t="s">
        <v>565</v>
      </c>
      <c r="F366" s="18" t="s">
        <v>43</v>
      </c>
      <c r="G366" s="15" t="s">
        <v>110</v>
      </c>
      <c r="H366" s="18">
        <v>207</v>
      </c>
      <c r="I366" s="19" t="s">
        <v>569</v>
      </c>
      <c r="J366" s="20" t="s">
        <v>504</v>
      </c>
      <c r="K366" s="21">
        <v>94</v>
      </c>
    </row>
    <row r="367" spans="1:11" ht="13.2">
      <c r="A367" s="5">
        <v>204</v>
      </c>
      <c r="B367" s="14" t="str">
        <f t="shared" si="2"/>
        <v>15</v>
      </c>
      <c r="C367" s="15" t="s">
        <v>570</v>
      </c>
      <c r="D367" s="16">
        <f t="shared" si="3"/>
        <v>13000</v>
      </c>
      <c r="E367" s="17" t="s">
        <v>565</v>
      </c>
      <c r="F367" s="18" t="s">
        <v>43</v>
      </c>
      <c r="G367" s="15" t="s">
        <v>114</v>
      </c>
      <c r="H367" s="18">
        <v>97</v>
      </c>
      <c r="I367" s="19" t="s">
        <v>571</v>
      </c>
      <c r="J367" s="20" t="s">
        <v>25</v>
      </c>
      <c r="K367" s="21">
        <v>229</v>
      </c>
    </row>
    <row r="368" spans="1:11" ht="13.2">
      <c r="A368" s="5">
        <v>205</v>
      </c>
      <c r="B368" s="14" t="str">
        <f t="shared" si="2"/>
        <v>15</v>
      </c>
      <c r="C368" s="15" t="s">
        <v>572</v>
      </c>
      <c r="D368" s="16">
        <f t="shared" si="3"/>
        <v>13000</v>
      </c>
      <c r="E368" s="17" t="s">
        <v>565</v>
      </c>
      <c r="F368" s="18" t="s">
        <v>22</v>
      </c>
      <c r="G368" s="15" t="s">
        <v>131</v>
      </c>
      <c r="H368" s="18">
        <v>247</v>
      </c>
      <c r="I368" s="19" t="s">
        <v>573</v>
      </c>
      <c r="J368" s="20" t="s">
        <v>574</v>
      </c>
      <c r="K368" s="21">
        <v>255</v>
      </c>
    </row>
    <row r="369" spans="1:11" ht="13.2">
      <c r="A369" s="5">
        <v>206</v>
      </c>
      <c r="B369" s="14" t="str">
        <f t="shared" si="2"/>
        <v>16</v>
      </c>
      <c r="C369" s="15" t="s">
        <v>575</v>
      </c>
      <c r="D369" s="16">
        <f t="shared" si="3"/>
        <v>15000</v>
      </c>
      <c r="E369" s="17" t="s">
        <v>576</v>
      </c>
      <c r="F369" s="18" t="s">
        <v>43</v>
      </c>
      <c r="G369" s="15" t="s">
        <v>110</v>
      </c>
      <c r="H369" s="18">
        <v>225</v>
      </c>
      <c r="I369" s="19" t="s">
        <v>577</v>
      </c>
      <c r="J369" s="20" t="s">
        <v>567</v>
      </c>
      <c r="K369" s="21">
        <v>91</v>
      </c>
    </row>
    <row r="370" spans="1:11" ht="13.2">
      <c r="A370" s="5">
        <v>207</v>
      </c>
      <c r="B370" s="14" t="str">
        <f t="shared" si="2"/>
        <v>16</v>
      </c>
      <c r="C370" s="15" t="s">
        <v>578</v>
      </c>
      <c r="D370" s="16">
        <f t="shared" si="3"/>
        <v>15000</v>
      </c>
      <c r="E370" s="17" t="s">
        <v>576</v>
      </c>
      <c r="F370" s="18" t="s">
        <v>22</v>
      </c>
      <c r="G370" s="15" t="s">
        <v>54</v>
      </c>
      <c r="H370" s="18">
        <v>210</v>
      </c>
      <c r="I370" s="19" t="s">
        <v>487</v>
      </c>
      <c r="J370" s="20" t="s">
        <v>577</v>
      </c>
      <c r="K370" s="21">
        <v>170</v>
      </c>
    </row>
    <row r="371" spans="1:11" ht="13.2">
      <c r="A371" s="5">
        <v>208</v>
      </c>
      <c r="B371" s="14" t="str">
        <f t="shared" si="2"/>
        <v>16</v>
      </c>
      <c r="C371" s="15" t="s">
        <v>579</v>
      </c>
      <c r="D371" s="16">
        <f t="shared" si="3"/>
        <v>15000</v>
      </c>
      <c r="E371" s="17" t="s">
        <v>576</v>
      </c>
      <c r="F371" s="18" t="s">
        <v>45</v>
      </c>
      <c r="G371" s="15" t="s">
        <v>46</v>
      </c>
      <c r="H371" s="18">
        <v>189</v>
      </c>
      <c r="I371" s="19" t="s">
        <v>253</v>
      </c>
      <c r="J371" s="20" t="s">
        <v>226</v>
      </c>
      <c r="K371" s="21">
        <v>61</v>
      </c>
    </row>
    <row r="372" spans="1:11" ht="13.2">
      <c r="A372" s="5">
        <v>209</v>
      </c>
      <c r="B372" s="14" t="str">
        <f t="shared" si="2"/>
        <v>16</v>
      </c>
      <c r="C372" s="15" t="s">
        <v>580</v>
      </c>
      <c r="D372" s="16">
        <f t="shared" si="3"/>
        <v>15000</v>
      </c>
      <c r="E372" s="17" t="s">
        <v>576</v>
      </c>
      <c r="F372" s="18" t="s">
        <v>31</v>
      </c>
      <c r="G372" s="15" t="s">
        <v>286</v>
      </c>
      <c r="H372" s="18">
        <v>200</v>
      </c>
      <c r="I372" s="19" t="s">
        <v>581</v>
      </c>
      <c r="J372" s="20" t="s">
        <v>25</v>
      </c>
      <c r="K372" s="21">
        <v>17</v>
      </c>
    </row>
    <row r="373" spans="1:11" ht="13.2">
      <c r="A373" s="5">
        <v>210</v>
      </c>
      <c r="B373" s="14" t="str">
        <f t="shared" si="2"/>
        <v>16</v>
      </c>
      <c r="C373" s="15" t="s">
        <v>582</v>
      </c>
      <c r="D373" s="16">
        <f t="shared" si="3"/>
        <v>15000</v>
      </c>
      <c r="E373" s="17" t="s">
        <v>576</v>
      </c>
      <c r="F373" s="18" t="s">
        <v>31</v>
      </c>
      <c r="G373" s="15" t="s">
        <v>110</v>
      </c>
      <c r="H373" s="18">
        <v>243</v>
      </c>
      <c r="I373" s="19" t="s">
        <v>583</v>
      </c>
      <c r="J373" s="20" t="s">
        <v>584</v>
      </c>
      <c r="K373" s="21">
        <v>117</v>
      </c>
    </row>
    <row r="374" spans="1:11" ht="13.2">
      <c r="A374" s="5">
        <v>211</v>
      </c>
      <c r="B374" s="14" t="str">
        <f t="shared" si="2"/>
        <v>17</v>
      </c>
      <c r="C374" s="15" t="s">
        <v>585</v>
      </c>
      <c r="D374" s="16">
        <f t="shared" si="3"/>
        <v>18000</v>
      </c>
      <c r="E374" s="17" t="s">
        <v>586</v>
      </c>
      <c r="F374" s="18" t="s">
        <v>53</v>
      </c>
      <c r="G374" s="15" t="s">
        <v>131</v>
      </c>
      <c r="H374" s="18">
        <v>199</v>
      </c>
      <c r="I374" s="19" t="s">
        <v>503</v>
      </c>
      <c r="J374" s="20" t="s">
        <v>25</v>
      </c>
      <c r="K374" s="21">
        <v>281</v>
      </c>
    </row>
    <row r="375" spans="1:11" ht="13.2">
      <c r="A375" s="5">
        <v>212</v>
      </c>
      <c r="B375" s="14" t="str">
        <f t="shared" si="2"/>
        <v>17</v>
      </c>
      <c r="C375" s="15" t="s">
        <v>587</v>
      </c>
      <c r="D375" s="16">
        <f t="shared" si="3"/>
        <v>18000</v>
      </c>
      <c r="E375" s="17" t="s">
        <v>586</v>
      </c>
      <c r="F375" s="18" t="s">
        <v>45</v>
      </c>
      <c r="G375" s="15" t="s">
        <v>114</v>
      </c>
      <c r="H375" s="18">
        <v>180</v>
      </c>
      <c r="I375" s="19" t="s">
        <v>588</v>
      </c>
      <c r="J375" s="20" t="s">
        <v>25</v>
      </c>
      <c r="K375" s="21">
        <v>47</v>
      </c>
    </row>
    <row r="376" spans="1:11" ht="13.2">
      <c r="A376" s="5">
        <v>213</v>
      </c>
      <c r="B376" s="14" t="str">
        <f t="shared" si="2"/>
        <v>17</v>
      </c>
      <c r="C376" s="15" t="s">
        <v>589</v>
      </c>
      <c r="D376" s="16">
        <f t="shared" si="3"/>
        <v>18000</v>
      </c>
      <c r="E376" s="17" t="s">
        <v>586</v>
      </c>
      <c r="F376" s="18" t="s">
        <v>43</v>
      </c>
      <c r="G376" s="15" t="s">
        <v>114</v>
      </c>
      <c r="H376" s="18">
        <v>225</v>
      </c>
      <c r="I376" s="19" t="s">
        <v>577</v>
      </c>
      <c r="J376" s="20" t="s">
        <v>567</v>
      </c>
      <c r="K376" s="21">
        <v>84</v>
      </c>
    </row>
    <row r="377" spans="1:11" ht="13.2">
      <c r="A377" s="5">
        <v>214</v>
      </c>
      <c r="B377" s="14" t="str">
        <f t="shared" si="2"/>
        <v>17</v>
      </c>
      <c r="C377" s="15" t="s">
        <v>590</v>
      </c>
      <c r="D377" s="16">
        <f t="shared" si="3"/>
        <v>18000</v>
      </c>
      <c r="E377" s="17" t="s">
        <v>586</v>
      </c>
      <c r="F377" s="18" t="s">
        <v>50</v>
      </c>
      <c r="G377" s="15" t="s">
        <v>110</v>
      </c>
      <c r="H377" s="18">
        <v>341</v>
      </c>
      <c r="I377" s="19" t="s">
        <v>591</v>
      </c>
      <c r="J377" s="20" t="s">
        <v>592</v>
      </c>
      <c r="K377" s="21">
        <v>119</v>
      </c>
    </row>
    <row r="378" spans="1:11" ht="13.2">
      <c r="A378" s="5">
        <v>215</v>
      </c>
      <c r="B378" s="14" t="str">
        <f t="shared" si="2"/>
        <v>17</v>
      </c>
      <c r="C378" s="15" t="s">
        <v>593</v>
      </c>
      <c r="D378" s="16">
        <f t="shared" si="3"/>
        <v>18000</v>
      </c>
      <c r="E378" s="17" t="s">
        <v>586</v>
      </c>
      <c r="F378" s="18" t="s">
        <v>31</v>
      </c>
      <c r="G378" s="15" t="s">
        <v>110</v>
      </c>
      <c r="H378" s="18">
        <v>256</v>
      </c>
      <c r="I378" s="19" t="s">
        <v>583</v>
      </c>
      <c r="J378" s="20" t="s">
        <v>584</v>
      </c>
      <c r="K378" s="21">
        <v>114</v>
      </c>
    </row>
    <row r="379" spans="1:11" ht="13.2">
      <c r="A379" s="5">
        <v>216</v>
      </c>
      <c r="B379" s="14" t="str">
        <f t="shared" si="2"/>
        <v>17</v>
      </c>
      <c r="C379" s="15" t="s">
        <v>594</v>
      </c>
      <c r="D379" s="16">
        <f t="shared" si="3"/>
        <v>18000</v>
      </c>
      <c r="E379" s="17" t="s">
        <v>586</v>
      </c>
      <c r="F379" s="18" t="s">
        <v>45</v>
      </c>
      <c r="G379" s="15" t="s">
        <v>46</v>
      </c>
      <c r="H379" s="18">
        <v>310</v>
      </c>
      <c r="I379" s="19" t="s">
        <v>487</v>
      </c>
      <c r="J379" s="20" t="s">
        <v>577</v>
      </c>
      <c r="K379" s="21">
        <v>59</v>
      </c>
    </row>
    <row r="380" spans="1:11" ht="13.2">
      <c r="A380" s="5">
        <v>217</v>
      </c>
      <c r="B380" s="14" t="str">
        <f t="shared" si="2"/>
        <v>17</v>
      </c>
      <c r="C380" s="15" t="s">
        <v>595</v>
      </c>
      <c r="D380" s="16">
        <f t="shared" si="3"/>
        <v>18000</v>
      </c>
      <c r="E380" s="17" t="s">
        <v>586</v>
      </c>
      <c r="F380" s="18" t="s">
        <v>45</v>
      </c>
      <c r="G380" s="15" t="s">
        <v>110</v>
      </c>
      <c r="H380" s="18">
        <v>256</v>
      </c>
      <c r="I380" s="19" t="s">
        <v>596</v>
      </c>
      <c r="J380" s="20" t="s">
        <v>584</v>
      </c>
      <c r="K380" s="21">
        <v>98</v>
      </c>
    </row>
    <row r="381" spans="1:11" ht="13.2">
      <c r="A381" s="5">
        <v>218</v>
      </c>
      <c r="B381" s="14" t="str">
        <f t="shared" si="2"/>
        <v>18</v>
      </c>
      <c r="C381" s="15" t="s">
        <v>597</v>
      </c>
      <c r="D381" s="16">
        <f t="shared" si="3"/>
        <v>20000</v>
      </c>
      <c r="E381" s="17" t="s">
        <v>598</v>
      </c>
      <c r="F381" s="18" t="s">
        <v>65</v>
      </c>
      <c r="G381" s="15" t="s">
        <v>114</v>
      </c>
      <c r="H381" s="18">
        <v>80</v>
      </c>
      <c r="I381" s="19" t="s">
        <v>263</v>
      </c>
      <c r="J381" s="20" t="s">
        <v>25</v>
      </c>
      <c r="K381" s="21">
        <v>48</v>
      </c>
    </row>
    <row r="382" spans="1:11" ht="13.2">
      <c r="A382" s="5">
        <v>219</v>
      </c>
      <c r="B382" s="14" t="str">
        <f t="shared" si="2"/>
        <v>19</v>
      </c>
      <c r="C382" s="15" t="s">
        <v>599</v>
      </c>
      <c r="D382" s="16">
        <f t="shared" si="3"/>
        <v>22000</v>
      </c>
      <c r="E382" s="17" t="s">
        <v>600</v>
      </c>
      <c r="F382" s="18" t="s">
        <v>45</v>
      </c>
      <c r="G382" s="15" t="s">
        <v>46</v>
      </c>
      <c r="H382" s="18">
        <v>262</v>
      </c>
      <c r="I382" s="19" t="s">
        <v>495</v>
      </c>
      <c r="J382" s="20" t="s">
        <v>584</v>
      </c>
      <c r="K382" s="21">
        <v>55</v>
      </c>
    </row>
    <row r="383" spans="1:11" ht="13.2">
      <c r="A383" s="5">
        <v>276</v>
      </c>
      <c r="B383" s="14" t="str">
        <f t="shared" si="2"/>
        <v>20</v>
      </c>
      <c r="C383" s="15" t="s">
        <v>601</v>
      </c>
      <c r="D383" s="16">
        <f t="shared" si="3"/>
        <v>25000</v>
      </c>
      <c r="E383" s="17" t="s">
        <v>602</v>
      </c>
      <c r="F383" s="18" t="s">
        <v>179</v>
      </c>
      <c r="G383" s="15" t="s">
        <v>110</v>
      </c>
      <c r="H383" s="18">
        <v>297</v>
      </c>
      <c r="I383" s="19" t="s">
        <v>583</v>
      </c>
      <c r="J383" s="20" t="s">
        <v>584</v>
      </c>
      <c r="K383" s="21">
        <v>104</v>
      </c>
    </row>
    <row r="384" spans="1:11" ht="13.2">
      <c r="A384" s="5">
        <v>277</v>
      </c>
      <c r="B384" s="14" t="str">
        <f t="shared" si="2"/>
        <v>20</v>
      </c>
      <c r="C384" s="15" t="s">
        <v>603</v>
      </c>
      <c r="D384" s="16">
        <f t="shared" si="3"/>
        <v>25000</v>
      </c>
      <c r="E384" s="17" t="s">
        <v>602</v>
      </c>
      <c r="F384" s="18" t="s">
        <v>43</v>
      </c>
      <c r="G384" s="15" t="s">
        <v>211</v>
      </c>
      <c r="H384" s="18">
        <v>300</v>
      </c>
      <c r="I384" s="19" t="s">
        <v>604</v>
      </c>
      <c r="J384" s="20" t="s">
        <v>605</v>
      </c>
      <c r="K384" s="21">
        <v>77</v>
      </c>
    </row>
    <row r="385" spans="1:11" ht="13.2">
      <c r="A385" s="5">
        <v>278</v>
      </c>
      <c r="B385" s="14" t="str">
        <f t="shared" si="2"/>
        <v>20</v>
      </c>
      <c r="C385" s="15" t="s">
        <v>606</v>
      </c>
      <c r="D385" s="16">
        <f t="shared" si="3"/>
        <v>25000</v>
      </c>
      <c r="E385" s="17" t="s">
        <v>602</v>
      </c>
      <c r="F385" s="18" t="s">
        <v>45</v>
      </c>
      <c r="G385" s="15" t="s">
        <v>110</v>
      </c>
      <c r="H385" s="18">
        <v>333</v>
      </c>
      <c r="I385" s="19" t="s">
        <v>607</v>
      </c>
      <c r="J385" s="20" t="s">
        <v>584</v>
      </c>
      <c r="K385" s="21">
        <v>100</v>
      </c>
    </row>
    <row r="386" spans="1:11" ht="13.2">
      <c r="A386" s="5">
        <v>279</v>
      </c>
      <c r="B386" s="14" t="str">
        <f t="shared" si="2"/>
        <v>21</v>
      </c>
      <c r="C386" s="15" t="s">
        <v>608</v>
      </c>
      <c r="D386" s="16">
        <f t="shared" si="3"/>
        <v>33000</v>
      </c>
      <c r="E386" s="17" t="s">
        <v>609</v>
      </c>
      <c r="F386" s="18" t="s">
        <v>45</v>
      </c>
      <c r="G386" s="15" t="s">
        <v>110</v>
      </c>
      <c r="H386" s="18">
        <v>367</v>
      </c>
      <c r="I386" s="19" t="s">
        <v>607</v>
      </c>
      <c r="J386" s="20" t="s">
        <v>584</v>
      </c>
      <c r="K386" s="21">
        <v>87</v>
      </c>
    </row>
    <row r="387" spans="1:11" ht="13.2">
      <c r="A387" s="5">
        <v>280</v>
      </c>
      <c r="B387" s="14" t="str">
        <f t="shared" si="2"/>
        <v>21</v>
      </c>
      <c r="C387" s="15" t="s">
        <v>610</v>
      </c>
      <c r="D387" s="16">
        <f t="shared" si="3"/>
        <v>33000</v>
      </c>
      <c r="E387" s="17" t="s">
        <v>609</v>
      </c>
      <c r="F387" s="18" t="s">
        <v>179</v>
      </c>
      <c r="G387" s="15" t="s">
        <v>110</v>
      </c>
      <c r="H387" s="18">
        <v>350</v>
      </c>
      <c r="I387" s="19" t="s">
        <v>583</v>
      </c>
      <c r="J387" s="20" t="s">
        <v>584</v>
      </c>
      <c r="K387" s="21">
        <v>110</v>
      </c>
    </row>
    <row r="388" spans="1:11" ht="13.2">
      <c r="A388" s="5">
        <v>281</v>
      </c>
      <c r="B388" s="14" t="str">
        <f t="shared" si="2"/>
        <v>21</v>
      </c>
      <c r="C388" s="15" t="s">
        <v>611</v>
      </c>
      <c r="D388" s="16">
        <f t="shared" si="3"/>
        <v>33000</v>
      </c>
      <c r="E388" s="17" t="s">
        <v>609</v>
      </c>
      <c r="F388" s="18" t="s">
        <v>387</v>
      </c>
      <c r="G388" s="15" t="s">
        <v>114</v>
      </c>
      <c r="H388" s="18">
        <v>135</v>
      </c>
      <c r="I388" s="19" t="s">
        <v>229</v>
      </c>
      <c r="J388" s="20" t="s">
        <v>25</v>
      </c>
      <c r="K388" s="21">
        <v>202</v>
      </c>
    </row>
    <row r="389" spans="1:11" ht="13.2">
      <c r="A389" s="5">
        <v>282</v>
      </c>
      <c r="B389" s="14" t="str">
        <f t="shared" si="2"/>
        <v>21</v>
      </c>
      <c r="C389" s="15" t="s">
        <v>612</v>
      </c>
      <c r="D389" s="16">
        <f t="shared" si="3"/>
        <v>33000</v>
      </c>
      <c r="E389" s="17" t="s">
        <v>609</v>
      </c>
      <c r="F389" s="18" t="s">
        <v>31</v>
      </c>
      <c r="G389" s="15" t="s">
        <v>286</v>
      </c>
      <c r="H389" s="18">
        <v>243</v>
      </c>
      <c r="I389" s="19" t="s">
        <v>613</v>
      </c>
      <c r="J389" s="20" t="s">
        <v>614</v>
      </c>
      <c r="K389" s="21">
        <v>18</v>
      </c>
    </row>
    <row r="390" spans="1:11" ht="13.2">
      <c r="A390" s="5">
        <v>283</v>
      </c>
      <c r="B390" s="14" t="str">
        <f t="shared" si="2"/>
        <v>22</v>
      </c>
      <c r="C390" s="15" t="s">
        <v>615</v>
      </c>
      <c r="D390" s="16">
        <f t="shared" si="3"/>
        <v>41000</v>
      </c>
      <c r="E390" s="17" t="s">
        <v>616</v>
      </c>
      <c r="F390" s="18" t="s">
        <v>31</v>
      </c>
      <c r="G390" s="15" t="s">
        <v>110</v>
      </c>
      <c r="H390" s="18">
        <v>444</v>
      </c>
      <c r="I390" s="19" t="s">
        <v>617</v>
      </c>
      <c r="J390" s="20" t="s">
        <v>618</v>
      </c>
      <c r="K390" s="21">
        <v>107</v>
      </c>
    </row>
    <row r="391" spans="1:11" ht="13.2">
      <c r="A391" s="5">
        <v>284</v>
      </c>
      <c r="B391" s="14" t="str">
        <f t="shared" si="2"/>
        <v>22</v>
      </c>
      <c r="C391" s="15" t="s">
        <v>619</v>
      </c>
      <c r="D391" s="16">
        <f t="shared" si="3"/>
        <v>41000</v>
      </c>
      <c r="E391" s="17" t="s">
        <v>616</v>
      </c>
      <c r="F391" s="18" t="s">
        <v>43</v>
      </c>
      <c r="G391" s="15" t="s">
        <v>110</v>
      </c>
      <c r="H391" s="18">
        <v>385</v>
      </c>
      <c r="I391" s="19" t="s">
        <v>620</v>
      </c>
      <c r="J391" s="20" t="s">
        <v>604</v>
      </c>
      <c r="K391" s="21">
        <v>93</v>
      </c>
    </row>
    <row r="392" spans="1:11" ht="13.2">
      <c r="A392" s="5">
        <v>285</v>
      </c>
      <c r="B392" s="14" t="str">
        <f t="shared" si="2"/>
        <v>23</v>
      </c>
      <c r="C392" s="15" t="s">
        <v>621</v>
      </c>
      <c r="D392" s="16">
        <f t="shared" si="3"/>
        <v>50000</v>
      </c>
      <c r="E392" s="17" t="s">
        <v>622</v>
      </c>
      <c r="F392" s="18" t="s">
        <v>43</v>
      </c>
      <c r="G392" s="15" t="s">
        <v>110</v>
      </c>
      <c r="H392" s="18">
        <v>481</v>
      </c>
      <c r="I392" s="19" t="s">
        <v>623</v>
      </c>
      <c r="J392" s="20" t="s">
        <v>618</v>
      </c>
      <c r="K392" s="21">
        <v>90</v>
      </c>
    </row>
    <row r="393" spans="1:11" ht="13.2">
      <c r="A393" s="5">
        <v>286</v>
      </c>
      <c r="B393" s="14" t="str">
        <f t="shared" si="2"/>
        <v>23</v>
      </c>
      <c r="C393" s="15" t="s">
        <v>624</v>
      </c>
      <c r="D393" s="16">
        <f t="shared" si="3"/>
        <v>50000</v>
      </c>
      <c r="E393" s="17" t="s">
        <v>622</v>
      </c>
      <c r="F393" s="18" t="s">
        <v>625</v>
      </c>
      <c r="G393" s="15" t="s">
        <v>286</v>
      </c>
      <c r="H393" s="18">
        <v>313</v>
      </c>
      <c r="I393" s="19" t="s">
        <v>626</v>
      </c>
      <c r="J393" s="20" t="s">
        <v>374</v>
      </c>
      <c r="K393" s="21">
        <v>130</v>
      </c>
    </row>
    <row r="394" spans="1:11" ht="13.2">
      <c r="A394" s="5">
        <v>287</v>
      </c>
      <c r="B394" s="14" t="str">
        <f t="shared" si="2"/>
        <v>23</v>
      </c>
      <c r="C394" s="15" t="s">
        <v>627</v>
      </c>
      <c r="D394" s="16">
        <f t="shared" si="3"/>
        <v>50000</v>
      </c>
      <c r="E394" s="17" t="s">
        <v>622</v>
      </c>
      <c r="F394" s="18" t="s">
        <v>45</v>
      </c>
      <c r="G394" s="15" t="s">
        <v>131</v>
      </c>
      <c r="H394" s="18">
        <v>472</v>
      </c>
      <c r="I394" s="19" t="s">
        <v>628</v>
      </c>
      <c r="J394" s="20" t="s">
        <v>629</v>
      </c>
      <c r="K394" s="21">
        <v>197</v>
      </c>
    </row>
    <row r="395" spans="1:11" ht="13.2">
      <c r="A395" s="5">
        <v>288</v>
      </c>
      <c r="B395" s="14" t="str">
        <f t="shared" si="2"/>
        <v>23</v>
      </c>
      <c r="C395" s="15" t="s">
        <v>630</v>
      </c>
      <c r="D395" s="16">
        <f t="shared" si="3"/>
        <v>50000</v>
      </c>
      <c r="E395" s="17" t="s">
        <v>622</v>
      </c>
      <c r="F395" s="18" t="s">
        <v>31</v>
      </c>
      <c r="G395" s="15" t="s">
        <v>110</v>
      </c>
      <c r="H395" s="18">
        <v>487</v>
      </c>
      <c r="I395" s="19" t="s">
        <v>631</v>
      </c>
      <c r="J395" s="20" t="s">
        <v>632</v>
      </c>
      <c r="K395" s="21">
        <v>116</v>
      </c>
    </row>
    <row r="396" spans="1:11" ht="13.2">
      <c r="A396" s="5">
        <v>289</v>
      </c>
      <c r="B396" s="14" t="str">
        <f t="shared" si="2"/>
        <v>24</v>
      </c>
      <c r="C396" s="15" t="s">
        <v>633</v>
      </c>
      <c r="D396" s="16">
        <f t="shared" si="3"/>
        <v>62000</v>
      </c>
      <c r="E396" s="17" t="s">
        <v>634</v>
      </c>
      <c r="F396" s="18" t="s">
        <v>31</v>
      </c>
      <c r="G396" s="15" t="s">
        <v>110</v>
      </c>
      <c r="H396" s="18">
        <v>546</v>
      </c>
      <c r="I396" s="19" t="s">
        <v>631</v>
      </c>
      <c r="J396" s="20" t="s">
        <v>632</v>
      </c>
      <c r="K396" s="21">
        <v>113</v>
      </c>
    </row>
    <row r="397" spans="1:11" ht="13.2">
      <c r="A397" s="5">
        <v>290</v>
      </c>
      <c r="B397" s="14" t="str">
        <f t="shared" si="2"/>
        <v>24</v>
      </c>
      <c r="C397" s="15" t="s">
        <v>635</v>
      </c>
      <c r="D397" s="16">
        <f t="shared" si="3"/>
        <v>62000</v>
      </c>
      <c r="E397" s="17" t="s">
        <v>634</v>
      </c>
      <c r="F397" s="18" t="s">
        <v>45</v>
      </c>
      <c r="G397" s="15" t="s">
        <v>110</v>
      </c>
      <c r="H397" s="18">
        <v>546</v>
      </c>
      <c r="I397" s="19" t="s">
        <v>636</v>
      </c>
      <c r="J397" s="20" t="s">
        <v>632</v>
      </c>
      <c r="K397" s="21">
        <v>97</v>
      </c>
    </row>
    <row r="398" spans="1:11" ht="13.2">
      <c r="A398" s="5">
        <v>322</v>
      </c>
      <c r="B398" s="14" t="str">
        <f t="shared" si="2"/>
        <v>30</v>
      </c>
      <c r="C398" s="15" t="s">
        <v>637</v>
      </c>
      <c r="D398" s="16">
        <f t="shared" si="3"/>
        <v>155000</v>
      </c>
      <c r="E398" s="17" t="s">
        <v>638</v>
      </c>
      <c r="F398" s="18" t="s">
        <v>22</v>
      </c>
      <c r="G398" s="15" t="s">
        <v>131</v>
      </c>
      <c r="H398" s="18">
        <v>676</v>
      </c>
      <c r="I398" s="19" t="s">
        <v>639</v>
      </c>
      <c r="J398" s="20" t="s">
        <v>640</v>
      </c>
      <c r="K398" s="21">
        <v>286</v>
      </c>
    </row>
    <row r="399" spans="1:11" ht="13.2">
      <c r="A399" s="5">
        <v>1</v>
      </c>
      <c r="B399" s="14" t="str">
        <f t="shared" si="2"/>
        <v>0</v>
      </c>
      <c r="C399" s="15" t="s">
        <v>641</v>
      </c>
      <c r="D399" s="16">
        <f t="shared" si="3"/>
        <v>0</v>
      </c>
      <c r="E399" s="17" t="s">
        <v>642</v>
      </c>
      <c r="F399" s="18" t="s">
        <v>22</v>
      </c>
      <c r="G399" s="15" t="s">
        <v>66</v>
      </c>
      <c r="H399" s="18">
        <v>10</v>
      </c>
      <c r="I399" s="19" t="s">
        <v>643</v>
      </c>
      <c r="J399" s="20" t="s">
        <v>25</v>
      </c>
      <c r="K399" s="21">
        <v>317</v>
      </c>
    </row>
    <row r="400" spans="1:11" ht="13.2">
      <c r="A400" s="5">
        <v>2</v>
      </c>
      <c r="B400" s="14" t="str">
        <f t="shared" si="2"/>
        <v>0</v>
      </c>
      <c r="C400" s="15" t="s">
        <v>644</v>
      </c>
      <c r="D400" s="16">
        <f t="shared" si="3"/>
        <v>0</v>
      </c>
      <c r="E400" s="17" t="s">
        <v>642</v>
      </c>
      <c r="F400" s="18" t="s">
        <v>22</v>
      </c>
      <c r="G400" s="15" t="s">
        <v>23</v>
      </c>
      <c r="H400" s="18">
        <v>3</v>
      </c>
      <c r="I400" s="19" t="s">
        <v>643</v>
      </c>
      <c r="J400" s="20" t="s">
        <v>25</v>
      </c>
      <c r="K400" s="21">
        <v>318</v>
      </c>
    </row>
    <row r="401" spans="1:11" ht="13.2">
      <c r="A401" s="5">
        <v>3</v>
      </c>
      <c r="B401" s="14" t="str">
        <f t="shared" si="2"/>
        <v>0</v>
      </c>
      <c r="C401" s="15" t="s">
        <v>645</v>
      </c>
      <c r="D401" s="16">
        <f t="shared" si="3"/>
        <v>0</v>
      </c>
      <c r="E401" s="17" t="s">
        <v>642</v>
      </c>
      <c r="F401" s="18" t="s">
        <v>22</v>
      </c>
      <c r="G401" s="15" t="s">
        <v>23</v>
      </c>
      <c r="H401" s="18">
        <v>3</v>
      </c>
      <c r="I401" s="19">
        <v>1</v>
      </c>
      <c r="J401" s="20" t="s">
        <v>25</v>
      </c>
      <c r="K401" s="21">
        <v>318</v>
      </c>
    </row>
    <row r="402" spans="1:11" ht="13.2">
      <c r="A402" s="5">
        <v>4</v>
      </c>
      <c r="B402" s="14" t="str">
        <f t="shared" si="2"/>
        <v>0</v>
      </c>
      <c r="C402" s="15" t="s">
        <v>646</v>
      </c>
      <c r="D402" s="16">
        <f t="shared" si="3"/>
        <v>0</v>
      </c>
      <c r="E402" s="17" t="s">
        <v>642</v>
      </c>
      <c r="F402" s="18" t="s">
        <v>22</v>
      </c>
      <c r="G402" s="15" t="s">
        <v>23</v>
      </c>
      <c r="H402" s="18">
        <v>1</v>
      </c>
      <c r="I402" s="19">
        <v>1</v>
      </c>
      <c r="J402" s="20" t="s">
        <v>25</v>
      </c>
      <c r="K402" s="21">
        <v>318</v>
      </c>
    </row>
    <row r="403" spans="1:11" ht="13.2">
      <c r="A403" s="5">
        <v>5</v>
      </c>
      <c r="B403" s="14" t="str">
        <f t="shared" si="2"/>
        <v>0</v>
      </c>
      <c r="C403" s="15" t="s">
        <v>647</v>
      </c>
      <c r="D403" s="16">
        <f t="shared" si="3"/>
        <v>0</v>
      </c>
      <c r="E403" s="17" t="s">
        <v>642</v>
      </c>
      <c r="F403" s="18" t="s">
        <v>22</v>
      </c>
      <c r="G403" s="15" t="s">
        <v>23</v>
      </c>
      <c r="H403" s="18">
        <v>2</v>
      </c>
      <c r="I403" s="19">
        <v>1</v>
      </c>
      <c r="J403" s="20" t="s">
        <v>25</v>
      </c>
      <c r="K403" s="21">
        <v>320</v>
      </c>
    </row>
    <row r="404" spans="1:11" ht="13.2">
      <c r="A404" s="5">
        <v>6</v>
      </c>
      <c r="B404" s="14" t="str">
        <f t="shared" si="2"/>
        <v>0</v>
      </c>
      <c r="C404" s="15" t="s">
        <v>648</v>
      </c>
      <c r="D404" s="16">
        <f t="shared" si="3"/>
        <v>0</v>
      </c>
      <c r="E404" s="17" t="s">
        <v>642</v>
      </c>
      <c r="F404" s="18" t="s">
        <v>41</v>
      </c>
      <c r="G404" s="15" t="s">
        <v>18</v>
      </c>
      <c r="H404" s="18">
        <v>4</v>
      </c>
      <c r="I404" s="19" t="s">
        <v>27</v>
      </c>
      <c r="J404" s="20" t="s">
        <v>25</v>
      </c>
      <c r="K404" s="21">
        <v>345</v>
      </c>
    </row>
    <row r="405" spans="1:11" ht="13.2">
      <c r="A405" s="5">
        <v>7</v>
      </c>
      <c r="B405" s="14" t="str">
        <f t="shared" si="2"/>
        <v>0</v>
      </c>
      <c r="C405" s="15" t="s">
        <v>649</v>
      </c>
      <c r="D405" s="16">
        <f t="shared" si="3"/>
        <v>0</v>
      </c>
      <c r="E405" s="17" t="s">
        <v>642</v>
      </c>
      <c r="F405" s="18" t="s">
        <v>22</v>
      </c>
      <c r="G405" s="15" t="s">
        <v>23</v>
      </c>
      <c r="H405" s="18">
        <v>2</v>
      </c>
      <c r="I405" s="19">
        <v>1</v>
      </c>
      <c r="J405" s="20" t="s">
        <v>25</v>
      </c>
      <c r="K405" s="21">
        <v>320</v>
      </c>
    </row>
    <row r="406" spans="1:11" ht="13.2">
      <c r="A406" s="5">
        <v>8</v>
      </c>
      <c r="B406" s="14" t="str">
        <f t="shared" si="2"/>
        <v>0</v>
      </c>
      <c r="C406" s="15" t="s">
        <v>650</v>
      </c>
      <c r="D406" s="16">
        <f t="shared" si="3"/>
        <v>0</v>
      </c>
      <c r="E406" s="17" t="s">
        <v>642</v>
      </c>
      <c r="F406" s="18" t="s">
        <v>65</v>
      </c>
      <c r="G406" s="15" t="s">
        <v>114</v>
      </c>
      <c r="H406" s="18">
        <v>2</v>
      </c>
      <c r="I406" s="19" t="s">
        <v>55</v>
      </c>
      <c r="J406" s="20" t="s">
        <v>25</v>
      </c>
      <c r="K406" s="21">
        <v>44</v>
      </c>
    </row>
    <row r="407" spans="1:11" ht="13.2">
      <c r="A407" s="5">
        <v>9</v>
      </c>
      <c r="B407" s="14" t="str">
        <f t="shared" si="2"/>
        <v>0</v>
      </c>
      <c r="C407" s="15" t="s">
        <v>651</v>
      </c>
      <c r="D407" s="16">
        <f t="shared" si="3"/>
        <v>0</v>
      </c>
      <c r="E407" s="17" t="s">
        <v>642</v>
      </c>
      <c r="F407" s="18" t="s">
        <v>22</v>
      </c>
      <c r="G407" s="15" t="s">
        <v>23</v>
      </c>
      <c r="H407" s="18">
        <v>4</v>
      </c>
      <c r="I407" s="19" t="s">
        <v>27</v>
      </c>
      <c r="J407" s="20" t="s">
        <v>25</v>
      </c>
      <c r="K407" s="21">
        <v>321</v>
      </c>
    </row>
    <row r="408" spans="1:11" ht="13.2">
      <c r="A408" s="5">
        <v>10</v>
      </c>
      <c r="B408" s="14" t="str">
        <f t="shared" si="2"/>
        <v>0</v>
      </c>
      <c r="C408" s="15" t="s">
        <v>652</v>
      </c>
      <c r="D408" s="16">
        <f t="shared" si="3"/>
        <v>0</v>
      </c>
      <c r="E408" s="17" t="s">
        <v>642</v>
      </c>
      <c r="F408" s="18" t="s">
        <v>22</v>
      </c>
      <c r="G408" s="15" t="s">
        <v>23</v>
      </c>
      <c r="H408" s="18">
        <v>3</v>
      </c>
      <c r="I408" s="19" t="s">
        <v>24</v>
      </c>
      <c r="J408" s="20" t="s">
        <v>25</v>
      </c>
      <c r="K408" s="21">
        <v>322</v>
      </c>
    </row>
    <row r="409" spans="1:11" ht="13.2">
      <c r="A409" s="5">
        <v>11</v>
      </c>
      <c r="B409" s="14" t="str">
        <f t="shared" si="2"/>
        <v>0</v>
      </c>
      <c r="C409" s="15" t="s">
        <v>653</v>
      </c>
      <c r="D409" s="16">
        <f t="shared" si="3"/>
        <v>0</v>
      </c>
      <c r="E409" s="17" t="s">
        <v>642</v>
      </c>
      <c r="F409" s="18" t="s">
        <v>22</v>
      </c>
      <c r="G409" s="15" t="s">
        <v>23</v>
      </c>
      <c r="H409" s="18">
        <v>1</v>
      </c>
      <c r="I409" s="19" t="s">
        <v>25</v>
      </c>
      <c r="J409" s="20" t="s">
        <v>25</v>
      </c>
      <c r="K409" s="21">
        <v>322</v>
      </c>
    </row>
    <row r="410" spans="1:11" ht="13.2">
      <c r="A410" s="5">
        <v>12</v>
      </c>
      <c r="B410" s="14" t="str">
        <f t="shared" si="2"/>
        <v>0</v>
      </c>
      <c r="C410" s="15" t="s">
        <v>654</v>
      </c>
      <c r="D410" s="16">
        <f t="shared" si="3"/>
        <v>0</v>
      </c>
      <c r="E410" s="17" t="s">
        <v>642</v>
      </c>
      <c r="F410" s="18" t="s">
        <v>22</v>
      </c>
      <c r="G410" s="15" t="s">
        <v>23</v>
      </c>
      <c r="H410" s="18">
        <v>4</v>
      </c>
      <c r="I410" s="19" t="s">
        <v>344</v>
      </c>
      <c r="J410" s="20" t="s">
        <v>25</v>
      </c>
      <c r="K410" s="21">
        <v>325</v>
      </c>
    </row>
    <row r="411" spans="1:11" ht="13.2">
      <c r="A411" s="5">
        <v>13</v>
      </c>
      <c r="B411" s="14" t="str">
        <f t="shared" si="2"/>
        <v>0</v>
      </c>
      <c r="C411" s="15" t="s">
        <v>655</v>
      </c>
      <c r="D411" s="16">
        <f t="shared" si="3"/>
        <v>0</v>
      </c>
      <c r="E411" s="17" t="s">
        <v>642</v>
      </c>
      <c r="F411" s="18" t="s">
        <v>22</v>
      </c>
      <c r="G411" s="15" t="s">
        <v>23</v>
      </c>
      <c r="H411" s="18">
        <v>4</v>
      </c>
      <c r="I411" s="19" t="s">
        <v>55</v>
      </c>
      <c r="J411" s="20" t="s">
        <v>25</v>
      </c>
      <c r="K411" s="21">
        <v>330</v>
      </c>
    </row>
    <row r="412" spans="1:11" ht="13.2">
      <c r="A412" s="5">
        <v>14</v>
      </c>
      <c r="B412" s="14" t="str">
        <f t="shared" si="2"/>
        <v>0</v>
      </c>
      <c r="C412" s="15" t="s">
        <v>656</v>
      </c>
      <c r="D412" s="16">
        <f t="shared" si="3"/>
        <v>0</v>
      </c>
      <c r="E412" s="17" t="s">
        <v>642</v>
      </c>
      <c r="F412" s="18" t="s">
        <v>22</v>
      </c>
      <c r="G412" s="15" t="s">
        <v>23</v>
      </c>
      <c r="H412" s="18">
        <v>11</v>
      </c>
      <c r="I412" s="19">
        <v>1</v>
      </c>
      <c r="J412" s="20" t="s">
        <v>25</v>
      </c>
      <c r="K412" s="21">
        <v>330</v>
      </c>
    </row>
    <row r="413" spans="1:11" ht="13.2">
      <c r="A413" s="5">
        <v>15</v>
      </c>
      <c r="B413" s="14" t="str">
        <f t="shared" si="2"/>
        <v>0</v>
      </c>
      <c r="C413" s="15" t="s">
        <v>657</v>
      </c>
      <c r="D413" s="16">
        <f t="shared" si="3"/>
        <v>0</v>
      </c>
      <c r="E413" s="17" t="s">
        <v>642</v>
      </c>
      <c r="F413" s="18" t="s">
        <v>50</v>
      </c>
      <c r="G413" s="15" t="s">
        <v>54</v>
      </c>
      <c r="H413" s="18">
        <v>5</v>
      </c>
      <c r="I413" s="19">
        <v>1</v>
      </c>
      <c r="J413" s="20" t="s">
        <v>25</v>
      </c>
      <c r="K413" s="21">
        <v>188</v>
      </c>
    </row>
    <row r="414" spans="1:11" ht="13.2">
      <c r="A414" s="5">
        <v>16</v>
      </c>
      <c r="B414" s="14" t="str">
        <f t="shared" si="2"/>
        <v>0</v>
      </c>
      <c r="C414" s="15" t="s">
        <v>658</v>
      </c>
      <c r="D414" s="16">
        <f t="shared" si="3"/>
        <v>0</v>
      </c>
      <c r="E414" s="17" t="s">
        <v>642</v>
      </c>
      <c r="F414" s="18" t="s">
        <v>22</v>
      </c>
      <c r="G414" s="15" t="s">
        <v>23</v>
      </c>
      <c r="H414" s="18">
        <v>5</v>
      </c>
      <c r="I414" s="19" t="s">
        <v>82</v>
      </c>
      <c r="J414" s="20" t="s">
        <v>25</v>
      </c>
      <c r="K414" s="21">
        <v>331</v>
      </c>
    </row>
    <row r="415" spans="1:11" ht="13.2">
      <c r="A415" s="5">
        <v>17</v>
      </c>
      <c r="B415" s="14" t="str">
        <f t="shared" si="2"/>
        <v>0</v>
      </c>
      <c r="C415" s="15" t="s">
        <v>659</v>
      </c>
      <c r="D415" s="16">
        <f t="shared" si="3"/>
        <v>0</v>
      </c>
      <c r="E415" s="17" t="s">
        <v>642</v>
      </c>
      <c r="F415" s="18" t="s">
        <v>22</v>
      </c>
      <c r="G415" s="15" t="s">
        <v>23</v>
      </c>
      <c r="H415" s="18">
        <v>3</v>
      </c>
      <c r="I415" s="19" t="s">
        <v>643</v>
      </c>
      <c r="J415" s="20" t="s">
        <v>25</v>
      </c>
      <c r="K415" s="21">
        <v>331</v>
      </c>
    </row>
    <row r="416" spans="1:11" ht="13.2">
      <c r="A416" s="5">
        <v>18</v>
      </c>
      <c r="B416" s="14" t="str">
        <f t="shared" si="2"/>
        <v>0</v>
      </c>
      <c r="C416" s="15" t="s">
        <v>660</v>
      </c>
      <c r="D416" s="16">
        <f t="shared" si="3"/>
        <v>0</v>
      </c>
      <c r="E416" s="17" t="s">
        <v>642</v>
      </c>
      <c r="F416" s="18" t="s">
        <v>43</v>
      </c>
      <c r="G416" s="15" t="s">
        <v>211</v>
      </c>
      <c r="H416" s="18">
        <v>13</v>
      </c>
      <c r="I416" s="19" t="s">
        <v>27</v>
      </c>
      <c r="J416" s="20" t="s">
        <v>25</v>
      </c>
      <c r="K416" s="21">
        <v>76</v>
      </c>
    </row>
    <row r="417" spans="1:27" ht="13.2">
      <c r="A417" s="5">
        <v>19</v>
      </c>
      <c r="B417" s="14" t="str">
        <f t="shared" si="2"/>
        <v>0</v>
      </c>
      <c r="C417" s="15" t="s">
        <v>661</v>
      </c>
      <c r="D417" s="16">
        <f t="shared" si="3"/>
        <v>0</v>
      </c>
      <c r="E417" s="17" t="s">
        <v>642</v>
      </c>
      <c r="F417" s="18" t="s">
        <v>22</v>
      </c>
      <c r="G417" s="15" t="s">
        <v>23</v>
      </c>
      <c r="H417" s="18">
        <v>2</v>
      </c>
      <c r="I417" s="19">
        <v>1</v>
      </c>
      <c r="J417" s="20" t="s">
        <v>25</v>
      </c>
      <c r="K417" s="21">
        <v>332</v>
      </c>
    </row>
    <row r="418" spans="1:27" ht="13.2">
      <c r="A418" s="5">
        <v>20</v>
      </c>
      <c r="B418" s="14" t="str">
        <f t="shared" si="2"/>
        <v>0</v>
      </c>
      <c r="C418" s="15" t="s">
        <v>662</v>
      </c>
      <c r="D418" s="16">
        <f t="shared" si="3"/>
        <v>0</v>
      </c>
      <c r="E418" s="17" t="s">
        <v>642</v>
      </c>
      <c r="F418" s="18" t="s">
        <v>53</v>
      </c>
      <c r="G418" s="15" t="s">
        <v>66</v>
      </c>
      <c r="H418" s="18">
        <v>7</v>
      </c>
      <c r="I418" s="19" t="s">
        <v>663</v>
      </c>
      <c r="J418" s="20" t="s">
        <v>25</v>
      </c>
      <c r="K418" s="21">
        <v>230</v>
      </c>
    </row>
    <row r="419" spans="1:27" ht="13.2">
      <c r="A419" s="5">
        <v>21</v>
      </c>
      <c r="B419" s="14" t="str">
        <f t="shared" si="2"/>
        <v>0</v>
      </c>
      <c r="C419" s="15" t="s">
        <v>664</v>
      </c>
      <c r="D419" s="16">
        <f t="shared" si="3"/>
        <v>0</v>
      </c>
      <c r="E419" s="17" t="s">
        <v>642</v>
      </c>
      <c r="F419" s="18" t="s">
        <v>22</v>
      </c>
      <c r="G419" s="15" t="s">
        <v>23</v>
      </c>
      <c r="H419" s="18">
        <v>3</v>
      </c>
      <c r="I419" s="19">
        <v>1</v>
      </c>
      <c r="J419" s="20" t="s">
        <v>25</v>
      </c>
      <c r="K419" s="21">
        <v>333</v>
      </c>
    </row>
    <row r="420" spans="1:27" ht="13.2">
      <c r="A420" s="5">
        <v>22</v>
      </c>
      <c r="B420" s="14" t="str">
        <f t="shared" si="2"/>
        <v>0</v>
      </c>
      <c r="C420" s="15" t="s">
        <v>665</v>
      </c>
      <c r="D420" s="16">
        <f t="shared" si="3"/>
        <v>0</v>
      </c>
      <c r="E420" s="17" t="s">
        <v>642</v>
      </c>
      <c r="F420" s="18" t="s">
        <v>22</v>
      </c>
      <c r="G420" s="15" t="s">
        <v>23</v>
      </c>
      <c r="H420" s="18">
        <v>1</v>
      </c>
      <c r="I420" s="19">
        <v>1</v>
      </c>
      <c r="J420" s="20" t="s">
        <v>25</v>
      </c>
      <c r="K420" s="21">
        <v>333</v>
      </c>
    </row>
    <row r="421" spans="1:27" ht="13.2">
      <c r="A421" s="5">
        <v>23</v>
      </c>
      <c r="B421" s="14" t="str">
        <f t="shared" si="2"/>
        <v>0</v>
      </c>
      <c r="C421" s="15" t="s">
        <v>666</v>
      </c>
      <c r="D421" s="16">
        <f t="shared" si="3"/>
        <v>0</v>
      </c>
      <c r="E421" s="17" t="s">
        <v>642</v>
      </c>
      <c r="F421" s="18" t="s">
        <v>22</v>
      </c>
      <c r="G421" s="15" t="s">
        <v>23</v>
      </c>
      <c r="H421" s="18">
        <v>1</v>
      </c>
      <c r="I421" s="19">
        <v>1</v>
      </c>
      <c r="J421" s="20" t="s">
        <v>25</v>
      </c>
      <c r="K421" s="21">
        <v>335</v>
      </c>
    </row>
    <row r="422" spans="1:27" ht="13.2">
      <c r="A422" s="5">
        <v>24</v>
      </c>
      <c r="B422" s="14" t="str">
        <f t="shared" si="2"/>
        <v>0</v>
      </c>
      <c r="C422" s="15" t="s">
        <v>667</v>
      </c>
      <c r="D422" s="16">
        <f t="shared" si="3"/>
        <v>0</v>
      </c>
      <c r="E422" s="17" t="s">
        <v>642</v>
      </c>
      <c r="F422" s="18" t="s">
        <v>22</v>
      </c>
      <c r="G422" s="15" t="s">
        <v>23</v>
      </c>
      <c r="H422" s="18">
        <v>1</v>
      </c>
      <c r="I422" s="19" t="s">
        <v>25</v>
      </c>
      <c r="J422" s="20" t="s">
        <v>25</v>
      </c>
      <c r="K422" s="21">
        <v>335</v>
      </c>
    </row>
    <row r="423" spans="1:27" ht="13.2">
      <c r="A423" s="5">
        <v>25</v>
      </c>
      <c r="B423" s="14" t="str">
        <f t="shared" si="2"/>
        <v>0</v>
      </c>
      <c r="C423" s="15" t="s">
        <v>668</v>
      </c>
      <c r="D423" s="16">
        <f t="shared" si="3"/>
        <v>0</v>
      </c>
      <c r="E423" s="17" t="s">
        <v>642</v>
      </c>
      <c r="F423" s="18" t="s">
        <v>22</v>
      </c>
      <c r="G423" s="15" t="s">
        <v>23</v>
      </c>
      <c r="H423" s="18">
        <v>1</v>
      </c>
      <c r="I423" s="19">
        <v>1</v>
      </c>
      <c r="J423" s="20" t="s">
        <v>25</v>
      </c>
      <c r="K423" s="21">
        <v>335</v>
      </c>
    </row>
    <row r="424" spans="1:27" ht="13.2">
      <c r="A424" s="5">
        <v>26</v>
      </c>
      <c r="B424" s="14" t="str">
        <f t="shared" si="2"/>
        <v>0</v>
      </c>
      <c r="C424" s="15" t="s">
        <v>669</v>
      </c>
      <c r="D424" s="16">
        <f t="shared" si="3"/>
        <v>0</v>
      </c>
      <c r="E424" s="17" t="s">
        <v>642</v>
      </c>
      <c r="F424" s="18" t="s">
        <v>22</v>
      </c>
      <c r="G424" s="15" t="s">
        <v>23</v>
      </c>
      <c r="H424" s="18">
        <v>1</v>
      </c>
      <c r="I424" s="19">
        <v>1</v>
      </c>
      <c r="J424" s="20" t="s">
        <v>25</v>
      </c>
      <c r="K424" s="21">
        <v>337</v>
      </c>
    </row>
    <row r="425" spans="1:27" ht="13.2">
      <c r="A425" s="5">
        <v>27</v>
      </c>
      <c r="B425" s="14" t="str">
        <f t="shared" si="2"/>
        <v>0</v>
      </c>
      <c r="C425" s="15" t="s">
        <v>670</v>
      </c>
      <c r="D425" s="16">
        <f t="shared" si="3"/>
        <v>0</v>
      </c>
      <c r="E425" s="17" t="s">
        <v>642</v>
      </c>
      <c r="F425" s="18" t="s">
        <v>22</v>
      </c>
      <c r="G425" s="15" t="s">
        <v>23</v>
      </c>
      <c r="H425" s="18">
        <v>1</v>
      </c>
      <c r="I425" s="19" t="s">
        <v>25</v>
      </c>
      <c r="J425" s="20" t="s">
        <v>25</v>
      </c>
      <c r="K425" s="21">
        <v>337</v>
      </c>
    </row>
    <row r="426" spans="1:27" ht="13.2">
      <c r="A426" s="5">
        <v>28</v>
      </c>
      <c r="B426" s="14" t="str">
        <f t="shared" si="2"/>
        <v>0</v>
      </c>
      <c r="C426" s="15" t="s">
        <v>671</v>
      </c>
      <c r="D426" s="16">
        <f t="shared" si="3"/>
        <v>0</v>
      </c>
      <c r="E426" s="17" t="s">
        <v>642</v>
      </c>
      <c r="F426" s="18" t="s">
        <v>22</v>
      </c>
      <c r="G426" s="15" t="s">
        <v>66</v>
      </c>
      <c r="H426" s="18">
        <v>13</v>
      </c>
      <c r="I426" s="19" t="s">
        <v>25</v>
      </c>
      <c r="J426" s="20" t="s">
        <v>25</v>
      </c>
      <c r="K426" s="21">
        <v>138</v>
      </c>
    </row>
    <row r="427" spans="1:27" ht="13.2">
      <c r="A427" s="5">
        <v>29</v>
      </c>
      <c r="B427" s="14" t="str">
        <f t="shared" si="2"/>
        <v>0</v>
      </c>
      <c r="C427" s="15" t="s">
        <v>672</v>
      </c>
      <c r="D427" s="16">
        <f t="shared" si="3"/>
        <v>0</v>
      </c>
      <c r="E427" s="17" t="s">
        <v>642</v>
      </c>
      <c r="F427" s="18" t="s">
        <v>22</v>
      </c>
      <c r="G427" s="15" t="s">
        <v>23</v>
      </c>
      <c r="H427" s="18">
        <v>1</v>
      </c>
      <c r="I427" s="19">
        <v>1</v>
      </c>
      <c r="J427" s="20" t="s">
        <v>25</v>
      </c>
      <c r="K427" s="21">
        <v>337</v>
      </c>
    </row>
    <row r="428" spans="1:27" ht="13.2">
      <c r="A428" s="5">
        <v>30</v>
      </c>
      <c r="B428" s="14" t="str">
        <f t="shared" si="2"/>
        <v>0</v>
      </c>
      <c r="C428" s="15" t="s">
        <v>673</v>
      </c>
      <c r="D428" s="16">
        <f t="shared" si="3"/>
        <v>0</v>
      </c>
      <c r="E428" s="17" t="s">
        <v>642</v>
      </c>
      <c r="F428" s="18" t="s">
        <v>22</v>
      </c>
      <c r="G428" s="15" t="s">
        <v>23</v>
      </c>
      <c r="H428" s="18">
        <v>5</v>
      </c>
      <c r="I428" s="19" t="s">
        <v>27</v>
      </c>
      <c r="J428" s="20" t="s">
        <v>25</v>
      </c>
      <c r="K428" s="21">
        <v>339</v>
      </c>
    </row>
    <row r="429" spans="1:27" ht="13.2">
      <c r="A429" s="5">
        <v>31</v>
      </c>
      <c r="B429" s="14" t="str">
        <f t="shared" si="2"/>
        <v>0</v>
      </c>
      <c r="C429" s="15" t="s">
        <v>674</v>
      </c>
      <c r="D429" s="16">
        <f t="shared" si="3"/>
        <v>0</v>
      </c>
      <c r="E429" s="17" t="s">
        <v>642</v>
      </c>
      <c r="F429" s="18" t="s">
        <v>22</v>
      </c>
      <c r="G429" s="15" t="s">
        <v>23</v>
      </c>
      <c r="H429" s="18">
        <v>1</v>
      </c>
      <c r="I429" s="19">
        <v>1</v>
      </c>
      <c r="J429" s="20" t="s">
        <v>25</v>
      </c>
      <c r="K429" s="21">
        <v>340</v>
      </c>
    </row>
    <row r="430" spans="1:27" ht="13.2">
      <c r="A430" s="22"/>
      <c r="B430" s="22"/>
      <c r="C430" s="23"/>
      <c r="D430" s="24"/>
      <c r="E430" s="25"/>
      <c r="F430" s="26"/>
      <c r="G430" s="23"/>
      <c r="H430" s="22"/>
      <c r="I430" s="27"/>
      <c r="J430" s="28"/>
      <c r="K430" s="29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3.2">
      <c r="A431" s="5"/>
      <c r="B431" s="5"/>
      <c r="C431" s="30"/>
      <c r="D431" s="16"/>
      <c r="E431" s="14"/>
      <c r="F431" s="31"/>
      <c r="G431" s="30"/>
      <c r="H431" s="5"/>
      <c r="I431" s="32"/>
      <c r="J431" s="33"/>
      <c r="K431" s="34"/>
    </row>
    <row r="432" spans="1:27" ht="13.2">
      <c r="A432" s="5"/>
      <c r="B432" s="5"/>
      <c r="C432" s="30"/>
      <c r="D432" s="16"/>
      <c r="E432" s="14"/>
      <c r="F432" s="31"/>
      <c r="G432" s="30"/>
      <c r="H432" s="5"/>
      <c r="I432" s="32"/>
      <c r="J432" s="33"/>
      <c r="K432" s="34"/>
    </row>
    <row r="433" spans="1:11" ht="13.2">
      <c r="A433" s="5"/>
      <c r="B433" s="5"/>
      <c r="C433" s="30"/>
      <c r="D433" s="16"/>
      <c r="E433" s="14"/>
      <c r="F433" s="31"/>
      <c r="G433" s="30"/>
      <c r="H433" s="5"/>
      <c r="I433" s="32"/>
      <c r="J433" s="33"/>
      <c r="K433" s="34"/>
    </row>
    <row r="434" spans="1:11" ht="13.2">
      <c r="A434" s="5"/>
      <c r="B434" s="5"/>
      <c r="C434" s="30"/>
      <c r="D434" s="16"/>
      <c r="E434" s="14"/>
      <c r="F434" s="31"/>
      <c r="G434" s="30"/>
      <c r="H434" s="5"/>
      <c r="I434" s="32"/>
      <c r="J434" s="33"/>
      <c r="K434" s="34"/>
    </row>
    <row r="435" spans="1:11" ht="13.2">
      <c r="A435" s="5"/>
      <c r="B435" s="5"/>
      <c r="C435" s="30"/>
      <c r="D435" s="16"/>
      <c r="E435" s="14"/>
      <c r="F435" s="31"/>
      <c r="G435" s="30"/>
      <c r="H435" s="5"/>
      <c r="I435" s="32"/>
      <c r="J435" s="33"/>
      <c r="K435" s="34"/>
    </row>
    <row r="436" spans="1:11" ht="13.2">
      <c r="A436" s="5"/>
      <c r="B436" s="5"/>
      <c r="C436" s="30"/>
      <c r="D436" s="16"/>
      <c r="E436" s="14"/>
      <c r="F436" s="31"/>
      <c r="G436" s="30"/>
      <c r="H436" s="5"/>
      <c r="I436" s="32"/>
      <c r="J436" s="33"/>
      <c r="K436" s="34"/>
    </row>
    <row r="437" spans="1:11" ht="13.2">
      <c r="A437" s="5"/>
      <c r="B437" s="5"/>
      <c r="C437" s="30"/>
      <c r="D437" s="16"/>
      <c r="E437" s="14"/>
      <c r="F437" s="31"/>
      <c r="G437" s="30"/>
      <c r="H437" s="5"/>
      <c r="I437" s="32"/>
      <c r="J437" s="33"/>
      <c r="K437" s="34"/>
    </row>
    <row r="438" spans="1:11" ht="13.2">
      <c r="A438" s="5"/>
      <c r="B438" s="5"/>
      <c r="C438" s="30"/>
      <c r="D438" s="16"/>
      <c r="E438" s="14"/>
      <c r="F438" s="31"/>
      <c r="G438" s="30"/>
      <c r="H438" s="5"/>
      <c r="I438" s="32"/>
      <c r="J438" s="33"/>
      <c r="K438" s="34"/>
    </row>
    <row r="439" spans="1:11" ht="13.2">
      <c r="A439" s="5"/>
      <c r="B439" s="5"/>
      <c r="C439" s="30"/>
      <c r="D439" s="16"/>
      <c r="E439" s="14"/>
      <c r="F439" s="31"/>
      <c r="G439" s="30"/>
      <c r="H439" s="5"/>
      <c r="I439" s="32"/>
      <c r="J439" s="33"/>
      <c r="K439" s="34"/>
    </row>
    <row r="440" spans="1:11" ht="13.2">
      <c r="A440" s="5"/>
      <c r="B440" s="5"/>
      <c r="C440" s="30"/>
      <c r="D440" s="16"/>
      <c r="E440" s="14"/>
      <c r="F440" s="31"/>
      <c r="G440" s="30"/>
      <c r="H440" s="5"/>
      <c r="I440" s="32"/>
      <c r="J440" s="33"/>
      <c r="K440" s="34"/>
    </row>
    <row r="441" spans="1:11" ht="13.2">
      <c r="A441" s="5"/>
      <c r="B441" s="5"/>
      <c r="C441" s="30"/>
      <c r="D441" s="16"/>
      <c r="E441" s="14"/>
      <c r="F441" s="31"/>
      <c r="G441" s="30"/>
      <c r="H441" s="5"/>
      <c r="I441" s="32"/>
      <c r="J441" s="33"/>
      <c r="K441" s="34"/>
    </row>
    <row r="442" spans="1:11" ht="13.2">
      <c r="A442" s="5"/>
      <c r="B442" s="5"/>
      <c r="C442" s="30"/>
      <c r="D442" s="16"/>
      <c r="E442" s="14"/>
      <c r="F442" s="31"/>
      <c r="G442" s="30"/>
      <c r="H442" s="5"/>
      <c r="I442" s="32"/>
      <c r="J442" s="33"/>
      <c r="K442" s="34"/>
    </row>
    <row r="443" spans="1:11" ht="13.2">
      <c r="A443" s="5"/>
      <c r="B443" s="5"/>
      <c r="C443" s="30"/>
      <c r="D443" s="16"/>
      <c r="E443" s="14"/>
      <c r="F443" s="31"/>
      <c r="G443" s="30"/>
      <c r="H443" s="5"/>
      <c r="I443" s="32"/>
      <c r="J443" s="33"/>
      <c r="K443" s="34"/>
    </row>
    <row r="444" spans="1:11" ht="13.2">
      <c r="A444" s="5"/>
      <c r="B444" s="5"/>
      <c r="C444" s="30"/>
      <c r="D444" s="16"/>
      <c r="E444" s="14"/>
      <c r="F444" s="31"/>
      <c r="G444" s="30"/>
      <c r="H444" s="5"/>
      <c r="I444" s="32"/>
      <c r="J444" s="33"/>
      <c r="K444" s="34"/>
    </row>
    <row r="445" spans="1:11" ht="13.2">
      <c r="A445" s="5"/>
      <c r="B445" s="5"/>
      <c r="C445" s="30"/>
      <c r="D445" s="16"/>
      <c r="E445" s="14"/>
      <c r="F445" s="31"/>
      <c r="G445" s="30"/>
      <c r="H445" s="5"/>
      <c r="I445" s="32"/>
      <c r="J445" s="33"/>
      <c r="K445" s="34"/>
    </row>
    <row r="446" spans="1:11" ht="13.2">
      <c r="A446" s="5"/>
      <c r="B446" s="5"/>
      <c r="C446" s="30"/>
      <c r="D446" s="16"/>
      <c r="E446" s="14"/>
      <c r="F446" s="31"/>
      <c r="G446" s="30"/>
      <c r="H446" s="5"/>
      <c r="I446" s="32"/>
      <c r="J446" s="33"/>
      <c r="K446" s="34"/>
    </row>
    <row r="447" spans="1:11" ht="13.2">
      <c r="A447" s="5"/>
      <c r="B447" s="5"/>
      <c r="C447" s="30"/>
      <c r="D447" s="16"/>
      <c r="E447" s="14"/>
      <c r="F447" s="31"/>
      <c r="G447" s="30"/>
      <c r="H447" s="5"/>
      <c r="I447" s="32"/>
      <c r="J447" s="33"/>
      <c r="K447" s="34"/>
    </row>
    <row r="448" spans="1:11" ht="13.2">
      <c r="A448" s="5"/>
      <c r="B448" s="5"/>
      <c r="C448" s="30"/>
      <c r="D448" s="16"/>
      <c r="E448" s="14"/>
      <c r="F448" s="31"/>
      <c r="G448" s="30"/>
      <c r="H448" s="5"/>
      <c r="I448" s="32"/>
      <c r="J448" s="33"/>
      <c r="K448" s="34"/>
    </row>
    <row r="449" spans="1:11" ht="13.2">
      <c r="A449" s="5"/>
      <c r="B449" s="5"/>
      <c r="C449" s="30"/>
      <c r="D449" s="16"/>
      <c r="E449" s="14"/>
      <c r="F449" s="31"/>
      <c r="G449" s="30"/>
      <c r="H449" s="5"/>
      <c r="I449" s="32"/>
      <c r="J449" s="33"/>
      <c r="K449" s="34"/>
    </row>
    <row r="450" spans="1:11" ht="13.2">
      <c r="A450" s="5"/>
      <c r="B450" s="5"/>
      <c r="C450" s="30"/>
      <c r="D450" s="16"/>
      <c r="E450" s="14"/>
      <c r="F450" s="31"/>
      <c r="G450" s="30"/>
      <c r="H450" s="5"/>
      <c r="I450" s="32"/>
      <c r="J450" s="33"/>
      <c r="K450" s="34"/>
    </row>
    <row r="451" spans="1:11" ht="13.2">
      <c r="A451" s="5"/>
      <c r="B451" s="5"/>
      <c r="C451" s="30"/>
      <c r="D451" s="16"/>
      <c r="E451" s="14"/>
      <c r="F451" s="31"/>
      <c r="G451" s="30"/>
      <c r="H451" s="5"/>
      <c r="I451" s="32"/>
      <c r="J451" s="33"/>
      <c r="K451" s="34"/>
    </row>
    <row r="452" spans="1:11" ht="13.2">
      <c r="A452" s="5"/>
      <c r="B452" s="5"/>
      <c r="C452" s="30"/>
      <c r="D452" s="16"/>
      <c r="E452" s="14"/>
      <c r="F452" s="31"/>
      <c r="G452" s="30"/>
      <c r="H452" s="5"/>
      <c r="I452" s="32"/>
      <c r="J452" s="33"/>
      <c r="K452" s="34"/>
    </row>
    <row r="453" spans="1:11" ht="13.2">
      <c r="A453" s="5"/>
      <c r="B453" s="5"/>
      <c r="C453" s="30"/>
      <c r="D453" s="16"/>
      <c r="E453" s="14"/>
      <c r="F453" s="31"/>
      <c r="G453" s="30"/>
      <c r="H453" s="5"/>
      <c r="I453" s="32"/>
      <c r="J453" s="33"/>
      <c r="K453" s="34"/>
    </row>
    <row r="454" spans="1:11" ht="13.2">
      <c r="A454" s="5"/>
      <c r="B454" s="5"/>
      <c r="C454" s="30"/>
      <c r="D454" s="16"/>
      <c r="E454" s="14"/>
      <c r="F454" s="31"/>
      <c r="G454" s="30"/>
      <c r="H454" s="5"/>
      <c r="I454" s="32"/>
      <c r="J454" s="33"/>
      <c r="K454" s="34"/>
    </row>
    <row r="455" spans="1:11" ht="13.2">
      <c r="A455" s="5"/>
      <c r="B455" s="5"/>
      <c r="C455" s="30"/>
      <c r="D455" s="16"/>
      <c r="E455" s="14"/>
      <c r="F455" s="31"/>
      <c r="G455" s="30"/>
      <c r="H455" s="5"/>
      <c r="I455" s="32"/>
      <c r="J455" s="33"/>
      <c r="K455" s="34"/>
    </row>
    <row r="456" spans="1:11" ht="13.2">
      <c r="A456" s="5"/>
      <c r="B456" s="5"/>
      <c r="C456" s="30"/>
      <c r="D456" s="16"/>
      <c r="E456" s="14"/>
      <c r="F456" s="31"/>
      <c r="G456" s="30"/>
      <c r="H456" s="5"/>
      <c r="I456" s="32"/>
      <c r="J456" s="33"/>
      <c r="K456" s="34"/>
    </row>
    <row r="457" spans="1:11" ht="13.2">
      <c r="A457" s="5"/>
      <c r="B457" s="5"/>
      <c r="C457" s="30"/>
      <c r="D457" s="16"/>
      <c r="E457" s="14"/>
      <c r="F457" s="31"/>
      <c r="G457" s="30"/>
      <c r="H457" s="5"/>
      <c r="I457" s="32"/>
      <c r="J457" s="33"/>
      <c r="K457" s="34"/>
    </row>
    <row r="458" spans="1:11" ht="13.2">
      <c r="A458" s="5"/>
      <c r="B458" s="5"/>
      <c r="C458" s="30"/>
      <c r="D458" s="16"/>
      <c r="E458" s="14"/>
      <c r="F458" s="31"/>
      <c r="G458" s="30"/>
      <c r="H458" s="5"/>
      <c r="I458" s="32"/>
      <c r="J458" s="33"/>
      <c r="K458" s="34"/>
    </row>
    <row r="459" spans="1:11" ht="13.2">
      <c r="A459" s="5"/>
      <c r="B459" s="5"/>
      <c r="C459" s="30"/>
      <c r="D459" s="16"/>
      <c r="E459" s="14"/>
      <c r="F459" s="31"/>
      <c r="G459" s="30"/>
      <c r="H459" s="5"/>
      <c r="I459" s="32"/>
      <c r="J459" s="33"/>
      <c r="K459" s="34"/>
    </row>
    <row r="460" spans="1:11" ht="13.2">
      <c r="A460" s="5"/>
      <c r="B460" s="5"/>
      <c r="C460" s="30"/>
      <c r="D460" s="16"/>
      <c r="E460" s="14"/>
      <c r="F460" s="31"/>
      <c r="G460" s="30"/>
      <c r="H460" s="5"/>
      <c r="I460" s="32"/>
      <c r="J460" s="33"/>
      <c r="K460" s="34"/>
    </row>
    <row r="461" spans="1:11" ht="13.2">
      <c r="A461" s="5"/>
      <c r="B461" s="5"/>
      <c r="C461" s="30"/>
      <c r="D461" s="16"/>
      <c r="E461" s="14"/>
      <c r="F461" s="31"/>
      <c r="G461" s="30"/>
      <c r="H461" s="5"/>
      <c r="I461" s="32"/>
      <c r="J461" s="33"/>
      <c r="K461" s="34"/>
    </row>
    <row r="462" spans="1:11" ht="13.2">
      <c r="A462" s="5"/>
      <c r="B462" s="5"/>
      <c r="C462" s="30"/>
      <c r="D462" s="16"/>
      <c r="E462" s="14"/>
      <c r="F462" s="31"/>
      <c r="G462" s="30"/>
      <c r="H462" s="5"/>
      <c r="I462" s="32"/>
      <c r="J462" s="33"/>
      <c r="K462" s="34"/>
    </row>
    <row r="463" spans="1:11" ht="13.2">
      <c r="A463" s="5"/>
      <c r="B463" s="5"/>
      <c r="C463" s="30"/>
      <c r="D463" s="16"/>
      <c r="E463" s="14"/>
      <c r="F463" s="31"/>
      <c r="G463" s="30"/>
      <c r="H463" s="5"/>
      <c r="I463" s="32"/>
      <c r="J463" s="33"/>
      <c r="K463" s="34"/>
    </row>
    <row r="464" spans="1:11" ht="13.2">
      <c r="A464" s="5"/>
      <c r="B464" s="5"/>
      <c r="C464" s="30"/>
      <c r="D464" s="16"/>
      <c r="E464" s="14"/>
      <c r="F464" s="31"/>
      <c r="G464" s="30"/>
      <c r="H464" s="5"/>
      <c r="I464" s="32"/>
      <c r="J464" s="33"/>
      <c r="K464" s="34"/>
    </row>
    <row r="465" spans="1:11" ht="13.2">
      <c r="A465" s="5"/>
      <c r="B465" s="5"/>
      <c r="C465" s="30"/>
      <c r="D465" s="16"/>
      <c r="E465" s="14"/>
      <c r="F465" s="31"/>
      <c r="G465" s="30"/>
      <c r="H465" s="5"/>
      <c r="I465" s="32"/>
      <c r="J465" s="33"/>
      <c r="K465" s="34"/>
    </row>
    <row r="466" spans="1:11" ht="13.2">
      <c r="A466" s="5"/>
      <c r="B466" s="5"/>
      <c r="C466" s="30"/>
      <c r="D466" s="16"/>
      <c r="E466" s="14"/>
      <c r="F466" s="31"/>
      <c r="G466" s="30"/>
      <c r="H466" s="5"/>
      <c r="I466" s="32"/>
      <c r="J466" s="33"/>
      <c r="K466" s="34"/>
    </row>
    <row r="467" spans="1:11" ht="13.2">
      <c r="A467" s="5"/>
      <c r="B467" s="5"/>
      <c r="C467" s="30"/>
      <c r="D467" s="16"/>
      <c r="E467" s="14"/>
      <c r="F467" s="31"/>
      <c r="G467" s="30"/>
      <c r="H467" s="5"/>
      <c r="I467" s="32"/>
      <c r="J467" s="33"/>
      <c r="K467" s="34"/>
    </row>
    <row r="468" spans="1:11" ht="13.2">
      <c r="A468" s="5"/>
      <c r="B468" s="5"/>
      <c r="C468" s="30"/>
      <c r="D468" s="16"/>
      <c r="E468" s="14"/>
      <c r="F468" s="31"/>
      <c r="G468" s="30"/>
      <c r="H468" s="5"/>
      <c r="I468" s="32"/>
      <c r="J468" s="33"/>
      <c r="K468" s="34"/>
    </row>
    <row r="469" spans="1:11" ht="13.2">
      <c r="A469" s="5"/>
      <c r="B469" s="5"/>
      <c r="C469" s="30"/>
      <c r="D469" s="16"/>
      <c r="E469" s="14"/>
      <c r="F469" s="31"/>
      <c r="G469" s="30"/>
      <c r="H469" s="5"/>
      <c r="I469" s="32"/>
      <c r="J469" s="33"/>
      <c r="K469" s="34"/>
    </row>
    <row r="470" spans="1:11" ht="13.2">
      <c r="A470" s="5"/>
      <c r="B470" s="5"/>
      <c r="C470" s="30"/>
      <c r="D470" s="16"/>
      <c r="E470" s="14"/>
      <c r="F470" s="31"/>
      <c r="G470" s="30"/>
      <c r="H470" s="5"/>
      <c r="I470" s="32"/>
      <c r="J470" s="33"/>
      <c r="K470" s="34"/>
    </row>
    <row r="471" spans="1:11" ht="13.2">
      <c r="A471" s="5"/>
      <c r="B471" s="5"/>
      <c r="C471" s="30"/>
      <c r="D471" s="16"/>
      <c r="E471" s="14"/>
      <c r="F471" s="31"/>
      <c r="G471" s="30"/>
      <c r="H471" s="5"/>
      <c r="I471" s="32"/>
      <c r="J471" s="33"/>
      <c r="K471" s="34"/>
    </row>
    <row r="472" spans="1:11" ht="13.2">
      <c r="A472" s="5"/>
      <c r="B472" s="5"/>
      <c r="C472" s="30"/>
      <c r="D472" s="16"/>
      <c r="E472" s="14"/>
      <c r="F472" s="31"/>
      <c r="G472" s="30"/>
      <c r="H472" s="5"/>
      <c r="I472" s="32"/>
      <c r="J472" s="33"/>
      <c r="K472" s="34"/>
    </row>
    <row r="473" spans="1:11" ht="13.2">
      <c r="A473" s="5"/>
      <c r="B473" s="5"/>
      <c r="C473" s="30"/>
      <c r="D473" s="16"/>
      <c r="E473" s="14"/>
      <c r="F473" s="31"/>
      <c r="G473" s="30"/>
      <c r="H473" s="5"/>
      <c r="I473" s="32"/>
      <c r="J473" s="33"/>
      <c r="K473" s="34"/>
    </row>
    <row r="474" spans="1:11" ht="13.2">
      <c r="A474" s="5"/>
      <c r="B474" s="5"/>
      <c r="C474" s="30"/>
      <c r="D474" s="16"/>
      <c r="E474" s="14"/>
      <c r="F474" s="31"/>
      <c r="G474" s="30"/>
      <c r="H474" s="5"/>
      <c r="I474" s="32"/>
      <c r="J474" s="33"/>
      <c r="K474" s="34"/>
    </row>
    <row r="475" spans="1:11" ht="13.2">
      <c r="A475" s="5"/>
      <c r="B475" s="5"/>
      <c r="C475" s="30"/>
      <c r="D475" s="16"/>
      <c r="E475" s="14"/>
      <c r="F475" s="31"/>
      <c r="G475" s="30"/>
      <c r="H475" s="5"/>
      <c r="I475" s="32"/>
      <c r="J475" s="33"/>
      <c r="K475" s="34"/>
    </row>
    <row r="476" spans="1:11" ht="13.2">
      <c r="A476" s="5"/>
      <c r="B476" s="5"/>
      <c r="C476" s="30"/>
      <c r="D476" s="16"/>
      <c r="E476" s="14"/>
      <c r="F476" s="31"/>
      <c r="G476" s="30"/>
      <c r="H476" s="5"/>
      <c r="I476" s="32"/>
      <c r="J476" s="33"/>
      <c r="K476" s="34"/>
    </row>
    <row r="477" spans="1:11" ht="13.2">
      <c r="A477" s="5"/>
      <c r="B477" s="5"/>
      <c r="C477" s="30"/>
      <c r="D477" s="16"/>
      <c r="E477" s="14"/>
      <c r="F477" s="31"/>
      <c r="G477" s="30"/>
      <c r="H477" s="5"/>
      <c r="I477" s="32"/>
      <c r="J477" s="33"/>
      <c r="K477" s="34"/>
    </row>
    <row r="478" spans="1:11" ht="13.2">
      <c r="A478" s="5"/>
      <c r="B478" s="5"/>
      <c r="C478" s="30"/>
      <c r="D478" s="16"/>
      <c r="E478" s="14"/>
      <c r="F478" s="31"/>
      <c r="G478" s="30"/>
      <c r="H478" s="5"/>
      <c r="I478" s="32"/>
      <c r="J478" s="33"/>
      <c r="K478" s="34"/>
    </row>
    <row r="479" spans="1:11" ht="13.2">
      <c r="A479" s="5"/>
      <c r="B479" s="5"/>
      <c r="C479" s="30"/>
      <c r="D479" s="16"/>
      <c r="E479" s="14"/>
      <c r="F479" s="31"/>
      <c r="G479" s="30"/>
      <c r="H479" s="5"/>
      <c r="I479" s="32"/>
      <c r="J479" s="33"/>
      <c r="K479" s="34"/>
    </row>
    <row r="480" spans="1:11" ht="13.2">
      <c r="A480" s="5"/>
      <c r="B480" s="5"/>
      <c r="C480" s="30"/>
      <c r="D480" s="16"/>
      <c r="E480" s="14"/>
      <c r="F480" s="31"/>
      <c r="G480" s="30"/>
      <c r="H480" s="5"/>
      <c r="I480" s="32"/>
      <c r="J480" s="33"/>
      <c r="K480" s="34"/>
    </row>
    <row r="481" spans="1:11" ht="13.2">
      <c r="A481" s="5"/>
      <c r="B481" s="5"/>
      <c r="C481" s="30"/>
      <c r="D481" s="16"/>
      <c r="E481" s="14"/>
      <c r="F481" s="31"/>
      <c r="G481" s="30"/>
      <c r="H481" s="5"/>
      <c r="I481" s="32"/>
      <c r="J481" s="33"/>
      <c r="K481" s="34"/>
    </row>
    <row r="482" spans="1:11" ht="13.2">
      <c r="A482" s="5"/>
      <c r="B482" s="5"/>
      <c r="C482" s="30"/>
      <c r="D482" s="16"/>
      <c r="E482" s="14"/>
      <c r="F482" s="31"/>
      <c r="G482" s="30"/>
      <c r="H482" s="5"/>
      <c r="I482" s="32"/>
      <c r="J482" s="33"/>
      <c r="K482" s="34"/>
    </row>
    <row r="483" spans="1:11" ht="13.2">
      <c r="A483" s="5"/>
      <c r="B483" s="5"/>
      <c r="C483" s="30"/>
      <c r="D483" s="16"/>
      <c r="E483" s="14"/>
      <c r="F483" s="31"/>
      <c r="G483" s="30"/>
      <c r="H483" s="5"/>
      <c r="I483" s="32"/>
      <c r="J483" s="33"/>
      <c r="K483" s="34"/>
    </row>
    <row r="484" spans="1:11" ht="13.2">
      <c r="A484" s="5"/>
      <c r="B484" s="5"/>
      <c r="C484" s="30"/>
      <c r="D484" s="16"/>
      <c r="E484" s="14"/>
      <c r="F484" s="31"/>
      <c r="G484" s="30"/>
      <c r="H484" s="5"/>
      <c r="I484" s="32"/>
      <c r="J484" s="33"/>
      <c r="K484" s="34"/>
    </row>
    <row r="485" spans="1:11" ht="13.2">
      <c r="A485" s="5"/>
      <c r="B485" s="5"/>
      <c r="C485" s="30"/>
      <c r="D485" s="16"/>
      <c r="E485" s="14"/>
      <c r="F485" s="31"/>
      <c r="G485" s="30"/>
      <c r="H485" s="5"/>
      <c r="I485" s="32"/>
      <c r="J485" s="33"/>
      <c r="K485" s="34"/>
    </row>
    <row r="486" spans="1:11" ht="13.2">
      <c r="A486" s="5"/>
      <c r="B486" s="5"/>
      <c r="C486" s="30"/>
      <c r="D486" s="16"/>
      <c r="E486" s="14"/>
      <c r="F486" s="31"/>
      <c r="G486" s="30"/>
      <c r="H486" s="5"/>
      <c r="I486" s="32"/>
      <c r="J486" s="33"/>
      <c r="K486" s="34"/>
    </row>
    <row r="487" spans="1:11" ht="13.2">
      <c r="A487" s="5"/>
      <c r="B487" s="5"/>
      <c r="C487" s="30"/>
      <c r="D487" s="16"/>
      <c r="E487" s="14"/>
      <c r="F487" s="31"/>
      <c r="G487" s="30"/>
      <c r="H487" s="5"/>
      <c r="I487" s="32"/>
      <c r="J487" s="33"/>
      <c r="K487" s="34"/>
    </row>
    <row r="488" spans="1:11" ht="13.2">
      <c r="A488" s="5"/>
      <c r="B488" s="5"/>
      <c r="C488" s="30"/>
      <c r="D488" s="16"/>
      <c r="E488" s="14"/>
      <c r="F488" s="31"/>
      <c r="G488" s="30"/>
      <c r="H488" s="5"/>
      <c r="I488" s="32"/>
      <c r="J488" s="33"/>
      <c r="K488" s="34"/>
    </row>
    <row r="489" spans="1:11" ht="13.2">
      <c r="A489" s="5"/>
      <c r="B489" s="5"/>
      <c r="C489" s="30"/>
      <c r="D489" s="16"/>
      <c r="E489" s="14"/>
      <c r="F489" s="31"/>
      <c r="G489" s="30"/>
      <c r="H489" s="5"/>
      <c r="I489" s="32"/>
      <c r="J489" s="33"/>
      <c r="K489" s="34"/>
    </row>
    <row r="490" spans="1:11" ht="13.2">
      <c r="A490" s="5"/>
      <c r="B490" s="5"/>
      <c r="C490" s="30"/>
      <c r="D490" s="16"/>
      <c r="E490" s="14"/>
      <c r="F490" s="31"/>
      <c r="G490" s="30"/>
      <c r="H490" s="5"/>
      <c r="I490" s="32"/>
      <c r="J490" s="33"/>
      <c r="K490" s="34"/>
    </row>
    <row r="491" spans="1:11" ht="13.2">
      <c r="A491" s="5"/>
      <c r="B491" s="5"/>
      <c r="C491" s="30"/>
      <c r="D491" s="16"/>
      <c r="E491" s="14"/>
      <c r="F491" s="31"/>
      <c r="G491" s="30"/>
      <c r="H491" s="5"/>
      <c r="I491" s="32"/>
      <c r="J491" s="33"/>
      <c r="K491" s="34"/>
    </row>
    <row r="492" spans="1:11" ht="13.2">
      <c r="A492" s="5"/>
      <c r="B492" s="5"/>
      <c r="C492" s="30"/>
      <c r="D492" s="16"/>
      <c r="E492" s="14"/>
      <c r="F492" s="31"/>
      <c r="G492" s="30"/>
      <c r="H492" s="5"/>
      <c r="I492" s="32"/>
      <c r="J492" s="33"/>
      <c r="K492" s="34"/>
    </row>
    <row r="493" spans="1:11" ht="13.2">
      <c r="A493" s="5"/>
      <c r="B493" s="5"/>
      <c r="C493" s="30"/>
      <c r="D493" s="16"/>
      <c r="E493" s="14"/>
      <c r="F493" s="31"/>
      <c r="G493" s="30"/>
      <c r="H493" s="5"/>
      <c r="I493" s="32"/>
      <c r="J493" s="33"/>
      <c r="K493" s="34"/>
    </row>
    <row r="494" spans="1:11" ht="13.2">
      <c r="A494" s="5"/>
      <c r="B494" s="5"/>
      <c r="C494" s="30"/>
      <c r="D494" s="16"/>
      <c r="E494" s="14"/>
      <c r="F494" s="31"/>
      <c r="G494" s="30"/>
      <c r="H494" s="5"/>
      <c r="I494" s="32"/>
      <c r="J494" s="33"/>
      <c r="K494" s="34"/>
    </row>
    <row r="495" spans="1:11" ht="13.2">
      <c r="A495" s="5"/>
      <c r="B495" s="5"/>
      <c r="C495" s="30"/>
      <c r="D495" s="16"/>
      <c r="E495" s="14"/>
      <c r="F495" s="31"/>
      <c r="G495" s="30"/>
      <c r="H495" s="5"/>
      <c r="I495" s="32"/>
      <c r="J495" s="33"/>
      <c r="K495" s="34"/>
    </row>
    <row r="496" spans="1:11" ht="13.2">
      <c r="A496" s="5"/>
      <c r="B496" s="5"/>
      <c r="C496" s="30"/>
      <c r="D496" s="16"/>
      <c r="E496" s="14"/>
      <c r="F496" s="31"/>
      <c r="G496" s="30"/>
      <c r="H496" s="5"/>
      <c r="I496" s="32"/>
      <c r="J496" s="33"/>
      <c r="K496" s="34"/>
    </row>
    <row r="497" spans="1:11" ht="13.2">
      <c r="A497" s="5"/>
      <c r="B497" s="5"/>
      <c r="C497" s="30"/>
      <c r="D497" s="16"/>
      <c r="E497" s="14"/>
      <c r="F497" s="31"/>
      <c r="G497" s="30"/>
      <c r="H497" s="5"/>
      <c r="I497" s="32"/>
      <c r="J497" s="33"/>
      <c r="K497" s="34"/>
    </row>
    <row r="498" spans="1:11" ht="13.2">
      <c r="A498" s="5"/>
      <c r="B498" s="5"/>
      <c r="C498" s="30"/>
      <c r="D498" s="16"/>
      <c r="E498" s="14"/>
      <c r="F498" s="31"/>
      <c r="G498" s="30"/>
      <c r="H498" s="5"/>
      <c r="I498" s="32"/>
      <c r="J498" s="33"/>
      <c r="K498" s="34"/>
    </row>
    <row r="499" spans="1:11" ht="13.2">
      <c r="A499" s="5"/>
      <c r="B499" s="5"/>
      <c r="C499" s="30"/>
      <c r="D499" s="16"/>
      <c r="E499" s="14"/>
      <c r="F499" s="31"/>
      <c r="G499" s="30"/>
      <c r="H499" s="5"/>
      <c r="I499" s="32"/>
      <c r="J499" s="33"/>
      <c r="K499" s="34"/>
    </row>
    <row r="500" spans="1:11" ht="13.2">
      <c r="A500" s="5"/>
      <c r="B500" s="5"/>
      <c r="C500" s="30"/>
      <c r="D500" s="16"/>
      <c r="E500" s="14"/>
      <c r="F500" s="31"/>
      <c r="G500" s="30"/>
      <c r="H500" s="5"/>
      <c r="I500" s="32"/>
      <c r="J500" s="33"/>
      <c r="K500" s="34"/>
    </row>
    <row r="501" spans="1:11" ht="13.2">
      <c r="A501" s="5"/>
      <c r="B501" s="5"/>
      <c r="C501" s="30"/>
      <c r="D501" s="16"/>
      <c r="E501" s="14"/>
      <c r="F501" s="31"/>
      <c r="G501" s="30"/>
      <c r="H501" s="5"/>
      <c r="I501" s="32"/>
      <c r="J501" s="33"/>
      <c r="K501" s="34"/>
    </row>
    <row r="502" spans="1:11" ht="13.2">
      <c r="A502" s="5"/>
      <c r="B502" s="5"/>
      <c r="C502" s="30"/>
      <c r="D502" s="16"/>
      <c r="E502" s="14"/>
      <c r="F502" s="31"/>
      <c r="G502" s="30"/>
      <c r="H502" s="5"/>
      <c r="I502" s="32"/>
      <c r="J502" s="33"/>
      <c r="K502" s="34"/>
    </row>
    <row r="503" spans="1:11" ht="13.2">
      <c r="A503" s="5"/>
      <c r="B503" s="5"/>
      <c r="C503" s="30"/>
      <c r="D503" s="16"/>
      <c r="E503" s="14"/>
      <c r="F503" s="31"/>
      <c r="G503" s="30"/>
      <c r="H503" s="5"/>
      <c r="I503" s="32"/>
      <c r="J503" s="33"/>
      <c r="K503" s="34"/>
    </row>
    <row r="504" spans="1:11" ht="13.2">
      <c r="A504" s="5"/>
      <c r="B504" s="5"/>
      <c r="C504" s="30"/>
      <c r="D504" s="16"/>
      <c r="E504" s="14"/>
      <c r="F504" s="31"/>
      <c r="G504" s="30"/>
      <c r="H504" s="5"/>
      <c r="I504" s="32"/>
      <c r="J504" s="33"/>
      <c r="K504" s="34"/>
    </row>
    <row r="505" spans="1:11" ht="13.2">
      <c r="A505" s="5"/>
      <c r="B505" s="5"/>
      <c r="C505" s="30"/>
      <c r="D505" s="16"/>
      <c r="E505" s="14"/>
      <c r="F505" s="31"/>
      <c r="G505" s="30"/>
      <c r="H505" s="5"/>
      <c r="I505" s="32"/>
      <c r="J505" s="33"/>
      <c r="K505" s="34"/>
    </row>
    <row r="506" spans="1:11" ht="13.2">
      <c r="A506" s="5"/>
      <c r="B506" s="5"/>
      <c r="C506" s="30"/>
      <c r="D506" s="16"/>
      <c r="E506" s="14"/>
      <c r="F506" s="31"/>
      <c r="G506" s="30"/>
      <c r="H506" s="5"/>
      <c r="I506" s="32"/>
      <c r="J506" s="33"/>
      <c r="K506" s="34"/>
    </row>
    <row r="507" spans="1:11" ht="13.2">
      <c r="A507" s="5"/>
      <c r="B507" s="5"/>
      <c r="C507" s="30"/>
      <c r="D507" s="16"/>
      <c r="E507" s="14"/>
      <c r="F507" s="31"/>
      <c r="G507" s="30"/>
      <c r="H507" s="5"/>
      <c r="I507" s="32"/>
      <c r="J507" s="33"/>
      <c r="K507" s="34"/>
    </row>
    <row r="508" spans="1:11" ht="13.2">
      <c r="A508" s="5"/>
      <c r="B508" s="5"/>
      <c r="C508" s="30"/>
      <c r="D508" s="16"/>
      <c r="E508" s="14"/>
      <c r="F508" s="31"/>
      <c r="G508" s="30"/>
      <c r="H508" s="5"/>
      <c r="I508" s="32"/>
      <c r="J508" s="33"/>
      <c r="K508" s="34"/>
    </row>
    <row r="509" spans="1:11" ht="13.2">
      <c r="A509" s="5"/>
      <c r="B509" s="5"/>
      <c r="C509" s="30"/>
      <c r="D509" s="16"/>
      <c r="E509" s="14"/>
      <c r="F509" s="31"/>
      <c r="G509" s="30"/>
      <c r="H509" s="5"/>
      <c r="I509" s="32"/>
      <c r="J509" s="33"/>
      <c r="K509" s="34"/>
    </row>
    <row r="510" spans="1:11" ht="13.2">
      <c r="A510" s="5"/>
      <c r="B510" s="5"/>
      <c r="C510" s="30"/>
      <c r="D510" s="16"/>
      <c r="E510" s="14"/>
      <c r="F510" s="31"/>
      <c r="G510" s="30"/>
      <c r="H510" s="5"/>
      <c r="I510" s="32"/>
      <c r="J510" s="33"/>
      <c r="K510" s="34"/>
    </row>
    <row r="511" spans="1:11" ht="13.2">
      <c r="A511" s="5"/>
      <c r="B511" s="5"/>
      <c r="C511" s="30"/>
      <c r="D511" s="16"/>
      <c r="E511" s="14"/>
      <c r="F511" s="31"/>
      <c r="G511" s="30"/>
      <c r="H511" s="5"/>
      <c r="I511" s="32"/>
      <c r="J511" s="33"/>
      <c r="K511" s="34"/>
    </row>
    <row r="512" spans="1:11" ht="13.2">
      <c r="A512" s="5"/>
      <c r="B512" s="5"/>
      <c r="C512" s="30"/>
      <c r="D512" s="16"/>
      <c r="E512" s="14"/>
      <c r="F512" s="31"/>
      <c r="G512" s="30"/>
      <c r="H512" s="5"/>
      <c r="I512" s="32"/>
      <c r="J512" s="33"/>
      <c r="K512" s="34"/>
    </row>
    <row r="513" spans="1:11" ht="13.2">
      <c r="A513" s="5"/>
      <c r="B513" s="5"/>
      <c r="C513" s="30"/>
      <c r="D513" s="16"/>
      <c r="E513" s="14"/>
      <c r="F513" s="31"/>
      <c r="G513" s="30"/>
      <c r="H513" s="5"/>
      <c r="I513" s="32"/>
      <c r="J513" s="33"/>
      <c r="K513" s="34"/>
    </row>
    <row r="514" spans="1:11" ht="13.2">
      <c r="A514" s="5"/>
      <c r="B514" s="5"/>
      <c r="C514" s="30"/>
      <c r="D514" s="16"/>
      <c r="E514" s="14"/>
      <c r="F514" s="31"/>
      <c r="G514" s="30"/>
      <c r="H514" s="5"/>
      <c r="I514" s="32"/>
      <c r="J514" s="33"/>
      <c r="K514" s="34"/>
    </row>
    <row r="515" spans="1:11" ht="13.2">
      <c r="A515" s="5"/>
      <c r="B515" s="5"/>
      <c r="C515" s="30"/>
      <c r="D515" s="16"/>
      <c r="E515" s="14"/>
      <c r="F515" s="31"/>
      <c r="G515" s="30"/>
      <c r="H515" s="5"/>
      <c r="I515" s="32"/>
      <c r="J515" s="33"/>
      <c r="K515" s="34"/>
    </row>
    <row r="516" spans="1:11" ht="13.2">
      <c r="A516" s="5"/>
      <c r="B516" s="5"/>
      <c r="C516" s="30"/>
      <c r="D516" s="16"/>
      <c r="E516" s="14"/>
      <c r="F516" s="31"/>
      <c r="G516" s="30"/>
      <c r="H516" s="5"/>
      <c r="I516" s="32"/>
      <c r="J516" s="33"/>
      <c r="K516" s="34"/>
    </row>
    <row r="517" spans="1:11" ht="13.2">
      <c r="A517" s="5"/>
      <c r="B517" s="5"/>
      <c r="C517" s="30"/>
      <c r="D517" s="16"/>
      <c r="E517" s="14"/>
      <c r="F517" s="31"/>
      <c r="G517" s="30"/>
      <c r="H517" s="5"/>
      <c r="I517" s="32"/>
      <c r="J517" s="33"/>
      <c r="K517" s="34"/>
    </row>
    <row r="518" spans="1:11" ht="13.2">
      <c r="A518" s="5"/>
      <c r="B518" s="5"/>
      <c r="C518" s="30"/>
      <c r="D518" s="16"/>
      <c r="E518" s="14"/>
      <c r="F518" s="31"/>
      <c r="G518" s="30"/>
      <c r="H518" s="5"/>
      <c r="I518" s="32"/>
      <c r="J518" s="33"/>
      <c r="K518" s="34"/>
    </row>
    <row r="519" spans="1:11" ht="13.2">
      <c r="A519" s="5"/>
      <c r="B519" s="5"/>
      <c r="C519" s="30"/>
      <c r="D519" s="16"/>
      <c r="E519" s="14"/>
      <c r="F519" s="31"/>
      <c r="G519" s="30"/>
      <c r="H519" s="5"/>
      <c r="I519" s="32"/>
      <c r="J519" s="33"/>
      <c r="K519" s="34"/>
    </row>
    <row r="520" spans="1:11" ht="13.2">
      <c r="A520" s="5"/>
      <c r="B520" s="5"/>
      <c r="C520" s="30"/>
      <c r="D520" s="16"/>
      <c r="E520" s="14"/>
      <c r="F520" s="31"/>
      <c r="G520" s="30"/>
      <c r="H520" s="5"/>
      <c r="I520" s="32"/>
      <c r="J520" s="33"/>
      <c r="K520" s="34"/>
    </row>
    <row r="521" spans="1:11" ht="13.2">
      <c r="A521" s="5"/>
      <c r="B521" s="5"/>
      <c r="C521" s="30"/>
      <c r="D521" s="16"/>
      <c r="E521" s="14"/>
      <c r="F521" s="31"/>
      <c r="G521" s="30"/>
      <c r="H521" s="5"/>
      <c r="I521" s="32"/>
      <c r="J521" s="33"/>
      <c r="K521" s="34"/>
    </row>
    <row r="522" spans="1:11" ht="13.2">
      <c r="A522" s="5"/>
      <c r="B522" s="5"/>
      <c r="C522" s="30"/>
      <c r="D522" s="16"/>
      <c r="E522" s="14"/>
      <c r="F522" s="31"/>
      <c r="G522" s="30"/>
      <c r="H522" s="5"/>
      <c r="I522" s="32"/>
      <c r="J522" s="33"/>
      <c r="K522" s="34"/>
    </row>
    <row r="523" spans="1:11" ht="13.2">
      <c r="A523" s="5"/>
      <c r="B523" s="5"/>
      <c r="C523" s="30"/>
      <c r="D523" s="16"/>
      <c r="E523" s="14"/>
      <c r="F523" s="31"/>
      <c r="G523" s="30"/>
      <c r="H523" s="5"/>
      <c r="I523" s="32"/>
      <c r="J523" s="33"/>
      <c r="K523" s="34"/>
    </row>
    <row r="524" spans="1:11" ht="13.2">
      <c r="A524" s="5"/>
      <c r="B524" s="5"/>
      <c r="C524" s="30"/>
      <c r="D524" s="16"/>
      <c r="E524" s="14"/>
      <c r="F524" s="31"/>
      <c r="G524" s="30"/>
      <c r="H524" s="5"/>
      <c r="I524" s="32"/>
      <c r="J524" s="33"/>
      <c r="K524" s="34"/>
    </row>
    <row r="525" spans="1:11" ht="13.2">
      <c r="A525" s="5"/>
      <c r="B525" s="5"/>
      <c r="C525" s="30"/>
      <c r="D525" s="16"/>
      <c r="E525" s="14"/>
      <c r="F525" s="31"/>
      <c r="G525" s="30"/>
      <c r="H525" s="5"/>
      <c r="I525" s="32"/>
      <c r="J525" s="33"/>
      <c r="K525" s="34"/>
    </row>
    <row r="526" spans="1:11" ht="13.2">
      <c r="A526" s="5"/>
      <c r="B526" s="5"/>
      <c r="C526" s="30"/>
      <c r="D526" s="16"/>
      <c r="E526" s="14"/>
      <c r="F526" s="31"/>
      <c r="G526" s="30"/>
      <c r="H526" s="5"/>
      <c r="I526" s="32"/>
      <c r="J526" s="33"/>
      <c r="K526" s="34"/>
    </row>
    <row r="527" spans="1:11" ht="13.2">
      <c r="A527" s="5"/>
      <c r="B527" s="5"/>
      <c r="C527" s="30"/>
      <c r="D527" s="16"/>
      <c r="E527" s="14"/>
      <c r="F527" s="31"/>
      <c r="G527" s="30"/>
      <c r="H527" s="5"/>
      <c r="I527" s="32"/>
      <c r="J527" s="33"/>
      <c r="K527" s="34"/>
    </row>
    <row r="528" spans="1:11" ht="13.2">
      <c r="A528" s="5"/>
      <c r="B528" s="5"/>
      <c r="C528" s="30"/>
      <c r="D528" s="16"/>
      <c r="E528" s="14"/>
      <c r="F528" s="31"/>
      <c r="G528" s="30"/>
      <c r="H528" s="5"/>
      <c r="I528" s="32"/>
      <c r="J528" s="33"/>
      <c r="K528" s="34"/>
    </row>
    <row r="529" spans="1:11" ht="13.2">
      <c r="A529" s="5"/>
      <c r="B529" s="5"/>
      <c r="C529" s="30"/>
      <c r="D529" s="16"/>
      <c r="E529" s="14"/>
      <c r="F529" s="31"/>
      <c r="G529" s="30"/>
      <c r="H529" s="5"/>
      <c r="I529" s="32"/>
      <c r="J529" s="33"/>
      <c r="K529" s="34"/>
    </row>
    <row r="530" spans="1:11" ht="13.2">
      <c r="A530" s="5"/>
      <c r="B530" s="5"/>
      <c r="C530" s="30"/>
      <c r="D530" s="16"/>
      <c r="E530" s="14"/>
      <c r="F530" s="31"/>
      <c r="G530" s="30"/>
      <c r="H530" s="5"/>
      <c r="I530" s="32"/>
      <c r="J530" s="33"/>
      <c r="K530" s="34"/>
    </row>
    <row r="531" spans="1:11" ht="13.2">
      <c r="A531" s="5"/>
      <c r="B531" s="5"/>
      <c r="C531" s="30"/>
      <c r="D531" s="16"/>
      <c r="E531" s="14"/>
      <c r="F531" s="31"/>
      <c r="G531" s="30"/>
      <c r="H531" s="5"/>
      <c r="I531" s="32"/>
      <c r="J531" s="33"/>
      <c r="K531" s="34"/>
    </row>
    <row r="532" spans="1:11" ht="13.2">
      <c r="A532" s="5"/>
      <c r="B532" s="5"/>
      <c r="C532" s="30"/>
      <c r="D532" s="16"/>
      <c r="E532" s="14"/>
      <c r="F532" s="31"/>
      <c r="G532" s="30"/>
      <c r="H532" s="5"/>
      <c r="I532" s="32"/>
      <c r="J532" s="33"/>
      <c r="K532" s="34"/>
    </row>
    <row r="533" spans="1:11" ht="13.2">
      <c r="A533" s="5"/>
      <c r="B533" s="5"/>
      <c r="C533" s="30"/>
      <c r="D533" s="16"/>
      <c r="E533" s="14"/>
      <c r="F533" s="31"/>
      <c r="G533" s="30"/>
      <c r="H533" s="5"/>
      <c r="I533" s="32"/>
      <c r="J533" s="33"/>
      <c r="K533" s="34"/>
    </row>
    <row r="534" spans="1:11" ht="13.2">
      <c r="A534" s="5"/>
      <c r="B534" s="5"/>
      <c r="C534" s="30"/>
      <c r="D534" s="16"/>
      <c r="E534" s="14"/>
      <c r="F534" s="31"/>
      <c r="G534" s="30"/>
      <c r="H534" s="5"/>
      <c r="I534" s="32"/>
      <c r="J534" s="33"/>
      <c r="K534" s="34"/>
    </row>
    <row r="535" spans="1:11" ht="13.2">
      <c r="A535" s="5"/>
      <c r="B535" s="5"/>
      <c r="C535" s="30"/>
      <c r="D535" s="16"/>
      <c r="E535" s="14"/>
      <c r="F535" s="31"/>
      <c r="G535" s="30"/>
      <c r="H535" s="5"/>
      <c r="I535" s="32"/>
      <c r="J535" s="33"/>
      <c r="K535" s="34"/>
    </row>
    <row r="536" spans="1:11" ht="13.2">
      <c r="A536" s="5"/>
      <c r="B536" s="5"/>
      <c r="C536" s="30"/>
      <c r="D536" s="16"/>
      <c r="E536" s="14"/>
      <c r="F536" s="31"/>
      <c r="G536" s="30"/>
      <c r="H536" s="5"/>
      <c r="I536" s="32"/>
      <c r="J536" s="33"/>
      <c r="K536" s="34"/>
    </row>
    <row r="537" spans="1:11" ht="13.2">
      <c r="A537" s="5"/>
      <c r="B537" s="5"/>
      <c r="C537" s="30"/>
      <c r="D537" s="16"/>
      <c r="E537" s="14"/>
      <c r="F537" s="31"/>
      <c r="G537" s="30"/>
      <c r="H537" s="5"/>
      <c r="I537" s="32"/>
      <c r="J537" s="33"/>
      <c r="K537" s="34"/>
    </row>
    <row r="538" spans="1:11" ht="13.2">
      <c r="A538" s="5"/>
      <c r="B538" s="5"/>
      <c r="C538" s="30"/>
      <c r="D538" s="16"/>
      <c r="E538" s="14"/>
      <c r="F538" s="31"/>
      <c r="G538" s="30"/>
      <c r="H538" s="5"/>
      <c r="I538" s="32"/>
      <c r="J538" s="33"/>
      <c r="K538" s="34"/>
    </row>
    <row r="539" spans="1:11" ht="13.2">
      <c r="A539" s="5"/>
      <c r="B539" s="5"/>
      <c r="C539" s="30"/>
      <c r="D539" s="16"/>
      <c r="E539" s="14"/>
      <c r="F539" s="31"/>
      <c r="G539" s="30"/>
      <c r="H539" s="5"/>
      <c r="I539" s="32"/>
      <c r="J539" s="33"/>
      <c r="K539" s="34"/>
    </row>
    <row r="540" spans="1:11" ht="13.2">
      <c r="A540" s="5"/>
      <c r="B540" s="5"/>
      <c r="C540" s="30"/>
      <c r="D540" s="16"/>
      <c r="E540" s="14"/>
      <c r="F540" s="31"/>
      <c r="G540" s="30"/>
      <c r="H540" s="5"/>
      <c r="I540" s="32"/>
      <c r="J540" s="33"/>
      <c r="K540" s="34"/>
    </row>
    <row r="541" spans="1:11" ht="13.2">
      <c r="A541" s="5"/>
      <c r="B541" s="5"/>
      <c r="C541" s="30"/>
      <c r="D541" s="16"/>
      <c r="E541" s="14"/>
      <c r="F541" s="31"/>
      <c r="G541" s="30"/>
      <c r="H541" s="5"/>
      <c r="I541" s="32"/>
      <c r="J541" s="33"/>
      <c r="K541" s="34"/>
    </row>
    <row r="542" spans="1:11" ht="13.2">
      <c r="A542" s="5"/>
      <c r="B542" s="5"/>
      <c r="C542" s="30"/>
      <c r="D542" s="16"/>
      <c r="E542" s="14"/>
      <c r="F542" s="31"/>
      <c r="G542" s="30"/>
      <c r="H542" s="5"/>
      <c r="I542" s="32"/>
      <c r="J542" s="33"/>
      <c r="K542" s="34"/>
    </row>
    <row r="543" spans="1:11" ht="13.2">
      <c r="A543" s="5"/>
      <c r="B543" s="5"/>
      <c r="C543" s="30"/>
      <c r="D543" s="16"/>
      <c r="E543" s="14"/>
      <c r="F543" s="31"/>
      <c r="G543" s="30"/>
      <c r="H543" s="5"/>
      <c r="I543" s="32"/>
      <c r="J543" s="33"/>
      <c r="K543" s="34"/>
    </row>
    <row r="544" spans="1:11" ht="13.2">
      <c r="A544" s="5"/>
      <c r="B544" s="5"/>
      <c r="C544" s="30"/>
      <c r="D544" s="16"/>
      <c r="E544" s="14"/>
      <c r="F544" s="31"/>
      <c r="G544" s="30"/>
      <c r="H544" s="5"/>
      <c r="I544" s="32"/>
      <c r="J544" s="33"/>
      <c r="K544" s="34"/>
    </row>
    <row r="545" spans="1:11" ht="13.2">
      <c r="A545" s="5"/>
      <c r="B545" s="5"/>
      <c r="C545" s="30"/>
      <c r="D545" s="16"/>
      <c r="E545" s="14"/>
      <c r="F545" s="31"/>
      <c r="G545" s="30"/>
      <c r="H545" s="5"/>
      <c r="I545" s="32"/>
      <c r="J545" s="33"/>
      <c r="K545" s="34"/>
    </row>
    <row r="546" spans="1:11" ht="13.2">
      <c r="A546" s="5"/>
      <c r="B546" s="5"/>
      <c r="C546" s="30"/>
      <c r="D546" s="16"/>
      <c r="E546" s="14"/>
      <c r="F546" s="31"/>
      <c r="G546" s="30"/>
      <c r="H546" s="5"/>
      <c r="I546" s="32"/>
      <c r="J546" s="33"/>
      <c r="K546" s="34"/>
    </row>
    <row r="547" spans="1:11" ht="13.2">
      <c r="A547" s="5"/>
      <c r="B547" s="5"/>
      <c r="C547" s="30"/>
      <c r="D547" s="16"/>
      <c r="E547" s="14"/>
      <c r="F547" s="31"/>
      <c r="G547" s="30"/>
      <c r="H547" s="5"/>
      <c r="I547" s="32"/>
      <c r="J547" s="33"/>
      <c r="K547" s="34"/>
    </row>
    <row r="548" spans="1:11" ht="13.2">
      <c r="A548" s="5"/>
      <c r="B548" s="5"/>
      <c r="C548" s="30"/>
      <c r="D548" s="16"/>
      <c r="E548" s="14"/>
      <c r="F548" s="31"/>
      <c r="G548" s="30"/>
      <c r="H548" s="5"/>
      <c r="I548" s="32"/>
      <c r="J548" s="33"/>
      <c r="K548" s="34"/>
    </row>
    <row r="549" spans="1:11" ht="13.2">
      <c r="A549" s="5"/>
      <c r="B549" s="5"/>
      <c r="C549" s="30"/>
      <c r="D549" s="16"/>
      <c r="E549" s="14"/>
      <c r="F549" s="31"/>
      <c r="G549" s="30"/>
      <c r="H549" s="5"/>
      <c r="I549" s="32"/>
      <c r="J549" s="33"/>
      <c r="K549" s="34"/>
    </row>
    <row r="550" spans="1:11" ht="13.2">
      <c r="A550" s="5"/>
      <c r="B550" s="5"/>
      <c r="C550" s="30"/>
      <c r="D550" s="16"/>
      <c r="E550" s="14"/>
      <c r="F550" s="31"/>
      <c r="G550" s="30"/>
      <c r="H550" s="5"/>
      <c r="I550" s="32"/>
      <c r="J550" s="33"/>
      <c r="K550" s="34"/>
    </row>
    <row r="551" spans="1:11" ht="13.2">
      <c r="A551" s="5"/>
      <c r="B551" s="5"/>
      <c r="C551" s="30"/>
      <c r="D551" s="16"/>
      <c r="E551" s="14"/>
      <c r="F551" s="31"/>
      <c r="G551" s="30"/>
      <c r="H551" s="5"/>
      <c r="I551" s="32"/>
      <c r="J551" s="33"/>
      <c r="K551" s="34"/>
    </row>
    <row r="552" spans="1:11" ht="13.2">
      <c r="A552" s="5"/>
      <c r="B552" s="5"/>
      <c r="C552" s="30"/>
      <c r="D552" s="16"/>
      <c r="E552" s="14"/>
      <c r="F552" s="31"/>
      <c r="G552" s="30"/>
      <c r="H552" s="5"/>
      <c r="I552" s="32"/>
      <c r="J552" s="33"/>
      <c r="K552" s="34"/>
    </row>
    <row r="553" spans="1:11" ht="13.2">
      <c r="A553" s="5"/>
      <c r="B553" s="5"/>
      <c r="C553" s="30"/>
      <c r="D553" s="16"/>
      <c r="E553" s="14"/>
      <c r="F553" s="31"/>
      <c r="G553" s="30"/>
      <c r="H553" s="5"/>
      <c r="I553" s="32"/>
      <c r="J553" s="33"/>
      <c r="K553" s="34"/>
    </row>
    <row r="554" spans="1:11" ht="13.2">
      <c r="A554" s="5"/>
      <c r="B554" s="5"/>
      <c r="C554" s="30"/>
      <c r="D554" s="16"/>
      <c r="E554" s="14"/>
      <c r="F554" s="31"/>
      <c r="G554" s="30"/>
      <c r="H554" s="5"/>
      <c r="I554" s="32"/>
      <c r="J554" s="33"/>
      <c r="K554" s="34"/>
    </row>
    <row r="555" spans="1:11" ht="13.2">
      <c r="A555" s="5"/>
      <c r="B555" s="5"/>
      <c r="C555" s="30"/>
      <c r="D555" s="16"/>
      <c r="E555" s="14"/>
      <c r="F555" s="31"/>
      <c r="G555" s="30"/>
      <c r="H555" s="5"/>
      <c r="I555" s="32"/>
      <c r="J555" s="33"/>
      <c r="K555" s="34"/>
    </row>
    <row r="556" spans="1:11" ht="13.2">
      <c r="A556" s="5"/>
      <c r="B556" s="5"/>
      <c r="C556" s="30"/>
      <c r="D556" s="16"/>
      <c r="E556" s="14"/>
      <c r="F556" s="31"/>
      <c r="G556" s="30"/>
      <c r="H556" s="5"/>
      <c r="I556" s="32"/>
      <c r="J556" s="33"/>
      <c r="K556" s="34"/>
    </row>
    <row r="557" spans="1:11" ht="13.2">
      <c r="A557" s="5"/>
      <c r="B557" s="5"/>
      <c r="C557" s="30"/>
      <c r="D557" s="16"/>
      <c r="E557" s="14"/>
      <c r="F557" s="31"/>
      <c r="G557" s="30"/>
      <c r="H557" s="5"/>
      <c r="I557" s="32"/>
      <c r="J557" s="33"/>
      <c r="K557" s="34"/>
    </row>
    <row r="558" spans="1:11" ht="13.2">
      <c r="A558" s="5"/>
      <c r="B558" s="5"/>
      <c r="C558" s="30"/>
      <c r="D558" s="16"/>
      <c r="E558" s="14"/>
      <c r="F558" s="31"/>
      <c r="G558" s="30"/>
      <c r="H558" s="5"/>
      <c r="I558" s="32"/>
      <c r="J558" s="33"/>
      <c r="K558" s="34"/>
    </row>
    <row r="559" spans="1:11" ht="13.2">
      <c r="A559" s="5"/>
      <c r="B559" s="5"/>
      <c r="C559" s="30"/>
      <c r="D559" s="16"/>
      <c r="E559" s="14"/>
      <c r="F559" s="31"/>
      <c r="G559" s="30"/>
      <c r="H559" s="5"/>
      <c r="I559" s="32"/>
      <c r="J559" s="33"/>
      <c r="K559" s="34"/>
    </row>
    <row r="560" spans="1:11" ht="13.2">
      <c r="A560" s="5"/>
      <c r="B560" s="5"/>
      <c r="C560" s="30"/>
      <c r="D560" s="16"/>
      <c r="E560" s="14"/>
      <c r="F560" s="31"/>
      <c r="G560" s="30"/>
      <c r="H560" s="5"/>
      <c r="I560" s="32"/>
      <c r="J560" s="33"/>
      <c r="K560" s="34"/>
    </row>
    <row r="561" spans="1:11" ht="13.2">
      <c r="A561" s="5"/>
      <c r="B561" s="5"/>
      <c r="C561" s="30"/>
      <c r="D561" s="16"/>
      <c r="E561" s="14"/>
      <c r="F561" s="31"/>
      <c r="G561" s="30"/>
      <c r="H561" s="5"/>
      <c r="I561" s="32"/>
      <c r="J561" s="33"/>
      <c r="K561" s="34"/>
    </row>
    <row r="562" spans="1:11" ht="13.2">
      <c r="A562" s="5"/>
      <c r="B562" s="5"/>
      <c r="C562" s="30"/>
      <c r="D562" s="16"/>
      <c r="E562" s="14"/>
      <c r="F562" s="31"/>
      <c r="G562" s="30"/>
      <c r="H562" s="5"/>
      <c r="I562" s="32"/>
      <c r="J562" s="33"/>
      <c r="K562" s="34"/>
    </row>
    <row r="563" spans="1:11" ht="13.2">
      <c r="A563" s="5"/>
      <c r="B563" s="5"/>
      <c r="C563" s="30"/>
      <c r="D563" s="16"/>
      <c r="E563" s="14"/>
      <c r="F563" s="31"/>
      <c r="G563" s="30"/>
      <c r="H563" s="5"/>
      <c r="I563" s="32"/>
      <c r="J563" s="33"/>
      <c r="K563" s="34"/>
    </row>
    <row r="564" spans="1:11" ht="13.2">
      <c r="A564" s="5"/>
      <c r="B564" s="5"/>
      <c r="C564" s="30"/>
      <c r="D564" s="16"/>
      <c r="E564" s="14"/>
      <c r="F564" s="31"/>
      <c r="G564" s="30"/>
      <c r="H564" s="5"/>
      <c r="I564" s="32"/>
      <c r="J564" s="33"/>
      <c r="K564" s="34"/>
    </row>
    <row r="565" spans="1:11" ht="13.2">
      <c r="A565" s="5"/>
      <c r="B565" s="5"/>
      <c r="C565" s="30"/>
      <c r="D565" s="16"/>
      <c r="E565" s="14"/>
      <c r="F565" s="31"/>
      <c r="G565" s="30"/>
      <c r="H565" s="5"/>
      <c r="I565" s="32"/>
      <c r="J565" s="33"/>
      <c r="K565" s="34"/>
    </row>
    <row r="566" spans="1:11" ht="13.2">
      <c r="A566" s="5"/>
      <c r="B566" s="5"/>
      <c r="C566" s="30"/>
      <c r="D566" s="16"/>
      <c r="E566" s="14"/>
      <c r="F566" s="31"/>
      <c r="G566" s="30"/>
      <c r="H566" s="5"/>
      <c r="I566" s="32"/>
      <c r="J566" s="33"/>
      <c r="K566" s="34"/>
    </row>
    <row r="567" spans="1:11" ht="13.2">
      <c r="A567" s="5"/>
      <c r="B567" s="5"/>
      <c r="C567" s="30"/>
      <c r="D567" s="16"/>
      <c r="E567" s="14"/>
      <c r="F567" s="31"/>
      <c r="G567" s="30"/>
      <c r="H567" s="5"/>
      <c r="I567" s="32"/>
      <c r="J567" s="33"/>
      <c r="K567" s="34"/>
    </row>
    <row r="568" spans="1:11" ht="13.2">
      <c r="A568" s="5"/>
      <c r="B568" s="5"/>
      <c r="C568" s="30"/>
      <c r="D568" s="16"/>
      <c r="E568" s="14"/>
      <c r="F568" s="31"/>
      <c r="G568" s="30"/>
      <c r="H568" s="5"/>
      <c r="I568" s="32"/>
      <c r="J568" s="33"/>
      <c r="K568" s="34"/>
    </row>
    <row r="569" spans="1:11" ht="13.2">
      <c r="A569" s="5"/>
      <c r="B569" s="5"/>
      <c r="C569" s="30"/>
      <c r="D569" s="16"/>
      <c r="E569" s="14"/>
      <c r="F569" s="31"/>
      <c r="G569" s="30"/>
      <c r="H569" s="5"/>
      <c r="I569" s="32"/>
      <c r="J569" s="33"/>
      <c r="K569" s="34"/>
    </row>
    <row r="570" spans="1:11" ht="13.2">
      <c r="A570" s="5"/>
      <c r="B570" s="5"/>
      <c r="C570" s="30"/>
      <c r="D570" s="16"/>
      <c r="E570" s="14"/>
      <c r="F570" s="31"/>
      <c r="G570" s="30"/>
      <c r="H570" s="5"/>
      <c r="I570" s="32"/>
      <c r="J570" s="33"/>
      <c r="K570" s="34"/>
    </row>
    <row r="571" spans="1:11" ht="13.2">
      <c r="A571" s="5"/>
      <c r="B571" s="5"/>
      <c r="C571" s="30"/>
      <c r="D571" s="16"/>
      <c r="E571" s="14"/>
      <c r="F571" s="31"/>
      <c r="G571" s="30"/>
      <c r="H571" s="5"/>
      <c r="I571" s="32"/>
      <c r="J571" s="33"/>
      <c r="K571" s="34"/>
    </row>
    <row r="572" spans="1:11" ht="13.2">
      <c r="A572" s="5"/>
      <c r="B572" s="5"/>
      <c r="C572" s="30"/>
      <c r="D572" s="16"/>
      <c r="E572" s="14"/>
      <c r="F572" s="31"/>
      <c r="G572" s="30"/>
      <c r="H572" s="5"/>
      <c r="I572" s="32"/>
      <c r="J572" s="33"/>
      <c r="K572" s="34"/>
    </row>
    <row r="573" spans="1:11" ht="13.2">
      <c r="A573" s="5"/>
      <c r="B573" s="5"/>
      <c r="C573" s="30"/>
      <c r="D573" s="16"/>
      <c r="E573" s="14"/>
      <c r="F573" s="31"/>
      <c r="G573" s="30"/>
      <c r="H573" s="5"/>
      <c r="I573" s="32"/>
      <c r="J573" s="33"/>
      <c r="K573" s="34"/>
    </row>
    <row r="574" spans="1:11" ht="13.2">
      <c r="A574" s="5"/>
      <c r="B574" s="5"/>
      <c r="C574" s="30"/>
      <c r="D574" s="16"/>
      <c r="E574" s="14"/>
      <c r="F574" s="31"/>
      <c r="G574" s="30"/>
      <c r="H574" s="5"/>
      <c r="I574" s="32"/>
      <c r="J574" s="33"/>
      <c r="K574" s="34"/>
    </row>
    <row r="575" spans="1:11" ht="13.2">
      <c r="A575" s="5"/>
      <c r="B575" s="5"/>
      <c r="C575" s="30"/>
      <c r="D575" s="16"/>
      <c r="E575" s="14"/>
      <c r="F575" s="31"/>
      <c r="G575" s="30"/>
      <c r="H575" s="5"/>
      <c r="I575" s="32"/>
      <c r="J575" s="33"/>
      <c r="K575" s="34"/>
    </row>
    <row r="576" spans="1:11" ht="13.2">
      <c r="A576" s="5"/>
      <c r="B576" s="5"/>
      <c r="C576" s="30"/>
      <c r="D576" s="16"/>
      <c r="E576" s="14"/>
      <c r="F576" s="31"/>
      <c r="G576" s="30"/>
      <c r="H576" s="5"/>
      <c r="I576" s="32"/>
      <c r="J576" s="33"/>
      <c r="K576" s="34"/>
    </row>
    <row r="577" spans="1:11" ht="13.2">
      <c r="A577" s="5"/>
      <c r="B577" s="5"/>
      <c r="C577" s="30"/>
      <c r="D577" s="16"/>
      <c r="E577" s="14"/>
      <c r="F577" s="31"/>
      <c r="G577" s="30"/>
      <c r="H577" s="5"/>
      <c r="I577" s="32"/>
      <c r="J577" s="33"/>
      <c r="K577" s="34"/>
    </row>
    <row r="578" spans="1:11" ht="13.2">
      <c r="A578" s="5"/>
      <c r="B578" s="5"/>
      <c r="C578" s="30"/>
      <c r="D578" s="16"/>
      <c r="E578" s="14"/>
      <c r="F578" s="31"/>
      <c r="G578" s="30"/>
      <c r="H578" s="5"/>
      <c r="I578" s="32"/>
      <c r="J578" s="33"/>
      <c r="K578" s="34"/>
    </row>
    <row r="579" spans="1:11" ht="13.2">
      <c r="A579" s="5"/>
      <c r="B579" s="5"/>
      <c r="C579" s="30"/>
      <c r="D579" s="16"/>
      <c r="E579" s="14"/>
      <c r="F579" s="31"/>
      <c r="G579" s="30"/>
      <c r="H579" s="5"/>
      <c r="I579" s="32"/>
      <c r="J579" s="33"/>
      <c r="K579" s="34"/>
    </row>
    <row r="580" spans="1:11" ht="13.2">
      <c r="A580" s="5"/>
      <c r="B580" s="5"/>
      <c r="C580" s="30"/>
      <c r="D580" s="16"/>
      <c r="E580" s="14"/>
      <c r="F580" s="31"/>
      <c r="G580" s="30"/>
      <c r="H580" s="5"/>
      <c r="I580" s="32"/>
      <c r="J580" s="33"/>
      <c r="K580" s="34"/>
    </row>
    <row r="581" spans="1:11" ht="13.2">
      <c r="A581" s="5"/>
      <c r="B581" s="5"/>
      <c r="C581" s="30"/>
      <c r="D581" s="16"/>
      <c r="E581" s="14"/>
      <c r="F581" s="31"/>
      <c r="G581" s="30"/>
      <c r="H581" s="5"/>
      <c r="I581" s="32"/>
      <c r="J581" s="33"/>
      <c r="K581" s="34"/>
    </row>
    <row r="582" spans="1:11" ht="13.2">
      <c r="A582" s="5"/>
      <c r="B582" s="5"/>
      <c r="C582" s="30"/>
      <c r="D582" s="16"/>
      <c r="E582" s="14"/>
      <c r="F582" s="31"/>
      <c r="G582" s="30"/>
      <c r="H582" s="5"/>
      <c r="I582" s="32"/>
      <c r="J582" s="33"/>
      <c r="K582" s="34"/>
    </row>
    <row r="583" spans="1:11" ht="13.2">
      <c r="A583" s="5"/>
      <c r="B583" s="5"/>
      <c r="C583" s="30"/>
      <c r="D583" s="16"/>
      <c r="E583" s="14"/>
      <c r="F583" s="31"/>
      <c r="G583" s="30"/>
      <c r="H583" s="5"/>
      <c r="I583" s="32"/>
      <c r="J583" s="33"/>
      <c r="K583" s="34"/>
    </row>
    <row r="584" spans="1:11" ht="13.2">
      <c r="A584" s="5"/>
      <c r="B584" s="5"/>
      <c r="C584" s="30"/>
      <c r="D584" s="16"/>
      <c r="E584" s="14"/>
      <c r="F584" s="31"/>
      <c r="G584" s="30"/>
      <c r="H584" s="5"/>
      <c r="I584" s="32"/>
      <c r="J584" s="33"/>
      <c r="K584" s="34"/>
    </row>
    <row r="585" spans="1:11" ht="13.2">
      <c r="A585" s="5"/>
      <c r="B585" s="5"/>
      <c r="C585" s="30"/>
      <c r="D585" s="16"/>
      <c r="E585" s="14"/>
      <c r="F585" s="31"/>
      <c r="G585" s="30"/>
      <c r="H585" s="5"/>
      <c r="I585" s="32"/>
      <c r="J585" s="33"/>
      <c r="K585" s="34"/>
    </row>
    <row r="586" spans="1:11" ht="13.2">
      <c r="A586" s="5"/>
      <c r="B586" s="5"/>
      <c r="C586" s="30"/>
      <c r="D586" s="16"/>
      <c r="E586" s="14"/>
      <c r="F586" s="31"/>
      <c r="G586" s="30"/>
      <c r="H586" s="5"/>
      <c r="I586" s="32"/>
      <c r="J586" s="33"/>
      <c r="K586" s="34"/>
    </row>
    <row r="587" spans="1:11" ht="13.2">
      <c r="A587" s="5"/>
      <c r="B587" s="5"/>
      <c r="C587" s="30"/>
      <c r="D587" s="16"/>
      <c r="E587" s="14"/>
      <c r="F587" s="31"/>
      <c r="G587" s="30"/>
      <c r="H587" s="5"/>
      <c r="I587" s="32"/>
      <c r="J587" s="33"/>
      <c r="K587" s="34"/>
    </row>
    <row r="588" spans="1:11" ht="13.2">
      <c r="A588" s="5"/>
      <c r="B588" s="5"/>
      <c r="C588" s="30"/>
      <c r="D588" s="16"/>
      <c r="E588" s="14"/>
      <c r="F588" s="31"/>
      <c r="G588" s="30"/>
      <c r="H588" s="5"/>
      <c r="I588" s="32"/>
      <c r="J588" s="33"/>
      <c r="K588" s="34"/>
    </row>
    <row r="589" spans="1:11" ht="13.2">
      <c r="A589" s="5"/>
      <c r="B589" s="5"/>
      <c r="C589" s="30"/>
      <c r="D589" s="16"/>
      <c r="E589" s="14"/>
      <c r="F589" s="31"/>
      <c r="G589" s="30"/>
      <c r="H589" s="5"/>
      <c r="I589" s="32"/>
      <c r="J589" s="33"/>
      <c r="K589" s="34"/>
    </row>
    <row r="590" spans="1:11" ht="13.2">
      <c r="A590" s="5"/>
      <c r="B590" s="5"/>
      <c r="C590" s="30"/>
      <c r="D590" s="16"/>
      <c r="E590" s="14"/>
      <c r="F590" s="31"/>
      <c r="G590" s="30"/>
      <c r="H590" s="5"/>
      <c r="I590" s="32"/>
      <c r="J590" s="33"/>
      <c r="K590" s="34"/>
    </row>
    <row r="591" spans="1:11" ht="13.2">
      <c r="A591" s="5"/>
      <c r="B591" s="5"/>
      <c r="C591" s="30"/>
      <c r="D591" s="16"/>
      <c r="E591" s="14"/>
      <c r="F591" s="31"/>
      <c r="G591" s="30"/>
      <c r="H591" s="5"/>
      <c r="I591" s="32"/>
      <c r="J591" s="33"/>
      <c r="K591" s="34"/>
    </row>
    <row r="592" spans="1:11" ht="13.2">
      <c r="A592" s="5"/>
      <c r="B592" s="5"/>
      <c r="C592" s="30"/>
      <c r="D592" s="16"/>
      <c r="E592" s="14"/>
      <c r="F592" s="31"/>
      <c r="G592" s="30"/>
      <c r="H592" s="5"/>
      <c r="I592" s="32"/>
      <c r="J592" s="33"/>
      <c r="K592" s="34"/>
    </row>
    <row r="593" spans="1:11" ht="13.2">
      <c r="A593" s="5"/>
      <c r="B593" s="5"/>
      <c r="C593" s="30"/>
      <c r="D593" s="16"/>
      <c r="E593" s="14"/>
      <c r="F593" s="31"/>
      <c r="G593" s="30"/>
      <c r="H593" s="5"/>
      <c r="I593" s="32"/>
      <c r="J593" s="33"/>
      <c r="K593" s="34"/>
    </row>
    <row r="594" spans="1:11" ht="13.2">
      <c r="A594" s="5"/>
      <c r="B594" s="5"/>
      <c r="C594" s="30"/>
      <c r="D594" s="16"/>
      <c r="E594" s="14"/>
      <c r="F594" s="31"/>
      <c r="G594" s="30"/>
      <c r="H594" s="5"/>
      <c r="I594" s="32"/>
      <c r="J594" s="33"/>
      <c r="K594" s="34"/>
    </row>
    <row r="595" spans="1:11" ht="13.2">
      <c r="A595" s="5"/>
      <c r="B595" s="5"/>
      <c r="C595" s="30"/>
      <c r="D595" s="16"/>
      <c r="E595" s="14"/>
      <c r="F595" s="31"/>
      <c r="G595" s="30"/>
      <c r="H595" s="5"/>
      <c r="I595" s="32"/>
      <c r="J595" s="33"/>
      <c r="K595" s="34"/>
    </row>
    <row r="596" spans="1:11" ht="13.2">
      <c r="A596" s="5"/>
      <c r="B596" s="5"/>
      <c r="C596" s="30"/>
      <c r="D596" s="16"/>
      <c r="E596" s="14"/>
      <c r="F596" s="31"/>
      <c r="G596" s="30"/>
      <c r="H596" s="5"/>
      <c r="I596" s="32"/>
      <c r="J596" s="33"/>
      <c r="K596" s="34"/>
    </row>
    <row r="597" spans="1:11" ht="13.2">
      <c r="A597" s="5"/>
      <c r="B597" s="5"/>
      <c r="C597" s="30"/>
      <c r="D597" s="16"/>
      <c r="E597" s="14"/>
      <c r="F597" s="31"/>
      <c r="G597" s="30"/>
      <c r="H597" s="5"/>
      <c r="I597" s="32"/>
      <c r="J597" s="33"/>
      <c r="K597" s="34"/>
    </row>
    <row r="598" spans="1:11" ht="13.2">
      <c r="A598" s="5"/>
      <c r="B598" s="5"/>
      <c r="C598" s="30"/>
      <c r="D598" s="16"/>
      <c r="E598" s="14"/>
      <c r="F598" s="31"/>
      <c r="G598" s="30"/>
      <c r="H598" s="5"/>
      <c r="I598" s="32"/>
      <c r="J598" s="33"/>
      <c r="K598" s="34"/>
    </row>
    <row r="599" spans="1:11" ht="13.2">
      <c r="A599" s="5"/>
      <c r="B599" s="5"/>
      <c r="C599" s="30"/>
      <c r="D599" s="16"/>
      <c r="E599" s="14"/>
      <c r="F599" s="31"/>
      <c r="G599" s="30"/>
      <c r="H599" s="5"/>
      <c r="I599" s="32"/>
      <c r="J599" s="33"/>
      <c r="K599" s="34"/>
    </row>
    <row r="600" spans="1:11" ht="13.2">
      <c r="A600" s="5"/>
      <c r="B600" s="5"/>
      <c r="C600" s="30"/>
      <c r="D600" s="16"/>
      <c r="E600" s="14"/>
      <c r="F600" s="31"/>
      <c r="G600" s="30"/>
      <c r="H600" s="5"/>
      <c r="I600" s="32"/>
      <c r="J600" s="33"/>
      <c r="K600" s="34"/>
    </row>
    <row r="601" spans="1:11" ht="13.2">
      <c r="A601" s="5"/>
      <c r="B601" s="5"/>
      <c r="C601" s="30"/>
      <c r="D601" s="16"/>
      <c r="E601" s="14"/>
      <c r="F601" s="31"/>
      <c r="G601" s="30"/>
      <c r="H601" s="5"/>
      <c r="I601" s="32"/>
      <c r="J601" s="33"/>
      <c r="K601" s="34"/>
    </row>
    <row r="602" spans="1:11" ht="13.2">
      <c r="A602" s="5"/>
      <c r="B602" s="5"/>
      <c r="C602" s="30"/>
      <c r="D602" s="16"/>
      <c r="E602" s="14"/>
      <c r="F602" s="31"/>
      <c r="G602" s="30"/>
      <c r="H602" s="5"/>
      <c r="I602" s="32"/>
      <c r="J602" s="33"/>
      <c r="K602" s="34"/>
    </row>
    <row r="603" spans="1:11" ht="13.2">
      <c r="A603" s="5"/>
      <c r="B603" s="5"/>
      <c r="C603" s="30"/>
      <c r="D603" s="16"/>
      <c r="E603" s="14"/>
      <c r="F603" s="31"/>
      <c r="G603" s="30"/>
      <c r="H603" s="5"/>
      <c r="I603" s="32"/>
      <c r="J603" s="33"/>
      <c r="K603" s="34"/>
    </row>
    <row r="604" spans="1:11" ht="13.2">
      <c r="A604" s="5"/>
      <c r="B604" s="5"/>
      <c r="C604" s="30"/>
      <c r="D604" s="16"/>
      <c r="E604" s="14"/>
      <c r="F604" s="31"/>
      <c r="G604" s="30"/>
      <c r="H604" s="5"/>
      <c r="I604" s="32"/>
      <c r="J604" s="33"/>
      <c r="K604" s="34"/>
    </row>
    <row r="605" spans="1:11" ht="13.2">
      <c r="A605" s="5"/>
      <c r="B605" s="5"/>
      <c r="C605" s="30"/>
      <c r="D605" s="16"/>
      <c r="E605" s="14"/>
      <c r="F605" s="31"/>
      <c r="G605" s="30"/>
      <c r="H605" s="5"/>
      <c r="I605" s="32"/>
      <c r="J605" s="33"/>
      <c r="K605" s="34"/>
    </row>
    <row r="606" spans="1:11" ht="13.2">
      <c r="A606" s="5"/>
      <c r="B606" s="5"/>
      <c r="C606" s="30"/>
      <c r="D606" s="16"/>
      <c r="E606" s="14"/>
      <c r="F606" s="31"/>
      <c r="G606" s="30"/>
      <c r="H606" s="5"/>
      <c r="I606" s="32"/>
      <c r="J606" s="33"/>
      <c r="K606" s="34"/>
    </row>
    <row r="607" spans="1:11" ht="13.2">
      <c r="A607" s="5"/>
      <c r="B607" s="5"/>
      <c r="C607" s="30"/>
      <c r="D607" s="16"/>
      <c r="E607" s="14"/>
      <c r="F607" s="31"/>
      <c r="G607" s="30"/>
      <c r="H607" s="5"/>
      <c r="I607" s="32"/>
      <c r="J607" s="33"/>
      <c r="K607" s="34"/>
    </row>
    <row r="608" spans="1:11" ht="13.2">
      <c r="A608" s="5"/>
      <c r="B608" s="5"/>
      <c r="C608" s="30"/>
      <c r="D608" s="16"/>
      <c r="E608" s="14"/>
      <c r="F608" s="31"/>
      <c r="G608" s="30"/>
      <c r="H608" s="5"/>
      <c r="I608" s="32"/>
      <c r="J608" s="33"/>
      <c r="K608" s="34"/>
    </row>
    <row r="609" spans="1:11" ht="13.2">
      <c r="A609" s="5"/>
      <c r="B609" s="5"/>
      <c r="C609" s="30"/>
      <c r="D609" s="16"/>
      <c r="E609" s="14"/>
      <c r="F609" s="31"/>
      <c r="G609" s="30"/>
      <c r="H609" s="5"/>
      <c r="I609" s="32"/>
      <c r="J609" s="33"/>
      <c r="K609" s="34"/>
    </row>
    <row r="610" spans="1:11" ht="13.2">
      <c r="A610" s="5"/>
      <c r="B610" s="5"/>
      <c r="C610" s="30"/>
      <c r="D610" s="16"/>
      <c r="E610" s="14"/>
      <c r="F610" s="31"/>
      <c r="G610" s="30"/>
      <c r="H610" s="5"/>
      <c r="I610" s="32"/>
      <c r="J610" s="33"/>
      <c r="K610" s="34"/>
    </row>
    <row r="611" spans="1:11" ht="13.2">
      <c r="A611" s="5"/>
      <c r="B611" s="5"/>
      <c r="C611" s="30"/>
      <c r="D611" s="16"/>
      <c r="E611" s="14"/>
      <c r="F611" s="31"/>
      <c r="G611" s="30"/>
      <c r="H611" s="5"/>
      <c r="I611" s="32"/>
      <c r="J611" s="33"/>
      <c r="K611" s="34"/>
    </row>
    <row r="612" spans="1:11" ht="13.2">
      <c r="A612" s="5"/>
      <c r="B612" s="5"/>
      <c r="C612" s="30"/>
      <c r="D612" s="16"/>
      <c r="E612" s="14"/>
      <c r="F612" s="31"/>
      <c r="G612" s="30"/>
      <c r="H612" s="5"/>
      <c r="I612" s="32"/>
      <c r="J612" s="33"/>
      <c r="K612" s="34"/>
    </row>
    <row r="613" spans="1:11" ht="13.2">
      <c r="A613" s="5"/>
      <c r="B613" s="5"/>
      <c r="C613" s="30"/>
      <c r="D613" s="16"/>
      <c r="E613" s="14"/>
      <c r="F613" s="31"/>
      <c r="G613" s="30"/>
      <c r="H613" s="5"/>
      <c r="I613" s="32"/>
      <c r="J613" s="33"/>
      <c r="K613" s="34"/>
    </row>
    <row r="614" spans="1:11" ht="13.2">
      <c r="A614" s="5"/>
      <c r="B614" s="5"/>
      <c r="C614" s="30"/>
      <c r="D614" s="16"/>
      <c r="E614" s="14"/>
      <c r="F614" s="31"/>
      <c r="G614" s="30"/>
      <c r="H614" s="5"/>
      <c r="I614" s="32"/>
      <c r="J614" s="33"/>
      <c r="K614" s="34"/>
    </row>
    <row r="615" spans="1:11" ht="13.2">
      <c r="A615" s="5"/>
      <c r="B615" s="5"/>
      <c r="C615" s="30"/>
      <c r="D615" s="16"/>
      <c r="E615" s="14"/>
      <c r="F615" s="31"/>
      <c r="G615" s="30"/>
      <c r="H615" s="5"/>
      <c r="I615" s="32"/>
      <c r="J615" s="33"/>
      <c r="K615" s="34"/>
    </row>
    <row r="616" spans="1:11" ht="13.2">
      <c r="A616" s="5"/>
      <c r="B616" s="5"/>
      <c r="C616" s="30"/>
      <c r="D616" s="16"/>
      <c r="E616" s="14"/>
      <c r="F616" s="31"/>
      <c r="G616" s="30"/>
      <c r="H616" s="5"/>
      <c r="I616" s="32"/>
      <c r="J616" s="33"/>
      <c r="K616" s="34"/>
    </row>
    <row r="617" spans="1:11" ht="13.2">
      <c r="A617" s="5"/>
      <c r="B617" s="5"/>
      <c r="C617" s="30"/>
      <c r="D617" s="16"/>
      <c r="E617" s="14"/>
      <c r="F617" s="31"/>
      <c r="G617" s="30"/>
      <c r="H617" s="5"/>
      <c r="I617" s="32"/>
      <c r="J617" s="33"/>
      <c r="K617" s="34"/>
    </row>
    <row r="618" spans="1:11" ht="13.2">
      <c r="A618" s="5"/>
      <c r="B618" s="5"/>
      <c r="C618" s="30"/>
      <c r="D618" s="16"/>
      <c r="E618" s="14"/>
      <c r="F618" s="31"/>
      <c r="G618" s="30"/>
      <c r="H618" s="5"/>
      <c r="I618" s="32"/>
      <c r="J618" s="33"/>
      <c r="K618" s="34"/>
    </row>
    <row r="619" spans="1:11" ht="13.2">
      <c r="A619" s="5"/>
      <c r="B619" s="5"/>
      <c r="C619" s="30"/>
      <c r="D619" s="16"/>
      <c r="E619" s="14"/>
      <c r="F619" s="31"/>
      <c r="G619" s="30"/>
      <c r="H619" s="5"/>
      <c r="I619" s="32"/>
      <c r="J619" s="33"/>
      <c r="K619" s="34"/>
    </row>
    <row r="620" spans="1:11" ht="13.2">
      <c r="A620" s="5"/>
      <c r="B620" s="5"/>
      <c r="C620" s="30"/>
      <c r="D620" s="16"/>
      <c r="E620" s="14"/>
      <c r="F620" s="31"/>
      <c r="G620" s="30"/>
      <c r="H620" s="5"/>
      <c r="I620" s="32"/>
      <c r="J620" s="33"/>
      <c r="K620" s="34"/>
    </row>
    <row r="621" spans="1:11" ht="13.2">
      <c r="A621" s="5"/>
      <c r="B621" s="5"/>
      <c r="C621" s="30"/>
      <c r="D621" s="16"/>
      <c r="E621" s="14"/>
      <c r="F621" s="31"/>
      <c r="G621" s="30"/>
      <c r="H621" s="5"/>
      <c r="I621" s="32"/>
      <c r="J621" s="33"/>
      <c r="K621" s="34"/>
    </row>
    <row r="622" spans="1:11" ht="13.2">
      <c r="A622" s="5"/>
      <c r="B622" s="5"/>
      <c r="C622" s="30"/>
      <c r="D622" s="16"/>
      <c r="E622" s="14"/>
      <c r="F622" s="31"/>
      <c r="G622" s="30"/>
      <c r="H622" s="5"/>
      <c r="I622" s="32"/>
      <c r="J622" s="33"/>
      <c r="K622" s="34"/>
    </row>
    <row r="623" spans="1:11" ht="13.2">
      <c r="A623" s="5"/>
      <c r="B623" s="5"/>
      <c r="C623" s="30"/>
      <c r="D623" s="16"/>
      <c r="E623" s="14"/>
      <c r="F623" s="31"/>
      <c r="G623" s="30"/>
      <c r="H623" s="5"/>
      <c r="I623" s="32"/>
      <c r="J623" s="33"/>
      <c r="K623" s="34"/>
    </row>
    <row r="624" spans="1:11" ht="13.2">
      <c r="A624" s="5"/>
      <c r="B624" s="5"/>
      <c r="C624" s="30"/>
      <c r="D624" s="16"/>
      <c r="E624" s="14"/>
      <c r="F624" s="31"/>
      <c r="G624" s="30"/>
      <c r="H624" s="5"/>
      <c r="I624" s="32"/>
      <c r="J624" s="33"/>
      <c r="K624" s="34"/>
    </row>
    <row r="625" spans="1:11" ht="13.2">
      <c r="A625" s="5"/>
      <c r="B625" s="5"/>
      <c r="C625" s="30"/>
      <c r="D625" s="16"/>
      <c r="E625" s="14"/>
      <c r="F625" s="31"/>
      <c r="G625" s="30"/>
      <c r="H625" s="5"/>
      <c r="I625" s="32"/>
      <c r="J625" s="33"/>
      <c r="K625" s="34"/>
    </row>
    <row r="626" spans="1:11" ht="13.2">
      <c r="A626" s="5"/>
      <c r="B626" s="5"/>
      <c r="C626" s="30"/>
      <c r="D626" s="16"/>
      <c r="E626" s="14"/>
      <c r="F626" s="31"/>
      <c r="G626" s="30"/>
      <c r="H626" s="5"/>
      <c r="I626" s="32"/>
      <c r="J626" s="33"/>
      <c r="K626" s="34"/>
    </row>
    <row r="627" spans="1:11" ht="13.2">
      <c r="A627" s="5"/>
      <c r="B627" s="5"/>
      <c r="C627" s="30"/>
      <c r="D627" s="16"/>
      <c r="E627" s="14"/>
      <c r="F627" s="31"/>
      <c r="G627" s="30"/>
      <c r="H627" s="5"/>
      <c r="I627" s="32"/>
      <c r="J627" s="33"/>
      <c r="K627" s="34"/>
    </row>
    <row r="628" spans="1:11" ht="13.2">
      <c r="A628" s="5"/>
      <c r="B628" s="5"/>
      <c r="C628" s="30"/>
      <c r="D628" s="16"/>
      <c r="E628" s="14"/>
      <c r="F628" s="31"/>
      <c r="G628" s="30"/>
      <c r="H628" s="5"/>
      <c r="I628" s="32"/>
      <c r="J628" s="33"/>
      <c r="K628" s="34"/>
    </row>
    <row r="629" spans="1:11" ht="13.2">
      <c r="A629" s="5"/>
      <c r="B629" s="5"/>
      <c r="C629" s="30"/>
      <c r="D629" s="16"/>
      <c r="E629" s="14"/>
      <c r="F629" s="31"/>
      <c r="G629" s="30"/>
      <c r="H629" s="5"/>
      <c r="I629" s="32"/>
      <c r="J629" s="33"/>
      <c r="K629" s="34"/>
    </row>
    <row r="630" spans="1:11" ht="13.2">
      <c r="A630" s="5"/>
      <c r="B630" s="5"/>
      <c r="C630" s="30"/>
      <c r="D630" s="16"/>
      <c r="E630" s="14"/>
      <c r="F630" s="31"/>
      <c r="G630" s="30"/>
      <c r="H630" s="5"/>
      <c r="I630" s="32"/>
      <c r="J630" s="33"/>
      <c r="K630" s="34"/>
    </row>
    <row r="631" spans="1:11" ht="13.2">
      <c r="A631" s="5"/>
      <c r="B631" s="5"/>
      <c r="C631" s="30"/>
      <c r="D631" s="16"/>
      <c r="E631" s="14"/>
      <c r="F631" s="31"/>
      <c r="G631" s="30"/>
      <c r="H631" s="5"/>
      <c r="I631" s="32"/>
      <c r="J631" s="33"/>
      <c r="K631" s="34"/>
    </row>
    <row r="632" spans="1:11" ht="13.2">
      <c r="A632" s="5"/>
      <c r="B632" s="5"/>
      <c r="C632" s="30"/>
      <c r="D632" s="16"/>
      <c r="E632" s="14"/>
      <c r="F632" s="31"/>
      <c r="G632" s="30"/>
      <c r="H632" s="5"/>
      <c r="I632" s="32"/>
      <c r="J632" s="33"/>
      <c r="K632" s="34"/>
    </row>
    <row r="633" spans="1:11" ht="13.2">
      <c r="A633" s="5"/>
      <c r="B633" s="5"/>
      <c r="C633" s="30"/>
      <c r="D633" s="16"/>
      <c r="E633" s="14"/>
      <c r="F633" s="31"/>
      <c r="G633" s="30"/>
      <c r="H633" s="5"/>
      <c r="I633" s="32"/>
      <c r="J633" s="33"/>
      <c r="K633" s="34"/>
    </row>
    <row r="634" spans="1:11" ht="13.2">
      <c r="A634" s="5"/>
      <c r="B634" s="5"/>
      <c r="C634" s="30"/>
      <c r="D634" s="16"/>
      <c r="E634" s="14"/>
      <c r="F634" s="31"/>
      <c r="G634" s="30"/>
      <c r="H634" s="5"/>
      <c r="I634" s="32"/>
      <c r="J634" s="33"/>
      <c r="K634" s="34"/>
    </row>
    <row r="635" spans="1:11" ht="13.2">
      <c r="A635" s="5"/>
      <c r="B635" s="5"/>
      <c r="C635" s="30"/>
      <c r="D635" s="16"/>
      <c r="E635" s="14"/>
      <c r="F635" s="31"/>
      <c r="G635" s="30"/>
      <c r="H635" s="5"/>
      <c r="I635" s="32"/>
      <c r="J635" s="33"/>
      <c r="K635" s="34"/>
    </row>
    <row r="636" spans="1:11" ht="13.2">
      <c r="A636" s="5"/>
      <c r="B636" s="5"/>
      <c r="C636" s="30"/>
      <c r="D636" s="16"/>
      <c r="E636" s="14"/>
      <c r="F636" s="31"/>
      <c r="G636" s="30"/>
      <c r="H636" s="5"/>
      <c r="I636" s="32"/>
      <c r="J636" s="33"/>
      <c r="K636" s="34"/>
    </row>
    <row r="637" spans="1:11" ht="13.2">
      <c r="A637" s="5"/>
      <c r="B637" s="5"/>
      <c r="C637" s="30"/>
      <c r="D637" s="16"/>
      <c r="E637" s="14"/>
      <c r="F637" s="31"/>
      <c r="G637" s="30"/>
      <c r="H637" s="5"/>
      <c r="I637" s="32"/>
      <c r="J637" s="33"/>
      <c r="K637" s="34"/>
    </row>
    <row r="638" spans="1:11" ht="13.2">
      <c r="A638" s="5"/>
      <c r="B638" s="5"/>
      <c r="C638" s="30"/>
      <c r="D638" s="16"/>
      <c r="E638" s="14"/>
      <c r="F638" s="31"/>
      <c r="G638" s="30"/>
      <c r="H638" s="5"/>
      <c r="I638" s="32"/>
      <c r="J638" s="33"/>
      <c r="K638" s="34"/>
    </row>
    <row r="639" spans="1:11" ht="13.2">
      <c r="A639" s="5"/>
      <c r="B639" s="5"/>
      <c r="C639" s="30"/>
      <c r="D639" s="16"/>
      <c r="E639" s="14"/>
      <c r="F639" s="31"/>
      <c r="G639" s="30"/>
      <c r="H639" s="5"/>
      <c r="I639" s="32"/>
      <c r="J639" s="33"/>
      <c r="K639" s="34"/>
    </row>
    <row r="640" spans="1:11" ht="13.2">
      <c r="A640" s="5"/>
      <c r="B640" s="5"/>
      <c r="C640" s="30"/>
      <c r="D640" s="16"/>
      <c r="E640" s="14"/>
      <c r="F640" s="31"/>
      <c r="G640" s="30"/>
      <c r="H640" s="5"/>
      <c r="I640" s="32"/>
      <c r="J640" s="33"/>
      <c r="K640" s="34"/>
    </row>
    <row r="641" spans="1:11" ht="13.2">
      <c r="A641" s="5"/>
      <c r="B641" s="5"/>
      <c r="C641" s="30"/>
      <c r="D641" s="16"/>
      <c r="E641" s="14"/>
      <c r="F641" s="31"/>
      <c r="G641" s="30"/>
      <c r="H641" s="5"/>
      <c r="I641" s="32"/>
      <c r="J641" s="33"/>
      <c r="K641" s="34"/>
    </row>
    <row r="642" spans="1:11" ht="13.2">
      <c r="A642" s="5"/>
      <c r="B642" s="5"/>
      <c r="C642" s="30"/>
      <c r="D642" s="16"/>
      <c r="E642" s="14"/>
      <c r="F642" s="31"/>
      <c r="G642" s="30"/>
      <c r="H642" s="5"/>
      <c r="I642" s="32"/>
      <c r="J642" s="33"/>
      <c r="K642" s="34"/>
    </row>
    <row r="643" spans="1:11" ht="13.2">
      <c r="A643" s="5"/>
      <c r="B643" s="5"/>
      <c r="C643" s="30"/>
      <c r="D643" s="16"/>
      <c r="E643" s="14"/>
      <c r="F643" s="31"/>
      <c r="G643" s="30"/>
      <c r="H643" s="5"/>
      <c r="I643" s="32"/>
      <c r="J643" s="33"/>
      <c r="K643" s="34"/>
    </row>
    <row r="644" spans="1:11" ht="13.2">
      <c r="A644" s="5"/>
      <c r="B644" s="5"/>
      <c r="C644" s="30"/>
      <c r="D644" s="16"/>
      <c r="E644" s="14"/>
      <c r="F644" s="31"/>
      <c r="G644" s="30"/>
      <c r="H644" s="5"/>
      <c r="I644" s="32"/>
      <c r="J644" s="33"/>
      <c r="K644" s="34"/>
    </row>
    <row r="645" spans="1:11" ht="13.2">
      <c r="A645" s="5"/>
      <c r="B645" s="5"/>
      <c r="C645" s="30"/>
      <c r="D645" s="16"/>
      <c r="E645" s="14"/>
      <c r="F645" s="31"/>
      <c r="G645" s="30"/>
      <c r="H645" s="5"/>
      <c r="I645" s="32"/>
      <c r="J645" s="33"/>
      <c r="K645" s="34"/>
    </row>
    <row r="646" spans="1:11" ht="13.2">
      <c r="A646" s="5"/>
      <c r="B646" s="5"/>
      <c r="C646" s="30"/>
      <c r="D646" s="16"/>
      <c r="E646" s="14"/>
      <c r="F646" s="31"/>
      <c r="G646" s="30"/>
      <c r="H646" s="5"/>
      <c r="I646" s="32"/>
      <c r="J646" s="33"/>
      <c r="K646" s="34"/>
    </row>
    <row r="647" spans="1:11" ht="13.2">
      <c r="A647" s="5"/>
      <c r="B647" s="5"/>
      <c r="C647" s="30"/>
      <c r="D647" s="16"/>
      <c r="E647" s="14"/>
      <c r="F647" s="31"/>
      <c r="G647" s="30"/>
      <c r="H647" s="5"/>
      <c r="I647" s="32"/>
      <c r="J647" s="33"/>
      <c r="K647" s="34"/>
    </row>
    <row r="648" spans="1:11" ht="13.2">
      <c r="A648" s="5"/>
      <c r="B648" s="5"/>
      <c r="C648" s="30"/>
      <c r="D648" s="16"/>
      <c r="E648" s="14"/>
      <c r="F648" s="31"/>
      <c r="G648" s="30"/>
      <c r="H648" s="5"/>
      <c r="I648" s="32"/>
      <c r="J648" s="33"/>
      <c r="K648" s="34"/>
    </row>
    <row r="649" spans="1:11" ht="13.2">
      <c r="A649" s="5"/>
      <c r="B649" s="5"/>
      <c r="C649" s="30"/>
      <c r="D649" s="16"/>
      <c r="E649" s="14"/>
      <c r="F649" s="31"/>
      <c r="G649" s="30"/>
      <c r="H649" s="5"/>
      <c r="I649" s="32"/>
      <c r="J649" s="33"/>
      <c r="K649" s="34"/>
    </row>
    <row r="650" spans="1:11" ht="13.2">
      <c r="A650" s="5"/>
      <c r="B650" s="5"/>
      <c r="C650" s="30"/>
      <c r="D650" s="16"/>
      <c r="E650" s="14"/>
      <c r="F650" s="31"/>
      <c r="G650" s="30"/>
      <c r="H650" s="5"/>
      <c r="I650" s="32"/>
      <c r="J650" s="33"/>
      <c r="K650" s="34"/>
    </row>
    <row r="651" spans="1:11" ht="13.2">
      <c r="A651" s="5"/>
      <c r="B651" s="5"/>
      <c r="C651" s="30"/>
      <c r="D651" s="16"/>
      <c r="E651" s="14"/>
      <c r="F651" s="31"/>
      <c r="G651" s="30"/>
      <c r="H651" s="5"/>
      <c r="I651" s="32"/>
      <c r="J651" s="33"/>
      <c r="K651" s="34"/>
    </row>
    <row r="652" spans="1:11" ht="13.2">
      <c r="A652" s="5"/>
      <c r="B652" s="5"/>
      <c r="C652" s="30"/>
      <c r="D652" s="16"/>
      <c r="E652" s="14"/>
      <c r="F652" s="31"/>
      <c r="G652" s="30"/>
      <c r="H652" s="5"/>
      <c r="I652" s="32"/>
      <c r="J652" s="33"/>
      <c r="K652" s="34"/>
    </row>
    <row r="653" spans="1:11" ht="13.2">
      <c r="A653" s="5"/>
      <c r="B653" s="5"/>
      <c r="C653" s="30"/>
      <c r="D653" s="16"/>
      <c r="E653" s="14"/>
      <c r="F653" s="31"/>
      <c r="G653" s="30"/>
      <c r="H653" s="5"/>
      <c r="I653" s="32"/>
      <c r="J653" s="33"/>
      <c r="K653" s="34"/>
    </row>
    <row r="654" spans="1:11" ht="13.2">
      <c r="A654" s="5"/>
      <c r="B654" s="5"/>
      <c r="C654" s="30"/>
      <c r="D654" s="16"/>
      <c r="E654" s="14"/>
      <c r="F654" s="31"/>
      <c r="G654" s="30"/>
      <c r="H654" s="5"/>
      <c r="I654" s="32"/>
      <c r="J654" s="33"/>
      <c r="K654" s="34"/>
    </row>
    <row r="655" spans="1:11" ht="13.2">
      <c r="A655" s="5"/>
      <c r="B655" s="5"/>
      <c r="C655" s="30"/>
      <c r="D655" s="16"/>
      <c r="E655" s="14"/>
      <c r="F655" s="31"/>
      <c r="G655" s="30"/>
      <c r="H655" s="5"/>
      <c r="I655" s="32"/>
      <c r="J655" s="33"/>
      <c r="K655" s="34"/>
    </row>
    <row r="656" spans="1:11" ht="13.2">
      <c r="A656" s="5"/>
      <c r="B656" s="5"/>
      <c r="C656" s="30"/>
      <c r="D656" s="16"/>
      <c r="E656" s="14"/>
      <c r="F656" s="31"/>
      <c r="G656" s="30"/>
      <c r="H656" s="5"/>
      <c r="I656" s="32"/>
      <c r="J656" s="33"/>
      <c r="K656" s="34"/>
    </row>
    <row r="657" spans="1:11" ht="13.2">
      <c r="A657" s="5"/>
      <c r="B657" s="5"/>
      <c r="C657" s="30"/>
      <c r="D657" s="16"/>
      <c r="E657" s="14"/>
      <c r="F657" s="31"/>
      <c r="G657" s="30"/>
      <c r="H657" s="5"/>
      <c r="I657" s="32"/>
      <c r="J657" s="33"/>
      <c r="K657" s="34"/>
    </row>
    <row r="658" spans="1:11" ht="13.2">
      <c r="A658" s="5"/>
      <c r="B658" s="5"/>
      <c r="C658" s="30"/>
      <c r="D658" s="16"/>
      <c r="E658" s="14"/>
      <c r="F658" s="31"/>
      <c r="G658" s="30"/>
      <c r="H658" s="5"/>
      <c r="I658" s="32"/>
      <c r="J658" s="33"/>
      <c r="K658" s="34"/>
    </row>
    <row r="659" spans="1:11" ht="13.2">
      <c r="A659" s="5"/>
      <c r="B659" s="5"/>
      <c r="C659" s="30"/>
      <c r="D659" s="16"/>
      <c r="E659" s="14"/>
      <c r="F659" s="31"/>
      <c r="G659" s="30"/>
      <c r="H659" s="5"/>
      <c r="I659" s="32"/>
      <c r="J659" s="33"/>
      <c r="K659" s="34"/>
    </row>
    <row r="660" spans="1:11" ht="13.2">
      <c r="A660" s="5"/>
      <c r="B660" s="5"/>
      <c r="C660" s="30"/>
      <c r="D660" s="16"/>
      <c r="E660" s="14"/>
      <c r="F660" s="31"/>
      <c r="G660" s="30"/>
      <c r="H660" s="5"/>
      <c r="I660" s="32"/>
      <c r="J660" s="33"/>
      <c r="K660" s="34"/>
    </row>
    <row r="661" spans="1:11" ht="13.2">
      <c r="A661" s="5"/>
      <c r="B661" s="5"/>
      <c r="C661" s="30"/>
      <c r="D661" s="16"/>
      <c r="E661" s="14"/>
      <c r="F661" s="31"/>
      <c r="G661" s="30"/>
      <c r="H661" s="5"/>
      <c r="I661" s="32"/>
      <c r="J661" s="33"/>
      <c r="K661" s="34"/>
    </row>
    <row r="662" spans="1:11" ht="13.2">
      <c r="A662" s="5"/>
      <c r="B662" s="5"/>
      <c r="C662" s="30"/>
      <c r="D662" s="16"/>
      <c r="E662" s="14"/>
      <c r="F662" s="31"/>
      <c r="G662" s="30"/>
      <c r="H662" s="5"/>
      <c r="I662" s="32"/>
      <c r="J662" s="33"/>
      <c r="K662" s="34"/>
    </row>
    <row r="663" spans="1:11" ht="13.2">
      <c r="A663" s="5"/>
      <c r="B663" s="5"/>
      <c r="C663" s="30"/>
      <c r="D663" s="16"/>
      <c r="E663" s="14"/>
      <c r="F663" s="31"/>
      <c r="G663" s="30"/>
      <c r="H663" s="5"/>
      <c r="I663" s="32"/>
      <c r="J663" s="33"/>
      <c r="K663" s="34"/>
    </row>
    <row r="664" spans="1:11" ht="13.2">
      <c r="A664" s="5"/>
      <c r="B664" s="5"/>
      <c r="C664" s="30"/>
      <c r="D664" s="16"/>
      <c r="E664" s="14"/>
      <c r="F664" s="31"/>
      <c r="G664" s="30"/>
      <c r="H664" s="5"/>
      <c r="I664" s="32"/>
      <c r="J664" s="33"/>
      <c r="K664" s="34"/>
    </row>
    <row r="665" spans="1:11" ht="13.2">
      <c r="A665" s="5"/>
      <c r="B665" s="5"/>
      <c r="C665" s="30"/>
      <c r="D665" s="16"/>
      <c r="E665" s="14"/>
      <c r="F665" s="31"/>
      <c r="G665" s="30"/>
      <c r="H665" s="5"/>
      <c r="I665" s="32"/>
      <c r="J665" s="33"/>
      <c r="K665" s="34"/>
    </row>
    <row r="666" spans="1:11" ht="13.2">
      <c r="A666" s="5"/>
      <c r="B666" s="5"/>
      <c r="C666" s="30"/>
      <c r="D666" s="16"/>
      <c r="E666" s="14"/>
      <c r="F666" s="31"/>
      <c r="G666" s="30"/>
      <c r="H666" s="5"/>
      <c r="I666" s="32"/>
      <c r="J666" s="33"/>
      <c r="K666" s="34"/>
    </row>
    <row r="667" spans="1:11" ht="13.2">
      <c r="A667" s="5"/>
      <c r="B667" s="5"/>
      <c r="C667" s="30"/>
      <c r="D667" s="16"/>
      <c r="E667" s="14"/>
      <c r="F667" s="31"/>
      <c r="G667" s="30"/>
      <c r="H667" s="5"/>
      <c r="I667" s="32"/>
      <c r="J667" s="33"/>
      <c r="K667" s="34"/>
    </row>
    <row r="668" spans="1:11" ht="13.2">
      <c r="A668" s="5"/>
      <c r="B668" s="5"/>
      <c r="C668" s="30"/>
      <c r="D668" s="16"/>
      <c r="E668" s="14"/>
      <c r="F668" s="31"/>
      <c r="G668" s="30"/>
      <c r="H668" s="5"/>
      <c r="I668" s="32"/>
      <c r="J668" s="33"/>
      <c r="K668" s="34"/>
    </row>
    <row r="669" spans="1:11" ht="13.2">
      <c r="A669" s="5"/>
      <c r="B669" s="5"/>
      <c r="C669" s="30"/>
      <c r="D669" s="16"/>
      <c r="E669" s="14"/>
      <c r="F669" s="31"/>
      <c r="G669" s="30"/>
      <c r="H669" s="5"/>
      <c r="I669" s="32"/>
      <c r="J669" s="33"/>
      <c r="K669" s="34"/>
    </row>
    <row r="670" spans="1:11" ht="13.2">
      <c r="A670" s="5"/>
      <c r="B670" s="5"/>
      <c r="C670" s="30"/>
      <c r="D670" s="16"/>
      <c r="E670" s="14"/>
      <c r="F670" s="31"/>
      <c r="G670" s="30"/>
      <c r="H670" s="5"/>
      <c r="I670" s="32"/>
      <c r="J670" s="33"/>
      <c r="K670" s="34"/>
    </row>
    <row r="671" spans="1:11" ht="13.2">
      <c r="A671" s="5"/>
      <c r="B671" s="5"/>
      <c r="C671" s="30"/>
      <c r="D671" s="16"/>
      <c r="E671" s="14"/>
      <c r="F671" s="31"/>
      <c r="G671" s="30"/>
      <c r="H671" s="5"/>
      <c r="I671" s="32"/>
      <c r="J671" s="33"/>
      <c r="K671" s="34"/>
    </row>
    <row r="672" spans="1:11" ht="13.2">
      <c r="A672" s="5"/>
      <c r="B672" s="5"/>
      <c r="C672" s="30"/>
      <c r="D672" s="16"/>
      <c r="E672" s="14"/>
      <c r="F672" s="31"/>
      <c r="G672" s="30"/>
      <c r="H672" s="5"/>
      <c r="I672" s="32"/>
      <c r="J672" s="33"/>
      <c r="K672" s="34"/>
    </row>
    <row r="673" spans="1:11" ht="13.2">
      <c r="A673" s="5"/>
      <c r="B673" s="5"/>
      <c r="C673" s="30"/>
      <c r="D673" s="16"/>
      <c r="E673" s="14"/>
      <c r="F673" s="31"/>
      <c r="G673" s="30"/>
      <c r="H673" s="5"/>
      <c r="I673" s="32"/>
      <c r="J673" s="33"/>
      <c r="K673" s="34"/>
    </row>
    <row r="674" spans="1:11" ht="13.2">
      <c r="A674" s="5"/>
      <c r="B674" s="5"/>
      <c r="C674" s="30"/>
      <c r="D674" s="16"/>
      <c r="E674" s="14"/>
      <c r="F674" s="31"/>
      <c r="G674" s="30"/>
      <c r="H674" s="5"/>
      <c r="I674" s="32"/>
      <c r="J674" s="33"/>
      <c r="K674" s="34"/>
    </row>
    <row r="675" spans="1:11" ht="13.2">
      <c r="A675" s="5"/>
      <c r="B675" s="5"/>
      <c r="C675" s="30"/>
      <c r="D675" s="16"/>
      <c r="E675" s="14"/>
      <c r="F675" s="31"/>
      <c r="G675" s="30"/>
      <c r="H675" s="5"/>
      <c r="I675" s="32"/>
      <c r="J675" s="33"/>
      <c r="K675" s="34"/>
    </row>
    <row r="676" spans="1:11" ht="13.2">
      <c r="A676" s="5"/>
      <c r="B676" s="5"/>
      <c r="C676" s="30"/>
      <c r="D676" s="16"/>
      <c r="E676" s="14"/>
      <c r="F676" s="31"/>
      <c r="G676" s="30"/>
      <c r="H676" s="5"/>
      <c r="I676" s="32"/>
      <c r="J676" s="33"/>
      <c r="K676" s="34"/>
    </row>
    <row r="677" spans="1:11" ht="13.2">
      <c r="A677" s="5"/>
      <c r="B677" s="5"/>
      <c r="C677" s="30"/>
      <c r="D677" s="16"/>
      <c r="E677" s="14"/>
      <c r="F677" s="31"/>
      <c r="G677" s="30"/>
      <c r="H677" s="5"/>
      <c r="I677" s="32"/>
      <c r="J677" s="33"/>
      <c r="K677" s="34"/>
    </row>
    <row r="678" spans="1:11" ht="13.2">
      <c r="A678" s="5"/>
      <c r="B678" s="5"/>
      <c r="C678" s="30"/>
      <c r="D678" s="16"/>
      <c r="E678" s="14"/>
      <c r="F678" s="31"/>
      <c r="G678" s="30"/>
      <c r="H678" s="5"/>
      <c r="I678" s="32"/>
      <c r="J678" s="33"/>
      <c r="K678" s="34"/>
    </row>
    <row r="679" spans="1:11" ht="13.2">
      <c r="A679" s="5"/>
      <c r="B679" s="5"/>
      <c r="C679" s="30"/>
      <c r="D679" s="16"/>
      <c r="E679" s="14"/>
      <c r="F679" s="31"/>
      <c r="G679" s="30"/>
      <c r="H679" s="5"/>
      <c r="I679" s="32"/>
      <c r="J679" s="33"/>
      <c r="K679" s="34"/>
    </row>
    <row r="680" spans="1:11" ht="13.2">
      <c r="A680" s="5"/>
      <c r="B680" s="5"/>
      <c r="C680" s="30"/>
      <c r="D680" s="16"/>
      <c r="E680" s="14"/>
      <c r="F680" s="31"/>
      <c r="G680" s="30"/>
      <c r="H680" s="5"/>
      <c r="I680" s="32"/>
      <c r="J680" s="33"/>
      <c r="K680" s="34"/>
    </row>
    <row r="681" spans="1:11" ht="13.2">
      <c r="A681" s="5"/>
      <c r="B681" s="5"/>
      <c r="C681" s="30"/>
      <c r="D681" s="16"/>
      <c r="E681" s="14"/>
      <c r="F681" s="31"/>
      <c r="G681" s="30"/>
      <c r="H681" s="5"/>
      <c r="I681" s="32"/>
      <c r="J681" s="33"/>
      <c r="K681" s="34"/>
    </row>
    <row r="682" spans="1:11" ht="13.2">
      <c r="A682" s="5"/>
      <c r="B682" s="5"/>
      <c r="C682" s="30"/>
      <c r="D682" s="16"/>
      <c r="E682" s="14"/>
      <c r="F682" s="31"/>
      <c r="G682" s="30"/>
      <c r="H682" s="5"/>
      <c r="I682" s="32"/>
      <c r="J682" s="33"/>
      <c r="K682" s="34"/>
    </row>
    <row r="683" spans="1:11" ht="13.2">
      <c r="A683" s="5"/>
      <c r="B683" s="5"/>
      <c r="C683" s="30"/>
      <c r="D683" s="16"/>
      <c r="E683" s="14"/>
      <c r="F683" s="31"/>
      <c r="G683" s="30"/>
      <c r="H683" s="5"/>
      <c r="I683" s="32"/>
      <c r="J683" s="33"/>
      <c r="K683" s="34"/>
    </row>
    <row r="684" spans="1:11" ht="13.2">
      <c r="A684" s="5"/>
      <c r="B684" s="5"/>
      <c r="C684" s="30"/>
      <c r="D684" s="16"/>
      <c r="E684" s="14"/>
      <c r="F684" s="31"/>
      <c r="G684" s="30"/>
      <c r="H684" s="5"/>
      <c r="I684" s="32"/>
      <c r="J684" s="33"/>
      <c r="K684" s="34"/>
    </row>
    <row r="685" spans="1:11" ht="13.2">
      <c r="A685" s="5"/>
      <c r="B685" s="5"/>
      <c r="C685" s="30"/>
      <c r="D685" s="16"/>
      <c r="E685" s="14"/>
      <c r="F685" s="31"/>
      <c r="G685" s="30"/>
      <c r="H685" s="5"/>
      <c r="I685" s="32"/>
      <c r="J685" s="33"/>
      <c r="K685" s="34"/>
    </row>
    <row r="686" spans="1:11" ht="13.2">
      <c r="A686" s="5"/>
      <c r="B686" s="5"/>
      <c r="C686" s="30"/>
      <c r="D686" s="16"/>
      <c r="E686" s="14"/>
      <c r="F686" s="31"/>
      <c r="G686" s="30"/>
      <c r="H686" s="5"/>
      <c r="I686" s="32"/>
      <c r="J686" s="33"/>
      <c r="K686" s="34"/>
    </row>
    <row r="687" spans="1:11" ht="13.2">
      <c r="A687" s="5"/>
      <c r="B687" s="5"/>
      <c r="C687" s="30"/>
      <c r="D687" s="16"/>
      <c r="E687" s="14"/>
      <c r="F687" s="31"/>
      <c r="G687" s="30"/>
      <c r="H687" s="5"/>
      <c r="I687" s="32"/>
      <c r="J687" s="33"/>
      <c r="K687" s="34"/>
    </row>
    <row r="688" spans="1:11" ht="13.2">
      <c r="A688" s="5"/>
      <c r="B688" s="5"/>
      <c r="C688" s="30"/>
      <c r="D688" s="16"/>
      <c r="E688" s="14"/>
      <c r="F688" s="31"/>
      <c r="G688" s="30"/>
      <c r="H688" s="5"/>
      <c r="I688" s="32"/>
      <c r="J688" s="33"/>
      <c r="K688" s="34"/>
    </row>
    <row r="689" spans="1:11" ht="13.2">
      <c r="A689" s="5"/>
      <c r="B689" s="5"/>
      <c r="C689" s="30"/>
      <c r="D689" s="16"/>
      <c r="E689" s="14"/>
      <c r="F689" s="31"/>
      <c r="G689" s="30"/>
      <c r="H689" s="5"/>
      <c r="I689" s="32"/>
      <c r="J689" s="33"/>
      <c r="K689" s="34"/>
    </row>
    <row r="690" spans="1:11" ht="13.2">
      <c r="A690" s="5"/>
      <c r="B690" s="5"/>
      <c r="C690" s="30"/>
      <c r="D690" s="16"/>
      <c r="E690" s="14"/>
      <c r="F690" s="31"/>
      <c r="G690" s="30"/>
      <c r="H690" s="5"/>
      <c r="I690" s="32"/>
      <c r="J690" s="33"/>
      <c r="K690" s="34"/>
    </row>
    <row r="691" spans="1:11" ht="13.2">
      <c r="A691" s="5"/>
      <c r="B691" s="5"/>
      <c r="C691" s="30"/>
      <c r="D691" s="16"/>
      <c r="E691" s="14"/>
      <c r="F691" s="31"/>
      <c r="G691" s="30"/>
      <c r="H691" s="5"/>
      <c r="I691" s="32"/>
      <c r="J691" s="33"/>
      <c r="K691" s="34"/>
    </row>
    <row r="692" spans="1:11" ht="13.2">
      <c r="A692" s="5"/>
      <c r="B692" s="5"/>
      <c r="C692" s="30"/>
      <c r="D692" s="16"/>
      <c r="E692" s="14"/>
      <c r="F692" s="31"/>
      <c r="G692" s="30"/>
      <c r="H692" s="5"/>
      <c r="I692" s="32"/>
      <c r="J692" s="33"/>
      <c r="K692" s="34"/>
    </row>
    <row r="693" spans="1:11" ht="13.2">
      <c r="A693" s="5"/>
      <c r="B693" s="5"/>
      <c r="C693" s="30"/>
      <c r="D693" s="16"/>
      <c r="E693" s="14"/>
      <c r="F693" s="31"/>
      <c r="G693" s="30"/>
      <c r="H693" s="5"/>
      <c r="I693" s="32"/>
      <c r="J693" s="33"/>
      <c r="K693" s="34"/>
    </row>
    <row r="694" spans="1:11" ht="13.2">
      <c r="A694" s="5"/>
      <c r="B694" s="5"/>
      <c r="C694" s="30"/>
      <c r="D694" s="16"/>
      <c r="E694" s="14"/>
      <c r="F694" s="31"/>
      <c r="G694" s="30"/>
      <c r="H694" s="5"/>
      <c r="I694" s="32"/>
      <c r="J694" s="33"/>
      <c r="K694" s="34"/>
    </row>
    <row r="695" spans="1:11" ht="13.2">
      <c r="A695" s="5"/>
      <c r="B695" s="5"/>
      <c r="C695" s="30"/>
      <c r="D695" s="16"/>
      <c r="E695" s="14"/>
      <c r="F695" s="31"/>
      <c r="G695" s="30"/>
      <c r="H695" s="5"/>
      <c r="I695" s="32"/>
      <c r="J695" s="33"/>
      <c r="K695" s="34"/>
    </row>
    <row r="696" spans="1:11" ht="13.2">
      <c r="A696" s="5"/>
      <c r="B696" s="5"/>
      <c r="C696" s="30"/>
      <c r="D696" s="16"/>
      <c r="E696" s="14"/>
      <c r="F696" s="31"/>
      <c r="G696" s="30"/>
      <c r="H696" s="5"/>
      <c r="I696" s="32"/>
      <c r="J696" s="33"/>
      <c r="K696" s="34"/>
    </row>
    <row r="697" spans="1:11" ht="13.2">
      <c r="A697" s="5"/>
      <c r="B697" s="5"/>
      <c r="C697" s="30"/>
      <c r="D697" s="16"/>
      <c r="E697" s="14"/>
      <c r="F697" s="31"/>
      <c r="G697" s="30"/>
      <c r="H697" s="5"/>
      <c r="I697" s="32"/>
      <c r="J697" s="33"/>
      <c r="K697" s="34"/>
    </row>
    <row r="698" spans="1:11" ht="13.2">
      <c r="A698" s="5"/>
      <c r="B698" s="5"/>
      <c r="C698" s="30"/>
      <c r="D698" s="16"/>
      <c r="E698" s="14"/>
      <c r="F698" s="31"/>
      <c r="G698" s="30"/>
      <c r="H698" s="5"/>
      <c r="I698" s="32"/>
      <c r="J698" s="33"/>
      <c r="K698" s="34"/>
    </row>
    <row r="699" spans="1:11" ht="13.2">
      <c r="A699" s="5"/>
      <c r="B699" s="5"/>
      <c r="C699" s="30"/>
      <c r="D699" s="16"/>
      <c r="E699" s="14"/>
      <c r="F699" s="31"/>
      <c r="G699" s="30"/>
      <c r="H699" s="5"/>
      <c r="I699" s="32"/>
      <c r="J699" s="33"/>
      <c r="K699" s="34"/>
    </row>
    <row r="700" spans="1:11" ht="13.2">
      <c r="A700" s="5"/>
      <c r="B700" s="5"/>
      <c r="C700" s="30"/>
      <c r="D700" s="16"/>
      <c r="E700" s="14"/>
      <c r="F700" s="31"/>
      <c r="G700" s="30"/>
      <c r="H700" s="5"/>
      <c r="I700" s="32"/>
      <c r="J700" s="33"/>
      <c r="K700" s="34"/>
    </row>
    <row r="701" spans="1:11" ht="13.2">
      <c r="A701" s="5"/>
      <c r="B701" s="5"/>
      <c r="C701" s="30"/>
      <c r="D701" s="16"/>
      <c r="E701" s="14"/>
      <c r="F701" s="31"/>
      <c r="G701" s="30"/>
      <c r="H701" s="5"/>
      <c r="I701" s="32"/>
      <c r="J701" s="33"/>
      <c r="K701" s="34"/>
    </row>
    <row r="702" spans="1:11" ht="13.2">
      <c r="A702" s="5"/>
      <c r="B702" s="5"/>
      <c r="C702" s="30"/>
      <c r="D702" s="16"/>
      <c r="E702" s="14"/>
      <c r="F702" s="31"/>
      <c r="G702" s="30"/>
      <c r="H702" s="5"/>
      <c r="I702" s="32"/>
      <c r="J702" s="33"/>
      <c r="K702" s="34"/>
    </row>
    <row r="703" spans="1:11" ht="13.2">
      <c r="A703" s="5"/>
      <c r="B703" s="5"/>
      <c r="C703" s="30"/>
      <c r="D703" s="16"/>
      <c r="E703" s="14"/>
      <c r="F703" s="31"/>
      <c r="G703" s="30"/>
      <c r="H703" s="5"/>
      <c r="I703" s="32"/>
      <c r="J703" s="33"/>
      <c r="K703" s="34"/>
    </row>
    <row r="704" spans="1:11" ht="13.2">
      <c r="A704" s="5"/>
      <c r="B704" s="5"/>
      <c r="C704" s="30"/>
      <c r="D704" s="16"/>
      <c r="E704" s="14"/>
      <c r="F704" s="31"/>
      <c r="G704" s="30"/>
      <c r="H704" s="5"/>
      <c r="I704" s="32"/>
      <c r="J704" s="33"/>
      <c r="K704" s="34"/>
    </row>
    <row r="705" spans="1:11" ht="13.2">
      <c r="A705" s="5"/>
      <c r="B705" s="5"/>
      <c r="C705" s="30"/>
      <c r="D705" s="16"/>
      <c r="E705" s="14"/>
      <c r="F705" s="31"/>
      <c r="G705" s="30"/>
      <c r="H705" s="5"/>
      <c r="I705" s="32"/>
      <c r="J705" s="33"/>
      <c r="K705" s="34"/>
    </row>
    <row r="706" spans="1:11" ht="13.2">
      <c r="A706" s="5"/>
      <c r="B706" s="5"/>
      <c r="C706" s="30"/>
      <c r="D706" s="16"/>
      <c r="E706" s="14"/>
      <c r="F706" s="31"/>
      <c r="G706" s="30"/>
      <c r="H706" s="5"/>
      <c r="I706" s="32"/>
      <c r="J706" s="33"/>
      <c r="K706" s="34"/>
    </row>
    <row r="707" spans="1:11" ht="13.2">
      <c r="A707" s="5"/>
      <c r="B707" s="5"/>
      <c r="C707" s="30"/>
      <c r="D707" s="16"/>
      <c r="E707" s="14"/>
      <c r="F707" s="31"/>
      <c r="G707" s="30"/>
      <c r="H707" s="5"/>
      <c r="I707" s="32"/>
      <c r="J707" s="33"/>
      <c r="K707" s="34"/>
    </row>
    <row r="708" spans="1:11" ht="13.2">
      <c r="A708" s="5"/>
      <c r="B708" s="5"/>
      <c r="C708" s="30"/>
      <c r="D708" s="16"/>
      <c r="E708" s="14"/>
      <c r="F708" s="31"/>
      <c r="G708" s="30"/>
      <c r="H708" s="5"/>
      <c r="I708" s="32"/>
      <c r="J708" s="33"/>
      <c r="K708" s="34"/>
    </row>
    <row r="709" spans="1:11" ht="13.2">
      <c r="A709" s="5"/>
      <c r="B709" s="5"/>
      <c r="C709" s="30"/>
      <c r="D709" s="16"/>
      <c r="E709" s="14"/>
      <c r="F709" s="31"/>
      <c r="G709" s="30"/>
      <c r="H709" s="5"/>
      <c r="I709" s="32"/>
      <c r="J709" s="33"/>
      <c r="K709" s="34"/>
    </row>
    <row r="710" spans="1:11" ht="13.2">
      <c r="A710" s="5"/>
      <c r="B710" s="5"/>
      <c r="C710" s="30"/>
      <c r="D710" s="16"/>
      <c r="E710" s="14"/>
      <c r="F710" s="31"/>
      <c r="G710" s="30"/>
      <c r="H710" s="5"/>
      <c r="I710" s="32"/>
      <c r="J710" s="33"/>
      <c r="K710" s="34"/>
    </row>
    <row r="711" spans="1:11" ht="13.2">
      <c r="A711" s="5"/>
      <c r="B711" s="5"/>
      <c r="C711" s="30"/>
      <c r="D711" s="16"/>
      <c r="E711" s="14"/>
      <c r="F711" s="31"/>
      <c r="G711" s="30"/>
      <c r="H711" s="5"/>
      <c r="I711" s="32"/>
      <c r="J711" s="33"/>
      <c r="K711" s="34"/>
    </row>
    <row r="712" spans="1:11" ht="13.2">
      <c r="A712" s="5"/>
      <c r="B712" s="5"/>
      <c r="C712" s="30"/>
      <c r="D712" s="16"/>
      <c r="E712" s="14"/>
      <c r="F712" s="31"/>
      <c r="G712" s="30"/>
      <c r="H712" s="5"/>
      <c r="I712" s="32"/>
      <c r="J712" s="33"/>
      <c r="K712" s="34"/>
    </row>
    <row r="713" spans="1:11" ht="13.2">
      <c r="A713" s="5"/>
      <c r="B713" s="5"/>
      <c r="C713" s="30"/>
      <c r="D713" s="16"/>
      <c r="E713" s="14"/>
      <c r="F713" s="31"/>
      <c r="G713" s="30"/>
      <c r="H713" s="5"/>
      <c r="I713" s="32"/>
      <c r="J713" s="33"/>
      <c r="K713" s="34"/>
    </row>
    <row r="714" spans="1:11" ht="13.2">
      <c r="A714" s="5"/>
      <c r="B714" s="5"/>
      <c r="C714" s="30"/>
      <c r="D714" s="16"/>
      <c r="E714" s="14"/>
      <c r="F714" s="31"/>
      <c r="G714" s="30"/>
      <c r="H714" s="5"/>
      <c r="I714" s="32"/>
      <c r="J714" s="33"/>
      <c r="K714" s="34"/>
    </row>
    <row r="715" spans="1:11" ht="13.2">
      <c r="A715" s="5"/>
      <c r="B715" s="5"/>
      <c r="C715" s="30"/>
      <c r="D715" s="16"/>
      <c r="E715" s="14"/>
      <c r="F715" s="31"/>
      <c r="G715" s="30"/>
      <c r="H715" s="5"/>
      <c r="I715" s="32"/>
      <c r="J715" s="33"/>
      <c r="K715" s="34"/>
    </row>
    <row r="716" spans="1:11" ht="13.2">
      <c r="A716" s="5"/>
      <c r="B716" s="5"/>
      <c r="C716" s="30"/>
      <c r="D716" s="16"/>
      <c r="E716" s="14"/>
      <c r="F716" s="31"/>
      <c r="G716" s="30"/>
      <c r="H716" s="5"/>
      <c r="I716" s="32"/>
      <c r="J716" s="33"/>
      <c r="K716" s="34"/>
    </row>
    <row r="717" spans="1:11" ht="13.2">
      <c r="A717" s="5"/>
      <c r="B717" s="5"/>
      <c r="C717" s="30"/>
      <c r="D717" s="16"/>
      <c r="E717" s="14"/>
      <c r="F717" s="31"/>
      <c r="G717" s="30"/>
      <c r="H717" s="5"/>
      <c r="I717" s="32"/>
      <c r="J717" s="33"/>
      <c r="K717" s="34"/>
    </row>
    <row r="718" spans="1:11" ht="13.2">
      <c r="A718" s="5"/>
      <c r="B718" s="5"/>
      <c r="C718" s="30"/>
      <c r="D718" s="16"/>
      <c r="E718" s="14"/>
      <c r="F718" s="31"/>
      <c r="G718" s="30"/>
      <c r="H718" s="5"/>
      <c r="I718" s="32"/>
      <c r="J718" s="33"/>
      <c r="K718" s="34"/>
    </row>
    <row r="719" spans="1:11" ht="13.2">
      <c r="A719" s="5"/>
      <c r="B719" s="5"/>
      <c r="C719" s="30"/>
      <c r="D719" s="16"/>
      <c r="E719" s="14"/>
      <c r="F719" s="31"/>
      <c r="G719" s="30"/>
      <c r="H719" s="5"/>
      <c r="I719" s="32"/>
      <c r="J719" s="33"/>
      <c r="K719" s="34"/>
    </row>
    <row r="720" spans="1:11" ht="13.2">
      <c r="A720" s="5"/>
      <c r="B720" s="5"/>
      <c r="C720" s="30"/>
      <c r="D720" s="16"/>
      <c r="E720" s="14"/>
      <c r="F720" s="31"/>
      <c r="G720" s="30"/>
      <c r="H720" s="5"/>
      <c r="I720" s="32"/>
      <c r="J720" s="33"/>
      <c r="K720" s="34"/>
    </row>
    <row r="721" spans="1:11" ht="13.2">
      <c r="A721" s="5"/>
      <c r="B721" s="5"/>
      <c r="C721" s="30"/>
      <c r="D721" s="16"/>
      <c r="E721" s="14"/>
      <c r="F721" s="31"/>
      <c r="G721" s="30"/>
      <c r="H721" s="5"/>
      <c r="I721" s="32"/>
      <c r="J721" s="33"/>
      <c r="K721" s="34"/>
    </row>
    <row r="722" spans="1:11" ht="13.2">
      <c r="A722" s="5"/>
      <c r="B722" s="5"/>
      <c r="C722" s="30"/>
      <c r="D722" s="16"/>
      <c r="E722" s="14"/>
      <c r="F722" s="31"/>
      <c r="G722" s="30"/>
      <c r="H722" s="5"/>
      <c r="I722" s="32"/>
      <c r="J722" s="33"/>
      <c r="K722" s="34"/>
    </row>
    <row r="723" spans="1:11" ht="13.2">
      <c r="A723" s="5"/>
      <c r="B723" s="5"/>
      <c r="C723" s="30"/>
      <c r="D723" s="16"/>
      <c r="E723" s="14"/>
      <c r="F723" s="31"/>
      <c r="G723" s="30"/>
      <c r="H723" s="5"/>
      <c r="I723" s="32"/>
      <c r="J723" s="33"/>
      <c r="K723" s="34"/>
    </row>
    <row r="724" spans="1:11" ht="13.2">
      <c r="A724" s="5"/>
      <c r="B724" s="5"/>
      <c r="C724" s="30"/>
      <c r="D724" s="16"/>
      <c r="E724" s="14"/>
      <c r="F724" s="31"/>
      <c r="G724" s="30"/>
      <c r="H724" s="5"/>
      <c r="I724" s="32"/>
      <c r="J724" s="33"/>
      <c r="K724" s="34"/>
    </row>
    <row r="725" spans="1:11" ht="13.2">
      <c r="A725" s="5"/>
      <c r="B725" s="5"/>
      <c r="C725" s="30"/>
      <c r="D725" s="16"/>
      <c r="E725" s="14"/>
      <c r="F725" s="31"/>
      <c r="G725" s="30"/>
      <c r="H725" s="5"/>
      <c r="I725" s="32"/>
      <c r="J725" s="33"/>
      <c r="K725" s="34"/>
    </row>
    <row r="726" spans="1:11" ht="13.2">
      <c r="A726" s="5"/>
      <c r="B726" s="5"/>
      <c r="C726" s="30"/>
      <c r="D726" s="16"/>
      <c r="E726" s="14"/>
      <c r="F726" s="31"/>
      <c r="G726" s="30"/>
      <c r="H726" s="5"/>
      <c r="I726" s="32"/>
      <c r="J726" s="33"/>
      <c r="K726" s="34"/>
    </row>
    <row r="727" spans="1:11" ht="13.2">
      <c r="A727" s="5"/>
      <c r="B727" s="5"/>
      <c r="C727" s="30"/>
      <c r="D727" s="16"/>
      <c r="E727" s="14"/>
      <c r="F727" s="31"/>
      <c r="G727" s="30"/>
      <c r="H727" s="5"/>
      <c r="I727" s="32"/>
      <c r="J727" s="33"/>
      <c r="K727" s="34"/>
    </row>
    <row r="728" spans="1:11" ht="13.2">
      <c r="A728" s="5"/>
      <c r="B728" s="5"/>
      <c r="C728" s="30"/>
      <c r="D728" s="16"/>
      <c r="E728" s="14"/>
      <c r="F728" s="31"/>
      <c r="G728" s="30"/>
      <c r="H728" s="5"/>
      <c r="I728" s="32"/>
      <c r="J728" s="33"/>
      <c r="K728" s="34"/>
    </row>
    <row r="729" spans="1:11" ht="13.2">
      <c r="A729" s="5"/>
      <c r="B729" s="5"/>
      <c r="C729" s="30"/>
      <c r="D729" s="16"/>
      <c r="E729" s="14"/>
      <c r="F729" s="31"/>
      <c r="G729" s="30"/>
      <c r="H729" s="5"/>
      <c r="I729" s="32"/>
      <c r="J729" s="33"/>
      <c r="K729" s="34"/>
    </row>
    <row r="730" spans="1:11" ht="13.2">
      <c r="A730" s="5"/>
      <c r="B730" s="5"/>
      <c r="C730" s="30"/>
      <c r="D730" s="16"/>
      <c r="E730" s="14"/>
      <c r="F730" s="31"/>
      <c r="G730" s="30"/>
      <c r="H730" s="5"/>
      <c r="I730" s="32"/>
      <c r="J730" s="33"/>
      <c r="K730" s="34"/>
    </row>
    <row r="731" spans="1:11" ht="13.2">
      <c r="A731" s="5"/>
      <c r="B731" s="5"/>
      <c r="C731" s="30"/>
      <c r="D731" s="16"/>
      <c r="E731" s="14"/>
      <c r="F731" s="31"/>
      <c r="G731" s="30"/>
      <c r="H731" s="5"/>
      <c r="I731" s="32"/>
      <c r="J731" s="33"/>
      <c r="K731" s="34"/>
    </row>
    <row r="732" spans="1:11" ht="13.2">
      <c r="A732" s="5"/>
      <c r="B732" s="5"/>
      <c r="C732" s="30"/>
      <c r="D732" s="16"/>
      <c r="E732" s="14"/>
      <c r="F732" s="31"/>
      <c r="G732" s="30"/>
      <c r="H732" s="5"/>
      <c r="I732" s="32"/>
      <c r="J732" s="33"/>
      <c r="K732" s="34"/>
    </row>
    <row r="733" spans="1:11" ht="13.2">
      <c r="A733" s="5"/>
      <c r="B733" s="5"/>
      <c r="C733" s="30"/>
      <c r="D733" s="16"/>
      <c r="E733" s="14"/>
      <c r="F733" s="31"/>
      <c r="G733" s="30"/>
      <c r="H733" s="5"/>
      <c r="I733" s="32"/>
      <c r="J733" s="33"/>
      <c r="K733" s="34"/>
    </row>
    <row r="734" spans="1:11" ht="13.2">
      <c r="A734" s="5"/>
      <c r="B734" s="5"/>
      <c r="C734" s="30"/>
      <c r="D734" s="16"/>
      <c r="E734" s="14"/>
      <c r="F734" s="31"/>
      <c r="G734" s="30"/>
      <c r="H734" s="5"/>
      <c r="I734" s="32"/>
      <c r="J734" s="33"/>
      <c r="K734" s="34"/>
    </row>
    <row r="735" spans="1:11" ht="13.2">
      <c r="A735" s="5"/>
      <c r="B735" s="5"/>
      <c r="C735" s="30"/>
      <c r="D735" s="16"/>
      <c r="E735" s="14"/>
      <c r="F735" s="31"/>
      <c r="G735" s="30"/>
      <c r="H735" s="5"/>
      <c r="I735" s="32"/>
      <c r="J735" s="33"/>
      <c r="K735" s="34"/>
    </row>
    <row r="736" spans="1:11" ht="13.2">
      <c r="A736" s="5"/>
      <c r="B736" s="5"/>
      <c r="C736" s="30"/>
      <c r="D736" s="16"/>
      <c r="E736" s="14"/>
      <c r="F736" s="31"/>
      <c r="G736" s="30"/>
      <c r="H736" s="5"/>
      <c r="I736" s="32"/>
      <c r="J736" s="33"/>
      <c r="K736" s="34"/>
    </row>
    <row r="737" spans="1:11" ht="13.2">
      <c r="A737" s="5"/>
      <c r="B737" s="5"/>
      <c r="C737" s="30"/>
      <c r="D737" s="16"/>
      <c r="E737" s="14"/>
      <c r="F737" s="31"/>
      <c r="G737" s="30"/>
      <c r="H737" s="5"/>
      <c r="I737" s="32"/>
      <c r="J737" s="33"/>
      <c r="K737" s="34"/>
    </row>
    <row r="738" spans="1:11" ht="13.2">
      <c r="A738" s="5"/>
      <c r="B738" s="5"/>
      <c r="C738" s="30"/>
      <c r="D738" s="16"/>
      <c r="E738" s="14"/>
      <c r="F738" s="31"/>
      <c r="G738" s="30"/>
      <c r="H738" s="5"/>
      <c r="I738" s="32"/>
      <c r="J738" s="33"/>
      <c r="K738" s="34"/>
    </row>
    <row r="739" spans="1:11" ht="13.2">
      <c r="A739" s="5"/>
      <c r="B739" s="5"/>
      <c r="C739" s="30"/>
      <c r="D739" s="16"/>
      <c r="E739" s="14"/>
      <c r="F739" s="31"/>
      <c r="G739" s="30"/>
      <c r="H739" s="5"/>
      <c r="I739" s="32"/>
      <c r="J739" s="33"/>
      <c r="K739" s="34"/>
    </row>
    <row r="740" spans="1:11" ht="13.2">
      <c r="A740" s="5"/>
      <c r="B740" s="5"/>
      <c r="C740" s="30"/>
      <c r="D740" s="16"/>
      <c r="E740" s="14"/>
      <c r="F740" s="31"/>
      <c r="G740" s="30"/>
      <c r="H740" s="5"/>
      <c r="I740" s="32"/>
      <c r="J740" s="33"/>
      <c r="K740" s="34"/>
    </row>
    <row r="741" spans="1:11" ht="13.2">
      <c r="A741" s="5"/>
      <c r="B741" s="5"/>
      <c r="C741" s="30"/>
      <c r="D741" s="16"/>
      <c r="E741" s="14"/>
      <c r="F741" s="31"/>
      <c r="G741" s="30"/>
      <c r="H741" s="5"/>
      <c r="I741" s="32"/>
      <c r="J741" s="33"/>
      <c r="K741" s="34"/>
    </row>
    <row r="742" spans="1:11" ht="13.2">
      <c r="A742" s="5"/>
      <c r="B742" s="5"/>
      <c r="C742" s="30"/>
      <c r="D742" s="16"/>
      <c r="E742" s="14"/>
      <c r="F742" s="31"/>
      <c r="G742" s="30"/>
      <c r="H742" s="5"/>
      <c r="I742" s="32"/>
      <c r="J742" s="33"/>
      <c r="K742" s="34"/>
    </row>
    <row r="743" spans="1:11" ht="13.2">
      <c r="A743" s="5"/>
      <c r="B743" s="5"/>
      <c r="C743" s="30"/>
      <c r="D743" s="16"/>
      <c r="E743" s="14"/>
      <c r="F743" s="31"/>
      <c r="G743" s="30"/>
      <c r="H743" s="5"/>
      <c r="I743" s="32"/>
      <c r="J743" s="33"/>
      <c r="K743" s="34"/>
    </row>
    <row r="744" spans="1:11" ht="13.2">
      <c r="A744" s="5"/>
      <c r="B744" s="5"/>
      <c r="C744" s="30"/>
      <c r="D744" s="16"/>
      <c r="E744" s="14"/>
      <c r="F744" s="31"/>
      <c r="G744" s="30"/>
      <c r="H744" s="5"/>
      <c r="I744" s="32"/>
      <c r="J744" s="33"/>
      <c r="K744" s="34"/>
    </row>
    <row r="745" spans="1:11" ht="13.2">
      <c r="A745" s="5"/>
      <c r="B745" s="5"/>
      <c r="C745" s="30"/>
      <c r="D745" s="16"/>
      <c r="E745" s="14"/>
      <c r="F745" s="31"/>
      <c r="G745" s="30"/>
      <c r="H745" s="5"/>
      <c r="I745" s="32"/>
      <c r="J745" s="33"/>
      <c r="K745" s="34"/>
    </row>
    <row r="746" spans="1:11" ht="13.2">
      <c r="A746" s="5"/>
      <c r="B746" s="5"/>
      <c r="C746" s="30"/>
      <c r="D746" s="16"/>
      <c r="E746" s="14"/>
      <c r="F746" s="31"/>
      <c r="G746" s="30"/>
      <c r="H746" s="5"/>
      <c r="I746" s="32"/>
      <c r="J746" s="33"/>
      <c r="K746" s="34"/>
    </row>
    <row r="747" spans="1:11" ht="13.2">
      <c r="A747" s="5"/>
      <c r="B747" s="5"/>
      <c r="C747" s="30"/>
      <c r="D747" s="16"/>
      <c r="E747" s="14"/>
      <c r="F747" s="31"/>
      <c r="G747" s="30"/>
      <c r="H747" s="5"/>
      <c r="I747" s="32"/>
      <c r="J747" s="33"/>
      <c r="K747" s="34"/>
    </row>
    <row r="748" spans="1:11" ht="13.2">
      <c r="A748" s="5"/>
      <c r="B748" s="5"/>
      <c r="C748" s="30"/>
      <c r="D748" s="16"/>
      <c r="E748" s="14"/>
      <c r="F748" s="31"/>
      <c r="G748" s="30"/>
      <c r="H748" s="5"/>
      <c r="I748" s="32"/>
      <c r="J748" s="33"/>
      <c r="K748" s="34"/>
    </row>
    <row r="749" spans="1:11" ht="13.2">
      <c r="A749" s="5"/>
      <c r="B749" s="5"/>
      <c r="C749" s="30"/>
      <c r="D749" s="16"/>
      <c r="E749" s="14"/>
      <c r="F749" s="31"/>
      <c r="G749" s="30"/>
      <c r="H749" s="5"/>
      <c r="I749" s="32"/>
      <c r="J749" s="33"/>
      <c r="K749" s="34"/>
    </row>
    <row r="750" spans="1:11" ht="13.2">
      <c r="A750" s="5"/>
      <c r="B750" s="5"/>
      <c r="C750" s="30"/>
      <c r="D750" s="16"/>
      <c r="E750" s="14"/>
      <c r="F750" s="31"/>
      <c r="G750" s="30"/>
      <c r="H750" s="5"/>
      <c r="I750" s="32"/>
      <c r="J750" s="33"/>
      <c r="K750" s="34"/>
    </row>
    <row r="751" spans="1:11" ht="13.2">
      <c r="A751" s="5"/>
      <c r="B751" s="5"/>
      <c r="C751" s="30"/>
      <c r="D751" s="16"/>
      <c r="E751" s="14"/>
      <c r="F751" s="31"/>
      <c r="G751" s="30"/>
      <c r="H751" s="5"/>
      <c r="I751" s="32"/>
      <c r="J751" s="33"/>
      <c r="K751" s="34"/>
    </row>
    <row r="752" spans="1:11" ht="13.2">
      <c r="A752" s="5"/>
      <c r="B752" s="5"/>
      <c r="C752" s="30"/>
      <c r="D752" s="16"/>
      <c r="E752" s="14"/>
      <c r="F752" s="31"/>
      <c r="G752" s="30"/>
      <c r="H752" s="5"/>
      <c r="I752" s="32"/>
      <c r="J752" s="33"/>
      <c r="K752" s="34"/>
    </row>
    <row r="753" spans="1:11" ht="13.2">
      <c r="A753" s="5"/>
      <c r="B753" s="5"/>
      <c r="C753" s="30"/>
      <c r="D753" s="16"/>
      <c r="E753" s="14"/>
      <c r="F753" s="31"/>
      <c r="G753" s="30"/>
      <c r="H753" s="5"/>
      <c r="I753" s="32"/>
      <c r="J753" s="33"/>
      <c r="K753" s="34"/>
    </row>
    <row r="754" spans="1:11" ht="13.2">
      <c r="A754" s="5"/>
      <c r="B754" s="5"/>
      <c r="C754" s="30"/>
      <c r="D754" s="16"/>
      <c r="E754" s="14"/>
      <c r="F754" s="31"/>
      <c r="G754" s="30"/>
      <c r="H754" s="5"/>
      <c r="I754" s="32"/>
      <c r="J754" s="33"/>
      <c r="K754" s="34"/>
    </row>
    <row r="755" spans="1:11" ht="13.2">
      <c r="A755" s="5"/>
      <c r="B755" s="5"/>
      <c r="C755" s="30"/>
      <c r="D755" s="16"/>
      <c r="E755" s="14"/>
      <c r="F755" s="31"/>
      <c r="G755" s="30"/>
      <c r="H755" s="5"/>
      <c r="I755" s="32"/>
      <c r="J755" s="33"/>
      <c r="K755" s="34"/>
    </row>
    <row r="756" spans="1:11" ht="13.2">
      <c r="A756" s="5"/>
      <c r="B756" s="5"/>
      <c r="C756" s="30"/>
      <c r="D756" s="16"/>
      <c r="E756" s="14"/>
      <c r="F756" s="31"/>
      <c r="G756" s="30"/>
      <c r="H756" s="5"/>
      <c r="I756" s="32"/>
      <c r="J756" s="33"/>
      <c r="K756" s="34"/>
    </row>
    <row r="757" spans="1:11" ht="13.2">
      <c r="A757" s="5"/>
      <c r="B757" s="5"/>
      <c r="C757" s="30"/>
      <c r="D757" s="16"/>
      <c r="E757" s="14"/>
      <c r="F757" s="31"/>
      <c r="G757" s="30"/>
      <c r="H757" s="5"/>
      <c r="I757" s="32"/>
      <c r="J757" s="33"/>
      <c r="K757" s="34"/>
    </row>
    <row r="758" spans="1:11" ht="13.2">
      <c r="A758" s="5"/>
      <c r="B758" s="5"/>
      <c r="C758" s="30"/>
      <c r="D758" s="16"/>
      <c r="E758" s="14"/>
      <c r="F758" s="31"/>
      <c r="G758" s="30"/>
      <c r="H758" s="5"/>
      <c r="I758" s="32"/>
      <c r="J758" s="33"/>
      <c r="K758" s="34"/>
    </row>
    <row r="759" spans="1:11" ht="13.2">
      <c r="A759" s="5"/>
      <c r="B759" s="5"/>
      <c r="C759" s="30"/>
      <c r="D759" s="16"/>
      <c r="E759" s="14"/>
      <c r="F759" s="31"/>
      <c r="G759" s="30"/>
      <c r="H759" s="5"/>
      <c r="I759" s="32"/>
      <c r="J759" s="33"/>
      <c r="K759" s="34"/>
    </row>
    <row r="760" spans="1:11" ht="13.2">
      <c r="A760" s="5"/>
      <c r="B760" s="5"/>
      <c r="C760" s="30"/>
      <c r="D760" s="16"/>
      <c r="E760" s="14"/>
      <c r="F760" s="31"/>
      <c r="G760" s="30"/>
      <c r="H760" s="5"/>
      <c r="I760" s="32"/>
      <c r="J760" s="33"/>
      <c r="K760" s="34"/>
    </row>
    <row r="761" spans="1:11" ht="13.2">
      <c r="A761" s="5"/>
      <c r="B761" s="5"/>
      <c r="C761" s="30"/>
      <c r="D761" s="16"/>
      <c r="E761" s="14"/>
      <c r="F761" s="31"/>
      <c r="G761" s="30"/>
      <c r="H761" s="5"/>
      <c r="I761" s="32"/>
      <c r="J761" s="33"/>
      <c r="K761" s="34"/>
    </row>
    <row r="762" spans="1:11" ht="13.2">
      <c r="A762" s="5"/>
      <c r="B762" s="5"/>
      <c r="C762" s="30"/>
      <c r="D762" s="16"/>
      <c r="E762" s="14"/>
      <c r="F762" s="31"/>
      <c r="G762" s="30"/>
      <c r="H762" s="5"/>
      <c r="I762" s="32"/>
      <c r="J762" s="33"/>
      <c r="K762" s="34"/>
    </row>
    <row r="763" spans="1:11" ht="13.2">
      <c r="A763" s="5"/>
      <c r="B763" s="5"/>
      <c r="C763" s="30"/>
      <c r="D763" s="16"/>
      <c r="E763" s="14"/>
      <c r="F763" s="31"/>
      <c r="G763" s="30"/>
      <c r="H763" s="5"/>
      <c r="I763" s="32"/>
      <c r="J763" s="33"/>
      <c r="K763" s="34"/>
    </row>
    <row r="764" spans="1:11" ht="13.2">
      <c r="A764" s="5"/>
      <c r="B764" s="5"/>
      <c r="C764" s="30"/>
      <c r="D764" s="16"/>
      <c r="E764" s="14"/>
      <c r="F764" s="31"/>
      <c r="G764" s="30"/>
      <c r="H764" s="5"/>
      <c r="I764" s="32"/>
      <c r="J764" s="33"/>
      <c r="K764" s="34"/>
    </row>
    <row r="765" spans="1:11" ht="13.2">
      <c r="A765" s="5"/>
      <c r="B765" s="5"/>
      <c r="C765" s="30"/>
      <c r="D765" s="16"/>
      <c r="E765" s="14"/>
      <c r="F765" s="31"/>
      <c r="G765" s="30"/>
      <c r="H765" s="5"/>
      <c r="I765" s="32"/>
      <c r="J765" s="33"/>
      <c r="K765" s="34"/>
    </row>
    <row r="766" spans="1:11" ht="13.2">
      <c r="A766" s="5"/>
      <c r="B766" s="5"/>
      <c r="C766" s="30"/>
      <c r="D766" s="16"/>
      <c r="E766" s="14"/>
      <c r="F766" s="31"/>
      <c r="G766" s="30"/>
      <c r="H766" s="5"/>
      <c r="I766" s="32"/>
      <c r="J766" s="33"/>
      <c r="K766" s="34"/>
    </row>
    <row r="767" spans="1:11" ht="13.2">
      <c r="A767" s="5"/>
      <c r="B767" s="5"/>
      <c r="C767" s="30"/>
      <c r="D767" s="16"/>
      <c r="E767" s="14"/>
      <c r="F767" s="31"/>
      <c r="G767" s="30"/>
      <c r="H767" s="5"/>
      <c r="I767" s="32"/>
      <c r="J767" s="33"/>
      <c r="K767" s="34"/>
    </row>
    <row r="768" spans="1:11" ht="13.2">
      <c r="A768" s="5"/>
      <c r="B768" s="5"/>
      <c r="C768" s="30"/>
      <c r="D768" s="16"/>
      <c r="E768" s="14"/>
      <c r="F768" s="31"/>
      <c r="G768" s="30"/>
      <c r="H768" s="5"/>
      <c r="I768" s="32"/>
      <c r="J768" s="33"/>
      <c r="K768" s="34"/>
    </row>
    <row r="769" spans="1:11" ht="13.2">
      <c r="A769" s="5"/>
      <c r="B769" s="5"/>
      <c r="C769" s="30"/>
      <c r="D769" s="16"/>
      <c r="E769" s="14"/>
      <c r="F769" s="31"/>
      <c r="G769" s="30"/>
      <c r="H769" s="5"/>
      <c r="I769" s="32"/>
      <c r="J769" s="33"/>
      <c r="K769" s="34"/>
    </row>
    <row r="770" spans="1:11" ht="13.2">
      <c r="A770" s="5"/>
      <c r="B770" s="5"/>
      <c r="C770" s="30"/>
      <c r="D770" s="16"/>
      <c r="E770" s="14"/>
      <c r="F770" s="31"/>
      <c r="G770" s="30"/>
      <c r="H770" s="5"/>
      <c r="I770" s="32"/>
      <c r="J770" s="33"/>
      <c r="K770" s="34"/>
    </row>
    <row r="771" spans="1:11" ht="13.2">
      <c r="A771" s="5"/>
      <c r="B771" s="5"/>
      <c r="C771" s="30"/>
      <c r="D771" s="16"/>
      <c r="E771" s="14"/>
      <c r="F771" s="31"/>
      <c r="G771" s="30"/>
      <c r="H771" s="5"/>
      <c r="I771" s="32"/>
      <c r="J771" s="33"/>
      <c r="K771" s="34"/>
    </row>
    <row r="772" spans="1:11" ht="13.2">
      <c r="A772" s="5"/>
      <c r="B772" s="5"/>
      <c r="C772" s="30"/>
      <c r="D772" s="16"/>
      <c r="E772" s="14"/>
      <c r="F772" s="31"/>
      <c r="G772" s="30"/>
      <c r="H772" s="5"/>
      <c r="I772" s="32"/>
      <c r="J772" s="33"/>
      <c r="K772" s="34"/>
    </row>
    <row r="773" spans="1:11" ht="13.2">
      <c r="A773" s="5"/>
      <c r="B773" s="5"/>
      <c r="C773" s="30"/>
      <c r="D773" s="16"/>
      <c r="E773" s="14"/>
      <c r="F773" s="31"/>
      <c r="G773" s="30"/>
      <c r="H773" s="5"/>
      <c r="I773" s="32"/>
      <c r="J773" s="33"/>
      <c r="K773" s="34"/>
    </row>
    <row r="774" spans="1:11" ht="13.2">
      <c r="A774" s="5"/>
      <c r="B774" s="5"/>
      <c r="C774" s="30"/>
      <c r="D774" s="16"/>
      <c r="E774" s="14"/>
      <c r="F774" s="31"/>
      <c r="G774" s="30"/>
      <c r="H774" s="5"/>
      <c r="I774" s="32"/>
      <c r="J774" s="33"/>
      <c r="K774" s="34"/>
    </row>
    <row r="775" spans="1:11" ht="13.2">
      <c r="A775" s="5"/>
      <c r="B775" s="5"/>
      <c r="C775" s="30"/>
      <c r="D775" s="16"/>
      <c r="E775" s="14"/>
      <c r="F775" s="31"/>
      <c r="G775" s="30"/>
      <c r="H775" s="5"/>
      <c r="I775" s="32"/>
      <c r="J775" s="33"/>
      <c r="K775" s="34"/>
    </row>
    <row r="776" spans="1:11" ht="13.2">
      <c r="A776" s="5"/>
      <c r="B776" s="5"/>
      <c r="C776" s="30"/>
      <c r="D776" s="16"/>
      <c r="E776" s="14"/>
      <c r="F776" s="31"/>
      <c r="G776" s="30"/>
      <c r="H776" s="5"/>
      <c r="I776" s="32"/>
      <c r="J776" s="33"/>
      <c r="K776" s="34"/>
    </row>
    <row r="777" spans="1:11" ht="13.2">
      <c r="A777" s="5"/>
      <c r="B777" s="5"/>
      <c r="C777" s="30"/>
      <c r="D777" s="16"/>
      <c r="E777" s="14"/>
      <c r="F777" s="31"/>
      <c r="G777" s="30"/>
      <c r="H777" s="5"/>
      <c r="I777" s="32"/>
      <c r="J777" s="33"/>
      <c r="K777" s="34"/>
    </row>
    <row r="778" spans="1:11" ht="13.2">
      <c r="A778" s="5"/>
      <c r="B778" s="5"/>
      <c r="C778" s="30"/>
      <c r="D778" s="16"/>
      <c r="E778" s="14"/>
      <c r="F778" s="31"/>
      <c r="G778" s="30"/>
      <c r="H778" s="5"/>
      <c r="I778" s="32"/>
      <c r="J778" s="33"/>
      <c r="K778" s="34"/>
    </row>
    <row r="779" spans="1:11" ht="13.2">
      <c r="A779" s="5"/>
      <c r="B779" s="5"/>
      <c r="C779" s="30"/>
      <c r="D779" s="16"/>
      <c r="E779" s="14"/>
      <c r="F779" s="31"/>
      <c r="G779" s="30"/>
      <c r="H779" s="5"/>
      <c r="I779" s="32"/>
      <c r="J779" s="33"/>
      <c r="K779" s="34"/>
    </row>
    <row r="780" spans="1:11" ht="13.2">
      <c r="A780" s="5"/>
      <c r="B780" s="5"/>
      <c r="C780" s="30"/>
      <c r="D780" s="16"/>
      <c r="E780" s="14"/>
      <c r="F780" s="31"/>
      <c r="G780" s="30"/>
      <c r="H780" s="5"/>
      <c r="I780" s="32"/>
      <c r="J780" s="33"/>
      <c r="K780" s="34"/>
    </row>
    <row r="781" spans="1:11" ht="13.2">
      <c r="A781" s="5"/>
      <c r="B781" s="5"/>
      <c r="C781" s="30"/>
      <c r="D781" s="16"/>
      <c r="E781" s="14"/>
      <c r="F781" s="31"/>
      <c r="G781" s="30"/>
      <c r="H781" s="5"/>
      <c r="I781" s="32"/>
      <c r="J781" s="33"/>
      <c r="K781" s="34"/>
    </row>
    <row r="782" spans="1:11" ht="13.2">
      <c r="A782" s="5"/>
      <c r="B782" s="5"/>
      <c r="C782" s="30"/>
      <c r="D782" s="16"/>
      <c r="E782" s="14"/>
      <c r="F782" s="31"/>
      <c r="G782" s="30"/>
      <c r="H782" s="5"/>
      <c r="I782" s="32"/>
      <c r="J782" s="33"/>
      <c r="K782" s="34"/>
    </row>
    <row r="783" spans="1:11" ht="13.2">
      <c r="A783" s="5"/>
      <c r="B783" s="5"/>
      <c r="C783" s="30"/>
      <c r="D783" s="16"/>
      <c r="E783" s="14"/>
      <c r="F783" s="31"/>
      <c r="G783" s="30"/>
      <c r="H783" s="5"/>
      <c r="I783" s="32"/>
      <c r="J783" s="33"/>
      <c r="K783" s="34"/>
    </row>
    <row r="784" spans="1:11" ht="13.2">
      <c r="A784" s="5"/>
      <c r="B784" s="5"/>
      <c r="C784" s="30"/>
      <c r="D784" s="16"/>
      <c r="E784" s="14"/>
      <c r="F784" s="31"/>
      <c r="G784" s="30"/>
      <c r="H784" s="5"/>
      <c r="I784" s="32"/>
      <c r="J784" s="33"/>
      <c r="K784" s="34"/>
    </row>
    <row r="785" spans="1:11" ht="13.2">
      <c r="A785" s="5"/>
      <c r="B785" s="5"/>
      <c r="C785" s="30"/>
      <c r="D785" s="16"/>
      <c r="E785" s="14"/>
      <c r="F785" s="31"/>
      <c r="G785" s="30"/>
      <c r="H785" s="5"/>
      <c r="I785" s="32"/>
      <c r="J785" s="33"/>
      <c r="K785" s="34"/>
    </row>
    <row r="786" spans="1:11" ht="13.2">
      <c r="A786" s="5"/>
      <c r="B786" s="5"/>
      <c r="C786" s="30"/>
      <c r="D786" s="16"/>
      <c r="E786" s="14"/>
      <c r="F786" s="31"/>
      <c r="G786" s="30"/>
      <c r="H786" s="5"/>
      <c r="I786" s="32"/>
      <c r="J786" s="33"/>
      <c r="K786" s="34"/>
    </row>
    <row r="787" spans="1:11" ht="13.2">
      <c r="A787" s="5"/>
      <c r="B787" s="5"/>
      <c r="C787" s="30"/>
      <c r="D787" s="16"/>
      <c r="E787" s="14"/>
      <c r="F787" s="31"/>
      <c r="G787" s="30"/>
      <c r="H787" s="5"/>
      <c r="I787" s="32"/>
      <c r="J787" s="33"/>
      <c r="K787" s="34"/>
    </row>
    <row r="788" spans="1:11" ht="13.2">
      <c r="A788" s="5"/>
      <c r="B788" s="5"/>
      <c r="C788" s="30"/>
      <c r="D788" s="16"/>
      <c r="E788" s="14"/>
      <c r="F788" s="31"/>
      <c r="G788" s="30"/>
      <c r="H788" s="5"/>
      <c r="I788" s="32"/>
      <c r="J788" s="33"/>
      <c r="K788" s="34"/>
    </row>
    <row r="789" spans="1:11" ht="13.2">
      <c r="A789" s="5"/>
      <c r="B789" s="5"/>
      <c r="C789" s="30"/>
      <c r="D789" s="16"/>
      <c r="E789" s="14"/>
      <c r="F789" s="31"/>
      <c r="G789" s="30"/>
      <c r="H789" s="5"/>
      <c r="I789" s="32"/>
      <c r="J789" s="33"/>
      <c r="K789" s="34"/>
    </row>
    <row r="790" spans="1:11" ht="13.2">
      <c r="A790" s="5"/>
      <c r="B790" s="5"/>
      <c r="C790" s="30"/>
      <c r="D790" s="16"/>
      <c r="E790" s="14"/>
      <c r="F790" s="31"/>
      <c r="G790" s="30"/>
      <c r="H790" s="5"/>
      <c r="I790" s="32"/>
      <c r="J790" s="33"/>
      <c r="K790" s="34"/>
    </row>
    <row r="791" spans="1:11" ht="13.2">
      <c r="A791" s="5"/>
      <c r="B791" s="5"/>
      <c r="C791" s="30"/>
      <c r="D791" s="16"/>
      <c r="E791" s="14"/>
      <c r="F791" s="31"/>
      <c r="G791" s="30"/>
      <c r="H791" s="5"/>
      <c r="I791" s="32"/>
      <c r="J791" s="33"/>
      <c r="K791" s="34"/>
    </row>
    <row r="792" spans="1:11" ht="13.2">
      <c r="A792" s="5"/>
      <c r="B792" s="5"/>
      <c r="C792" s="30"/>
      <c r="D792" s="16"/>
      <c r="E792" s="14"/>
      <c r="F792" s="31"/>
      <c r="G792" s="30"/>
      <c r="H792" s="5"/>
      <c r="I792" s="32"/>
      <c r="J792" s="33"/>
      <c r="K792" s="34"/>
    </row>
    <row r="793" spans="1:11" ht="13.2">
      <c r="A793" s="5"/>
      <c r="B793" s="5"/>
      <c r="C793" s="30"/>
      <c r="D793" s="16"/>
      <c r="E793" s="14"/>
      <c r="F793" s="31"/>
      <c r="G793" s="30"/>
      <c r="H793" s="5"/>
      <c r="I793" s="32"/>
      <c r="J793" s="33"/>
      <c r="K793" s="34"/>
    </row>
    <row r="794" spans="1:11" ht="13.2">
      <c r="A794" s="5"/>
      <c r="B794" s="5"/>
      <c r="C794" s="30"/>
      <c r="D794" s="16"/>
      <c r="E794" s="14"/>
      <c r="F794" s="31"/>
      <c r="G794" s="30"/>
      <c r="H794" s="5"/>
      <c r="I794" s="32"/>
      <c r="J794" s="33"/>
      <c r="K794" s="34"/>
    </row>
    <row r="795" spans="1:11" ht="13.2">
      <c r="A795" s="5"/>
      <c r="B795" s="5"/>
      <c r="C795" s="30"/>
      <c r="D795" s="16"/>
      <c r="E795" s="14"/>
      <c r="F795" s="31"/>
      <c r="G795" s="30"/>
      <c r="H795" s="5"/>
      <c r="I795" s="32"/>
      <c r="J795" s="33"/>
      <c r="K795" s="34"/>
    </row>
    <row r="796" spans="1:11" ht="13.2">
      <c r="A796" s="5"/>
      <c r="B796" s="5"/>
      <c r="C796" s="30"/>
      <c r="D796" s="16"/>
      <c r="E796" s="14"/>
      <c r="F796" s="31"/>
      <c r="G796" s="30"/>
      <c r="H796" s="5"/>
      <c r="I796" s="32"/>
      <c r="J796" s="33"/>
      <c r="K796" s="34"/>
    </row>
    <row r="797" spans="1:11" ht="13.2">
      <c r="A797" s="5"/>
      <c r="B797" s="5"/>
      <c r="C797" s="30"/>
      <c r="D797" s="16"/>
      <c r="E797" s="14"/>
      <c r="F797" s="31"/>
      <c r="G797" s="30"/>
      <c r="H797" s="5"/>
      <c r="I797" s="32"/>
      <c r="J797" s="33"/>
      <c r="K797" s="34"/>
    </row>
    <row r="798" spans="1:11" ht="13.2">
      <c r="A798" s="5"/>
      <c r="B798" s="5"/>
      <c r="C798" s="30"/>
      <c r="D798" s="16"/>
      <c r="E798" s="14"/>
      <c r="F798" s="31"/>
      <c r="G798" s="30"/>
      <c r="H798" s="5"/>
      <c r="I798" s="32"/>
      <c r="J798" s="33"/>
      <c r="K798" s="34"/>
    </row>
    <row r="799" spans="1:11" ht="13.2">
      <c r="A799" s="5"/>
      <c r="B799" s="5"/>
      <c r="C799" s="30"/>
      <c r="D799" s="16"/>
      <c r="E799" s="14"/>
      <c r="F799" s="31"/>
      <c r="G799" s="30"/>
      <c r="H799" s="5"/>
      <c r="I799" s="32"/>
      <c r="J799" s="33"/>
      <c r="K799" s="34"/>
    </row>
    <row r="800" spans="1:11" ht="13.2">
      <c r="A800" s="5"/>
      <c r="B800" s="5"/>
      <c r="C800" s="30"/>
      <c r="D800" s="16"/>
      <c r="E800" s="14"/>
      <c r="F800" s="31"/>
      <c r="G800" s="30"/>
      <c r="H800" s="5"/>
      <c r="I800" s="32"/>
      <c r="J800" s="33"/>
      <c r="K800" s="34"/>
    </row>
    <row r="801" spans="1:11" ht="13.2">
      <c r="A801" s="5"/>
      <c r="B801" s="5"/>
      <c r="C801" s="30"/>
      <c r="D801" s="16"/>
      <c r="E801" s="14"/>
      <c r="F801" s="31"/>
      <c r="G801" s="30"/>
      <c r="H801" s="5"/>
      <c r="I801" s="32"/>
      <c r="J801" s="33"/>
      <c r="K801" s="34"/>
    </row>
    <row r="802" spans="1:11" ht="13.2">
      <c r="A802" s="5"/>
      <c r="B802" s="5"/>
      <c r="C802" s="30"/>
      <c r="D802" s="16"/>
      <c r="E802" s="14"/>
      <c r="F802" s="31"/>
      <c r="G802" s="30"/>
      <c r="H802" s="5"/>
      <c r="I802" s="32"/>
      <c r="J802" s="33"/>
      <c r="K802" s="34"/>
    </row>
    <row r="803" spans="1:11" ht="13.2">
      <c r="A803" s="5"/>
      <c r="B803" s="5"/>
      <c r="C803" s="30"/>
      <c r="D803" s="16"/>
      <c r="E803" s="14"/>
      <c r="F803" s="31"/>
      <c r="G803" s="30"/>
      <c r="H803" s="5"/>
      <c r="I803" s="32"/>
      <c r="J803" s="33"/>
      <c r="K803" s="34"/>
    </row>
    <row r="804" spans="1:11" ht="13.2">
      <c r="A804" s="5"/>
      <c r="B804" s="5"/>
      <c r="C804" s="30"/>
      <c r="D804" s="16"/>
      <c r="E804" s="14"/>
      <c r="F804" s="31"/>
      <c r="G804" s="30"/>
      <c r="H804" s="5"/>
      <c r="I804" s="32"/>
      <c r="J804" s="33"/>
      <c r="K804" s="34"/>
    </row>
    <row r="805" spans="1:11" ht="13.2">
      <c r="A805" s="5"/>
      <c r="B805" s="5"/>
      <c r="C805" s="30"/>
      <c r="D805" s="16"/>
      <c r="E805" s="14"/>
      <c r="F805" s="31"/>
      <c r="G805" s="30"/>
      <c r="H805" s="5"/>
      <c r="I805" s="32"/>
      <c r="J805" s="33"/>
      <c r="K805" s="34"/>
    </row>
    <row r="806" spans="1:11" ht="13.2">
      <c r="A806" s="5"/>
      <c r="B806" s="5"/>
      <c r="C806" s="30"/>
      <c r="D806" s="16"/>
      <c r="E806" s="14"/>
      <c r="F806" s="31"/>
      <c r="G806" s="30"/>
      <c r="H806" s="5"/>
      <c r="I806" s="32"/>
      <c r="J806" s="33"/>
      <c r="K806" s="34"/>
    </row>
    <row r="807" spans="1:11" ht="13.2">
      <c r="A807" s="5"/>
      <c r="B807" s="5"/>
      <c r="C807" s="30"/>
      <c r="D807" s="16"/>
      <c r="E807" s="14"/>
      <c r="F807" s="31"/>
      <c r="G807" s="30"/>
      <c r="H807" s="5"/>
      <c r="I807" s="32"/>
      <c r="J807" s="33"/>
      <c r="K807" s="34"/>
    </row>
    <row r="808" spans="1:11" ht="13.2">
      <c r="A808" s="5"/>
      <c r="B808" s="5"/>
      <c r="C808" s="30"/>
      <c r="D808" s="16"/>
      <c r="E808" s="14"/>
      <c r="F808" s="31"/>
      <c r="G808" s="30"/>
      <c r="H808" s="5"/>
      <c r="I808" s="32"/>
      <c r="J808" s="33"/>
      <c r="K808" s="34"/>
    </row>
    <row r="809" spans="1:11" ht="13.2">
      <c r="A809" s="5"/>
      <c r="B809" s="5"/>
      <c r="C809" s="30"/>
      <c r="D809" s="16"/>
      <c r="E809" s="14"/>
      <c r="F809" s="31"/>
      <c r="G809" s="30"/>
      <c r="H809" s="5"/>
      <c r="I809" s="32"/>
      <c r="J809" s="33"/>
      <c r="K809" s="34"/>
    </row>
    <row r="810" spans="1:11" ht="13.2">
      <c r="A810" s="5"/>
      <c r="B810" s="5"/>
      <c r="C810" s="30"/>
      <c r="D810" s="16"/>
      <c r="E810" s="14"/>
      <c r="F810" s="31"/>
      <c r="G810" s="30"/>
      <c r="H810" s="5"/>
      <c r="I810" s="32"/>
      <c r="J810" s="33"/>
      <c r="K810" s="34"/>
    </row>
    <row r="811" spans="1:11" ht="13.2">
      <c r="A811" s="5"/>
      <c r="B811" s="5"/>
      <c r="C811" s="30"/>
      <c r="D811" s="16"/>
      <c r="E811" s="14"/>
      <c r="F811" s="31"/>
      <c r="G811" s="30"/>
      <c r="H811" s="5"/>
      <c r="I811" s="32"/>
      <c r="J811" s="33"/>
      <c r="K811" s="34"/>
    </row>
    <row r="812" spans="1:11" ht="13.2">
      <c r="A812" s="5"/>
      <c r="B812" s="5"/>
      <c r="C812" s="30"/>
      <c r="D812" s="16"/>
      <c r="E812" s="14"/>
      <c r="F812" s="31"/>
      <c r="G812" s="30"/>
      <c r="H812" s="5"/>
      <c r="I812" s="32"/>
      <c r="J812" s="33"/>
      <c r="K812" s="34"/>
    </row>
    <row r="813" spans="1:11" ht="13.2">
      <c r="A813" s="5"/>
      <c r="B813" s="5"/>
      <c r="C813" s="30"/>
      <c r="D813" s="16"/>
      <c r="E813" s="14"/>
      <c r="F813" s="31"/>
      <c r="G813" s="30"/>
      <c r="H813" s="5"/>
      <c r="I813" s="32"/>
      <c r="J813" s="33"/>
      <c r="K813" s="34"/>
    </row>
    <row r="814" spans="1:11" ht="13.2">
      <c r="A814" s="5"/>
      <c r="B814" s="5"/>
      <c r="C814" s="30"/>
      <c r="D814" s="16"/>
      <c r="E814" s="14"/>
      <c r="F814" s="31"/>
      <c r="G814" s="30"/>
      <c r="H814" s="5"/>
      <c r="I814" s="32"/>
      <c r="J814" s="33"/>
      <c r="K814" s="34"/>
    </row>
    <row r="815" spans="1:11" ht="13.2">
      <c r="A815" s="5"/>
      <c r="B815" s="5"/>
      <c r="C815" s="30"/>
      <c r="D815" s="16"/>
      <c r="E815" s="14"/>
      <c r="F815" s="31"/>
      <c r="G815" s="30"/>
      <c r="H815" s="5"/>
      <c r="I815" s="32"/>
      <c r="J815" s="33"/>
      <c r="K815" s="34"/>
    </row>
    <row r="816" spans="1:11" ht="13.2">
      <c r="A816" s="5"/>
      <c r="B816" s="5"/>
      <c r="C816" s="30"/>
      <c r="D816" s="16"/>
      <c r="E816" s="14"/>
      <c r="F816" s="31"/>
      <c r="G816" s="30"/>
      <c r="H816" s="5"/>
      <c r="I816" s="32"/>
      <c r="J816" s="33"/>
      <c r="K816" s="34"/>
    </row>
    <row r="817" spans="1:11" ht="13.2">
      <c r="A817" s="5"/>
      <c r="B817" s="5"/>
      <c r="C817" s="30"/>
      <c r="D817" s="16"/>
      <c r="E817" s="14"/>
      <c r="F817" s="31"/>
      <c r="G817" s="30"/>
      <c r="H817" s="5"/>
      <c r="I817" s="32"/>
      <c r="J817" s="33"/>
      <c r="K817" s="34"/>
    </row>
    <row r="818" spans="1:11" ht="13.2">
      <c r="A818" s="5"/>
      <c r="B818" s="5"/>
      <c r="C818" s="30"/>
      <c r="D818" s="16"/>
      <c r="E818" s="14"/>
      <c r="F818" s="31"/>
      <c r="G818" s="30"/>
      <c r="H818" s="5"/>
      <c r="I818" s="32"/>
      <c r="J818" s="33"/>
      <c r="K818" s="34"/>
    </row>
    <row r="819" spans="1:11" ht="13.2">
      <c r="A819" s="5"/>
      <c r="B819" s="5"/>
      <c r="C819" s="30"/>
      <c r="D819" s="16"/>
      <c r="E819" s="14"/>
      <c r="F819" s="31"/>
      <c r="G819" s="30"/>
      <c r="H819" s="5"/>
      <c r="I819" s="32"/>
      <c r="J819" s="33"/>
      <c r="K819" s="34"/>
    </row>
    <row r="820" spans="1:11" ht="13.2">
      <c r="A820" s="5"/>
      <c r="B820" s="5"/>
      <c r="C820" s="30"/>
      <c r="D820" s="16"/>
      <c r="E820" s="14"/>
      <c r="F820" s="31"/>
      <c r="G820" s="30"/>
      <c r="H820" s="5"/>
      <c r="I820" s="32"/>
      <c r="J820" s="33"/>
      <c r="K820" s="34"/>
    </row>
    <row r="821" spans="1:11" ht="13.2">
      <c r="A821" s="5"/>
      <c r="B821" s="5"/>
      <c r="C821" s="30"/>
      <c r="D821" s="16"/>
      <c r="E821" s="14"/>
      <c r="F821" s="31"/>
      <c r="G821" s="30"/>
      <c r="H821" s="5"/>
      <c r="I821" s="32"/>
      <c r="J821" s="33"/>
      <c r="K821" s="34"/>
    </row>
    <row r="822" spans="1:11" ht="13.2">
      <c r="A822" s="5"/>
      <c r="B822" s="5"/>
      <c r="C822" s="30"/>
      <c r="D822" s="16"/>
      <c r="E822" s="14"/>
      <c r="F822" s="31"/>
      <c r="G822" s="30"/>
      <c r="H822" s="5"/>
      <c r="I822" s="32"/>
      <c r="J822" s="33"/>
      <c r="K822" s="34"/>
    </row>
    <row r="823" spans="1:11" ht="13.2">
      <c r="A823" s="5"/>
      <c r="B823" s="5"/>
      <c r="C823" s="30"/>
      <c r="D823" s="16"/>
      <c r="E823" s="14"/>
      <c r="F823" s="31"/>
      <c r="G823" s="30"/>
      <c r="H823" s="5"/>
      <c r="I823" s="32"/>
      <c r="J823" s="33"/>
      <c r="K823" s="34"/>
    </row>
    <row r="824" spans="1:11" ht="13.2">
      <c r="A824" s="5"/>
      <c r="B824" s="5"/>
      <c r="C824" s="30"/>
      <c r="D824" s="16"/>
      <c r="E824" s="14"/>
      <c r="F824" s="31"/>
      <c r="G824" s="30"/>
      <c r="H824" s="5"/>
      <c r="I824" s="32"/>
      <c r="J824" s="33"/>
      <c r="K824" s="34"/>
    </row>
    <row r="825" spans="1:11" ht="13.2">
      <c r="A825" s="5"/>
      <c r="B825" s="5"/>
      <c r="C825" s="30"/>
      <c r="D825" s="16"/>
      <c r="E825" s="14"/>
      <c r="F825" s="31"/>
      <c r="G825" s="30"/>
      <c r="H825" s="5"/>
      <c r="I825" s="32"/>
      <c r="J825" s="33"/>
      <c r="K825" s="34"/>
    </row>
    <row r="826" spans="1:11" ht="13.2">
      <c r="A826" s="5"/>
      <c r="B826" s="5"/>
      <c r="C826" s="30"/>
      <c r="D826" s="16"/>
      <c r="E826" s="14"/>
      <c r="F826" s="31"/>
      <c r="G826" s="30"/>
      <c r="H826" s="5"/>
      <c r="I826" s="32"/>
      <c r="J826" s="33"/>
      <c r="K826" s="34"/>
    </row>
    <row r="827" spans="1:11" ht="13.2">
      <c r="A827" s="5"/>
      <c r="B827" s="5"/>
      <c r="C827" s="30"/>
      <c r="D827" s="16"/>
      <c r="E827" s="14"/>
      <c r="F827" s="31"/>
      <c r="G827" s="30"/>
      <c r="H827" s="5"/>
      <c r="I827" s="32"/>
      <c r="J827" s="33"/>
      <c r="K827" s="34"/>
    </row>
    <row r="828" spans="1:11" ht="13.2">
      <c r="A828" s="5"/>
      <c r="B828" s="5"/>
      <c r="C828" s="30"/>
      <c r="D828" s="16"/>
      <c r="E828" s="14"/>
      <c r="F828" s="31"/>
      <c r="G828" s="30"/>
      <c r="H828" s="5"/>
      <c r="I828" s="32"/>
      <c r="J828" s="33"/>
      <c r="K828" s="34"/>
    </row>
    <row r="829" spans="1:11" ht="13.2">
      <c r="A829" s="5"/>
      <c r="B829" s="5"/>
      <c r="C829" s="30"/>
      <c r="D829" s="16"/>
      <c r="E829" s="14"/>
      <c r="F829" s="31"/>
      <c r="G829" s="30"/>
      <c r="H829" s="5"/>
      <c r="I829" s="32"/>
      <c r="J829" s="33"/>
      <c r="K829" s="34"/>
    </row>
    <row r="830" spans="1:11" ht="13.2">
      <c r="A830" s="5"/>
      <c r="B830" s="5"/>
      <c r="C830" s="30"/>
      <c r="D830" s="16"/>
      <c r="E830" s="14"/>
      <c r="F830" s="31"/>
      <c r="G830" s="30"/>
      <c r="H830" s="5"/>
      <c r="I830" s="32"/>
      <c r="J830" s="33"/>
      <c r="K830" s="34"/>
    </row>
    <row r="831" spans="1:11" ht="13.2">
      <c r="A831" s="5"/>
      <c r="B831" s="5"/>
      <c r="C831" s="30"/>
      <c r="D831" s="16"/>
      <c r="E831" s="14"/>
      <c r="F831" s="31"/>
      <c r="G831" s="30"/>
      <c r="H831" s="5"/>
      <c r="I831" s="32"/>
      <c r="J831" s="33"/>
      <c r="K831" s="34"/>
    </row>
    <row r="832" spans="1:11" ht="13.2">
      <c r="A832" s="5"/>
      <c r="B832" s="5"/>
      <c r="C832" s="30"/>
      <c r="D832" s="16"/>
      <c r="E832" s="14"/>
      <c r="F832" s="31"/>
      <c r="G832" s="30"/>
      <c r="H832" s="5"/>
      <c r="I832" s="32"/>
      <c r="J832" s="33"/>
      <c r="K832" s="34"/>
    </row>
    <row r="833" spans="1:11" ht="13.2">
      <c r="A833" s="5"/>
      <c r="B833" s="5"/>
      <c r="C833" s="30"/>
      <c r="D833" s="16"/>
      <c r="E833" s="14"/>
      <c r="F833" s="31"/>
      <c r="G833" s="30"/>
      <c r="H833" s="5"/>
      <c r="I833" s="32"/>
      <c r="J833" s="33"/>
      <c r="K833" s="34"/>
    </row>
    <row r="834" spans="1:11" ht="13.2">
      <c r="A834" s="5"/>
      <c r="B834" s="5"/>
      <c r="C834" s="30"/>
      <c r="D834" s="16"/>
      <c r="E834" s="14"/>
      <c r="F834" s="31"/>
      <c r="G834" s="30"/>
      <c r="H834" s="5"/>
      <c r="I834" s="32"/>
      <c r="J834" s="33"/>
      <c r="K834" s="34"/>
    </row>
    <row r="835" spans="1:11" ht="13.2">
      <c r="A835" s="5"/>
      <c r="B835" s="5"/>
      <c r="C835" s="30"/>
      <c r="D835" s="16"/>
      <c r="E835" s="14"/>
      <c r="F835" s="31"/>
      <c r="G835" s="30"/>
      <c r="H835" s="5"/>
      <c r="I835" s="32"/>
      <c r="J835" s="33"/>
      <c r="K835" s="34"/>
    </row>
    <row r="836" spans="1:11" ht="13.2">
      <c r="A836" s="5"/>
      <c r="B836" s="5"/>
      <c r="C836" s="30"/>
      <c r="D836" s="16"/>
      <c r="E836" s="14"/>
      <c r="F836" s="31"/>
      <c r="G836" s="30"/>
      <c r="H836" s="5"/>
      <c r="I836" s="32"/>
      <c r="J836" s="33"/>
      <c r="K836" s="34"/>
    </row>
    <row r="837" spans="1:11" ht="13.2">
      <c r="A837" s="5"/>
      <c r="B837" s="5"/>
      <c r="C837" s="30"/>
      <c r="D837" s="16"/>
      <c r="E837" s="14"/>
      <c r="F837" s="31"/>
      <c r="G837" s="30"/>
      <c r="H837" s="5"/>
      <c r="I837" s="32"/>
      <c r="J837" s="33"/>
      <c r="K837" s="34"/>
    </row>
    <row r="838" spans="1:11" ht="13.2">
      <c r="A838" s="5"/>
      <c r="B838" s="5"/>
      <c r="C838" s="30"/>
      <c r="D838" s="16"/>
      <c r="E838" s="14"/>
      <c r="F838" s="31"/>
      <c r="G838" s="30"/>
      <c r="H838" s="5"/>
      <c r="I838" s="32"/>
      <c r="J838" s="33"/>
      <c r="K838" s="34"/>
    </row>
    <row r="839" spans="1:11" ht="13.2">
      <c r="A839" s="5"/>
      <c r="B839" s="5"/>
      <c r="C839" s="30"/>
      <c r="D839" s="16"/>
      <c r="E839" s="14"/>
      <c r="F839" s="31"/>
      <c r="G839" s="30"/>
      <c r="H839" s="5"/>
      <c r="I839" s="32"/>
      <c r="J839" s="33"/>
      <c r="K839" s="34"/>
    </row>
    <row r="840" spans="1:11" ht="13.2">
      <c r="A840" s="5"/>
      <c r="B840" s="5"/>
      <c r="C840" s="30"/>
      <c r="D840" s="16"/>
      <c r="E840" s="14"/>
      <c r="F840" s="31"/>
      <c r="G840" s="30"/>
      <c r="H840" s="5"/>
      <c r="I840" s="32"/>
      <c r="J840" s="33"/>
      <c r="K840" s="34"/>
    </row>
    <row r="841" spans="1:11" ht="13.2">
      <c r="A841" s="5"/>
      <c r="B841" s="5"/>
      <c r="C841" s="30"/>
      <c r="D841" s="16"/>
      <c r="E841" s="14"/>
      <c r="F841" s="31"/>
      <c r="G841" s="30"/>
      <c r="H841" s="5"/>
      <c r="I841" s="32"/>
      <c r="J841" s="33"/>
      <c r="K841" s="34"/>
    </row>
    <row r="842" spans="1:11" ht="13.2">
      <c r="A842" s="5"/>
      <c r="B842" s="5"/>
      <c r="C842" s="30"/>
      <c r="D842" s="16"/>
      <c r="E842" s="14"/>
      <c r="F842" s="31"/>
      <c r="G842" s="30"/>
      <c r="H842" s="5"/>
      <c r="I842" s="32"/>
      <c r="J842" s="33"/>
      <c r="K842" s="34"/>
    </row>
    <row r="843" spans="1:11" ht="13.2">
      <c r="A843" s="5"/>
      <c r="B843" s="5"/>
      <c r="C843" s="30"/>
      <c r="D843" s="16"/>
      <c r="E843" s="14"/>
      <c r="F843" s="31"/>
      <c r="G843" s="30"/>
      <c r="H843" s="5"/>
      <c r="I843" s="32"/>
      <c r="J843" s="33"/>
      <c r="K843" s="34"/>
    </row>
    <row r="844" spans="1:11" ht="13.2">
      <c r="A844" s="5"/>
      <c r="B844" s="5"/>
      <c r="C844" s="30"/>
      <c r="D844" s="16"/>
      <c r="E844" s="14"/>
      <c r="F844" s="31"/>
      <c r="G844" s="30"/>
      <c r="H844" s="5"/>
      <c r="I844" s="32"/>
      <c r="J844" s="33"/>
      <c r="K844" s="34"/>
    </row>
    <row r="845" spans="1:11" ht="13.2">
      <c r="A845" s="5"/>
      <c r="B845" s="5"/>
      <c r="C845" s="30"/>
      <c r="D845" s="16"/>
      <c r="E845" s="14"/>
      <c r="F845" s="31"/>
      <c r="G845" s="30"/>
      <c r="H845" s="5"/>
      <c r="I845" s="32"/>
      <c r="J845" s="33"/>
      <c r="K845" s="34"/>
    </row>
    <row r="846" spans="1:11" ht="13.2">
      <c r="A846" s="5"/>
      <c r="B846" s="5"/>
      <c r="C846" s="30"/>
      <c r="D846" s="16"/>
      <c r="E846" s="14"/>
      <c r="F846" s="31"/>
      <c r="G846" s="30"/>
      <c r="H846" s="5"/>
      <c r="I846" s="32"/>
      <c r="J846" s="33"/>
      <c r="K846" s="34"/>
    </row>
    <row r="847" spans="1:11" ht="13.2">
      <c r="A847" s="5"/>
      <c r="B847" s="5"/>
      <c r="C847" s="30"/>
      <c r="D847" s="16"/>
      <c r="E847" s="14"/>
      <c r="F847" s="31"/>
      <c r="G847" s="30"/>
      <c r="H847" s="5"/>
      <c r="I847" s="32"/>
      <c r="J847" s="33"/>
      <c r="K847" s="34"/>
    </row>
    <row r="848" spans="1:11" ht="13.2">
      <c r="A848" s="5"/>
      <c r="B848" s="5"/>
      <c r="C848" s="30"/>
      <c r="D848" s="16"/>
      <c r="E848" s="14"/>
      <c r="F848" s="31"/>
      <c r="G848" s="30"/>
      <c r="H848" s="5"/>
      <c r="I848" s="32"/>
      <c r="J848" s="33"/>
      <c r="K848" s="34"/>
    </row>
    <row r="849" spans="1:11" ht="13.2">
      <c r="A849" s="5"/>
      <c r="B849" s="5"/>
      <c r="C849" s="30"/>
      <c r="D849" s="16"/>
      <c r="E849" s="14"/>
      <c r="F849" s="31"/>
      <c r="G849" s="30"/>
      <c r="H849" s="5"/>
      <c r="I849" s="32"/>
      <c r="J849" s="33"/>
      <c r="K849" s="34"/>
    </row>
    <row r="850" spans="1:11" ht="13.2">
      <c r="A850" s="5"/>
      <c r="B850" s="5"/>
      <c r="C850" s="30"/>
      <c r="D850" s="16"/>
      <c r="E850" s="14"/>
      <c r="F850" s="31"/>
      <c r="G850" s="30"/>
      <c r="H850" s="5"/>
      <c r="I850" s="32"/>
      <c r="J850" s="33"/>
      <c r="K850" s="34"/>
    </row>
    <row r="851" spans="1:11" ht="13.2">
      <c r="A851" s="5"/>
      <c r="B851" s="5"/>
      <c r="C851" s="30"/>
      <c r="D851" s="16"/>
      <c r="E851" s="14"/>
      <c r="F851" s="31"/>
      <c r="G851" s="30"/>
      <c r="H851" s="5"/>
      <c r="I851" s="32"/>
      <c r="J851" s="33"/>
      <c r="K851" s="34"/>
    </row>
    <row r="852" spans="1:11" ht="13.2">
      <c r="A852" s="5"/>
      <c r="B852" s="5"/>
      <c r="C852" s="30"/>
      <c r="D852" s="16"/>
      <c r="E852" s="14"/>
      <c r="F852" s="31"/>
      <c r="G852" s="30"/>
      <c r="H852" s="5"/>
      <c r="I852" s="32"/>
      <c r="J852" s="33"/>
      <c r="K852" s="34"/>
    </row>
    <row r="853" spans="1:11" ht="13.2">
      <c r="A853" s="5"/>
      <c r="B853" s="5"/>
      <c r="C853" s="30"/>
      <c r="D853" s="16"/>
      <c r="E853" s="14"/>
      <c r="F853" s="31"/>
      <c r="G853" s="30"/>
      <c r="H853" s="5"/>
      <c r="I853" s="32"/>
      <c r="J853" s="33"/>
      <c r="K853" s="34"/>
    </row>
    <row r="854" spans="1:11" ht="13.2">
      <c r="A854" s="5"/>
      <c r="B854" s="5"/>
      <c r="C854" s="30"/>
      <c r="D854" s="16"/>
      <c r="E854" s="14"/>
      <c r="F854" s="31"/>
      <c r="G854" s="30"/>
      <c r="H854" s="5"/>
      <c r="I854" s="32"/>
      <c r="J854" s="33"/>
      <c r="K854" s="34"/>
    </row>
    <row r="855" spans="1:11" ht="13.2">
      <c r="A855" s="5"/>
      <c r="B855" s="5"/>
      <c r="C855" s="30"/>
      <c r="D855" s="16"/>
      <c r="E855" s="14"/>
      <c r="F855" s="31"/>
      <c r="G855" s="30"/>
      <c r="H855" s="5"/>
      <c r="I855" s="32"/>
      <c r="J855" s="33"/>
      <c r="K855" s="34"/>
    </row>
    <row r="856" spans="1:11" ht="13.2">
      <c r="A856" s="5"/>
      <c r="B856" s="5"/>
      <c r="C856" s="30"/>
      <c r="D856" s="16"/>
      <c r="E856" s="14"/>
      <c r="F856" s="31"/>
      <c r="G856" s="30"/>
      <c r="H856" s="5"/>
      <c r="I856" s="32"/>
      <c r="J856" s="33"/>
      <c r="K856" s="34"/>
    </row>
    <row r="857" spans="1:11" ht="13.2">
      <c r="A857" s="5"/>
      <c r="B857" s="5"/>
      <c r="C857" s="30"/>
      <c r="D857" s="16"/>
      <c r="E857" s="14"/>
      <c r="F857" s="31"/>
      <c r="G857" s="30"/>
      <c r="H857" s="5"/>
      <c r="I857" s="32"/>
      <c r="J857" s="33"/>
      <c r="K857" s="34"/>
    </row>
    <row r="858" spans="1:11" ht="13.2">
      <c r="A858" s="5"/>
      <c r="B858" s="5"/>
      <c r="C858" s="30"/>
      <c r="D858" s="16"/>
      <c r="E858" s="14"/>
      <c r="F858" s="31"/>
      <c r="G858" s="30"/>
      <c r="H858" s="5"/>
      <c r="I858" s="32"/>
      <c r="J858" s="33"/>
      <c r="K858" s="34"/>
    </row>
    <row r="859" spans="1:11" ht="13.2">
      <c r="A859" s="5"/>
      <c r="B859" s="5"/>
      <c r="C859" s="30"/>
      <c r="D859" s="16"/>
      <c r="E859" s="14"/>
      <c r="F859" s="31"/>
      <c r="G859" s="30"/>
      <c r="H859" s="5"/>
      <c r="I859" s="32"/>
      <c r="J859" s="33"/>
      <c r="K859" s="34"/>
    </row>
    <row r="860" spans="1:11" ht="13.2">
      <c r="A860" s="5"/>
      <c r="B860" s="5"/>
      <c r="C860" s="30"/>
      <c r="D860" s="16"/>
      <c r="E860" s="14"/>
      <c r="F860" s="31"/>
      <c r="G860" s="30"/>
      <c r="H860" s="5"/>
      <c r="I860" s="32"/>
      <c r="J860" s="33"/>
      <c r="K860" s="34"/>
    </row>
    <row r="861" spans="1:11" ht="13.2">
      <c r="A861" s="5"/>
      <c r="B861" s="5"/>
      <c r="C861" s="30"/>
      <c r="D861" s="16"/>
      <c r="E861" s="14"/>
      <c r="F861" s="31"/>
      <c r="G861" s="30"/>
      <c r="H861" s="5"/>
      <c r="I861" s="32"/>
      <c r="J861" s="33"/>
      <c r="K861" s="34"/>
    </row>
    <row r="862" spans="1:11" ht="13.2">
      <c r="A862" s="5"/>
      <c r="B862" s="5"/>
      <c r="C862" s="30"/>
      <c r="D862" s="16"/>
      <c r="E862" s="14"/>
      <c r="F862" s="31"/>
      <c r="G862" s="30"/>
      <c r="H862" s="5"/>
      <c r="I862" s="32"/>
      <c r="J862" s="33"/>
      <c r="K862" s="34"/>
    </row>
    <row r="863" spans="1:11" ht="13.2">
      <c r="A863" s="5"/>
      <c r="B863" s="5"/>
      <c r="C863" s="30"/>
      <c r="D863" s="16"/>
      <c r="E863" s="14"/>
      <c r="F863" s="31"/>
      <c r="G863" s="30"/>
      <c r="H863" s="5"/>
      <c r="I863" s="32"/>
      <c r="J863" s="33"/>
      <c r="K863" s="34"/>
    </row>
    <row r="864" spans="1:11" ht="13.2">
      <c r="A864" s="5"/>
      <c r="B864" s="5"/>
      <c r="C864" s="30"/>
      <c r="D864" s="16"/>
      <c r="E864" s="14"/>
      <c r="F864" s="31"/>
      <c r="G864" s="30"/>
      <c r="H864" s="5"/>
      <c r="I864" s="32"/>
      <c r="J864" s="33"/>
      <c r="K864" s="34"/>
    </row>
    <row r="865" spans="1:11" ht="13.2">
      <c r="A865" s="5"/>
      <c r="B865" s="5"/>
      <c r="C865" s="30"/>
      <c r="D865" s="16"/>
      <c r="E865" s="14"/>
      <c r="F865" s="31"/>
      <c r="G865" s="30"/>
      <c r="H865" s="5"/>
      <c r="I865" s="32"/>
      <c r="J865" s="33"/>
      <c r="K865" s="34"/>
    </row>
    <row r="866" spans="1:11" ht="13.2">
      <c r="A866" s="5"/>
      <c r="B866" s="5"/>
      <c r="C866" s="30"/>
      <c r="D866" s="16"/>
      <c r="E866" s="14"/>
      <c r="F866" s="31"/>
      <c r="G866" s="30"/>
      <c r="H866" s="5"/>
      <c r="I866" s="32"/>
      <c r="J866" s="33"/>
      <c r="K866" s="34"/>
    </row>
    <row r="867" spans="1:11" ht="13.2">
      <c r="A867" s="5"/>
      <c r="B867" s="5"/>
      <c r="C867" s="30"/>
      <c r="D867" s="16"/>
      <c r="E867" s="14"/>
      <c r="F867" s="31"/>
      <c r="G867" s="30"/>
      <c r="H867" s="5"/>
      <c r="I867" s="32"/>
      <c r="J867" s="33"/>
      <c r="K867" s="34"/>
    </row>
    <row r="868" spans="1:11" ht="13.2">
      <c r="A868" s="5"/>
      <c r="B868" s="5"/>
      <c r="C868" s="30"/>
      <c r="D868" s="16"/>
      <c r="E868" s="14"/>
      <c r="F868" s="31"/>
      <c r="G868" s="30"/>
      <c r="H868" s="5"/>
      <c r="I868" s="32"/>
      <c r="J868" s="33"/>
      <c r="K868" s="34"/>
    </row>
    <row r="869" spans="1:11" ht="13.2">
      <c r="A869" s="5"/>
      <c r="B869" s="5"/>
      <c r="C869" s="30"/>
      <c r="D869" s="16"/>
      <c r="E869" s="14"/>
      <c r="F869" s="31"/>
      <c r="G869" s="30"/>
      <c r="H869" s="5"/>
      <c r="I869" s="32"/>
      <c r="J869" s="33"/>
      <c r="K869" s="34"/>
    </row>
    <row r="870" spans="1:11" ht="13.2">
      <c r="A870" s="5"/>
      <c r="B870" s="5"/>
      <c r="C870" s="30"/>
      <c r="D870" s="16"/>
      <c r="E870" s="14"/>
      <c r="F870" s="31"/>
      <c r="G870" s="30"/>
      <c r="H870" s="5"/>
      <c r="I870" s="32"/>
      <c r="J870" s="33"/>
      <c r="K870" s="34"/>
    </row>
    <row r="871" spans="1:11" ht="13.2">
      <c r="A871" s="5"/>
      <c r="B871" s="5"/>
      <c r="C871" s="30"/>
      <c r="D871" s="16"/>
      <c r="E871" s="14"/>
      <c r="F871" s="31"/>
      <c r="G871" s="30"/>
      <c r="H871" s="5"/>
      <c r="I871" s="32"/>
      <c r="J871" s="33"/>
      <c r="K871" s="34"/>
    </row>
    <row r="872" spans="1:11" ht="13.2">
      <c r="A872" s="5"/>
      <c r="B872" s="5"/>
      <c r="C872" s="30"/>
      <c r="D872" s="16"/>
      <c r="E872" s="14"/>
      <c r="F872" s="31"/>
      <c r="G872" s="30"/>
      <c r="H872" s="5"/>
      <c r="I872" s="32"/>
      <c r="J872" s="33"/>
      <c r="K872" s="34"/>
    </row>
    <row r="873" spans="1:11" ht="13.2">
      <c r="A873" s="5"/>
      <c r="B873" s="5"/>
      <c r="C873" s="30"/>
      <c r="D873" s="16"/>
      <c r="E873" s="14"/>
      <c r="F873" s="31"/>
      <c r="G873" s="30"/>
      <c r="H873" s="5"/>
      <c r="I873" s="32"/>
      <c r="J873" s="33"/>
      <c r="K873" s="34"/>
    </row>
    <row r="874" spans="1:11" ht="13.2">
      <c r="A874" s="5"/>
      <c r="B874" s="5"/>
      <c r="C874" s="30"/>
      <c r="D874" s="16"/>
      <c r="E874" s="14"/>
      <c r="F874" s="31"/>
      <c r="G874" s="30"/>
      <c r="H874" s="5"/>
      <c r="I874" s="32"/>
      <c r="J874" s="33"/>
      <c r="K874" s="34"/>
    </row>
    <row r="875" spans="1:11" ht="13.2">
      <c r="A875" s="5"/>
      <c r="B875" s="5"/>
      <c r="C875" s="30"/>
      <c r="D875" s="16"/>
      <c r="E875" s="14"/>
      <c r="F875" s="31"/>
      <c r="G875" s="30"/>
      <c r="H875" s="5"/>
      <c r="I875" s="32"/>
      <c r="J875" s="33"/>
      <c r="K875" s="34"/>
    </row>
    <row r="876" spans="1:11" ht="13.2">
      <c r="A876" s="5"/>
      <c r="B876" s="5"/>
      <c r="C876" s="30"/>
      <c r="D876" s="16"/>
      <c r="E876" s="14"/>
      <c r="F876" s="31"/>
      <c r="G876" s="30"/>
      <c r="H876" s="5"/>
      <c r="I876" s="32"/>
      <c r="J876" s="33"/>
      <c r="K876" s="34"/>
    </row>
    <row r="877" spans="1:11" ht="13.2">
      <c r="A877" s="5"/>
      <c r="B877" s="5"/>
      <c r="C877" s="30"/>
      <c r="D877" s="16"/>
      <c r="E877" s="14"/>
      <c r="F877" s="31"/>
      <c r="G877" s="30"/>
      <c r="H877" s="5"/>
      <c r="I877" s="32"/>
      <c r="J877" s="33"/>
      <c r="K877" s="34"/>
    </row>
    <row r="878" spans="1:11" ht="13.2">
      <c r="A878" s="5"/>
      <c r="B878" s="5"/>
      <c r="C878" s="30"/>
      <c r="D878" s="16"/>
      <c r="E878" s="14"/>
      <c r="F878" s="31"/>
      <c r="G878" s="30"/>
      <c r="H878" s="5"/>
      <c r="I878" s="32"/>
      <c r="J878" s="33"/>
      <c r="K878" s="34"/>
    </row>
    <row r="879" spans="1:11" ht="13.2">
      <c r="A879" s="5"/>
      <c r="B879" s="5"/>
      <c r="C879" s="30"/>
      <c r="D879" s="16"/>
      <c r="E879" s="14"/>
      <c r="F879" s="31"/>
      <c r="G879" s="30"/>
      <c r="H879" s="5"/>
      <c r="I879" s="32"/>
      <c r="J879" s="33"/>
      <c r="K879" s="34"/>
    </row>
    <row r="880" spans="1:11" ht="13.2">
      <c r="A880" s="5"/>
      <c r="B880" s="5"/>
      <c r="C880" s="30"/>
      <c r="D880" s="16"/>
      <c r="E880" s="14"/>
      <c r="F880" s="31"/>
      <c r="G880" s="30"/>
      <c r="H880" s="5"/>
      <c r="I880" s="32"/>
      <c r="J880" s="33"/>
      <c r="K880" s="34"/>
    </row>
    <row r="881" spans="1:11" ht="13.2">
      <c r="A881" s="5"/>
      <c r="B881" s="5"/>
      <c r="C881" s="30"/>
      <c r="D881" s="16"/>
      <c r="E881" s="14"/>
      <c r="F881" s="31"/>
      <c r="G881" s="30"/>
      <c r="H881" s="5"/>
      <c r="I881" s="32"/>
      <c r="J881" s="33"/>
      <c r="K881" s="34"/>
    </row>
    <row r="882" spans="1:11" ht="13.2">
      <c r="A882" s="5"/>
      <c r="B882" s="5"/>
      <c r="C882" s="30"/>
      <c r="D882" s="16"/>
      <c r="E882" s="14"/>
      <c r="F882" s="31"/>
      <c r="G882" s="30"/>
      <c r="H882" s="5"/>
      <c r="I882" s="32"/>
      <c r="J882" s="33"/>
      <c r="K882" s="34"/>
    </row>
    <row r="883" spans="1:11" ht="13.2">
      <c r="A883" s="5"/>
      <c r="B883" s="5"/>
      <c r="C883" s="30"/>
      <c r="D883" s="16"/>
      <c r="E883" s="14"/>
      <c r="F883" s="31"/>
      <c r="G883" s="30"/>
      <c r="H883" s="5"/>
      <c r="I883" s="32"/>
      <c r="J883" s="33"/>
      <c r="K883" s="34"/>
    </row>
    <row r="884" spans="1:11" ht="13.2">
      <c r="A884" s="5"/>
      <c r="B884" s="5"/>
      <c r="C884" s="30"/>
      <c r="D884" s="16"/>
      <c r="E884" s="14"/>
      <c r="F884" s="31"/>
      <c r="G884" s="30"/>
      <c r="H884" s="5"/>
      <c r="I884" s="32"/>
      <c r="J884" s="33"/>
      <c r="K884" s="34"/>
    </row>
    <row r="885" spans="1:11" ht="13.2">
      <c r="A885" s="5"/>
      <c r="B885" s="5"/>
      <c r="C885" s="30"/>
      <c r="D885" s="16"/>
      <c r="E885" s="14"/>
      <c r="F885" s="31"/>
      <c r="G885" s="30"/>
      <c r="H885" s="5"/>
      <c r="I885" s="32"/>
      <c r="J885" s="33"/>
      <c r="K885" s="34"/>
    </row>
    <row r="886" spans="1:11" ht="13.2">
      <c r="A886" s="5"/>
      <c r="B886" s="5"/>
      <c r="C886" s="30"/>
      <c r="D886" s="16"/>
      <c r="E886" s="14"/>
      <c r="F886" s="31"/>
      <c r="G886" s="30"/>
      <c r="H886" s="5"/>
      <c r="I886" s="32"/>
      <c r="J886" s="33"/>
      <c r="K886" s="34"/>
    </row>
    <row r="887" spans="1:11" ht="13.2">
      <c r="A887" s="5"/>
      <c r="B887" s="5"/>
      <c r="C887" s="30"/>
      <c r="D887" s="16"/>
      <c r="E887" s="14"/>
      <c r="F887" s="31"/>
      <c r="G887" s="30"/>
      <c r="H887" s="5"/>
      <c r="I887" s="32"/>
      <c r="J887" s="33"/>
      <c r="K887" s="34"/>
    </row>
    <row r="888" spans="1:11" ht="13.2">
      <c r="A888" s="5"/>
      <c r="B888" s="5"/>
      <c r="C888" s="30"/>
      <c r="D888" s="16"/>
      <c r="E888" s="14"/>
      <c r="F888" s="31"/>
      <c r="G888" s="30"/>
      <c r="H888" s="5"/>
      <c r="I888" s="32"/>
      <c r="J888" s="33"/>
      <c r="K888" s="34"/>
    </row>
    <row r="889" spans="1:11" ht="13.2">
      <c r="A889" s="5"/>
      <c r="B889" s="5"/>
      <c r="C889" s="30"/>
      <c r="D889" s="16"/>
      <c r="E889" s="14"/>
      <c r="F889" s="31"/>
      <c r="G889" s="30"/>
      <c r="H889" s="5"/>
      <c r="I889" s="32"/>
      <c r="J889" s="33"/>
      <c r="K889" s="34"/>
    </row>
    <row r="890" spans="1:11" ht="13.2">
      <c r="A890" s="5"/>
      <c r="B890" s="5"/>
      <c r="C890" s="30"/>
      <c r="D890" s="16"/>
      <c r="E890" s="14"/>
      <c r="F890" s="31"/>
      <c r="G890" s="30"/>
      <c r="H890" s="5"/>
      <c r="I890" s="32"/>
      <c r="J890" s="33"/>
      <c r="K890" s="34"/>
    </row>
    <row r="891" spans="1:11" ht="13.2">
      <c r="A891" s="5"/>
      <c r="B891" s="5"/>
      <c r="C891" s="30"/>
      <c r="D891" s="16"/>
      <c r="E891" s="14"/>
      <c r="F891" s="31"/>
      <c r="G891" s="30"/>
      <c r="H891" s="5"/>
      <c r="I891" s="32"/>
      <c r="J891" s="33"/>
      <c r="K891" s="34"/>
    </row>
    <row r="892" spans="1:11" ht="13.2">
      <c r="A892" s="5"/>
      <c r="B892" s="5"/>
      <c r="C892" s="30"/>
      <c r="D892" s="16"/>
      <c r="E892" s="14"/>
      <c r="F892" s="31"/>
      <c r="G892" s="30"/>
      <c r="H892" s="5"/>
      <c r="I892" s="32"/>
      <c r="J892" s="33"/>
      <c r="K892" s="34"/>
    </row>
    <row r="893" spans="1:11" ht="13.2">
      <c r="A893" s="5"/>
      <c r="B893" s="5"/>
      <c r="C893" s="30"/>
      <c r="D893" s="16"/>
      <c r="E893" s="14"/>
      <c r="F893" s="31"/>
      <c r="G893" s="30"/>
      <c r="H893" s="5"/>
      <c r="I893" s="32"/>
      <c r="J893" s="33"/>
      <c r="K893" s="34"/>
    </row>
    <row r="894" spans="1:11" ht="13.2">
      <c r="A894" s="5"/>
      <c r="B894" s="5"/>
      <c r="C894" s="30"/>
      <c r="D894" s="16"/>
      <c r="E894" s="14"/>
      <c r="F894" s="31"/>
      <c r="G894" s="30"/>
      <c r="H894" s="5"/>
      <c r="I894" s="32"/>
      <c r="J894" s="33"/>
      <c r="K894" s="34"/>
    </row>
    <row r="895" spans="1:11" ht="13.2">
      <c r="A895" s="5"/>
      <c r="B895" s="5"/>
      <c r="C895" s="30"/>
      <c r="D895" s="16"/>
      <c r="E895" s="14"/>
      <c r="F895" s="31"/>
      <c r="G895" s="30"/>
      <c r="H895" s="5"/>
      <c r="I895" s="32"/>
      <c r="J895" s="33"/>
      <c r="K895" s="34"/>
    </row>
    <row r="896" spans="1:11" ht="13.2">
      <c r="A896" s="5"/>
      <c r="B896" s="5"/>
      <c r="C896" s="30"/>
      <c r="D896" s="16"/>
      <c r="E896" s="14"/>
      <c r="F896" s="31"/>
      <c r="G896" s="30"/>
      <c r="H896" s="5"/>
      <c r="I896" s="32"/>
      <c r="J896" s="33"/>
      <c r="K896" s="34"/>
    </row>
    <row r="897" spans="1:11" ht="13.2">
      <c r="A897" s="5"/>
      <c r="B897" s="5"/>
      <c r="C897" s="30"/>
      <c r="D897" s="16"/>
      <c r="E897" s="14"/>
      <c r="F897" s="31"/>
      <c r="G897" s="30"/>
      <c r="H897" s="5"/>
      <c r="I897" s="32"/>
      <c r="J897" s="33"/>
      <c r="K897" s="34"/>
    </row>
    <row r="898" spans="1:11" ht="13.2">
      <c r="A898" s="5"/>
      <c r="B898" s="5"/>
      <c r="C898" s="30"/>
      <c r="D898" s="16"/>
      <c r="E898" s="14"/>
      <c r="F898" s="31"/>
      <c r="G898" s="30"/>
      <c r="H898" s="5"/>
      <c r="I898" s="32"/>
      <c r="J898" s="33"/>
      <c r="K898" s="34"/>
    </row>
    <row r="899" spans="1:11" ht="13.2">
      <c r="A899" s="5"/>
      <c r="B899" s="5"/>
      <c r="C899" s="30"/>
      <c r="D899" s="16"/>
      <c r="E899" s="14"/>
      <c r="F899" s="31"/>
      <c r="G899" s="30"/>
      <c r="H899" s="5"/>
      <c r="I899" s="32"/>
      <c r="J899" s="33"/>
      <c r="K899" s="34"/>
    </row>
    <row r="900" spans="1:11" ht="13.2">
      <c r="A900" s="5"/>
      <c r="B900" s="5"/>
      <c r="C900" s="30"/>
      <c r="D900" s="16"/>
      <c r="E900" s="14"/>
      <c r="F900" s="31"/>
      <c r="G900" s="30"/>
      <c r="H900" s="5"/>
      <c r="I900" s="32"/>
      <c r="J900" s="33"/>
      <c r="K900" s="34"/>
    </row>
    <row r="901" spans="1:11" ht="13.2">
      <c r="A901" s="5"/>
      <c r="B901" s="5"/>
      <c r="C901" s="30"/>
      <c r="D901" s="16"/>
      <c r="E901" s="14"/>
      <c r="F901" s="31"/>
      <c r="G901" s="30"/>
      <c r="H901" s="5"/>
      <c r="I901" s="32"/>
      <c r="J901" s="33"/>
      <c r="K901" s="34"/>
    </row>
    <row r="902" spans="1:11" ht="13.2">
      <c r="A902" s="5"/>
      <c r="B902" s="5"/>
      <c r="C902" s="30"/>
      <c r="D902" s="16"/>
      <c r="E902" s="14"/>
      <c r="F902" s="31"/>
      <c r="G902" s="30"/>
      <c r="H902" s="5"/>
      <c r="I902" s="32"/>
      <c r="J902" s="33"/>
      <c r="K902" s="34"/>
    </row>
    <row r="903" spans="1:11" ht="13.2">
      <c r="A903" s="5"/>
      <c r="B903" s="5"/>
      <c r="C903" s="30"/>
      <c r="D903" s="16"/>
      <c r="E903" s="14"/>
      <c r="F903" s="31"/>
      <c r="G903" s="30"/>
      <c r="H903" s="5"/>
      <c r="I903" s="32"/>
      <c r="J903" s="33"/>
      <c r="K903" s="34"/>
    </row>
    <row r="904" spans="1:11" ht="13.2">
      <c r="A904" s="5"/>
      <c r="B904" s="5"/>
      <c r="C904" s="30"/>
      <c r="D904" s="16"/>
      <c r="E904" s="14"/>
      <c r="F904" s="31"/>
      <c r="G904" s="30"/>
      <c r="H904" s="5"/>
      <c r="I904" s="32"/>
      <c r="J904" s="33"/>
      <c r="K904" s="34"/>
    </row>
    <row r="905" spans="1:11" ht="13.2">
      <c r="A905" s="5"/>
      <c r="B905" s="5"/>
      <c r="C905" s="30"/>
      <c r="D905" s="16"/>
      <c r="E905" s="14"/>
      <c r="F905" s="31"/>
      <c r="G905" s="30"/>
      <c r="H905" s="5"/>
      <c r="I905" s="32"/>
      <c r="J905" s="33"/>
      <c r="K905" s="34"/>
    </row>
    <row r="906" spans="1:11" ht="13.2">
      <c r="A906" s="5"/>
      <c r="B906" s="5"/>
      <c r="C906" s="30"/>
      <c r="D906" s="16"/>
      <c r="E906" s="14"/>
      <c r="F906" s="31"/>
      <c r="G906" s="30"/>
      <c r="H906" s="5"/>
      <c r="I906" s="32"/>
      <c r="J906" s="33"/>
      <c r="K906" s="34"/>
    </row>
    <row r="907" spans="1:11" ht="13.2">
      <c r="A907" s="5"/>
      <c r="B907" s="5"/>
      <c r="C907" s="30"/>
      <c r="D907" s="16"/>
      <c r="E907" s="14"/>
      <c r="F907" s="31"/>
      <c r="G907" s="30"/>
      <c r="H907" s="5"/>
      <c r="I907" s="32"/>
      <c r="J907" s="33"/>
      <c r="K907" s="34"/>
    </row>
    <row r="908" spans="1:11" ht="13.2">
      <c r="A908" s="5"/>
      <c r="B908" s="5"/>
      <c r="C908" s="30"/>
      <c r="D908" s="16"/>
      <c r="E908" s="14"/>
      <c r="F908" s="31"/>
      <c r="G908" s="30"/>
      <c r="H908" s="5"/>
      <c r="I908" s="32"/>
      <c r="J908" s="33"/>
      <c r="K908" s="34"/>
    </row>
    <row r="909" spans="1:11" ht="13.2">
      <c r="A909" s="5"/>
      <c r="B909" s="5"/>
      <c r="C909" s="30"/>
      <c r="D909" s="16"/>
      <c r="E909" s="14"/>
      <c r="F909" s="31"/>
      <c r="G909" s="30"/>
      <c r="H909" s="5"/>
      <c r="I909" s="32"/>
      <c r="J909" s="33"/>
      <c r="K909" s="34"/>
    </row>
    <row r="910" spans="1:11" ht="13.2">
      <c r="A910" s="5"/>
      <c r="B910" s="5"/>
      <c r="C910" s="30"/>
      <c r="D910" s="16"/>
      <c r="E910" s="14"/>
      <c r="F910" s="31"/>
      <c r="G910" s="30"/>
      <c r="H910" s="5"/>
      <c r="I910" s="32"/>
      <c r="J910" s="33"/>
      <c r="K910" s="34"/>
    </row>
    <row r="911" spans="1:11" ht="13.2">
      <c r="A911" s="5"/>
      <c r="B911" s="5"/>
      <c r="C911" s="30"/>
      <c r="D911" s="16"/>
      <c r="E911" s="14"/>
      <c r="F911" s="31"/>
      <c r="G911" s="30"/>
      <c r="H911" s="5"/>
      <c r="I911" s="32"/>
      <c r="J911" s="33"/>
      <c r="K911" s="34"/>
    </row>
    <row r="912" spans="1:11" ht="13.2">
      <c r="A912" s="5"/>
      <c r="B912" s="5"/>
      <c r="C912" s="30"/>
      <c r="D912" s="16"/>
      <c r="E912" s="14"/>
      <c r="F912" s="31"/>
      <c r="G912" s="30"/>
      <c r="H912" s="5"/>
      <c r="I912" s="32"/>
      <c r="J912" s="33"/>
      <c r="K912" s="34"/>
    </row>
    <row r="913" spans="1:11" ht="13.2">
      <c r="A913" s="5"/>
      <c r="B913" s="5"/>
      <c r="C913" s="30"/>
      <c r="D913" s="16"/>
      <c r="E913" s="14"/>
      <c r="F913" s="31"/>
      <c r="G913" s="30"/>
      <c r="H913" s="5"/>
      <c r="I913" s="32"/>
      <c r="J913" s="33"/>
      <c r="K913" s="34"/>
    </row>
    <row r="914" spans="1:11" ht="13.2">
      <c r="A914" s="5"/>
      <c r="B914" s="5"/>
      <c r="C914" s="30"/>
      <c r="D914" s="16"/>
      <c r="E914" s="14"/>
      <c r="F914" s="31"/>
      <c r="G914" s="30"/>
      <c r="H914" s="5"/>
      <c r="I914" s="32"/>
      <c r="J914" s="33"/>
      <c r="K914" s="34"/>
    </row>
    <row r="915" spans="1:11" ht="13.2">
      <c r="A915" s="5"/>
      <c r="B915" s="5"/>
      <c r="C915" s="30"/>
      <c r="D915" s="16"/>
      <c r="E915" s="14"/>
      <c r="F915" s="31"/>
      <c r="G915" s="30"/>
      <c r="H915" s="5"/>
      <c r="I915" s="32"/>
      <c r="J915" s="33"/>
      <c r="K915" s="34"/>
    </row>
    <row r="916" spans="1:11" ht="13.2">
      <c r="A916" s="5"/>
      <c r="B916" s="5"/>
      <c r="C916" s="30"/>
      <c r="D916" s="16"/>
      <c r="E916" s="14"/>
      <c r="F916" s="31"/>
      <c r="G916" s="30"/>
      <c r="H916" s="5"/>
      <c r="I916" s="32"/>
      <c r="J916" s="33"/>
      <c r="K916" s="34"/>
    </row>
    <row r="917" spans="1:11" ht="13.2">
      <c r="A917" s="5"/>
      <c r="B917" s="5"/>
      <c r="C917" s="30"/>
      <c r="D917" s="16"/>
      <c r="E917" s="14"/>
      <c r="F917" s="31"/>
      <c r="G917" s="30"/>
      <c r="H917" s="5"/>
      <c r="I917" s="32"/>
      <c r="J917" s="33"/>
      <c r="K917" s="34"/>
    </row>
    <row r="918" spans="1:11" ht="13.2">
      <c r="A918" s="5"/>
      <c r="B918" s="5"/>
      <c r="C918" s="30"/>
      <c r="D918" s="16"/>
      <c r="E918" s="14"/>
      <c r="F918" s="31"/>
      <c r="G918" s="30"/>
      <c r="H918" s="5"/>
      <c r="I918" s="32"/>
      <c r="J918" s="33"/>
      <c r="K918" s="34"/>
    </row>
    <row r="919" spans="1:11" ht="13.2">
      <c r="A919" s="5"/>
      <c r="B919" s="5"/>
      <c r="C919" s="30"/>
      <c r="D919" s="16"/>
      <c r="E919" s="14"/>
      <c r="F919" s="31"/>
      <c r="G919" s="30"/>
      <c r="H919" s="5"/>
      <c r="I919" s="32"/>
      <c r="J919" s="33"/>
      <c r="K919" s="34"/>
    </row>
    <row r="920" spans="1:11" ht="13.2">
      <c r="A920" s="5"/>
      <c r="B920" s="5"/>
      <c r="C920" s="30"/>
      <c r="D920" s="16"/>
      <c r="E920" s="14"/>
      <c r="F920" s="31"/>
      <c r="G920" s="30"/>
      <c r="H920" s="5"/>
      <c r="I920" s="32"/>
      <c r="J920" s="33"/>
      <c r="K920" s="34"/>
    </row>
    <row r="921" spans="1:11" ht="13.2">
      <c r="A921" s="5"/>
      <c r="B921" s="5"/>
      <c r="C921" s="30"/>
      <c r="D921" s="16"/>
      <c r="E921" s="14"/>
      <c r="F921" s="31"/>
      <c r="G921" s="30"/>
      <c r="H921" s="5"/>
      <c r="I921" s="32"/>
      <c r="J921" s="33"/>
      <c r="K921" s="34"/>
    </row>
    <row r="922" spans="1:11" ht="13.2">
      <c r="A922" s="5"/>
      <c r="B922" s="5"/>
      <c r="C922" s="30"/>
      <c r="D922" s="16"/>
      <c r="E922" s="14"/>
      <c r="F922" s="31"/>
      <c r="G922" s="30"/>
      <c r="H922" s="5"/>
      <c r="I922" s="32"/>
      <c r="J922" s="33"/>
      <c r="K922" s="34"/>
    </row>
    <row r="923" spans="1:11" ht="13.2">
      <c r="A923" s="5"/>
      <c r="B923" s="5"/>
      <c r="C923" s="30"/>
      <c r="D923" s="16"/>
      <c r="E923" s="14"/>
      <c r="F923" s="31"/>
      <c r="G923" s="30"/>
      <c r="H923" s="5"/>
      <c r="I923" s="32"/>
      <c r="J923" s="33"/>
      <c r="K923" s="34"/>
    </row>
    <row r="924" spans="1:11" ht="13.2">
      <c r="A924" s="5"/>
      <c r="B924" s="5"/>
      <c r="C924" s="30"/>
      <c r="D924" s="16"/>
      <c r="E924" s="14"/>
      <c r="F924" s="31"/>
      <c r="G924" s="30"/>
      <c r="H924" s="5"/>
      <c r="I924" s="32"/>
      <c r="J924" s="33"/>
      <c r="K924" s="34"/>
    </row>
    <row r="925" spans="1:11" ht="13.2">
      <c r="A925" s="5"/>
      <c r="B925" s="5"/>
      <c r="C925" s="30"/>
      <c r="D925" s="16"/>
      <c r="E925" s="14"/>
      <c r="F925" s="31"/>
      <c r="G925" s="30"/>
      <c r="H925" s="5"/>
      <c r="I925" s="32"/>
      <c r="J925" s="33"/>
      <c r="K925" s="34"/>
    </row>
    <row r="926" spans="1:11" ht="13.2">
      <c r="A926" s="5"/>
      <c r="B926" s="5"/>
      <c r="C926" s="30"/>
      <c r="D926" s="16"/>
      <c r="E926" s="14"/>
      <c r="F926" s="31"/>
      <c r="G926" s="30"/>
      <c r="H926" s="5"/>
      <c r="I926" s="32"/>
      <c r="J926" s="33"/>
      <c r="K926" s="34"/>
    </row>
    <row r="927" spans="1:11" ht="13.2">
      <c r="A927" s="5"/>
      <c r="B927" s="5"/>
      <c r="C927" s="30"/>
      <c r="D927" s="16"/>
      <c r="E927" s="14"/>
      <c r="F927" s="31"/>
      <c r="G927" s="30"/>
      <c r="H927" s="5"/>
      <c r="I927" s="32"/>
      <c r="J927" s="33"/>
      <c r="K927" s="34"/>
    </row>
    <row r="928" spans="1:11" ht="13.2">
      <c r="A928" s="5"/>
      <c r="B928" s="5"/>
      <c r="C928" s="30"/>
      <c r="D928" s="16"/>
      <c r="E928" s="14"/>
      <c r="F928" s="31"/>
      <c r="G928" s="30"/>
      <c r="H928" s="5"/>
      <c r="I928" s="32"/>
      <c r="J928" s="33"/>
      <c r="K928" s="34"/>
    </row>
    <row r="929" spans="1:11" ht="13.2">
      <c r="A929" s="5"/>
      <c r="B929" s="5"/>
      <c r="C929" s="30"/>
      <c r="D929" s="16"/>
      <c r="E929" s="14"/>
      <c r="F929" s="31"/>
      <c r="G929" s="30"/>
      <c r="H929" s="5"/>
      <c r="I929" s="32"/>
      <c r="J929" s="33"/>
      <c r="K929" s="34"/>
    </row>
    <row r="930" spans="1:11" ht="13.2">
      <c r="A930" s="5"/>
      <c r="B930" s="5"/>
      <c r="C930" s="30"/>
      <c r="D930" s="16"/>
      <c r="E930" s="14"/>
      <c r="F930" s="31"/>
      <c r="G930" s="30"/>
      <c r="H930" s="5"/>
      <c r="I930" s="32"/>
      <c r="J930" s="33"/>
      <c r="K930" s="34"/>
    </row>
    <row r="931" spans="1:11" ht="13.2">
      <c r="A931" s="5"/>
      <c r="B931" s="5"/>
      <c r="C931" s="30"/>
      <c r="D931" s="16"/>
      <c r="E931" s="14"/>
      <c r="F931" s="31"/>
      <c r="G931" s="30"/>
      <c r="H931" s="5"/>
      <c r="I931" s="32"/>
      <c r="J931" s="33"/>
      <c r="K931" s="34"/>
    </row>
    <row r="932" spans="1:11" ht="13.2">
      <c r="A932" s="5"/>
      <c r="B932" s="5"/>
      <c r="C932" s="30"/>
      <c r="D932" s="16"/>
      <c r="E932" s="14"/>
      <c r="F932" s="31"/>
      <c r="G932" s="30"/>
      <c r="H932" s="5"/>
      <c r="I932" s="32"/>
      <c r="J932" s="33"/>
      <c r="K932" s="34"/>
    </row>
    <row r="933" spans="1:11" ht="13.2">
      <c r="A933" s="5"/>
      <c r="B933" s="5"/>
      <c r="C933" s="30"/>
      <c r="D933" s="16"/>
      <c r="E933" s="14"/>
      <c r="F933" s="31"/>
      <c r="G933" s="30"/>
      <c r="H933" s="5"/>
      <c r="I933" s="32"/>
      <c r="J933" s="33"/>
      <c r="K933" s="34"/>
    </row>
    <row r="934" spans="1:11" ht="13.2">
      <c r="A934" s="5"/>
      <c r="B934" s="5"/>
      <c r="C934" s="30"/>
      <c r="D934" s="16"/>
      <c r="E934" s="14"/>
      <c r="F934" s="31"/>
      <c r="G934" s="30"/>
      <c r="H934" s="5"/>
      <c r="I934" s="32"/>
      <c r="J934" s="33"/>
      <c r="K934" s="34"/>
    </row>
    <row r="935" spans="1:11" ht="13.2">
      <c r="A935" s="5"/>
      <c r="B935" s="5"/>
      <c r="C935" s="30"/>
      <c r="D935" s="16"/>
      <c r="E935" s="14"/>
      <c r="F935" s="31"/>
      <c r="G935" s="30"/>
      <c r="H935" s="5"/>
      <c r="I935" s="32"/>
      <c r="J935" s="33"/>
      <c r="K935" s="34"/>
    </row>
    <row r="936" spans="1:11" ht="13.2">
      <c r="A936" s="5"/>
      <c r="B936" s="5"/>
      <c r="C936" s="30"/>
      <c r="D936" s="16"/>
      <c r="E936" s="14"/>
      <c r="F936" s="31"/>
      <c r="G936" s="30"/>
      <c r="H936" s="5"/>
      <c r="I936" s="32"/>
      <c r="J936" s="33"/>
      <c r="K936" s="34"/>
    </row>
    <row r="937" spans="1:11" ht="13.2">
      <c r="A937" s="5"/>
      <c r="B937" s="5"/>
      <c r="C937" s="30"/>
      <c r="D937" s="16"/>
      <c r="E937" s="14"/>
      <c r="F937" s="31"/>
      <c r="G937" s="30"/>
      <c r="H937" s="5"/>
      <c r="I937" s="32"/>
      <c r="J937" s="33"/>
      <c r="K937" s="34"/>
    </row>
    <row r="938" spans="1:11" ht="13.2">
      <c r="A938" s="5"/>
      <c r="B938" s="5"/>
      <c r="C938" s="30"/>
      <c r="D938" s="16"/>
      <c r="E938" s="14"/>
      <c r="F938" s="31"/>
      <c r="G938" s="30"/>
      <c r="H938" s="5"/>
      <c r="I938" s="32"/>
      <c r="J938" s="33"/>
      <c r="K938" s="34"/>
    </row>
    <row r="939" spans="1:11" ht="13.2">
      <c r="A939" s="5"/>
      <c r="B939" s="5"/>
      <c r="C939" s="30"/>
      <c r="D939" s="16"/>
      <c r="E939" s="14"/>
      <c r="F939" s="31"/>
      <c r="G939" s="30"/>
      <c r="H939" s="5"/>
      <c r="I939" s="32"/>
      <c r="J939" s="33"/>
      <c r="K939" s="34"/>
    </row>
    <row r="940" spans="1:11" ht="13.2">
      <c r="A940" s="5"/>
      <c r="B940" s="5"/>
      <c r="C940" s="30"/>
      <c r="D940" s="16"/>
      <c r="E940" s="14"/>
      <c r="F940" s="31"/>
      <c r="G940" s="30"/>
      <c r="H940" s="5"/>
      <c r="I940" s="32"/>
      <c r="J940" s="33"/>
      <c r="K940" s="34"/>
    </row>
    <row r="941" spans="1:11" ht="13.2">
      <c r="A941" s="5"/>
      <c r="B941" s="5"/>
      <c r="C941" s="30"/>
      <c r="D941" s="16"/>
      <c r="E941" s="14"/>
      <c r="F941" s="31"/>
      <c r="G941" s="30"/>
      <c r="H941" s="5"/>
      <c r="I941" s="32"/>
      <c r="J941" s="33"/>
      <c r="K941" s="34"/>
    </row>
    <row r="942" spans="1:11" ht="13.2">
      <c r="A942" s="5"/>
      <c r="B942" s="5"/>
      <c r="C942" s="30"/>
      <c r="D942" s="16"/>
      <c r="E942" s="14"/>
      <c r="F942" s="31"/>
      <c r="G942" s="30"/>
      <c r="H942" s="5"/>
      <c r="I942" s="32"/>
      <c r="J942" s="33"/>
      <c r="K942" s="34"/>
    </row>
    <row r="943" spans="1:11" ht="13.2">
      <c r="A943" s="5"/>
      <c r="B943" s="5"/>
      <c r="C943" s="30"/>
      <c r="D943" s="16"/>
      <c r="E943" s="14"/>
      <c r="F943" s="31"/>
      <c r="G943" s="30"/>
      <c r="H943" s="5"/>
      <c r="I943" s="32"/>
      <c r="J943" s="33"/>
      <c r="K943" s="34"/>
    </row>
    <row r="944" spans="1:11" ht="13.2">
      <c r="A944" s="5"/>
      <c r="B944" s="5"/>
      <c r="C944" s="30"/>
      <c r="D944" s="16"/>
      <c r="E944" s="14"/>
      <c r="F944" s="31"/>
      <c r="G944" s="30"/>
      <c r="H944" s="5"/>
      <c r="I944" s="32"/>
      <c r="J944" s="33"/>
      <c r="K944" s="34"/>
    </row>
    <row r="945" spans="1:11" ht="13.2">
      <c r="A945" s="5"/>
      <c r="B945" s="5"/>
      <c r="C945" s="30"/>
      <c r="D945" s="16"/>
      <c r="E945" s="14"/>
      <c r="F945" s="31"/>
      <c r="G945" s="30"/>
      <c r="H945" s="5"/>
      <c r="I945" s="32"/>
      <c r="J945" s="33"/>
      <c r="K945" s="34"/>
    </row>
    <row r="946" spans="1:11" ht="13.2">
      <c r="A946" s="5"/>
      <c r="B946" s="5"/>
      <c r="C946" s="30"/>
      <c r="D946" s="16"/>
      <c r="E946" s="14"/>
      <c r="F946" s="31"/>
      <c r="G946" s="30"/>
      <c r="H946" s="5"/>
      <c r="I946" s="32"/>
      <c r="J946" s="33"/>
      <c r="K946" s="34"/>
    </row>
    <row r="947" spans="1:11" ht="13.2">
      <c r="A947" s="5"/>
      <c r="B947" s="5"/>
      <c r="C947" s="30"/>
      <c r="D947" s="16"/>
      <c r="E947" s="14"/>
      <c r="F947" s="31"/>
      <c r="G947" s="30"/>
      <c r="H947" s="5"/>
      <c r="I947" s="32"/>
      <c r="J947" s="33"/>
      <c r="K947" s="34"/>
    </row>
    <row r="948" spans="1:11" ht="13.2">
      <c r="A948" s="5"/>
      <c r="B948" s="5"/>
      <c r="C948" s="30"/>
      <c r="D948" s="16"/>
      <c r="E948" s="14"/>
      <c r="F948" s="31"/>
      <c r="G948" s="30"/>
      <c r="H948" s="5"/>
      <c r="I948" s="32"/>
      <c r="J948" s="33"/>
      <c r="K948" s="34"/>
    </row>
    <row r="949" spans="1:11" ht="13.2">
      <c r="A949" s="5"/>
      <c r="B949" s="5"/>
      <c r="C949" s="30"/>
      <c r="D949" s="16"/>
      <c r="E949" s="14"/>
      <c r="F949" s="31"/>
      <c r="G949" s="30"/>
      <c r="H949" s="5"/>
      <c r="I949" s="32"/>
      <c r="J949" s="33"/>
      <c r="K949" s="34"/>
    </row>
    <row r="950" spans="1:11" ht="13.2">
      <c r="A950" s="5"/>
      <c r="B950" s="5"/>
      <c r="C950" s="30"/>
      <c r="D950" s="16"/>
      <c r="E950" s="14"/>
      <c r="F950" s="31"/>
      <c r="G950" s="30"/>
      <c r="H950" s="5"/>
      <c r="I950" s="32"/>
      <c r="J950" s="33"/>
      <c r="K950" s="34"/>
    </row>
    <row r="951" spans="1:11" ht="13.2">
      <c r="A951" s="5"/>
      <c r="B951" s="5"/>
      <c r="C951" s="30"/>
      <c r="D951" s="16"/>
      <c r="E951" s="14"/>
      <c r="F951" s="31"/>
      <c r="G951" s="30"/>
      <c r="H951" s="5"/>
      <c r="I951" s="32"/>
      <c r="J951" s="33"/>
      <c r="K951" s="34"/>
    </row>
    <row r="952" spans="1:11" ht="13.2">
      <c r="A952" s="5"/>
      <c r="B952" s="5"/>
      <c r="C952" s="30"/>
      <c r="D952" s="16"/>
      <c r="E952" s="14"/>
      <c r="F952" s="31"/>
      <c r="G952" s="30"/>
      <c r="H952" s="5"/>
      <c r="I952" s="32"/>
      <c r="J952" s="33"/>
      <c r="K952" s="34"/>
    </row>
    <row r="953" spans="1:11" ht="13.2">
      <c r="A953" s="5"/>
      <c r="B953" s="5"/>
      <c r="C953" s="30"/>
      <c r="D953" s="16"/>
      <c r="E953" s="14"/>
      <c r="F953" s="31"/>
      <c r="G953" s="30"/>
      <c r="H953" s="5"/>
      <c r="I953" s="32"/>
      <c r="J953" s="33"/>
      <c r="K953" s="34"/>
    </row>
    <row r="954" spans="1:11" ht="13.2">
      <c r="A954" s="5"/>
      <c r="B954" s="5"/>
      <c r="C954" s="30"/>
      <c r="D954" s="16"/>
      <c r="E954" s="14"/>
      <c r="F954" s="31"/>
      <c r="G954" s="30"/>
      <c r="H954" s="5"/>
      <c r="I954" s="32"/>
      <c r="J954" s="33"/>
      <c r="K954" s="34"/>
    </row>
    <row r="955" spans="1:11" ht="13.2">
      <c r="A955" s="5"/>
      <c r="B955" s="5"/>
      <c r="C955" s="30"/>
      <c r="D955" s="16"/>
      <c r="E955" s="14"/>
      <c r="F955" s="31"/>
      <c r="G955" s="30"/>
      <c r="H955" s="5"/>
      <c r="I955" s="32"/>
      <c r="J955" s="33"/>
      <c r="K955" s="34"/>
    </row>
    <row r="956" spans="1:11" ht="13.2">
      <c r="A956" s="5"/>
      <c r="B956" s="5"/>
      <c r="C956" s="30"/>
      <c r="D956" s="16"/>
      <c r="E956" s="14"/>
      <c r="F956" s="31"/>
      <c r="G956" s="30"/>
      <c r="H956" s="5"/>
      <c r="I956" s="32"/>
      <c r="J956" s="33"/>
      <c r="K956" s="34"/>
    </row>
    <row r="957" spans="1:11" ht="13.2">
      <c r="A957" s="5"/>
      <c r="B957" s="5"/>
      <c r="C957" s="30"/>
      <c r="D957" s="16"/>
      <c r="E957" s="14"/>
      <c r="F957" s="31"/>
      <c r="G957" s="30"/>
      <c r="H957" s="5"/>
      <c r="I957" s="32"/>
      <c r="J957" s="33"/>
      <c r="K957" s="34"/>
    </row>
    <row r="958" spans="1:11" ht="13.2">
      <c r="A958" s="5"/>
      <c r="B958" s="5"/>
      <c r="C958" s="30"/>
      <c r="D958" s="16"/>
      <c r="E958" s="14"/>
      <c r="F958" s="31"/>
      <c r="G958" s="30"/>
      <c r="H958" s="5"/>
      <c r="I958" s="32"/>
      <c r="J958" s="33"/>
      <c r="K958" s="34"/>
    </row>
    <row r="959" spans="1:11" ht="13.2">
      <c r="A959" s="5"/>
      <c r="B959" s="5"/>
      <c r="C959" s="30"/>
      <c r="D959" s="16"/>
      <c r="E959" s="14"/>
      <c r="F959" s="31"/>
      <c r="G959" s="30"/>
      <c r="H959" s="5"/>
      <c r="I959" s="32"/>
      <c r="J959" s="33"/>
      <c r="K959" s="34"/>
    </row>
    <row r="960" spans="1:11" ht="13.2">
      <c r="A960" s="5"/>
      <c r="B960" s="5"/>
      <c r="C960" s="30"/>
      <c r="D960" s="16"/>
      <c r="E960" s="14"/>
      <c r="F960" s="31"/>
      <c r="G960" s="30"/>
      <c r="H960" s="5"/>
      <c r="I960" s="32"/>
      <c r="J960" s="33"/>
      <c r="K960" s="34"/>
    </row>
    <row r="961" spans="1:11" ht="13.2">
      <c r="A961" s="5"/>
      <c r="B961" s="5"/>
      <c r="C961" s="30"/>
      <c r="D961" s="16"/>
      <c r="E961" s="14"/>
      <c r="F961" s="31"/>
      <c r="G961" s="30"/>
      <c r="H961" s="5"/>
      <c r="I961" s="32"/>
      <c r="J961" s="33"/>
      <c r="K961" s="34"/>
    </row>
    <row r="962" spans="1:11" ht="13.2">
      <c r="A962" s="5"/>
      <c r="B962" s="5"/>
      <c r="C962" s="30"/>
      <c r="D962" s="16"/>
      <c r="E962" s="14"/>
      <c r="F962" s="31"/>
      <c r="G962" s="30"/>
      <c r="H962" s="5"/>
      <c r="I962" s="32"/>
      <c r="J962" s="33"/>
      <c r="K962" s="34"/>
    </row>
    <row r="963" spans="1:11" ht="13.2">
      <c r="A963" s="5"/>
      <c r="B963" s="5"/>
      <c r="C963" s="30"/>
      <c r="D963" s="16"/>
      <c r="E963" s="14"/>
      <c r="F963" s="31"/>
      <c r="G963" s="30"/>
      <c r="H963" s="5"/>
      <c r="I963" s="32"/>
      <c r="J963" s="33"/>
      <c r="K963" s="34"/>
    </row>
    <row r="964" spans="1:11" ht="13.2">
      <c r="A964" s="5"/>
      <c r="B964" s="5"/>
      <c r="C964" s="30"/>
      <c r="D964" s="16"/>
      <c r="E964" s="14"/>
      <c r="F964" s="31"/>
      <c r="G964" s="30"/>
      <c r="H964" s="5"/>
      <c r="I964" s="32"/>
      <c r="J964" s="33"/>
      <c r="K964" s="34"/>
    </row>
    <row r="965" spans="1:11" ht="13.2">
      <c r="A965" s="5"/>
      <c r="B965" s="5"/>
      <c r="C965" s="30"/>
      <c r="D965" s="16"/>
      <c r="E965" s="14"/>
      <c r="F965" s="31"/>
      <c r="G965" s="30"/>
      <c r="H965" s="5"/>
      <c r="I965" s="32"/>
      <c r="J965" s="33"/>
      <c r="K965" s="34"/>
    </row>
    <row r="966" spans="1:11" ht="13.2">
      <c r="A966" s="5"/>
      <c r="B966" s="5"/>
      <c r="C966" s="30"/>
      <c r="D966" s="16"/>
      <c r="E966" s="14"/>
      <c r="F966" s="31"/>
      <c r="G966" s="30"/>
      <c r="H966" s="5"/>
      <c r="I966" s="32"/>
      <c r="J966" s="33"/>
      <c r="K966" s="34"/>
    </row>
    <row r="967" spans="1:11" ht="13.2">
      <c r="A967" s="5"/>
      <c r="B967" s="5"/>
      <c r="C967" s="30"/>
      <c r="D967" s="16"/>
      <c r="E967" s="14"/>
      <c r="F967" s="31"/>
      <c r="G967" s="30"/>
      <c r="H967" s="5"/>
      <c r="I967" s="32"/>
      <c r="J967" s="33"/>
      <c r="K967" s="34"/>
    </row>
    <row r="968" spans="1:11" ht="13.2">
      <c r="A968" s="5"/>
      <c r="B968" s="5"/>
      <c r="C968" s="30"/>
      <c r="D968" s="16"/>
      <c r="E968" s="14"/>
      <c r="F968" s="31"/>
      <c r="G968" s="30"/>
      <c r="H968" s="5"/>
      <c r="I968" s="32"/>
      <c r="J968" s="33"/>
      <c r="K968" s="34"/>
    </row>
    <row r="969" spans="1:11" ht="13.2">
      <c r="A969" s="5"/>
      <c r="B969" s="5"/>
      <c r="C969" s="30"/>
      <c r="D969" s="16"/>
      <c r="E969" s="14"/>
      <c r="F969" s="31"/>
      <c r="G969" s="30"/>
      <c r="H969" s="5"/>
      <c r="I969" s="32"/>
      <c r="J969" s="33"/>
      <c r="K969" s="34"/>
    </row>
    <row r="970" spans="1:11" ht="13.2">
      <c r="A970" s="5"/>
      <c r="B970" s="5"/>
      <c r="C970" s="30"/>
      <c r="D970" s="16"/>
      <c r="E970" s="14"/>
      <c r="F970" s="31"/>
      <c r="G970" s="30"/>
      <c r="H970" s="5"/>
      <c r="I970" s="32"/>
      <c r="J970" s="33"/>
      <c r="K970" s="34"/>
    </row>
    <row r="971" spans="1:11" ht="13.2">
      <c r="A971" s="5"/>
      <c r="B971" s="5"/>
      <c r="C971" s="30"/>
      <c r="D971" s="16"/>
      <c r="E971" s="14"/>
      <c r="F971" s="31"/>
      <c r="G971" s="30"/>
      <c r="H971" s="5"/>
      <c r="I971" s="32"/>
      <c r="J971" s="33"/>
      <c r="K971" s="34"/>
    </row>
    <row r="972" spans="1:11" ht="13.2">
      <c r="A972" s="5"/>
      <c r="B972" s="5"/>
      <c r="C972" s="30"/>
      <c r="D972" s="16"/>
      <c r="E972" s="14"/>
      <c r="F972" s="31"/>
      <c r="G972" s="30"/>
      <c r="H972" s="5"/>
      <c r="I972" s="32"/>
      <c r="J972" s="33"/>
      <c r="K972" s="34"/>
    </row>
    <row r="973" spans="1:11" ht="13.2">
      <c r="A973" s="5"/>
      <c r="B973" s="5"/>
      <c r="C973" s="30"/>
      <c r="D973" s="16"/>
      <c r="E973" s="14"/>
      <c r="F973" s="31"/>
      <c r="G973" s="30"/>
      <c r="H973" s="5"/>
      <c r="I973" s="32"/>
      <c r="J973" s="33"/>
      <c r="K973" s="34"/>
    </row>
    <row r="974" spans="1:11" ht="13.2">
      <c r="A974" s="5"/>
      <c r="B974" s="5"/>
      <c r="C974" s="30"/>
      <c r="D974" s="16"/>
      <c r="E974" s="14"/>
      <c r="F974" s="31"/>
      <c r="G974" s="30"/>
      <c r="H974" s="5"/>
      <c r="I974" s="32"/>
      <c r="J974" s="33"/>
      <c r="K974" s="34"/>
    </row>
    <row r="975" spans="1:11" ht="13.2">
      <c r="A975" s="5"/>
      <c r="B975" s="5"/>
      <c r="C975" s="30"/>
      <c r="D975" s="16"/>
      <c r="E975" s="14"/>
      <c r="F975" s="31"/>
      <c r="G975" s="30"/>
      <c r="H975" s="5"/>
      <c r="I975" s="32"/>
      <c r="J975" s="33"/>
      <c r="K975" s="34"/>
    </row>
    <row r="976" spans="1:11" ht="13.2">
      <c r="A976" s="5"/>
      <c r="B976" s="5"/>
      <c r="C976" s="30"/>
      <c r="D976" s="16"/>
      <c r="E976" s="14"/>
      <c r="F976" s="31"/>
      <c r="G976" s="30"/>
      <c r="H976" s="5"/>
      <c r="I976" s="32"/>
      <c r="J976" s="33"/>
      <c r="K976" s="34"/>
    </row>
    <row r="977" spans="1:11" ht="13.2">
      <c r="A977" s="5"/>
      <c r="B977" s="5"/>
      <c r="C977" s="30"/>
      <c r="D977" s="16"/>
      <c r="E977" s="14"/>
      <c r="F977" s="31"/>
      <c r="G977" s="30"/>
      <c r="H977" s="5"/>
      <c r="I977" s="32"/>
      <c r="J977" s="33"/>
      <c r="K977" s="34"/>
    </row>
    <row r="978" spans="1:11" ht="13.2">
      <c r="A978" s="5"/>
      <c r="B978" s="5"/>
      <c r="C978" s="30"/>
      <c r="D978" s="16"/>
      <c r="E978" s="14"/>
      <c r="F978" s="31"/>
      <c r="G978" s="30"/>
      <c r="H978" s="5"/>
      <c r="I978" s="32"/>
      <c r="J978" s="33"/>
      <c r="K978" s="34"/>
    </row>
    <row r="979" spans="1:11" ht="13.2">
      <c r="A979" s="5"/>
      <c r="B979" s="5"/>
      <c r="C979" s="30"/>
      <c r="D979" s="16"/>
      <c r="E979" s="14"/>
      <c r="F979" s="31"/>
      <c r="G979" s="30"/>
      <c r="H979" s="5"/>
      <c r="I979" s="32"/>
      <c r="J979" s="33"/>
      <c r="K979" s="34"/>
    </row>
    <row r="980" spans="1:11" ht="13.2">
      <c r="A980" s="5"/>
      <c r="B980" s="5"/>
      <c r="C980" s="30"/>
      <c r="D980" s="16"/>
      <c r="E980" s="14"/>
      <c r="F980" s="31"/>
      <c r="G980" s="30"/>
      <c r="H980" s="5"/>
      <c r="I980" s="32"/>
      <c r="J980" s="33"/>
      <c r="K980" s="34"/>
    </row>
    <row r="981" spans="1:11" ht="13.2">
      <c r="A981" s="5"/>
      <c r="B981" s="5"/>
      <c r="C981" s="30"/>
      <c r="D981" s="16"/>
      <c r="E981" s="14"/>
      <c r="F981" s="31"/>
      <c r="G981" s="30"/>
      <c r="H981" s="5"/>
      <c r="I981" s="32"/>
      <c r="J981" s="33"/>
      <c r="K981" s="34"/>
    </row>
    <row r="982" spans="1:11" ht="13.2">
      <c r="A982" s="5"/>
      <c r="B982" s="5"/>
      <c r="C982" s="30"/>
      <c r="D982" s="16"/>
      <c r="E982" s="14"/>
      <c r="F982" s="31"/>
      <c r="G982" s="30"/>
      <c r="H982" s="5"/>
      <c r="I982" s="32"/>
      <c r="J982" s="33"/>
      <c r="K982" s="34"/>
    </row>
    <row r="983" spans="1:11" ht="13.2">
      <c r="A983" s="5"/>
      <c r="B983" s="5"/>
      <c r="C983" s="30"/>
      <c r="D983" s="16"/>
      <c r="E983" s="14"/>
      <c r="F983" s="31"/>
      <c r="G983" s="30"/>
      <c r="H983" s="5"/>
      <c r="I983" s="32"/>
      <c r="J983" s="33"/>
      <c r="K983" s="34"/>
    </row>
    <row r="984" spans="1:11" ht="13.2">
      <c r="A984" s="5"/>
      <c r="B984" s="5"/>
      <c r="C984" s="30"/>
      <c r="D984" s="16"/>
      <c r="E984" s="14"/>
      <c r="F984" s="31"/>
      <c r="G984" s="30"/>
      <c r="H984" s="5"/>
      <c r="I984" s="32"/>
      <c r="J984" s="33"/>
      <c r="K984" s="34"/>
    </row>
    <row r="985" spans="1:11" ht="13.2">
      <c r="A985" s="5"/>
      <c r="B985" s="5"/>
      <c r="C985" s="30"/>
      <c r="D985" s="16"/>
      <c r="E985" s="14"/>
      <c r="F985" s="31"/>
      <c r="G985" s="30"/>
      <c r="H985" s="5"/>
      <c r="I985" s="32"/>
      <c r="J985" s="33"/>
      <c r="K985" s="34"/>
    </row>
    <row r="986" spans="1:11" ht="13.2">
      <c r="A986" s="5"/>
      <c r="B986" s="5"/>
      <c r="C986" s="30"/>
      <c r="D986" s="16"/>
      <c r="E986" s="14"/>
      <c r="F986" s="31"/>
      <c r="G986" s="30"/>
      <c r="H986" s="5"/>
      <c r="I986" s="32"/>
      <c r="J986" s="33"/>
      <c r="K986" s="34"/>
    </row>
    <row r="987" spans="1:11" ht="13.2">
      <c r="A987" s="5"/>
      <c r="B987" s="5"/>
      <c r="C987" s="30"/>
      <c r="D987" s="16"/>
      <c r="E987" s="14"/>
      <c r="F987" s="31"/>
      <c r="G987" s="30"/>
      <c r="H987" s="5"/>
      <c r="I987" s="32"/>
      <c r="J987" s="33"/>
      <c r="K987" s="34"/>
    </row>
    <row r="988" spans="1:11" ht="13.2">
      <c r="A988" s="5"/>
      <c r="B988" s="5"/>
      <c r="C988" s="30"/>
      <c r="D988" s="16"/>
      <c r="E988" s="14"/>
      <c r="F988" s="31"/>
      <c r="G988" s="30"/>
      <c r="H988" s="5"/>
      <c r="I988" s="32"/>
      <c r="J988" s="33"/>
      <c r="K988" s="34"/>
    </row>
    <row r="989" spans="1:11" ht="13.2">
      <c r="A989" s="5"/>
      <c r="B989" s="5"/>
      <c r="C989" s="30"/>
      <c r="D989" s="16"/>
      <c r="E989" s="14"/>
      <c r="F989" s="31"/>
      <c r="G989" s="30"/>
      <c r="H989" s="5"/>
      <c r="I989" s="32"/>
      <c r="J989" s="33"/>
      <c r="K989" s="34"/>
    </row>
    <row r="990" spans="1:11" ht="13.2">
      <c r="A990" s="5"/>
      <c r="B990" s="5"/>
      <c r="C990" s="30"/>
      <c r="D990" s="16"/>
      <c r="E990" s="14"/>
      <c r="F990" s="31"/>
      <c r="G990" s="30"/>
      <c r="H990" s="5"/>
      <c r="I990" s="32"/>
      <c r="J990" s="33"/>
      <c r="K990" s="34"/>
    </row>
    <row r="991" spans="1:11" ht="13.2">
      <c r="A991" s="5"/>
      <c r="B991" s="5"/>
      <c r="C991" s="30"/>
      <c r="D991" s="16"/>
      <c r="E991" s="14"/>
      <c r="F991" s="31"/>
      <c r="G991" s="30"/>
      <c r="H991" s="5"/>
      <c r="I991" s="32"/>
      <c r="J991" s="33"/>
      <c r="K991" s="34"/>
    </row>
    <row r="992" spans="1:11" ht="13.2">
      <c r="A992" s="5"/>
      <c r="B992" s="5"/>
      <c r="C992" s="30"/>
      <c r="D992" s="16"/>
      <c r="E992" s="14"/>
      <c r="F992" s="31"/>
      <c r="G992" s="30"/>
      <c r="H992" s="5"/>
      <c r="I992" s="32"/>
      <c r="J992" s="33"/>
      <c r="K992" s="34"/>
    </row>
    <row r="993" spans="1:11" ht="13.2">
      <c r="A993" s="5"/>
      <c r="B993" s="5"/>
      <c r="C993" s="30"/>
      <c r="D993" s="16"/>
      <c r="E993" s="14"/>
      <c r="F993" s="31"/>
      <c r="G993" s="30"/>
      <c r="H993" s="5"/>
      <c r="I993" s="32"/>
      <c r="J993" s="33"/>
      <c r="K993" s="34"/>
    </row>
    <row r="994" spans="1:11" ht="13.2">
      <c r="A994" s="5"/>
      <c r="B994" s="5"/>
      <c r="C994" s="30"/>
      <c r="D994" s="16"/>
      <c r="E994" s="14"/>
      <c r="F994" s="31"/>
      <c r="G994" s="30"/>
      <c r="H994" s="5"/>
      <c r="I994" s="32"/>
      <c r="J994" s="33"/>
      <c r="K994" s="34"/>
    </row>
    <row r="995" spans="1:11" ht="13.2">
      <c r="A995" s="5"/>
      <c r="B995" s="5"/>
      <c r="C995" s="30"/>
      <c r="D995" s="16"/>
      <c r="E995" s="14"/>
      <c r="F995" s="31"/>
      <c r="G995" s="30"/>
      <c r="H995" s="5"/>
      <c r="I995" s="32"/>
      <c r="J995" s="33"/>
      <c r="K995" s="34"/>
    </row>
    <row r="996" spans="1:11" ht="13.2">
      <c r="A996" s="5"/>
      <c r="B996" s="5"/>
      <c r="C996" s="30"/>
      <c r="D996" s="16"/>
      <c r="E996" s="14"/>
      <c r="F996" s="31"/>
      <c r="G996" s="30"/>
      <c r="H996" s="5"/>
      <c r="I996" s="32"/>
      <c r="J996" s="33"/>
      <c r="K996" s="34"/>
    </row>
    <row r="997" spans="1:11" ht="13.2">
      <c r="A997" s="5"/>
      <c r="B997" s="5"/>
      <c r="C997" s="30"/>
      <c r="D997" s="16"/>
      <c r="E997" s="14"/>
      <c r="F997" s="31"/>
      <c r="G997" s="30"/>
      <c r="H997" s="5"/>
      <c r="I997" s="32"/>
      <c r="J997" s="33"/>
      <c r="K997" s="34"/>
    </row>
    <row r="998" spans="1:11" ht="13.2">
      <c r="A998" s="5"/>
      <c r="B998" s="5"/>
      <c r="C998" s="30"/>
      <c r="D998" s="16"/>
      <c r="E998" s="14"/>
      <c r="F998" s="31"/>
      <c r="G998" s="30"/>
      <c r="H998" s="5"/>
      <c r="I998" s="32"/>
      <c r="J998" s="33"/>
      <c r="K998" s="34"/>
    </row>
    <row r="999" spans="1:11" ht="13.2">
      <c r="A999" s="5"/>
      <c r="B999" s="5"/>
      <c r="C999" s="30"/>
      <c r="D999" s="16"/>
      <c r="E999" s="14"/>
      <c r="F999" s="31"/>
      <c r="G999" s="30"/>
      <c r="H999" s="5"/>
      <c r="I999" s="32"/>
      <c r="J999" s="33"/>
      <c r="K999" s="34"/>
    </row>
    <row r="1000" spans="1:11" ht="13.2">
      <c r="A1000" s="5"/>
      <c r="B1000" s="5"/>
      <c r="D1000" s="16"/>
      <c r="E1000" s="14"/>
      <c r="F1000" s="5"/>
      <c r="H1000" s="5"/>
      <c r="I1000" s="35"/>
      <c r="J1000" s="36"/>
      <c r="K1000" s="37"/>
    </row>
  </sheetData>
  <dataValidations count="1">
    <dataValidation type="list" allowBlank="1" sqref="E1:E1000" xr:uid="{00000000-0002-0000-0100-000000000000}">
      <formula1>"0,1/8,1/4,1/2,1,2,3,4,5,6,7,8,9,10,11,12,13,14,15,16,17,18,19,20,21,22,23,24,25,26,27,28,29,30"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4"/>
  <sheetViews>
    <sheetView workbookViewId="0"/>
  </sheetViews>
  <sheetFormatPr defaultColWidth="12.6640625" defaultRowHeight="15.75" customHeight="1"/>
  <cols>
    <col min="5" max="5" width="14.77734375" customWidth="1"/>
    <col min="6" max="6" width="26" customWidth="1"/>
    <col min="7" max="7" width="37.33203125" customWidth="1"/>
    <col min="8" max="8" width="22.21875" customWidth="1"/>
  </cols>
  <sheetData>
    <row r="1" spans="1:29" ht="15.75" customHeight="1">
      <c r="A1" s="10" t="s">
        <v>675</v>
      </c>
      <c r="B1" s="8" t="s">
        <v>2</v>
      </c>
      <c r="C1" s="38" t="s">
        <v>676</v>
      </c>
      <c r="D1" s="8" t="s">
        <v>677</v>
      </c>
      <c r="E1" s="39" t="s">
        <v>678</v>
      </c>
      <c r="F1" s="40" t="s">
        <v>679</v>
      </c>
      <c r="G1" s="8" t="s">
        <v>680</v>
      </c>
      <c r="H1" s="8"/>
      <c r="I1" s="3"/>
      <c r="J1" s="8"/>
      <c r="K1" s="8"/>
      <c r="L1" s="8"/>
      <c r="M1" s="3"/>
      <c r="N1" s="8"/>
      <c r="O1" s="8"/>
      <c r="P1" s="8"/>
      <c r="Q1" s="3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14" t="s">
        <v>68</v>
      </c>
      <c r="B2" s="5" t="s">
        <v>681</v>
      </c>
      <c r="C2" s="41">
        <v>0.5</v>
      </c>
      <c r="D2" s="41">
        <v>0.5</v>
      </c>
      <c r="E2" s="42" t="s">
        <v>3</v>
      </c>
      <c r="F2" s="43">
        <v>1</v>
      </c>
      <c r="G2" s="41" t="str">
        <f ca="1">IFERROR(__xludf.DUMMYFUNCTION("IF(E2=""Cost"",QUERY('Import Items'!A2:D1004 , ""Select B where D &lt; ""&amp; F2 &amp;"" AND C = '""&amp; B2 &amp;""' order by D desc limit 1""),QUERY('Import Items'!A2:D1004,""Select B where A = ""&amp; F2 &amp;"" AND C = '""&amp; B2 &amp;""'""))"),"Blanket, winter")</f>
        <v>Blanket, winter</v>
      </c>
    </row>
    <row r="3" spans="1:29" ht="15.75" customHeight="1">
      <c r="A3" s="14" t="s">
        <v>68</v>
      </c>
      <c r="B3" s="5" t="s">
        <v>681</v>
      </c>
      <c r="C3" s="41">
        <v>0.5</v>
      </c>
      <c r="D3" s="41">
        <v>1</v>
      </c>
      <c r="E3" s="42" t="s">
        <v>3</v>
      </c>
      <c r="F3" s="43">
        <v>0.02</v>
      </c>
      <c r="G3" s="41" t="str">
        <f ca="1">IFERROR(__xludf.DUMMYFUNCTION("IF(E3=""Cost"",QUERY('Import Items'!A3:D1004 , ""Select B where D &lt; ""&amp; F3 &amp;"" AND C = '""&amp; B3 &amp;""' order by D desc limit 1""),QUERY('Import Items'!A3:D1004,""Select B where A = ""&amp; F3 &amp;"" AND C = '""&amp; B3 &amp;""'""))"),"Chalk, 1 piece")</f>
        <v>Chalk, 1 piece</v>
      </c>
    </row>
    <row r="4" spans="1:29" ht="15.75" customHeight="1">
      <c r="A4" s="14" t="s">
        <v>128</v>
      </c>
      <c r="B4" s="5" t="s">
        <v>681</v>
      </c>
      <c r="C4" s="41">
        <v>0.5</v>
      </c>
      <c r="D4" s="41">
        <v>0.5</v>
      </c>
      <c r="E4" s="42" t="s">
        <v>3</v>
      </c>
      <c r="F4" s="43">
        <v>0.1</v>
      </c>
      <c r="G4" s="41" t="str">
        <f ca="1">IFERROR(__xludf.DUMMYFUNCTION("IF(E4=""Cost"",QUERY('Import Items'!A4:D1004 , ""Select B where D &lt; ""&amp; F4 &amp;"" AND C = '""&amp; B4 &amp;""' order by D desc limit 1""),QUERY('Import Items'!A4:D1004,""Select B where A = ""&amp; F4 &amp;"" AND C = '""&amp; B4 &amp;""'""))"),"Signal whistle")</f>
        <v>Signal whistle</v>
      </c>
    </row>
    <row r="5" spans="1:29" ht="15.75" customHeight="1">
      <c r="A5" s="14" t="s">
        <v>128</v>
      </c>
      <c r="B5" s="5" t="s">
        <v>681</v>
      </c>
      <c r="C5" s="41">
        <v>0.5</v>
      </c>
      <c r="D5" s="41">
        <v>1</v>
      </c>
      <c r="E5" s="42" t="s">
        <v>3</v>
      </c>
      <c r="F5" s="43">
        <v>0.6</v>
      </c>
      <c r="G5" s="41" t="str">
        <f ca="1">IFERROR(__xludf.DUMMYFUNCTION("IF(E5=""Cost"",QUERY('Import Items'!A5:D1004 , ""Select B where D &lt; ""&amp; F5 &amp;"" AND C = '""&amp; B5 &amp;""' order by D desc limit 1""),QUERY('Import Items'!A5:D1004,""Select B where A = ""&amp; F5 &amp;"" AND C = '""&amp; B5 &amp;""'""))"),"Blanket, winter")</f>
        <v>Blanket, winter</v>
      </c>
    </row>
    <row r="6" spans="1:29" ht="15.75" customHeight="1">
      <c r="A6" s="14" t="s">
        <v>177</v>
      </c>
      <c r="B6" s="5" t="s">
        <v>682</v>
      </c>
      <c r="C6" s="41">
        <v>0.05</v>
      </c>
      <c r="D6" s="41">
        <v>0.05</v>
      </c>
      <c r="E6" s="42" t="s">
        <v>0</v>
      </c>
      <c r="F6" s="43">
        <v>5</v>
      </c>
      <c r="G6" s="41" t="str">
        <f ca="1">IFERROR(__xludf.DUMMYFUNCTION("IF(E6=""Cost"",QUERY('Import Items'!A6:D1004 , ""Select B where D &lt; ""&amp; F6 &amp;"" AND C = '""&amp; B6 &amp;""' order by D desc limit 1""),QUERY('Import Items'!A6:D1004,""Select B where A = ""&amp; F6 &amp;"" AND C = '""&amp; B6 &amp;""'""))"),"Gauntlet, spiked")</f>
        <v>Gauntlet, spiked</v>
      </c>
    </row>
    <row r="7" spans="1:29" ht="15.75" customHeight="1">
      <c r="A7" s="14" t="s">
        <v>177</v>
      </c>
      <c r="B7" s="5" t="s">
        <v>682</v>
      </c>
      <c r="C7" s="41">
        <v>0.1</v>
      </c>
      <c r="D7" s="41">
        <v>0.15000000000000002</v>
      </c>
      <c r="E7" s="42" t="s">
        <v>3</v>
      </c>
      <c r="F7" s="43">
        <v>5</v>
      </c>
      <c r="G7" s="41" t="str">
        <f ca="1">IFERROR(__xludf.DUMMYFUNCTION("IF(E7=""Cost"",QUERY('Import Items'!A7:D1004 , ""Select B where D &lt; ""&amp; F7 &amp;"" AND C = '""&amp; B7 &amp;""' order by D desc limit 1""),QUERY('Import Items'!A7:D1004,""Select B where A = ""&amp; F7 &amp;"" AND C = '""&amp; B7 &amp;""'""))"),"Pick, light")</f>
        <v>Pick, light</v>
      </c>
    </row>
    <row r="8" spans="1:29" ht="15.75" customHeight="1">
      <c r="A8" s="14" t="s">
        <v>177</v>
      </c>
      <c r="B8" s="5" t="s">
        <v>682</v>
      </c>
      <c r="C8" s="41">
        <v>0.1</v>
      </c>
      <c r="D8" s="41">
        <v>0.25</v>
      </c>
      <c r="E8" s="42" t="s">
        <v>3</v>
      </c>
      <c r="F8" s="43">
        <v>0.05</v>
      </c>
      <c r="G8" s="41" t="str">
        <f ca="1">IFERROR(__xludf.DUMMYFUNCTION("IF(E8=""Cost"",QUERY('Import Items'!A8:D1004 , ""Select B where D &lt; ""&amp; F8 &amp;"" AND C = '""&amp; B8 &amp;""' order by D desc limit 1""),QUERY('Import Items'!A8:D1004,""Select B where A = ""&amp; F8 &amp;"" AND C = '""&amp; B8 &amp;""'""))"),"Sling")</f>
        <v>Sling</v>
      </c>
    </row>
    <row r="9" spans="1:29" ht="15.75" customHeight="1">
      <c r="A9" s="14" t="s">
        <v>177</v>
      </c>
      <c r="B9" s="5" t="s">
        <v>683</v>
      </c>
      <c r="C9" s="41">
        <v>0.25</v>
      </c>
      <c r="D9" s="41">
        <v>0.5</v>
      </c>
      <c r="E9" s="42" t="s">
        <v>3</v>
      </c>
      <c r="F9" s="43">
        <v>4</v>
      </c>
      <c r="G9" s="41" t="str">
        <f ca="1">IFERROR(__xludf.DUMMYFUNCTION("IF(E9=""Cost"",QUERY('Import Items'!A9:D1004 , ""Select B where D &lt; ""&amp; F9 &amp;"" AND C = '""&amp; B9 &amp;""' order by D desc limit 1""),QUERY('Import Items'!A9:D1004,""Select B where A = ""&amp; F9 &amp;"" AND C = '""&amp; B9 &amp;""'""))"),"Shield, light wooden")</f>
        <v>Shield, light wooden</v>
      </c>
    </row>
    <row r="10" spans="1:29" ht="15.75" customHeight="1">
      <c r="A10" s="14" t="s">
        <v>177</v>
      </c>
      <c r="B10" s="5" t="s">
        <v>681</v>
      </c>
      <c r="C10" s="41">
        <v>0.25</v>
      </c>
      <c r="D10" s="41">
        <v>0.75</v>
      </c>
      <c r="E10" s="42" t="s">
        <v>3</v>
      </c>
      <c r="F10" s="43">
        <v>0.05</v>
      </c>
      <c r="G10" s="41" t="str">
        <f ca="1">IFERROR(__xludf.DUMMYFUNCTION("IF(E10=""Cost"",QUERY('Import Items'!A10:D1004 , ""Select B where D &lt; ""&amp; F10 &amp;"" AND C = '""&amp; B10 &amp;""' order by D desc limit 1""),QUERY('Import Items'!A10:D1004,""Select B where A = ""&amp; F10 &amp;"" AND C = '""&amp; B10 &amp;""'""))"),"Jug, clay")</f>
        <v>Jug, clay</v>
      </c>
    </row>
    <row r="11" spans="1:29" ht="15.75" customHeight="1">
      <c r="A11" s="14" t="s">
        <v>177</v>
      </c>
      <c r="B11" s="5" t="s">
        <v>682</v>
      </c>
      <c r="C11" s="41">
        <v>0.25</v>
      </c>
      <c r="D11" s="41">
        <v>1</v>
      </c>
      <c r="E11" s="42" t="s">
        <v>3</v>
      </c>
      <c r="F11" s="43">
        <v>0.1</v>
      </c>
      <c r="G11" s="41" t="str">
        <f ca="1">IFERROR(__xludf.DUMMYFUNCTION("IF(E11=""Cost"",QUERY('Import Items'!A11:D1004 , ""Select B where D &lt; ""&amp; F11 &amp;"" AND C = '""&amp; B11 &amp;""' order by D desc limit 1""),QUERY('Import Items'!A11:D1004,""Select B where A = ""&amp; F11 &amp;"" AND C = '""&amp; B11 &amp;""'""))"),"Dart")</f>
        <v>Dart</v>
      </c>
    </row>
    <row r="12" spans="1:29" ht="15.75" customHeight="1">
      <c r="A12" s="44" t="s">
        <v>225</v>
      </c>
      <c r="B12" s="5" t="s">
        <v>681</v>
      </c>
      <c r="C12" s="41">
        <v>0.1</v>
      </c>
      <c r="D12" s="41">
        <f>C12</f>
        <v>0.1</v>
      </c>
      <c r="E12" s="42" t="s">
        <v>3</v>
      </c>
      <c r="F12" s="45">
        <v>0.1</v>
      </c>
      <c r="G12" s="46" t="str">
        <f ca="1">IFERROR(__xludf.DUMMYFUNCTION("IF(E12=""Cost"",QUERY('Import Items'!A12:D1004 , ""Select B where D &lt; ""&amp; F12 &amp;"" AND C = '""&amp; B12 &amp;""' order by D desc limit 1""),QUERY('Import Items'!A12:D1004,""Select B where A = ""&amp; F12 &amp;"" AND C = '""&amp; B12 &amp;""'""))"),"Signal whistle")</f>
        <v>Signal whistle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>
      <c r="A13" s="14" t="s">
        <v>225</v>
      </c>
      <c r="B13" s="5" t="s">
        <v>681</v>
      </c>
      <c r="C13" s="41">
        <v>0.2</v>
      </c>
      <c r="D13" s="41">
        <f t="shared" ref="D13:D17" si="0">D12+C13</f>
        <v>0.30000000000000004</v>
      </c>
      <c r="E13" s="42" t="s">
        <v>3</v>
      </c>
      <c r="F13" s="48">
        <v>8</v>
      </c>
      <c r="G13" s="41" t="str">
        <f ca="1">IFERROR(__xludf.DUMMYFUNCTION("IF(E13=""Cost"",QUERY('Import Items'!A13:D1004 , ""Select B where D &lt; ""&amp; F13 &amp;"" AND C = '""&amp; B13 &amp;""' order by D desc limit 1""),QUERY('Import Items'!A13:D1004,""Select B where A = ""&amp; F13 &amp;"" AND C = '""&amp; B13 &amp;""'""))"),"Lantern, hooded")</f>
        <v>Lantern, hooded</v>
      </c>
    </row>
    <row r="14" spans="1:29" ht="15.75" customHeight="1">
      <c r="A14" s="14" t="s">
        <v>225</v>
      </c>
      <c r="B14" s="5" t="s">
        <v>682</v>
      </c>
      <c r="C14" s="41">
        <v>0.4</v>
      </c>
      <c r="D14" s="41">
        <f t="shared" si="0"/>
        <v>0.70000000000000007</v>
      </c>
      <c r="E14" s="42" t="s">
        <v>3</v>
      </c>
      <c r="F14" s="48">
        <v>6</v>
      </c>
      <c r="G14" s="41" t="str">
        <f ca="1">IFERROR(__xludf.DUMMYFUNCTION("IF(E14=""Cost"",QUERY('Import Items'!A14:D1004 , ""Select B where D &lt; ""&amp; F14 &amp;"" AND C = '""&amp; B14 &amp;""' order by D desc limit 1""),QUERY('Import Items'!A14:D1004,""Select B where A = ""&amp; F14 &amp;"" AND C = '""&amp; B14 &amp;""'""))"),"Greatclub")</f>
        <v>Greatclub</v>
      </c>
    </row>
    <row r="15" spans="1:29" ht="15.75" customHeight="1">
      <c r="A15" s="14" t="s">
        <v>225</v>
      </c>
      <c r="B15" s="5" t="s">
        <v>682</v>
      </c>
      <c r="C15" s="41">
        <v>0.1</v>
      </c>
      <c r="D15" s="41">
        <f t="shared" si="0"/>
        <v>0.8</v>
      </c>
      <c r="E15" s="42" t="s">
        <v>3</v>
      </c>
      <c r="F15" s="48">
        <v>5</v>
      </c>
      <c r="G15" s="41" t="str">
        <f ca="1">IFERROR(__xludf.DUMMYFUNCTION("IF(E15=""Cost"",QUERY('Import Items'!A15:D1004 , ""Select B where D &lt; ""&amp; F15 &amp;"" AND C = '""&amp; B15 &amp;""' order by D desc limit 1""),QUERY('Import Items'!A15:D1004,""Select B where A = ""&amp; F15 &amp;"" AND C = '""&amp; B15 &amp;""'""))"),"Pick, light")</f>
        <v>Pick, light</v>
      </c>
    </row>
    <row r="16" spans="1:29" ht="15.75" customHeight="1">
      <c r="A16" s="14" t="s">
        <v>225</v>
      </c>
      <c r="B16" s="5" t="s">
        <v>683</v>
      </c>
      <c r="C16" s="41">
        <v>0.1</v>
      </c>
      <c r="D16" s="41">
        <f t="shared" si="0"/>
        <v>0.9</v>
      </c>
      <c r="E16" s="42" t="s">
        <v>3</v>
      </c>
      <c r="F16" s="48">
        <v>4</v>
      </c>
      <c r="G16" s="41" t="str">
        <f ca="1">IFERROR(__xludf.DUMMYFUNCTION("IF(E16=""Cost"",QUERY('Import Items'!A16:D1004 , ""Select B where D &lt; ""&amp; F16 &amp;"" AND C = '""&amp; B16 &amp;""' order by D desc limit 1""),QUERY('Import Items'!A16:D1004,""Select B where A = ""&amp; F16 &amp;"" AND C = '""&amp; B16 &amp;""'""))"),"Shield, light wooden")</f>
        <v>Shield, light wooden</v>
      </c>
    </row>
    <row r="17" spans="1:7" ht="15.75" customHeight="1">
      <c r="A17" s="14" t="s">
        <v>225</v>
      </c>
      <c r="B17" s="5" t="s">
        <v>683</v>
      </c>
      <c r="C17" s="41">
        <v>0.1</v>
      </c>
      <c r="D17" s="41">
        <f t="shared" si="0"/>
        <v>1</v>
      </c>
      <c r="E17" s="42" t="s">
        <v>3</v>
      </c>
      <c r="F17" s="48">
        <v>10</v>
      </c>
      <c r="G17" s="41" t="str">
        <f ca="1">IFERROR(__xludf.DUMMYFUNCTION("IF(E17=""Cost"",QUERY('Import Items'!A17:D1004 , ""Select B where D &lt; ""&amp; F17 &amp;"" AND C = '""&amp; B17 &amp;""' order by D desc limit 1""),QUERY('Import Items'!A17:D1004,""Select B where A = ""&amp; F17 &amp;"" AND C = '""&amp; B17 &amp;""'""))"),"Shield, light steel")</f>
        <v>Shield, light steel</v>
      </c>
    </row>
    <row r="18" spans="1:7" ht="15.75" customHeight="1">
      <c r="A18" s="49"/>
      <c r="B18" s="5"/>
      <c r="C18" s="41"/>
      <c r="D18" s="41"/>
      <c r="E18" s="42"/>
      <c r="F18" s="43"/>
      <c r="G18" s="41"/>
    </row>
    <row r="19" spans="1:7" ht="15.75" customHeight="1">
      <c r="A19" s="49"/>
      <c r="B19" s="5"/>
      <c r="C19" s="41"/>
      <c r="D19" s="41"/>
      <c r="E19" s="42"/>
      <c r="F19" s="43"/>
      <c r="G19" s="41"/>
    </row>
    <row r="20" spans="1:7" ht="15.75" customHeight="1">
      <c r="A20" s="49"/>
      <c r="B20" s="5"/>
      <c r="C20" s="41"/>
      <c r="D20" s="41"/>
      <c r="E20" s="42"/>
      <c r="F20" s="43"/>
      <c r="G20" s="41"/>
    </row>
    <row r="21" spans="1:7" ht="15.75" customHeight="1">
      <c r="A21" s="49"/>
      <c r="B21" s="5"/>
      <c r="C21" s="41"/>
      <c r="D21" s="41"/>
      <c r="E21" s="42"/>
      <c r="F21" s="43"/>
      <c r="G21" s="41"/>
    </row>
    <row r="22" spans="1:7" ht="15.75" customHeight="1">
      <c r="A22" s="49"/>
      <c r="B22" s="50"/>
      <c r="C22" s="51"/>
      <c r="D22" s="51"/>
      <c r="E22" s="52"/>
      <c r="F22" s="53"/>
      <c r="G22" s="51"/>
    </row>
    <row r="23" spans="1:7" ht="15.75" customHeight="1">
      <c r="A23" s="49"/>
      <c r="B23" s="50"/>
      <c r="C23" s="51"/>
      <c r="D23" s="51"/>
      <c r="E23" s="52"/>
      <c r="F23" s="53"/>
      <c r="G23" s="51"/>
    </row>
    <row r="24" spans="1:7" ht="15.75" customHeight="1">
      <c r="A24" s="49"/>
      <c r="B24" s="5"/>
      <c r="C24" s="41"/>
      <c r="D24" s="41"/>
      <c r="E24" s="42"/>
      <c r="F24" s="43"/>
      <c r="G24" s="41"/>
    </row>
    <row r="25" spans="1:7" ht="15.75" customHeight="1">
      <c r="A25" s="49"/>
      <c r="B25" s="5"/>
      <c r="C25" s="41"/>
      <c r="D25" s="41"/>
      <c r="E25" s="42"/>
      <c r="F25" s="54"/>
      <c r="G25" s="41"/>
    </row>
    <row r="26" spans="1:7" ht="15.75" customHeight="1">
      <c r="A26" s="49"/>
      <c r="B26" s="5"/>
      <c r="C26" s="41"/>
      <c r="D26" s="41"/>
      <c r="E26" s="42"/>
      <c r="F26" s="55"/>
      <c r="G26" s="41"/>
    </row>
    <row r="27" spans="1:7" ht="13.2">
      <c r="A27" s="49"/>
      <c r="B27" s="5"/>
      <c r="C27" s="41"/>
      <c r="D27" s="41"/>
      <c r="E27" s="42"/>
      <c r="F27" s="43"/>
      <c r="G27" s="41"/>
    </row>
    <row r="28" spans="1:7" ht="13.2">
      <c r="A28" s="49"/>
      <c r="B28" s="5"/>
      <c r="C28" s="41"/>
      <c r="D28" s="41"/>
      <c r="E28" s="42"/>
      <c r="F28" s="43"/>
      <c r="G28" s="41"/>
    </row>
    <row r="29" spans="1:7" ht="13.2">
      <c r="A29" s="49"/>
      <c r="B29" s="5"/>
      <c r="C29" s="41"/>
      <c r="D29" s="41"/>
      <c r="E29" s="42"/>
      <c r="F29" s="43"/>
      <c r="G29" s="41"/>
    </row>
    <row r="30" spans="1:7" ht="13.2">
      <c r="A30" s="49"/>
      <c r="B30" s="5"/>
      <c r="C30" s="41"/>
      <c r="D30" s="41"/>
      <c r="E30" s="42"/>
      <c r="F30" s="43"/>
      <c r="G30" s="41"/>
    </row>
    <row r="31" spans="1:7" ht="13.2">
      <c r="A31" s="49"/>
      <c r="B31" s="5"/>
      <c r="C31" s="41"/>
      <c r="D31" s="41"/>
      <c r="E31" s="42"/>
      <c r="F31" s="43"/>
      <c r="G31" s="41"/>
    </row>
    <row r="32" spans="1:7" ht="13.2">
      <c r="A32" s="49"/>
      <c r="B32" s="5"/>
      <c r="C32" s="41"/>
      <c r="D32" s="41"/>
      <c r="E32" s="42"/>
      <c r="F32" s="43"/>
      <c r="G32" s="41"/>
    </row>
    <row r="33" spans="1:7" ht="13.2">
      <c r="A33" s="49"/>
      <c r="B33" s="5"/>
      <c r="C33" s="41"/>
      <c r="D33" s="41"/>
      <c r="E33" s="42"/>
      <c r="F33" s="43"/>
      <c r="G33" s="41"/>
    </row>
    <row r="34" spans="1:7" ht="13.2">
      <c r="A34" s="49"/>
      <c r="B34" s="5"/>
      <c r="C34" s="41"/>
      <c r="D34" s="41"/>
      <c r="E34" s="42"/>
      <c r="F34" s="43"/>
      <c r="G34" s="41"/>
    </row>
    <row r="35" spans="1:7" ht="13.2">
      <c r="A35" s="49"/>
      <c r="B35" s="5"/>
      <c r="C35" s="41"/>
      <c r="D35" s="41"/>
      <c r="E35" s="42"/>
      <c r="F35" s="43"/>
      <c r="G35" s="41"/>
    </row>
    <row r="36" spans="1:7" ht="13.2">
      <c r="A36" s="49"/>
      <c r="B36" s="5"/>
      <c r="C36" s="41"/>
      <c r="D36" s="41"/>
      <c r="E36" s="42"/>
      <c r="F36" s="43"/>
      <c r="G36" s="41"/>
    </row>
    <row r="37" spans="1:7" ht="13.2">
      <c r="A37" s="49"/>
      <c r="B37" s="5"/>
      <c r="C37" s="41"/>
      <c r="D37" s="41"/>
      <c r="E37" s="42"/>
      <c r="F37" s="43"/>
      <c r="G37" s="41"/>
    </row>
    <row r="38" spans="1:7" ht="13.2">
      <c r="A38" s="49"/>
      <c r="B38" s="5"/>
      <c r="C38" s="41"/>
      <c r="D38" s="41"/>
      <c r="E38" s="42"/>
      <c r="F38" s="43"/>
      <c r="G38" s="41"/>
    </row>
    <row r="39" spans="1:7" ht="13.2">
      <c r="A39" s="49"/>
      <c r="B39" s="5"/>
      <c r="C39" s="41"/>
      <c r="D39" s="41"/>
      <c r="E39" s="42"/>
      <c r="F39" s="43"/>
      <c r="G39" s="41"/>
    </row>
    <row r="40" spans="1:7" ht="13.2">
      <c r="A40" s="49"/>
      <c r="B40" s="5"/>
      <c r="C40" s="41"/>
      <c r="D40" s="41"/>
      <c r="E40" s="42"/>
      <c r="F40" s="43"/>
      <c r="G40" s="41"/>
    </row>
    <row r="41" spans="1:7" ht="13.2">
      <c r="A41" s="49"/>
      <c r="B41" s="5"/>
      <c r="C41" s="41"/>
      <c r="D41" s="41"/>
      <c r="E41" s="42"/>
      <c r="F41" s="43"/>
      <c r="G41" s="41"/>
    </row>
    <row r="42" spans="1:7" ht="13.2">
      <c r="A42" s="49"/>
      <c r="B42" s="5"/>
      <c r="C42" s="41"/>
      <c r="D42" s="41"/>
      <c r="E42" s="42"/>
      <c r="F42" s="43"/>
      <c r="G42" s="41"/>
    </row>
    <row r="43" spans="1:7" ht="13.2">
      <c r="A43" s="49"/>
      <c r="B43" s="5"/>
      <c r="C43" s="41"/>
      <c r="D43" s="41"/>
      <c r="E43" s="42"/>
      <c r="F43" s="43"/>
      <c r="G43" s="41"/>
    </row>
    <row r="44" spans="1:7" ht="13.2">
      <c r="A44" s="49"/>
      <c r="B44" s="5"/>
      <c r="C44" s="41"/>
      <c r="D44" s="41"/>
      <c r="E44" s="42"/>
      <c r="F44" s="43"/>
      <c r="G44" s="41"/>
    </row>
    <row r="45" spans="1:7" ht="13.2">
      <c r="A45" s="49"/>
      <c r="B45" s="5"/>
      <c r="C45" s="41"/>
      <c r="D45" s="41"/>
      <c r="E45" s="42"/>
      <c r="F45" s="43"/>
      <c r="G45" s="41"/>
    </row>
    <row r="46" spans="1:7" ht="13.2">
      <c r="A46" s="49"/>
      <c r="B46" s="5"/>
      <c r="C46" s="41"/>
      <c r="D46" s="41"/>
      <c r="E46" s="42"/>
      <c r="F46" s="43"/>
      <c r="G46" s="41"/>
    </row>
    <row r="47" spans="1:7" ht="13.2">
      <c r="A47" s="49"/>
      <c r="B47" s="5"/>
      <c r="C47" s="41"/>
      <c r="D47" s="41"/>
      <c r="E47" s="42"/>
      <c r="F47" s="43"/>
      <c r="G47" s="41"/>
    </row>
    <row r="48" spans="1:7" ht="13.2">
      <c r="A48" s="49"/>
      <c r="B48" s="5"/>
      <c r="C48" s="41"/>
      <c r="D48" s="41"/>
      <c r="E48" s="42"/>
      <c r="F48" s="43"/>
      <c r="G48" s="41"/>
    </row>
    <row r="49" spans="1:7" ht="13.2">
      <c r="A49" s="49"/>
      <c r="B49" s="5"/>
      <c r="C49" s="41"/>
      <c r="D49" s="41"/>
      <c r="E49" s="42"/>
      <c r="F49" s="43"/>
      <c r="G49" s="41"/>
    </row>
    <row r="50" spans="1:7" ht="13.2">
      <c r="A50" s="49"/>
      <c r="B50" s="5"/>
      <c r="C50" s="41"/>
      <c r="D50" s="41"/>
      <c r="E50" s="42"/>
      <c r="F50" s="43"/>
      <c r="G50" s="41"/>
    </row>
    <row r="51" spans="1:7" ht="13.2">
      <c r="A51" s="49"/>
      <c r="B51" s="5"/>
      <c r="C51" s="41"/>
      <c r="D51" s="41"/>
      <c r="E51" s="42"/>
      <c r="F51" s="43"/>
      <c r="G51" s="41"/>
    </row>
    <row r="52" spans="1:7" ht="13.2">
      <c r="A52" s="49"/>
      <c r="B52" s="5"/>
      <c r="C52" s="41"/>
      <c r="D52" s="41"/>
      <c r="E52" s="42"/>
      <c r="F52" s="43"/>
      <c r="G52" s="41"/>
    </row>
    <row r="53" spans="1:7" ht="13.2">
      <c r="A53" s="49"/>
      <c r="B53" s="5"/>
      <c r="C53" s="41"/>
      <c r="D53" s="41"/>
      <c r="E53" s="42"/>
      <c r="F53" s="43"/>
      <c r="G53" s="41"/>
    </row>
    <row r="54" spans="1:7" ht="13.2">
      <c r="A54" s="49"/>
      <c r="B54" s="5"/>
      <c r="C54" s="41"/>
      <c r="D54" s="41"/>
      <c r="E54" s="42"/>
      <c r="F54" s="43"/>
      <c r="G54" s="41"/>
    </row>
    <row r="55" spans="1:7" ht="13.2">
      <c r="A55" s="49"/>
      <c r="B55" s="5"/>
      <c r="C55" s="41"/>
      <c r="D55" s="41"/>
      <c r="E55" s="42"/>
      <c r="F55" s="43"/>
      <c r="G55" s="41"/>
    </row>
    <row r="56" spans="1:7" ht="13.2">
      <c r="A56" s="49"/>
      <c r="B56" s="5"/>
      <c r="C56" s="41"/>
      <c r="D56" s="41"/>
      <c r="E56" s="42"/>
      <c r="F56" s="43"/>
      <c r="G56" s="41"/>
    </row>
    <row r="57" spans="1:7" ht="13.2">
      <c r="A57" s="49"/>
      <c r="B57" s="5"/>
      <c r="C57" s="41"/>
      <c r="D57" s="41"/>
      <c r="E57" s="42"/>
      <c r="F57" s="43"/>
      <c r="G57" s="41"/>
    </row>
    <row r="58" spans="1:7" ht="13.2">
      <c r="A58" s="49"/>
      <c r="B58" s="5"/>
      <c r="C58" s="41"/>
      <c r="D58" s="41"/>
      <c r="E58" s="42"/>
      <c r="F58" s="43"/>
      <c r="G58" s="41"/>
    </row>
    <row r="59" spans="1:7" ht="13.2">
      <c r="A59" s="49"/>
      <c r="B59" s="5"/>
      <c r="C59" s="41"/>
      <c r="D59" s="41"/>
      <c r="E59" s="42"/>
      <c r="F59" s="43"/>
      <c r="G59" s="41"/>
    </row>
    <row r="60" spans="1:7" ht="13.2">
      <c r="A60" s="49"/>
      <c r="B60" s="5"/>
      <c r="C60" s="41"/>
      <c r="D60" s="41"/>
      <c r="E60" s="42"/>
      <c r="F60" s="43"/>
      <c r="G60" s="41"/>
    </row>
    <row r="61" spans="1:7" ht="13.2">
      <c r="A61" s="49"/>
      <c r="B61" s="5"/>
      <c r="C61" s="41"/>
      <c r="D61" s="41"/>
      <c r="E61" s="42"/>
      <c r="F61" s="43"/>
      <c r="G61" s="41"/>
    </row>
    <row r="62" spans="1:7" ht="13.2">
      <c r="A62" s="49"/>
      <c r="B62" s="5"/>
      <c r="C62" s="41"/>
      <c r="D62" s="41"/>
      <c r="E62" s="42"/>
      <c r="F62" s="43"/>
      <c r="G62" s="41"/>
    </row>
    <row r="63" spans="1:7" ht="13.2">
      <c r="A63" s="49"/>
      <c r="B63" s="5"/>
      <c r="C63" s="41"/>
      <c r="D63" s="41"/>
      <c r="E63" s="42"/>
      <c r="F63" s="43"/>
      <c r="G63" s="41"/>
    </row>
    <row r="64" spans="1:7" ht="13.2">
      <c r="A64" s="49"/>
      <c r="B64" s="5"/>
      <c r="C64" s="41"/>
      <c r="D64" s="41"/>
      <c r="E64" s="42"/>
      <c r="F64" s="43"/>
      <c r="G64" s="41"/>
    </row>
    <row r="65" spans="1:7" ht="13.2">
      <c r="A65" s="49"/>
      <c r="B65" s="5"/>
      <c r="C65" s="41"/>
      <c r="D65" s="41"/>
      <c r="E65" s="42"/>
      <c r="F65" s="43"/>
      <c r="G65" s="41"/>
    </row>
    <row r="66" spans="1:7" ht="13.2">
      <c r="A66" s="49"/>
      <c r="B66" s="5"/>
      <c r="C66" s="41"/>
      <c r="D66" s="41"/>
      <c r="E66" s="42"/>
      <c r="F66" s="43"/>
      <c r="G66" s="41"/>
    </row>
    <row r="67" spans="1:7" ht="13.2">
      <c r="A67" s="49"/>
      <c r="B67" s="5"/>
      <c r="C67" s="41"/>
      <c r="D67" s="41"/>
      <c r="E67" s="42"/>
      <c r="F67" s="43"/>
      <c r="G67" s="41"/>
    </row>
    <row r="68" spans="1:7" ht="13.2">
      <c r="A68" s="49"/>
      <c r="B68" s="5"/>
      <c r="C68" s="41"/>
      <c r="D68" s="41"/>
      <c r="E68" s="42"/>
      <c r="F68" s="43"/>
      <c r="G68" s="41"/>
    </row>
    <row r="69" spans="1:7" ht="13.2">
      <c r="A69" s="49"/>
      <c r="B69" s="5"/>
      <c r="C69" s="41"/>
      <c r="D69" s="41"/>
      <c r="E69" s="42"/>
      <c r="F69" s="43"/>
      <c r="G69" s="41"/>
    </row>
    <row r="70" spans="1:7" ht="13.2">
      <c r="A70" s="49"/>
      <c r="B70" s="5"/>
      <c r="C70" s="41"/>
      <c r="D70" s="41"/>
      <c r="E70" s="42"/>
      <c r="F70" s="43"/>
      <c r="G70" s="41"/>
    </row>
    <row r="71" spans="1:7" ht="13.2">
      <c r="A71" s="49"/>
      <c r="B71" s="5"/>
      <c r="C71" s="41"/>
      <c r="D71" s="41"/>
      <c r="E71" s="42"/>
      <c r="F71" s="43"/>
      <c r="G71" s="41"/>
    </row>
    <row r="72" spans="1:7" ht="13.2">
      <c r="A72" s="49"/>
      <c r="B72" s="5"/>
      <c r="C72" s="41"/>
      <c r="D72" s="41"/>
      <c r="E72" s="42"/>
      <c r="F72" s="43"/>
      <c r="G72" s="41"/>
    </row>
    <row r="73" spans="1:7" ht="13.2">
      <c r="A73" s="49"/>
      <c r="B73" s="5"/>
      <c r="C73" s="41"/>
      <c r="D73" s="41"/>
      <c r="E73" s="42"/>
      <c r="F73" s="43"/>
      <c r="G73" s="41"/>
    </row>
    <row r="74" spans="1:7" ht="13.2">
      <c r="A74" s="49"/>
      <c r="B74" s="5"/>
      <c r="C74" s="41"/>
      <c r="D74" s="41"/>
      <c r="E74" s="42"/>
      <c r="F74" s="43"/>
      <c r="G74" s="41"/>
    </row>
    <row r="75" spans="1:7" ht="13.2">
      <c r="A75" s="49"/>
      <c r="B75" s="5"/>
      <c r="C75" s="41"/>
      <c r="D75" s="41"/>
      <c r="E75" s="42"/>
      <c r="F75" s="43"/>
      <c r="G75" s="41"/>
    </row>
    <row r="76" spans="1:7" ht="13.2">
      <c r="A76" s="49"/>
      <c r="B76" s="5"/>
      <c r="C76" s="41"/>
      <c r="D76" s="41"/>
      <c r="E76" s="42"/>
      <c r="F76" s="43"/>
      <c r="G76" s="41"/>
    </row>
    <row r="77" spans="1:7" ht="13.2">
      <c r="A77" s="49"/>
      <c r="B77" s="5"/>
      <c r="C77" s="41"/>
      <c r="D77" s="41"/>
      <c r="E77" s="42"/>
      <c r="F77" s="43"/>
      <c r="G77" s="41"/>
    </row>
    <row r="78" spans="1:7" ht="13.2">
      <c r="A78" s="49"/>
      <c r="B78" s="5"/>
      <c r="C78" s="41"/>
      <c r="D78" s="41"/>
      <c r="E78" s="42"/>
      <c r="F78" s="43"/>
      <c r="G78" s="41"/>
    </row>
    <row r="79" spans="1:7" ht="13.2">
      <c r="A79" s="49"/>
      <c r="B79" s="5"/>
      <c r="C79" s="41"/>
      <c r="D79" s="41"/>
      <c r="E79" s="42"/>
      <c r="F79" s="43"/>
      <c r="G79" s="41"/>
    </row>
    <row r="80" spans="1:7" ht="13.2">
      <c r="A80" s="49"/>
      <c r="B80" s="5"/>
      <c r="C80" s="41"/>
      <c r="D80" s="41"/>
      <c r="E80" s="42"/>
      <c r="F80" s="43"/>
      <c r="G80" s="41"/>
    </row>
    <row r="81" spans="1:7" ht="13.2">
      <c r="A81" s="49"/>
      <c r="B81" s="5"/>
      <c r="C81" s="41"/>
      <c r="D81" s="41"/>
      <c r="E81" s="42"/>
      <c r="F81" s="43"/>
      <c r="G81" s="41"/>
    </row>
    <row r="82" spans="1:7" ht="13.2">
      <c r="A82" s="49"/>
      <c r="B82" s="5"/>
      <c r="C82" s="41"/>
      <c r="D82" s="41"/>
      <c r="E82" s="42"/>
      <c r="F82" s="43"/>
      <c r="G82" s="41"/>
    </row>
    <row r="83" spans="1:7" ht="13.2">
      <c r="A83" s="49"/>
      <c r="B83" s="5"/>
      <c r="C83" s="41"/>
      <c r="D83" s="41"/>
      <c r="E83" s="42"/>
      <c r="F83" s="43"/>
      <c r="G83" s="41"/>
    </row>
    <row r="84" spans="1:7" ht="13.2">
      <c r="A84" s="49"/>
      <c r="B84" s="5"/>
      <c r="C84" s="41"/>
      <c r="D84" s="41"/>
      <c r="E84" s="42"/>
      <c r="F84" s="43"/>
      <c r="G84" s="41"/>
    </row>
    <row r="85" spans="1:7" ht="13.2">
      <c r="A85" s="49"/>
      <c r="B85" s="5"/>
      <c r="C85" s="41"/>
      <c r="D85" s="41"/>
      <c r="E85" s="42"/>
      <c r="F85" s="43"/>
      <c r="G85" s="41"/>
    </row>
    <row r="86" spans="1:7" ht="13.2">
      <c r="A86" s="49"/>
      <c r="B86" s="5"/>
      <c r="C86" s="41"/>
      <c r="D86" s="41"/>
      <c r="E86" s="42"/>
      <c r="F86" s="43"/>
      <c r="G86" s="41"/>
    </row>
    <row r="87" spans="1:7" ht="13.2">
      <c r="A87" s="49"/>
      <c r="B87" s="5"/>
      <c r="C87" s="41"/>
      <c r="D87" s="41"/>
      <c r="E87" s="42"/>
      <c r="F87" s="43"/>
      <c r="G87" s="41"/>
    </row>
    <row r="88" spans="1:7" ht="13.2">
      <c r="A88" s="49"/>
      <c r="B88" s="5"/>
      <c r="C88" s="41"/>
      <c r="D88" s="41"/>
      <c r="E88" s="42"/>
      <c r="F88" s="43"/>
      <c r="G88" s="41"/>
    </row>
    <row r="89" spans="1:7" ht="13.2">
      <c r="A89" s="49"/>
      <c r="B89" s="5"/>
      <c r="C89" s="41"/>
      <c r="D89" s="41"/>
      <c r="E89" s="42"/>
      <c r="F89" s="43"/>
      <c r="G89" s="41"/>
    </row>
    <row r="90" spans="1:7" ht="13.2">
      <c r="A90" s="49"/>
      <c r="B90" s="5"/>
      <c r="C90" s="41"/>
      <c r="D90" s="41"/>
      <c r="E90" s="42"/>
      <c r="F90" s="43"/>
      <c r="G90" s="41"/>
    </row>
    <row r="91" spans="1:7" ht="13.2">
      <c r="A91" s="49"/>
      <c r="B91" s="5"/>
      <c r="C91" s="41"/>
      <c r="D91" s="41"/>
      <c r="E91" s="42"/>
      <c r="F91" s="43"/>
      <c r="G91" s="41"/>
    </row>
    <row r="92" spans="1:7" ht="13.2">
      <c r="A92" s="49"/>
      <c r="B92" s="5"/>
      <c r="C92" s="41"/>
      <c r="D92" s="41"/>
      <c r="E92" s="42"/>
      <c r="F92" s="43"/>
      <c r="G92" s="41"/>
    </row>
    <row r="93" spans="1:7" ht="13.2">
      <c r="A93" s="49"/>
      <c r="B93" s="5"/>
      <c r="C93" s="41"/>
      <c r="D93" s="41"/>
      <c r="E93" s="42"/>
      <c r="F93" s="43"/>
      <c r="G93" s="41"/>
    </row>
    <row r="94" spans="1:7" ht="13.2">
      <c r="A94" s="49"/>
      <c r="B94" s="5"/>
      <c r="C94" s="41"/>
      <c r="D94" s="41"/>
      <c r="E94" s="42"/>
      <c r="F94" s="43"/>
      <c r="G94" s="41"/>
    </row>
    <row r="95" spans="1:7" ht="13.2">
      <c r="A95" s="49"/>
      <c r="B95" s="5"/>
      <c r="C95" s="41"/>
      <c r="D95" s="41"/>
      <c r="E95" s="42"/>
      <c r="F95" s="43"/>
      <c r="G95" s="41"/>
    </row>
    <row r="96" spans="1:7" ht="13.2">
      <c r="A96" s="49"/>
      <c r="B96" s="5"/>
      <c r="C96" s="41"/>
      <c r="D96" s="41"/>
      <c r="E96" s="42"/>
      <c r="F96" s="43"/>
      <c r="G96" s="41"/>
    </row>
    <row r="97" spans="1:7" ht="13.2">
      <c r="A97" s="49"/>
      <c r="B97" s="5"/>
      <c r="C97" s="41"/>
      <c r="D97" s="41"/>
      <c r="E97" s="42"/>
      <c r="F97" s="43"/>
      <c r="G97" s="41"/>
    </row>
    <row r="98" spans="1:7" ht="13.2">
      <c r="A98" s="49"/>
      <c r="B98" s="5"/>
      <c r="C98" s="41"/>
      <c r="D98" s="41"/>
      <c r="E98" s="42"/>
      <c r="F98" s="43"/>
      <c r="G98" s="41"/>
    </row>
    <row r="99" spans="1:7" ht="13.2">
      <c r="A99" s="49"/>
      <c r="B99" s="5"/>
      <c r="C99" s="41"/>
      <c r="D99" s="41"/>
      <c r="E99" s="42"/>
      <c r="F99" s="43"/>
      <c r="G99" s="41"/>
    </row>
    <row r="100" spans="1:7" ht="13.2">
      <c r="A100" s="49"/>
      <c r="B100" s="5"/>
      <c r="C100" s="41"/>
      <c r="D100" s="41"/>
      <c r="E100" s="42"/>
      <c r="F100" s="43"/>
      <c r="G100" s="41"/>
    </row>
    <row r="101" spans="1:7" ht="13.2">
      <c r="A101" s="49"/>
      <c r="B101" s="5"/>
      <c r="C101" s="41"/>
      <c r="D101" s="41"/>
      <c r="E101" s="42"/>
      <c r="F101" s="43"/>
      <c r="G101" s="41"/>
    </row>
    <row r="102" spans="1:7" ht="13.2">
      <c r="A102" s="49"/>
      <c r="B102" s="5"/>
      <c r="C102" s="41"/>
      <c r="D102" s="41"/>
      <c r="E102" s="42"/>
      <c r="F102" s="43"/>
      <c r="G102" s="41"/>
    </row>
    <row r="103" spans="1:7" ht="13.2">
      <c r="A103" s="49"/>
      <c r="B103" s="5"/>
      <c r="C103" s="41"/>
      <c r="D103" s="41"/>
      <c r="E103" s="42"/>
      <c r="F103" s="43"/>
      <c r="G103" s="41"/>
    </row>
    <row r="104" spans="1:7" ht="13.2">
      <c r="A104" s="49"/>
      <c r="B104" s="5"/>
      <c r="C104" s="41"/>
      <c r="D104" s="41"/>
      <c r="E104" s="42"/>
      <c r="F104" s="43"/>
      <c r="G104" s="41"/>
    </row>
    <row r="105" spans="1:7" ht="13.2">
      <c r="A105" s="49"/>
      <c r="B105" s="5"/>
      <c r="C105" s="41"/>
      <c r="D105" s="41"/>
      <c r="E105" s="42"/>
      <c r="F105" s="43"/>
      <c r="G105" s="41"/>
    </row>
    <row r="106" spans="1:7" ht="13.2">
      <c r="A106" s="49"/>
      <c r="B106" s="5"/>
      <c r="C106" s="41"/>
      <c r="D106" s="41"/>
      <c r="E106" s="42"/>
      <c r="F106" s="43"/>
      <c r="G106" s="41"/>
    </row>
    <row r="107" spans="1:7" ht="13.2">
      <c r="A107" s="49"/>
      <c r="B107" s="5"/>
      <c r="C107" s="41"/>
      <c r="D107" s="41"/>
      <c r="E107" s="42"/>
      <c r="F107" s="43"/>
      <c r="G107" s="41"/>
    </row>
    <row r="108" spans="1:7" ht="13.2">
      <c r="A108" s="49"/>
      <c r="B108" s="5"/>
      <c r="C108" s="41"/>
      <c r="D108" s="41"/>
      <c r="E108" s="42"/>
      <c r="F108" s="43"/>
      <c r="G108" s="41"/>
    </row>
    <row r="109" spans="1:7" ht="13.2">
      <c r="A109" s="49"/>
      <c r="B109" s="5"/>
      <c r="C109" s="41"/>
      <c r="D109" s="41"/>
      <c r="E109" s="42"/>
      <c r="F109" s="43"/>
      <c r="G109" s="41"/>
    </row>
    <row r="110" spans="1:7" ht="13.2">
      <c r="A110" s="49"/>
      <c r="B110" s="5"/>
      <c r="C110" s="41"/>
      <c r="D110" s="41"/>
      <c r="E110" s="42"/>
      <c r="F110" s="43"/>
      <c r="G110" s="41"/>
    </row>
    <row r="111" spans="1:7" ht="13.2">
      <c r="A111" s="49"/>
      <c r="B111" s="5"/>
      <c r="C111" s="41"/>
      <c r="D111" s="41"/>
      <c r="E111" s="42"/>
      <c r="F111" s="43"/>
      <c r="G111" s="41"/>
    </row>
    <row r="112" spans="1:7" ht="13.2">
      <c r="A112" s="49"/>
      <c r="B112" s="5"/>
      <c r="C112" s="41"/>
      <c r="D112" s="41"/>
      <c r="E112" s="42"/>
      <c r="F112" s="43"/>
      <c r="G112" s="41"/>
    </row>
    <row r="113" spans="1:7" ht="13.2">
      <c r="A113" s="49"/>
      <c r="B113" s="5"/>
      <c r="C113" s="41"/>
      <c r="D113" s="41"/>
      <c r="E113" s="42"/>
      <c r="F113" s="43"/>
      <c r="G113" s="41"/>
    </row>
    <row r="114" spans="1:7" ht="13.2">
      <c r="A114" s="49"/>
      <c r="B114" s="5"/>
      <c r="C114" s="41"/>
      <c r="D114" s="41"/>
      <c r="E114" s="42"/>
      <c r="F114" s="43"/>
      <c r="G114" s="41"/>
    </row>
    <row r="115" spans="1:7" ht="13.2">
      <c r="A115" s="49"/>
      <c r="B115" s="5"/>
      <c r="C115" s="41"/>
      <c r="D115" s="41"/>
      <c r="E115" s="42"/>
      <c r="F115" s="43"/>
      <c r="G115" s="41"/>
    </row>
    <row r="116" spans="1:7" ht="13.2">
      <c r="A116" s="49"/>
      <c r="B116" s="5"/>
      <c r="C116" s="41"/>
      <c r="D116" s="41"/>
      <c r="E116" s="42"/>
      <c r="F116" s="43"/>
      <c r="G116" s="41"/>
    </row>
    <row r="117" spans="1:7" ht="13.2">
      <c r="A117" s="49"/>
      <c r="B117" s="5"/>
      <c r="C117" s="41"/>
      <c r="D117" s="41"/>
      <c r="E117" s="42"/>
      <c r="F117" s="43"/>
      <c r="G117" s="41"/>
    </row>
    <row r="118" spans="1:7" ht="13.2">
      <c r="A118" s="49"/>
      <c r="B118" s="5"/>
      <c r="C118" s="41"/>
      <c r="D118" s="41"/>
      <c r="E118" s="42"/>
      <c r="F118" s="43"/>
      <c r="G118" s="41"/>
    </row>
    <row r="119" spans="1:7" ht="13.2">
      <c r="A119" s="49"/>
      <c r="B119" s="5"/>
      <c r="C119" s="41"/>
      <c r="D119" s="41"/>
      <c r="E119" s="42"/>
      <c r="F119" s="43"/>
      <c r="G119" s="41"/>
    </row>
    <row r="120" spans="1:7" ht="13.2">
      <c r="A120" s="49"/>
      <c r="B120" s="5"/>
      <c r="C120" s="41"/>
      <c r="D120" s="41"/>
      <c r="E120" s="42"/>
      <c r="F120" s="43"/>
      <c r="G120" s="41"/>
    </row>
    <row r="121" spans="1:7" ht="13.2">
      <c r="A121" s="49"/>
      <c r="B121" s="5"/>
      <c r="C121" s="41"/>
      <c r="D121" s="41"/>
      <c r="E121" s="42"/>
      <c r="F121" s="43"/>
      <c r="G121" s="41"/>
    </row>
    <row r="122" spans="1:7" ht="13.2">
      <c r="A122" s="49"/>
      <c r="B122" s="5"/>
      <c r="C122" s="41"/>
      <c r="D122" s="41"/>
      <c r="E122" s="42"/>
      <c r="F122" s="43"/>
      <c r="G122" s="41"/>
    </row>
    <row r="123" spans="1:7" ht="13.2">
      <c r="A123" s="49"/>
      <c r="B123" s="5"/>
      <c r="C123" s="41"/>
      <c r="D123" s="41"/>
      <c r="E123" s="42"/>
      <c r="F123" s="43"/>
      <c r="G123" s="41"/>
    </row>
    <row r="124" spans="1:7" ht="13.2">
      <c r="A124" s="49"/>
      <c r="B124" s="5"/>
      <c r="C124" s="41"/>
      <c r="D124" s="41"/>
      <c r="E124" s="42"/>
      <c r="F124" s="43"/>
      <c r="G124" s="41"/>
    </row>
    <row r="125" spans="1:7" ht="13.2">
      <c r="A125" s="49"/>
      <c r="B125" s="5"/>
      <c r="C125" s="41"/>
      <c r="D125" s="41"/>
      <c r="E125" s="42"/>
      <c r="F125" s="43"/>
      <c r="G125" s="41"/>
    </row>
    <row r="126" spans="1:7" ht="13.2">
      <c r="A126" s="49"/>
      <c r="B126" s="5"/>
      <c r="C126" s="41"/>
      <c r="D126" s="41"/>
      <c r="E126" s="42"/>
      <c r="F126" s="43"/>
      <c r="G126" s="41"/>
    </row>
    <row r="127" spans="1:7" ht="13.2">
      <c r="A127" s="49"/>
      <c r="B127" s="5"/>
      <c r="C127" s="41"/>
      <c r="D127" s="41"/>
      <c r="E127" s="42"/>
      <c r="F127" s="43"/>
      <c r="G127" s="41"/>
    </row>
    <row r="128" spans="1:7" ht="13.2">
      <c r="A128" s="49"/>
      <c r="B128" s="5"/>
      <c r="C128" s="41"/>
      <c r="D128" s="41"/>
      <c r="E128" s="42"/>
      <c r="F128" s="43"/>
      <c r="G128" s="41"/>
    </row>
    <row r="129" spans="1:7" ht="13.2">
      <c r="A129" s="49"/>
      <c r="B129" s="5"/>
      <c r="C129" s="41"/>
      <c r="D129" s="41"/>
      <c r="E129" s="42"/>
      <c r="F129" s="43"/>
      <c r="G129" s="41"/>
    </row>
    <row r="130" spans="1:7" ht="13.2">
      <c r="A130" s="49"/>
      <c r="B130" s="5"/>
      <c r="C130" s="41"/>
      <c r="D130" s="41"/>
      <c r="E130" s="42"/>
      <c r="F130" s="43"/>
      <c r="G130" s="41"/>
    </row>
    <row r="131" spans="1:7" ht="13.2">
      <c r="A131" s="49"/>
      <c r="B131" s="5"/>
      <c r="C131" s="41"/>
      <c r="D131" s="41"/>
      <c r="E131" s="42"/>
      <c r="F131" s="43"/>
      <c r="G131" s="41"/>
    </row>
    <row r="132" spans="1:7" ht="13.2">
      <c r="A132" s="49"/>
      <c r="B132" s="5"/>
      <c r="C132" s="41"/>
      <c r="D132" s="41"/>
      <c r="E132" s="42"/>
      <c r="F132" s="43"/>
      <c r="G132" s="41"/>
    </row>
    <row r="133" spans="1:7" ht="13.2">
      <c r="A133" s="49"/>
      <c r="B133" s="5"/>
      <c r="C133" s="41"/>
      <c r="D133" s="41"/>
      <c r="E133" s="42"/>
      <c r="F133" s="43"/>
      <c r="G133" s="41"/>
    </row>
    <row r="134" spans="1:7" ht="13.2">
      <c r="A134" s="49"/>
      <c r="B134" s="5"/>
      <c r="C134" s="41"/>
      <c r="D134" s="41"/>
      <c r="E134" s="42"/>
      <c r="F134" s="43"/>
      <c r="G134" s="41"/>
    </row>
    <row r="135" spans="1:7" ht="13.2">
      <c r="A135" s="49"/>
      <c r="B135" s="5"/>
      <c r="C135" s="41"/>
      <c r="D135" s="41"/>
      <c r="E135" s="42"/>
      <c r="F135" s="43"/>
      <c r="G135" s="41"/>
    </row>
    <row r="136" spans="1:7" ht="13.2">
      <c r="A136" s="49"/>
      <c r="B136" s="5"/>
      <c r="C136" s="41"/>
      <c r="D136" s="41"/>
      <c r="E136" s="42"/>
      <c r="F136" s="43"/>
      <c r="G136" s="41"/>
    </row>
    <row r="137" spans="1:7" ht="13.2">
      <c r="A137" s="49"/>
      <c r="B137" s="5"/>
      <c r="C137" s="41"/>
      <c r="D137" s="41"/>
      <c r="E137" s="42"/>
      <c r="F137" s="43"/>
      <c r="G137" s="41"/>
    </row>
    <row r="138" spans="1:7" ht="13.2">
      <c r="A138" s="49"/>
      <c r="B138" s="5"/>
      <c r="C138" s="41"/>
      <c r="D138" s="41"/>
      <c r="E138" s="42"/>
      <c r="F138" s="43"/>
      <c r="G138" s="41"/>
    </row>
    <row r="139" spans="1:7" ht="13.2">
      <c r="A139" s="49"/>
      <c r="B139" s="5"/>
      <c r="C139" s="41"/>
      <c r="D139" s="41"/>
      <c r="E139" s="42"/>
      <c r="F139" s="43"/>
      <c r="G139" s="41"/>
    </row>
    <row r="140" spans="1:7" ht="13.2">
      <c r="A140" s="49"/>
      <c r="B140" s="5"/>
      <c r="C140" s="41"/>
      <c r="D140" s="41"/>
      <c r="E140" s="42"/>
      <c r="F140" s="43"/>
      <c r="G140" s="41"/>
    </row>
    <row r="141" spans="1:7" ht="13.2">
      <c r="A141" s="49"/>
      <c r="B141" s="5"/>
      <c r="C141" s="41"/>
      <c r="D141" s="41"/>
      <c r="E141" s="42"/>
      <c r="F141" s="43"/>
      <c r="G141" s="41"/>
    </row>
    <row r="142" spans="1:7" ht="13.2">
      <c r="A142" s="49"/>
      <c r="B142" s="5"/>
      <c r="C142" s="41"/>
      <c r="D142" s="41"/>
      <c r="E142" s="42"/>
      <c r="F142" s="43"/>
      <c r="G142" s="41"/>
    </row>
    <row r="143" spans="1:7" ht="13.2">
      <c r="A143" s="49"/>
      <c r="B143" s="5"/>
      <c r="C143" s="41"/>
      <c r="D143" s="41"/>
      <c r="E143" s="42"/>
      <c r="F143" s="43"/>
      <c r="G143" s="41"/>
    </row>
    <row r="144" spans="1:7" ht="13.2">
      <c r="A144" s="49"/>
      <c r="B144" s="5"/>
      <c r="C144" s="41"/>
      <c r="D144" s="41"/>
      <c r="E144" s="42"/>
      <c r="F144" s="43"/>
      <c r="G144" s="41"/>
    </row>
    <row r="145" spans="1:7" ht="13.2">
      <c r="A145" s="49"/>
      <c r="B145" s="5"/>
      <c r="C145" s="41"/>
      <c r="D145" s="41"/>
      <c r="E145" s="42"/>
      <c r="F145" s="43"/>
      <c r="G145" s="41"/>
    </row>
    <row r="146" spans="1:7" ht="13.2">
      <c r="A146" s="49"/>
      <c r="B146" s="5"/>
      <c r="C146" s="41"/>
      <c r="D146" s="41"/>
      <c r="E146" s="42"/>
      <c r="F146" s="43"/>
      <c r="G146" s="41"/>
    </row>
    <row r="147" spans="1:7" ht="13.2">
      <c r="A147" s="49"/>
      <c r="B147" s="5"/>
      <c r="C147" s="41"/>
      <c r="D147" s="41"/>
      <c r="E147" s="42"/>
      <c r="F147" s="43"/>
      <c r="G147" s="41"/>
    </row>
    <row r="148" spans="1:7" ht="13.2">
      <c r="A148" s="49"/>
      <c r="B148" s="5"/>
      <c r="C148" s="41"/>
      <c r="D148" s="41"/>
      <c r="E148" s="42"/>
      <c r="F148" s="43"/>
      <c r="G148" s="41"/>
    </row>
    <row r="149" spans="1:7" ht="13.2">
      <c r="A149" s="49"/>
      <c r="B149" s="5"/>
      <c r="C149" s="41"/>
      <c r="D149" s="41"/>
      <c r="E149" s="42"/>
      <c r="F149" s="43"/>
      <c r="G149" s="41"/>
    </row>
    <row r="150" spans="1:7" ht="13.2">
      <c r="A150" s="49"/>
      <c r="B150" s="5"/>
      <c r="C150" s="41"/>
      <c r="D150" s="41"/>
      <c r="E150" s="42"/>
      <c r="F150" s="43"/>
      <c r="G150" s="41"/>
    </row>
    <row r="151" spans="1:7" ht="13.2">
      <c r="A151" s="49"/>
      <c r="B151" s="5"/>
      <c r="C151" s="41"/>
      <c r="D151" s="41"/>
      <c r="E151" s="42"/>
      <c r="F151" s="43"/>
      <c r="G151" s="41"/>
    </row>
    <row r="152" spans="1:7" ht="13.2">
      <c r="A152" s="49"/>
      <c r="B152" s="5"/>
      <c r="C152" s="41"/>
      <c r="D152" s="41"/>
      <c r="E152" s="42"/>
      <c r="F152" s="43"/>
      <c r="G152" s="41"/>
    </row>
    <row r="153" spans="1:7" ht="13.2">
      <c r="A153" s="49"/>
      <c r="B153" s="5"/>
      <c r="C153" s="41"/>
      <c r="D153" s="41"/>
      <c r="E153" s="42"/>
      <c r="F153" s="43"/>
      <c r="G153" s="41"/>
    </row>
    <row r="154" spans="1:7" ht="13.2">
      <c r="A154" s="49"/>
      <c r="B154" s="5"/>
      <c r="C154" s="41"/>
      <c r="D154" s="41"/>
      <c r="E154" s="42"/>
      <c r="F154" s="43"/>
      <c r="G154" s="41"/>
    </row>
    <row r="155" spans="1:7" ht="13.2">
      <c r="A155" s="49"/>
      <c r="B155" s="5"/>
      <c r="C155" s="41"/>
      <c r="D155" s="41"/>
      <c r="E155" s="42"/>
      <c r="F155" s="43"/>
      <c r="G155" s="41"/>
    </row>
    <row r="156" spans="1:7" ht="13.2">
      <c r="A156" s="49"/>
      <c r="B156" s="5"/>
      <c r="C156" s="41"/>
      <c r="D156" s="41"/>
      <c r="E156" s="42"/>
      <c r="F156" s="43"/>
      <c r="G156" s="41"/>
    </row>
    <row r="157" spans="1:7" ht="13.2">
      <c r="A157" s="49"/>
      <c r="B157" s="5"/>
      <c r="C157" s="41"/>
      <c r="D157" s="41"/>
      <c r="E157" s="42"/>
      <c r="F157" s="43"/>
      <c r="G157" s="41"/>
    </row>
    <row r="158" spans="1:7" ht="13.2">
      <c r="A158" s="49"/>
      <c r="B158" s="5"/>
      <c r="C158" s="41"/>
      <c r="D158" s="41"/>
      <c r="E158" s="42"/>
      <c r="F158" s="43"/>
      <c r="G158" s="41"/>
    </row>
    <row r="159" spans="1:7" ht="13.2">
      <c r="A159" s="49"/>
      <c r="B159" s="5"/>
      <c r="C159" s="41"/>
      <c r="D159" s="41"/>
      <c r="E159" s="42"/>
      <c r="F159" s="43"/>
      <c r="G159" s="41"/>
    </row>
    <row r="160" spans="1:7" ht="13.2">
      <c r="A160" s="49"/>
      <c r="B160" s="5"/>
      <c r="C160" s="41"/>
      <c r="D160" s="41"/>
      <c r="E160" s="42"/>
      <c r="F160" s="43"/>
      <c r="G160" s="41"/>
    </row>
    <row r="161" spans="1:7" ht="13.2">
      <c r="A161" s="49"/>
      <c r="B161" s="5"/>
      <c r="C161" s="41"/>
      <c r="D161" s="41"/>
      <c r="E161" s="42"/>
      <c r="F161" s="43"/>
      <c r="G161" s="41"/>
    </row>
    <row r="162" spans="1:7" ht="13.2">
      <c r="A162" s="49"/>
      <c r="B162" s="5"/>
      <c r="C162" s="41"/>
      <c r="D162" s="41"/>
      <c r="E162" s="42"/>
      <c r="F162" s="43"/>
      <c r="G162" s="41"/>
    </row>
    <row r="163" spans="1:7" ht="13.2">
      <c r="A163" s="49"/>
      <c r="B163" s="5"/>
      <c r="C163" s="41"/>
      <c r="D163" s="41"/>
      <c r="E163" s="42"/>
      <c r="F163" s="43"/>
      <c r="G163" s="41"/>
    </row>
    <row r="164" spans="1:7" ht="13.2">
      <c r="A164" s="49"/>
      <c r="B164" s="5"/>
      <c r="C164" s="41"/>
      <c r="D164" s="41"/>
      <c r="E164" s="42"/>
      <c r="F164" s="43"/>
      <c r="G164" s="41"/>
    </row>
    <row r="165" spans="1:7" ht="13.2">
      <c r="A165" s="49"/>
      <c r="B165" s="5"/>
      <c r="C165" s="41"/>
      <c r="D165" s="41"/>
      <c r="E165" s="42"/>
      <c r="F165" s="43"/>
      <c r="G165" s="41"/>
    </row>
    <row r="166" spans="1:7" ht="13.2">
      <c r="A166" s="49"/>
      <c r="B166" s="5"/>
      <c r="C166" s="41"/>
      <c r="D166" s="41"/>
      <c r="E166" s="42"/>
      <c r="F166" s="43"/>
      <c r="G166" s="41"/>
    </row>
    <row r="167" spans="1:7" ht="13.2">
      <c r="A167" s="49"/>
      <c r="B167" s="5"/>
      <c r="C167" s="41"/>
      <c r="D167" s="41"/>
      <c r="E167" s="42"/>
      <c r="F167" s="43"/>
      <c r="G167" s="41"/>
    </row>
    <row r="168" spans="1:7" ht="13.2">
      <c r="A168" s="49"/>
      <c r="B168" s="5"/>
      <c r="C168" s="41"/>
      <c r="D168" s="41"/>
      <c r="E168" s="42"/>
      <c r="F168" s="43"/>
      <c r="G168" s="41"/>
    </row>
    <row r="169" spans="1:7" ht="13.2">
      <c r="A169" s="49"/>
      <c r="B169" s="5"/>
      <c r="C169" s="41"/>
      <c r="D169" s="41"/>
      <c r="E169" s="42"/>
      <c r="F169" s="43"/>
      <c r="G169" s="41"/>
    </row>
    <row r="170" spans="1:7" ht="13.2">
      <c r="A170" s="49"/>
      <c r="B170" s="5"/>
      <c r="C170" s="41"/>
      <c r="D170" s="41"/>
      <c r="E170" s="42"/>
      <c r="F170" s="43"/>
      <c r="G170" s="41"/>
    </row>
    <row r="171" spans="1:7" ht="13.2">
      <c r="A171" s="49"/>
      <c r="B171" s="5"/>
      <c r="C171" s="41"/>
      <c r="D171" s="41"/>
      <c r="E171" s="42"/>
      <c r="F171" s="43"/>
      <c r="G171" s="41"/>
    </row>
    <row r="172" spans="1:7" ht="13.2">
      <c r="A172" s="49"/>
      <c r="B172" s="5"/>
      <c r="C172" s="41"/>
      <c r="D172" s="41"/>
      <c r="E172" s="42"/>
      <c r="F172" s="43"/>
      <c r="G172" s="41"/>
    </row>
    <row r="173" spans="1:7" ht="13.2">
      <c r="A173" s="49"/>
      <c r="B173" s="5"/>
      <c r="C173" s="41"/>
      <c r="D173" s="41"/>
      <c r="E173" s="42"/>
      <c r="F173" s="43"/>
      <c r="G173" s="41"/>
    </row>
    <row r="174" spans="1:7" ht="13.2">
      <c r="A174" s="49"/>
      <c r="B174" s="5"/>
      <c r="C174" s="41"/>
      <c r="D174" s="41"/>
      <c r="E174" s="42"/>
      <c r="F174" s="43"/>
      <c r="G174" s="41"/>
    </row>
    <row r="175" spans="1:7" ht="13.2">
      <c r="A175" s="49"/>
      <c r="B175" s="5"/>
      <c r="C175" s="41"/>
      <c r="D175" s="41"/>
      <c r="E175" s="42"/>
      <c r="F175" s="43"/>
      <c r="G175" s="41"/>
    </row>
    <row r="176" spans="1:7" ht="13.2">
      <c r="A176" s="49"/>
      <c r="B176" s="5"/>
      <c r="C176" s="41"/>
      <c r="D176" s="41"/>
      <c r="E176" s="42"/>
      <c r="F176" s="43"/>
      <c r="G176" s="41"/>
    </row>
    <row r="177" spans="1:7" ht="13.2">
      <c r="A177" s="49"/>
      <c r="B177" s="5"/>
      <c r="C177" s="41"/>
      <c r="D177" s="41"/>
      <c r="E177" s="42"/>
      <c r="F177" s="43"/>
      <c r="G177" s="41"/>
    </row>
    <row r="178" spans="1:7" ht="13.2">
      <c r="A178" s="49"/>
      <c r="B178" s="5"/>
      <c r="C178" s="41"/>
      <c r="D178" s="41"/>
      <c r="E178" s="42"/>
      <c r="F178" s="43"/>
      <c r="G178" s="41"/>
    </row>
    <row r="179" spans="1:7" ht="13.2">
      <c r="A179" s="49"/>
      <c r="B179" s="5"/>
      <c r="C179" s="41"/>
      <c r="D179" s="41"/>
      <c r="E179" s="42"/>
      <c r="F179" s="43"/>
      <c r="G179" s="41"/>
    </row>
    <row r="180" spans="1:7" ht="13.2">
      <c r="A180" s="49"/>
      <c r="B180" s="5"/>
      <c r="C180" s="41"/>
      <c r="D180" s="41"/>
      <c r="E180" s="42"/>
      <c r="F180" s="43"/>
      <c r="G180" s="41"/>
    </row>
    <row r="181" spans="1:7" ht="13.2">
      <c r="A181" s="49"/>
      <c r="B181" s="5"/>
      <c r="C181" s="41"/>
      <c r="D181" s="41"/>
      <c r="E181" s="42"/>
      <c r="F181" s="43"/>
      <c r="G181" s="41"/>
    </row>
    <row r="182" spans="1:7" ht="13.2">
      <c r="A182" s="49"/>
      <c r="B182" s="5"/>
      <c r="C182" s="41"/>
      <c r="D182" s="41"/>
      <c r="E182" s="42"/>
      <c r="F182" s="43"/>
      <c r="G182" s="41"/>
    </row>
    <row r="183" spans="1:7" ht="13.2">
      <c r="A183" s="49"/>
      <c r="B183" s="5"/>
      <c r="C183" s="41"/>
      <c r="D183" s="41"/>
      <c r="E183" s="42"/>
      <c r="F183" s="43"/>
      <c r="G183" s="41"/>
    </row>
    <row r="184" spans="1:7" ht="13.2">
      <c r="A184" s="49"/>
      <c r="B184" s="5"/>
      <c r="C184" s="41"/>
      <c r="D184" s="41"/>
      <c r="E184" s="42"/>
      <c r="F184" s="43"/>
      <c r="G184" s="41"/>
    </row>
    <row r="185" spans="1:7" ht="13.2">
      <c r="A185" s="49"/>
      <c r="B185" s="5"/>
      <c r="C185" s="41"/>
      <c r="D185" s="41"/>
      <c r="E185" s="42"/>
      <c r="F185" s="43"/>
      <c r="G185" s="41"/>
    </row>
    <row r="186" spans="1:7" ht="13.2">
      <c r="A186" s="49"/>
      <c r="B186" s="5"/>
      <c r="C186" s="41"/>
      <c r="D186" s="41"/>
      <c r="E186" s="42"/>
      <c r="F186" s="43"/>
      <c r="G186" s="41"/>
    </row>
    <row r="187" spans="1:7" ht="13.2">
      <c r="A187" s="49"/>
      <c r="B187" s="5"/>
      <c r="C187" s="41"/>
      <c r="D187" s="41"/>
      <c r="E187" s="42"/>
      <c r="F187" s="43"/>
      <c r="G187" s="41"/>
    </row>
    <row r="188" spans="1:7" ht="13.2">
      <c r="A188" s="49"/>
      <c r="B188" s="5"/>
      <c r="C188" s="41"/>
      <c r="D188" s="41"/>
      <c r="E188" s="42"/>
      <c r="F188" s="43"/>
      <c r="G188" s="41"/>
    </row>
    <row r="189" spans="1:7" ht="13.2">
      <c r="A189" s="49"/>
      <c r="B189" s="5"/>
      <c r="C189" s="41"/>
      <c r="D189" s="41"/>
      <c r="E189" s="42"/>
      <c r="F189" s="43"/>
      <c r="G189" s="41"/>
    </row>
    <row r="190" spans="1:7" ht="13.2">
      <c r="A190" s="49"/>
      <c r="B190" s="5"/>
      <c r="C190" s="41"/>
      <c r="D190" s="41"/>
      <c r="E190" s="42"/>
      <c r="F190" s="43"/>
      <c r="G190" s="41"/>
    </row>
    <row r="191" spans="1:7" ht="13.2">
      <c r="A191" s="49"/>
      <c r="B191" s="5"/>
      <c r="C191" s="41"/>
      <c r="D191" s="41"/>
      <c r="E191" s="42"/>
      <c r="F191" s="43"/>
      <c r="G191" s="41"/>
    </row>
    <row r="192" spans="1:7" ht="13.2">
      <c r="A192" s="49"/>
      <c r="B192" s="5"/>
      <c r="C192" s="41"/>
      <c r="D192" s="41"/>
      <c r="E192" s="42"/>
      <c r="F192" s="43"/>
      <c r="G192" s="41"/>
    </row>
    <row r="193" spans="1:7" ht="13.2">
      <c r="A193" s="49"/>
      <c r="B193" s="5"/>
      <c r="C193" s="41"/>
      <c r="D193" s="41"/>
      <c r="E193" s="42"/>
      <c r="F193" s="43"/>
      <c r="G193" s="41"/>
    </row>
    <row r="194" spans="1:7" ht="13.2">
      <c r="A194" s="49"/>
      <c r="B194" s="5"/>
      <c r="C194" s="41"/>
      <c r="D194" s="41"/>
      <c r="E194" s="42"/>
      <c r="F194" s="43"/>
      <c r="G194" s="41"/>
    </row>
    <row r="195" spans="1:7" ht="13.2">
      <c r="A195" s="49"/>
      <c r="B195" s="5"/>
      <c r="C195" s="41"/>
      <c r="D195" s="41"/>
      <c r="E195" s="42"/>
      <c r="F195" s="43"/>
      <c r="G195" s="41"/>
    </row>
    <row r="196" spans="1:7" ht="13.2">
      <c r="A196" s="49"/>
      <c r="B196" s="5"/>
      <c r="C196" s="41"/>
      <c r="D196" s="41"/>
      <c r="E196" s="42"/>
      <c r="F196" s="43"/>
      <c r="G196" s="41"/>
    </row>
    <row r="197" spans="1:7" ht="13.2">
      <c r="A197" s="49"/>
      <c r="B197" s="5"/>
      <c r="C197" s="41"/>
      <c r="D197" s="41"/>
      <c r="E197" s="42"/>
      <c r="F197" s="43"/>
      <c r="G197" s="41"/>
    </row>
    <row r="198" spans="1:7" ht="13.2">
      <c r="A198" s="49"/>
      <c r="B198" s="5"/>
      <c r="C198" s="41"/>
      <c r="D198" s="41"/>
      <c r="E198" s="42"/>
      <c r="F198" s="43"/>
      <c r="G198" s="41"/>
    </row>
    <row r="199" spans="1:7" ht="13.2">
      <c r="A199" s="49"/>
      <c r="B199" s="5"/>
      <c r="C199" s="41"/>
      <c r="D199" s="41"/>
      <c r="E199" s="42"/>
      <c r="F199" s="43"/>
      <c r="G199" s="41"/>
    </row>
    <row r="200" spans="1:7" ht="13.2">
      <c r="A200" s="49"/>
      <c r="B200" s="5"/>
      <c r="C200" s="41"/>
      <c r="D200" s="41"/>
      <c r="E200" s="42"/>
      <c r="F200" s="43"/>
      <c r="G200" s="41"/>
    </row>
    <row r="201" spans="1:7" ht="13.2">
      <c r="A201" s="49"/>
      <c r="B201" s="5"/>
      <c r="C201" s="41"/>
      <c r="D201" s="41"/>
      <c r="E201" s="42"/>
      <c r="F201" s="43"/>
      <c r="G201" s="41"/>
    </row>
    <row r="202" spans="1:7" ht="13.2">
      <c r="A202" s="49"/>
      <c r="B202" s="5"/>
      <c r="C202" s="41"/>
      <c r="D202" s="41"/>
      <c r="E202" s="42"/>
      <c r="F202" s="43"/>
      <c r="G202" s="41"/>
    </row>
    <row r="203" spans="1:7" ht="13.2">
      <c r="A203" s="49"/>
      <c r="B203" s="5"/>
      <c r="C203" s="41"/>
      <c r="D203" s="41"/>
      <c r="E203" s="42"/>
      <c r="F203" s="43"/>
      <c r="G203" s="41"/>
    </row>
    <row r="204" spans="1:7" ht="13.2">
      <c r="A204" s="49"/>
      <c r="B204" s="5"/>
      <c r="C204" s="41"/>
      <c r="D204" s="41"/>
      <c r="E204" s="42"/>
      <c r="F204" s="43"/>
      <c r="G204" s="41"/>
    </row>
    <row r="205" spans="1:7" ht="13.2">
      <c r="A205" s="49"/>
      <c r="B205" s="5"/>
      <c r="C205" s="41"/>
      <c r="D205" s="41"/>
      <c r="E205" s="42"/>
      <c r="F205" s="43"/>
      <c r="G205" s="41"/>
    </row>
    <row r="206" spans="1:7" ht="13.2">
      <c r="A206" s="49"/>
      <c r="B206" s="5"/>
      <c r="C206" s="41"/>
      <c r="D206" s="41"/>
      <c r="E206" s="42"/>
      <c r="F206" s="43"/>
      <c r="G206" s="41"/>
    </row>
    <row r="207" spans="1:7" ht="13.2">
      <c r="A207" s="49"/>
      <c r="B207" s="5"/>
      <c r="C207" s="41"/>
      <c r="D207" s="41"/>
      <c r="E207" s="42"/>
      <c r="F207" s="43"/>
      <c r="G207" s="41"/>
    </row>
    <row r="208" spans="1:7" ht="13.2">
      <c r="A208" s="49"/>
      <c r="B208" s="5"/>
      <c r="C208" s="41"/>
      <c r="D208" s="41"/>
      <c r="E208" s="42"/>
      <c r="F208" s="43"/>
      <c r="G208" s="41"/>
    </row>
    <row r="209" spans="1:7" ht="13.2">
      <c r="A209" s="49"/>
      <c r="B209" s="5"/>
      <c r="C209" s="41"/>
      <c r="D209" s="41"/>
      <c r="E209" s="42"/>
      <c r="F209" s="43"/>
      <c r="G209" s="41"/>
    </row>
    <row r="210" spans="1:7" ht="13.2">
      <c r="A210" s="49"/>
      <c r="B210" s="5"/>
      <c r="C210" s="41"/>
      <c r="D210" s="41"/>
      <c r="E210" s="42"/>
      <c r="F210" s="43"/>
      <c r="G210" s="41"/>
    </row>
    <row r="211" spans="1:7" ht="13.2">
      <c r="A211" s="49"/>
      <c r="B211" s="5"/>
      <c r="C211" s="41"/>
      <c r="D211" s="41"/>
      <c r="E211" s="42"/>
      <c r="F211" s="43"/>
      <c r="G211" s="41"/>
    </row>
    <row r="212" spans="1:7" ht="13.2">
      <c r="A212" s="49"/>
      <c r="B212" s="5"/>
      <c r="C212" s="41"/>
      <c r="D212" s="41"/>
      <c r="E212" s="42"/>
      <c r="F212" s="43"/>
      <c r="G212" s="41"/>
    </row>
    <row r="213" spans="1:7" ht="13.2">
      <c r="A213" s="49"/>
      <c r="B213" s="5"/>
      <c r="C213" s="41"/>
      <c r="D213" s="41"/>
      <c r="E213" s="42"/>
      <c r="F213" s="43"/>
      <c r="G213" s="41"/>
    </row>
    <row r="214" spans="1:7" ht="13.2">
      <c r="A214" s="49"/>
      <c r="B214" s="5"/>
      <c r="C214" s="41"/>
      <c r="D214" s="41"/>
      <c r="E214" s="42"/>
      <c r="F214" s="43"/>
      <c r="G214" s="41"/>
    </row>
    <row r="215" spans="1:7" ht="13.2">
      <c r="A215" s="49"/>
      <c r="B215" s="5"/>
      <c r="C215" s="41"/>
      <c r="D215" s="41"/>
      <c r="E215" s="42"/>
      <c r="F215" s="43"/>
      <c r="G215" s="41"/>
    </row>
    <row r="216" spans="1:7" ht="13.2">
      <c r="A216" s="49"/>
      <c r="B216" s="5"/>
      <c r="C216" s="41"/>
      <c r="D216" s="41"/>
      <c r="E216" s="42"/>
      <c r="F216" s="43"/>
      <c r="G216" s="41"/>
    </row>
    <row r="217" spans="1:7" ht="13.2">
      <c r="A217" s="49"/>
      <c r="B217" s="5"/>
      <c r="C217" s="41"/>
      <c r="D217" s="41"/>
      <c r="E217" s="42"/>
      <c r="F217" s="43"/>
      <c r="G217" s="41"/>
    </row>
    <row r="218" spans="1:7" ht="13.2">
      <c r="A218" s="49"/>
      <c r="B218" s="5"/>
      <c r="C218" s="41"/>
      <c r="D218" s="41"/>
      <c r="E218" s="42"/>
      <c r="F218" s="43"/>
      <c r="G218" s="41"/>
    </row>
    <row r="219" spans="1:7" ht="13.2">
      <c r="A219" s="49"/>
      <c r="B219" s="5"/>
      <c r="C219" s="41"/>
      <c r="D219" s="41"/>
      <c r="E219" s="42"/>
      <c r="F219" s="43"/>
      <c r="G219" s="41"/>
    </row>
    <row r="220" spans="1:7" ht="13.2">
      <c r="A220" s="49"/>
      <c r="B220" s="5"/>
      <c r="C220" s="41"/>
      <c r="D220" s="41"/>
      <c r="E220" s="42"/>
      <c r="F220" s="43"/>
      <c r="G220" s="41"/>
    </row>
    <row r="221" spans="1:7" ht="13.2">
      <c r="A221" s="49"/>
      <c r="B221" s="5"/>
      <c r="C221" s="41"/>
      <c r="D221" s="41"/>
      <c r="E221" s="42"/>
      <c r="F221" s="43"/>
      <c r="G221" s="41"/>
    </row>
    <row r="222" spans="1:7" ht="13.2">
      <c r="A222" s="49"/>
      <c r="B222" s="5"/>
      <c r="C222" s="41"/>
      <c r="D222" s="41"/>
      <c r="E222" s="42"/>
      <c r="F222" s="43"/>
      <c r="G222" s="41"/>
    </row>
    <row r="223" spans="1:7" ht="13.2">
      <c r="A223" s="49"/>
      <c r="B223" s="5"/>
      <c r="C223" s="41"/>
      <c r="D223" s="41"/>
      <c r="E223" s="42"/>
      <c r="F223" s="43"/>
      <c r="G223" s="41"/>
    </row>
    <row r="224" spans="1:7" ht="13.2">
      <c r="A224" s="49"/>
      <c r="B224" s="5"/>
      <c r="C224" s="41"/>
      <c r="D224" s="41"/>
      <c r="E224" s="42"/>
      <c r="F224" s="43"/>
      <c r="G224" s="41"/>
    </row>
    <row r="225" spans="1:7" ht="13.2">
      <c r="A225" s="49"/>
      <c r="B225" s="5"/>
      <c r="C225" s="41"/>
      <c r="D225" s="41"/>
      <c r="E225" s="42"/>
      <c r="F225" s="43"/>
      <c r="G225" s="41"/>
    </row>
    <row r="226" spans="1:7" ht="13.2">
      <c r="A226" s="49"/>
      <c r="B226" s="5"/>
      <c r="C226" s="41"/>
      <c r="D226" s="41"/>
      <c r="E226" s="42"/>
      <c r="F226" s="43"/>
      <c r="G226" s="41"/>
    </row>
    <row r="227" spans="1:7" ht="13.2">
      <c r="A227" s="49"/>
      <c r="B227" s="5"/>
      <c r="C227" s="41"/>
      <c r="D227" s="41"/>
      <c r="E227" s="42"/>
      <c r="F227" s="43"/>
      <c r="G227" s="41"/>
    </row>
    <row r="228" spans="1:7" ht="13.2">
      <c r="A228" s="49"/>
      <c r="B228" s="5"/>
      <c r="C228" s="41"/>
      <c r="D228" s="41"/>
      <c r="E228" s="42"/>
      <c r="F228" s="43"/>
      <c r="G228" s="41"/>
    </row>
    <row r="229" spans="1:7" ht="13.2">
      <c r="A229" s="49"/>
      <c r="B229" s="5"/>
      <c r="C229" s="41"/>
      <c r="D229" s="41"/>
      <c r="E229" s="42"/>
      <c r="F229" s="43"/>
      <c r="G229" s="41"/>
    </row>
    <row r="230" spans="1:7" ht="13.2">
      <c r="A230" s="49"/>
      <c r="B230" s="5"/>
      <c r="C230" s="41"/>
      <c r="D230" s="41"/>
      <c r="E230" s="42"/>
      <c r="F230" s="43"/>
      <c r="G230" s="41"/>
    </row>
    <row r="231" spans="1:7" ht="13.2">
      <c r="A231" s="49"/>
      <c r="B231" s="5"/>
      <c r="C231" s="41"/>
      <c r="D231" s="41"/>
      <c r="E231" s="42"/>
      <c r="F231" s="43"/>
      <c r="G231" s="41"/>
    </row>
    <row r="232" spans="1:7" ht="13.2">
      <c r="A232" s="49"/>
      <c r="B232" s="5"/>
      <c r="C232" s="41"/>
      <c r="D232" s="41"/>
      <c r="E232" s="42"/>
      <c r="F232" s="43"/>
      <c r="G232" s="41"/>
    </row>
    <row r="233" spans="1:7" ht="13.2">
      <c r="A233" s="49"/>
      <c r="B233" s="5"/>
      <c r="C233" s="41"/>
      <c r="D233" s="41"/>
      <c r="E233" s="42"/>
      <c r="F233" s="43"/>
      <c r="G233" s="41"/>
    </row>
    <row r="234" spans="1:7" ht="13.2">
      <c r="A234" s="49"/>
      <c r="B234" s="5"/>
      <c r="C234" s="41"/>
      <c r="D234" s="41"/>
      <c r="E234" s="42"/>
      <c r="F234" s="43"/>
      <c r="G234" s="41"/>
    </row>
    <row r="235" spans="1:7" ht="13.2">
      <c r="A235" s="49"/>
      <c r="B235" s="5"/>
      <c r="C235" s="41"/>
      <c r="D235" s="41"/>
      <c r="E235" s="42"/>
      <c r="F235" s="43"/>
      <c r="G235" s="41"/>
    </row>
    <row r="236" spans="1:7" ht="13.2">
      <c r="A236" s="49"/>
      <c r="B236" s="5"/>
      <c r="C236" s="41"/>
      <c r="D236" s="41"/>
      <c r="E236" s="42"/>
      <c r="F236" s="43"/>
      <c r="G236" s="41"/>
    </row>
    <row r="237" spans="1:7" ht="13.2">
      <c r="A237" s="49"/>
      <c r="B237" s="5"/>
      <c r="C237" s="41"/>
      <c r="D237" s="41"/>
      <c r="E237" s="42"/>
      <c r="F237" s="43"/>
      <c r="G237" s="41"/>
    </row>
    <row r="238" spans="1:7" ht="13.2">
      <c r="A238" s="49"/>
      <c r="B238" s="5"/>
      <c r="C238" s="41"/>
      <c r="D238" s="41"/>
      <c r="E238" s="42"/>
      <c r="F238" s="43"/>
      <c r="G238" s="41"/>
    </row>
    <row r="239" spans="1:7" ht="13.2">
      <c r="A239" s="49"/>
      <c r="B239" s="5"/>
      <c r="C239" s="41"/>
      <c r="D239" s="41"/>
      <c r="E239" s="42"/>
      <c r="F239" s="43"/>
      <c r="G239" s="41"/>
    </row>
    <row r="240" spans="1:7" ht="13.2">
      <c r="A240" s="49"/>
      <c r="B240" s="5"/>
      <c r="C240" s="41"/>
      <c r="D240" s="41"/>
      <c r="E240" s="42"/>
      <c r="F240" s="43"/>
      <c r="G240" s="41"/>
    </row>
    <row r="241" spans="1:7" ht="13.2">
      <c r="A241" s="49"/>
      <c r="B241" s="5"/>
      <c r="C241" s="41"/>
      <c r="D241" s="41"/>
      <c r="E241" s="42"/>
      <c r="F241" s="43"/>
      <c r="G241" s="41"/>
    </row>
    <row r="242" spans="1:7" ht="13.2">
      <c r="A242" s="49"/>
      <c r="B242" s="5"/>
      <c r="C242" s="41"/>
      <c r="D242" s="41"/>
      <c r="E242" s="42"/>
      <c r="F242" s="43"/>
      <c r="G242" s="41"/>
    </row>
    <row r="243" spans="1:7" ht="13.2">
      <c r="A243" s="49"/>
      <c r="B243" s="5"/>
      <c r="C243" s="41"/>
      <c r="D243" s="41"/>
      <c r="E243" s="42"/>
      <c r="F243" s="43"/>
      <c r="G243" s="41"/>
    </row>
    <row r="244" spans="1:7" ht="13.2">
      <c r="A244" s="49"/>
      <c r="B244" s="5"/>
      <c r="C244" s="41"/>
      <c r="D244" s="41"/>
      <c r="E244" s="42"/>
      <c r="F244" s="43"/>
      <c r="G244" s="41"/>
    </row>
    <row r="245" spans="1:7" ht="13.2">
      <c r="A245" s="49"/>
      <c r="B245" s="5"/>
      <c r="C245" s="41"/>
      <c r="D245" s="41"/>
      <c r="E245" s="42"/>
      <c r="F245" s="43"/>
      <c r="G245" s="41"/>
    </row>
    <row r="246" spans="1:7" ht="13.2">
      <c r="A246" s="49"/>
      <c r="B246" s="5"/>
      <c r="C246" s="41"/>
      <c r="D246" s="41"/>
      <c r="E246" s="42"/>
      <c r="F246" s="43"/>
      <c r="G246" s="41"/>
    </row>
    <row r="247" spans="1:7" ht="13.2">
      <c r="A247" s="49"/>
      <c r="B247" s="5"/>
      <c r="C247" s="41"/>
      <c r="D247" s="41"/>
      <c r="E247" s="42"/>
      <c r="F247" s="43"/>
      <c r="G247" s="41"/>
    </row>
    <row r="248" spans="1:7" ht="13.2">
      <c r="A248" s="49"/>
      <c r="B248" s="5"/>
      <c r="C248" s="41"/>
      <c r="D248" s="41"/>
      <c r="E248" s="42"/>
      <c r="F248" s="43"/>
      <c r="G248" s="41"/>
    </row>
    <row r="249" spans="1:7" ht="13.2">
      <c r="A249" s="49"/>
      <c r="B249" s="5"/>
      <c r="C249" s="41"/>
      <c r="D249" s="41"/>
      <c r="E249" s="42"/>
      <c r="F249" s="43"/>
      <c r="G249" s="41"/>
    </row>
    <row r="250" spans="1:7" ht="13.2">
      <c r="A250" s="49"/>
      <c r="B250" s="5"/>
      <c r="C250" s="41"/>
      <c r="D250" s="41"/>
      <c r="E250" s="42"/>
      <c r="F250" s="43"/>
      <c r="G250" s="41"/>
    </row>
    <row r="251" spans="1:7" ht="13.2">
      <c r="A251" s="49"/>
      <c r="B251" s="5"/>
      <c r="C251" s="41"/>
      <c r="D251" s="41"/>
      <c r="E251" s="42"/>
      <c r="F251" s="43"/>
      <c r="G251" s="41"/>
    </row>
    <row r="252" spans="1:7" ht="13.2">
      <c r="A252" s="49"/>
      <c r="B252" s="5"/>
      <c r="C252" s="41"/>
      <c r="D252" s="41"/>
      <c r="E252" s="42"/>
      <c r="F252" s="43"/>
      <c r="G252" s="41"/>
    </row>
    <row r="253" spans="1:7" ht="13.2">
      <c r="A253" s="49"/>
      <c r="B253" s="5"/>
      <c r="C253" s="41"/>
      <c r="D253" s="41"/>
      <c r="E253" s="42"/>
      <c r="F253" s="43"/>
      <c r="G253" s="41"/>
    </row>
    <row r="254" spans="1:7" ht="13.2">
      <c r="A254" s="49"/>
      <c r="B254" s="5"/>
      <c r="C254" s="41"/>
      <c r="D254" s="41"/>
      <c r="E254" s="42"/>
      <c r="F254" s="43"/>
      <c r="G254" s="41"/>
    </row>
    <row r="255" spans="1:7" ht="13.2">
      <c r="A255" s="49"/>
      <c r="B255" s="5"/>
      <c r="C255" s="41"/>
      <c r="D255" s="41"/>
      <c r="E255" s="42"/>
      <c r="F255" s="43"/>
      <c r="G255" s="41"/>
    </row>
    <row r="256" spans="1:7" ht="13.2">
      <c r="A256" s="49"/>
      <c r="B256" s="5"/>
      <c r="C256" s="41"/>
      <c r="D256" s="41"/>
      <c r="E256" s="42"/>
      <c r="F256" s="43"/>
      <c r="G256" s="41"/>
    </row>
    <row r="257" spans="1:7" ht="13.2">
      <c r="A257" s="49"/>
      <c r="B257" s="5"/>
      <c r="C257" s="41"/>
      <c r="D257" s="41"/>
      <c r="E257" s="42"/>
      <c r="F257" s="43"/>
      <c r="G257" s="41"/>
    </row>
    <row r="258" spans="1:7" ht="13.2">
      <c r="A258" s="49"/>
      <c r="B258" s="5"/>
      <c r="C258" s="41"/>
      <c r="D258" s="41"/>
      <c r="E258" s="42"/>
      <c r="F258" s="43"/>
      <c r="G258" s="41"/>
    </row>
    <row r="259" spans="1:7" ht="13.2">
      <c r="A259" s="49"/>
      <c r="B259" s="5"/>
      <c r="C259" s="41"/>
      <c r="D259" s="41"/>
      <c r="E259" s="42"/>
      <c r="F259" s="43"/>
      <c r="G259" s="41"/>
    </row>
    <row r="260" spans="1:7" ht="13.2">
      <c r="A260" s="49"/>
      <c r="B260" s="5"/>
      <c r="C260" s="41"/>
      <c r="D260" s="41"/>
      <c r="E260" s="42"/>
      <c r="F260" s="43"/>
      <c r="G260" s="41"/>
    </row>
    <row r="261" spans="1:7" ht="13.2">
      <c r="A261" s="49"/>
      <c r="B261" s="5"/>
      <c r="C261" s="41"/>
      <c r="D261" s="41"/>
      <c r="E261" s="42"/>
      <c r="F261" s="43"/>
      <c r="G261" s="41"/>
    </row>
    <row r="262" spans="1:7" ht="13.2">
      <c r="A262" s="49"/>
      <c r="B262" s="5"/>
      <c r="C262" s="41"/>
      <c r="D262" s="41"/>
      <c r="E262" s="42"/>
      <c r="F262" s="43"/>
      <c r="G262" s="41"/>
    </row>
    <row r="263" spans="1:7" ht="13.2">
      <c r="A263" s="49"/>
      <c r="B263" s="5"/>
      <c r="C263" s="41"/>
      <c r="D263" s="41"/>
      <c r="E263" s="42"/>
      <c r="F263" s="43"/>
      <c r="G263" s="41"/>
    </row>
    <row r="264" spans="1:7" ht="13.2">
      <c r="A264" s="49"/>
      <c r="B264" s="5"/>
      <c r="C264" s="41"/>
      <c r="D264" s="41"/>
      <c r="E264" s="42"/>
      <c r="F264" s="43"/>
      <c r="G264" s="41"/>
    </row>
    <row r="265" spans="1:7" ht="13.2">
      <c r="A265" s="49"/>
      <c r="B265" s="5"/>
      <c r="C265" s="41"/>
      <c r="D265" s="41"/>
      <c r="E265" s="42"/>
      <c r="F265" s="43"/>
      <c r="G265" s="41"/>
    </row>
    <row r="266" spans="1:7" ht="13.2">
      <c r="A266" s="49"/>
      <c r="B266" s="5"/>
      <c r="C266" s="41"/>
      <c r="D266" s="41"/>
      <c r="E266" s="42"/>
      <c r="F266" s="43"/>
      <c r="G266" s="41"/>
    </row>
    <row r="267" spans="1:7" ht="13.2">
      <c r="A267" s="49"/>
      <c r="B267" s="5"/>
      <c r="C267" s="41"/>
      <c r="D267" s="41"/>
      <c r="E267" s="42"/>
      <c r="F267" s="43"/>
      <c r="G267" s="41"/>
    </row>
    <row r="268" spans="1:7" ht="13.2">
      <c r="A268" s="49"/>
      <c r="B268" s="5"/>
      <c r="C268" s="41"/>
      <c r="D268" s="41"/>
      <c r="E268" s="42"/>
      <c r="F268" s="43"/>
      <c r="G268" s="41"/>
    </row>
    <row r="269" spans="1:7" ht="13.2">
      <c r="A269" s="49"/>
      <c r="B269" s="5"/>
      <c r="C269" s="41"/>
      <c r="D269" s="41"/>
      <c r="E269" s="42"/>
      <c r="F269" s="43"/>
      <c r="G269" s="41"/>
    </row>
    <row r="270" spans="1:7" ht="13.2">
      <c r="A270" s="49"/>
      <c r="B270" s="5"/>
      <c r="C270" s="41"/>
      <c r="D270" s="41"/>
      <c r="E270" s="42"/>
      <c r="F270" s="43"/>
      <c r="G270" s="41"/>
    </row>
    <row r="271" spans="1:7" ht="13.2">
      <c r="A271" s="49"/>
      <c r="B271" s="5"/>
      <c r="C271" s="41"/>
      <c r="D271" s="41"/>
      <c r="E271" s="42"/>
      <c r="F271" s="43"/>
      <c r="G271" s="41"/>
    </row>
    <row r="272" spans="1:7" ht="13.2">
      <c r="A272" s="49"/>
      <c r="B272" s="5"/>
      <c r="C272" s="41"/>
      <c r="D272" s="41"/>
      <c r="E272" s="42"/>
      <c r="F272" s="43"/>
      <c r="G272" s="41"/>
    </row>
    <row r="273" spans="1:7" ht="13.2">
      <c r="A273" s="49"/>
      <c r="B273" s="5"/>
      <c r="C273" s="41"/>
      <c r="D273" s="41"/>
      <c r="E273" s="42"/>
      <c r="F273" s="43"/>
      <c r="G273" s="41"/>
    </row>
    <row r="274" spans="1:7" ht="13.2">
      <c r="A274" s="49"/>
      <c r="B274" s="5"/>
      <c r="C274" s="41"/>
      <c r="D274" s="41"/>
      <c r="E274" s="42"/>
      <c r="F274" s="43"/>
      <c r="G274" s="41"/>
    </row>
    <row r="275" spans="1:7" ht="13.2">
      <c r="A275" s="49"/>
      <c r="B275" s="5"/>
      <c r="C275" s="41"/>
      <c r="D275" s="41"/>
      <c r="E275" s="42"/>
      <c r="F275" s="43"/>
      <c r="G275" s="41"/>
    </row>
    <row r="276" spans="1:7" ht="13.2">
      <c r="A276" s="49"/>
      <c r="B276" s="5"/>
      <c r="C276" s="41"/>
      <c r="D276" s="41"/>
      <c r="E276" s="42"/>
      <c r="F276" s="43"/>
      <c r="G276" s="41"/>
    </row>
    <row r="277" spans="1:7" ht="13.2">
      <c r="A277" s="49"/>
      <c r="B277" s="5"/>
      <c r="C277" s="41"/>
      <c r="D277" s="41"/>
      <c r="E277" s="42"/>
      <c r="F277" s="43"/>
      <c r="G277" s="41"/>
    </row>
    <row r="278" spans="1:7" ht="13.2">
      <c r="A278" s="49"/>
      <c r="B278" s="5"/>
      <c r="C278" s="41"/>
      <c r="D278" s="41"/>
      <c r="E278" s="42"/>
      <c r="F278" s="43"/>
      <c r="G278" s="41"/>
    </row>
    <row r="279" spans="1:7" ht="13.2">
      <c r="A279" s="49"/>
      <c r="B279" s="5"/>
      <c r="C279" s="41"/>
      <c r="D279" s="41"/>
      <c r="E279" s="42"/>
      <c r="F279" s="43"/>
      <c r="G279" s="41"/>
    </row>
    <row r="280" spans="1:7" ht="13.2">
      <c r="A280" s="49"/>
      <c r="B280" s="5"/>
      <c r="C280" s="41"/>
      <c r="D280" s="41"/>
      <c r="E280" s="42"/>
      <c r="F280" s="43"/>
      <c r="G280" s="41"/>
    </row>
    <row r="281" spans="1:7" ht="13.2">
      <c r="A281" s="49"/>
      <c r="B281" s="5"/>
      <c r="C281" s="41"/>
      <c r="D281" s="41"/>
      <c r="E281" s="42"/>
      <c r="F281" s="43"/>
      <c r="G281" s="41"/>
    </row>
    <row r="282" spans="1:7" ht="13.2">
      <c r="A282" s="49"/>
      <c r="B282" s="5"/>
      <c r="C282" s="41"/>
      <c r="D282" s="41"/>
      <c r="E282" s="42"/>
      <c r="F282" s="43"/>
      <c r="G282" s="41"/>
    </row>
    <row r="283" spans="1:7" ht="13.2">
      <c r="A283" s="49"/>
      <c r="B283" s="5"/>
      <c r="C283" s="41"/>
      <c r="D283" s="41"/>
      <c r="E283" s="42"/>
      <c r="F283" s="43"/>
      <c r="G283" s="41"/>
    </row>
    <row r="284" spans="1:7" ht="13.2">
      <c r="A284" s="49"/>
      <c r="B284" s="5"/>
      <c r="C284" s="41"/>
      <c r="D284" s="41"/>
      <c r="E284" s="42"/>
      <c r="F284" s="43"/>
      <c r="G284" s="41"/>
    </row>
    <row r="285" spans="1:7" ht="13.2">
      <c r="A285" s="49"/>
      <c r="B285" s="5"/>
      <c r="C285" s="41"/>
      <c r="D285" s="41"/>
      <c r="E285" s="42"/>
      <c r="F285" s="43"/>
      <c r="G285" s="41"/>
    </row>
    <row r="286" spans="1:7" ht="13.2">
      <c r="A286" s="49"/>
      <c r="B286" s="5"/>
      <c r="C286" s="41"/>
      <c r="D286" s="41"/>
      <c r="E286" s="42"/>
      <c r="F286" s="43"/>
      <c r="G286" s="41"/>
    </row>
    <row r="287" spans="1:7" ht="13.2">
      <c r="A287" s="49"/>
      <c r="B287" s="5"/>
      <c r="C287" s="41"/>
      <c r="D287" s="41"/>
      <c r="E287" s="42"/>
      <c r="F287" s="43"/>
      <c r="G287" s="41"/>
    </row>
    <row r="288" spans="1:7" ht="13.2">
      <c r="A288" s="49"/>
      <c r="B288" s="5"/>
      <c r="C288" s="41"/>
      <c r="D288" s="41"/>
      <c r="E288" s="42"/>
      <c r="F288" s="43"/>
      <c r="G288" s="41"/>
    </row>
    <row r="289" spans="1:7" ht="13.2">
      <c r="A289" s="49"/>
      <c r="B289" s="5"/>
      <c r="C289" s="41"/>
      <c r="D289" s="41"/>
      <c r="E289" s="42"/>
      <c r="F289" s="43"/>
      <c r="G289" s="41"/>
    </row>
    <row r="290" spans="1:7" ht="13.2">
      <c r="A290" s="49"/>
      <c r="B290" s="5"/>
      <c r="C290" s="41"/>
      <c r="D290" s="41"/>
      <c r="E290" s="42"/>
      <c r="F290" s="43"/>
      <c r="G290" s="41"/>
    </row>
    <row r="291" spans="1:7" ht="13.2">
      <c r="A291" s="49"/>
      <c r="B291" s="5"/>
      <c r="C291" s="41"/>
      <c r="D291" s="41"/>
      <c r="E291" s="42"/>
      <c r="F291" s="43"/>
      <c r="G291" s="41"/>
    </row>
    <row r="292" spans="1:7" ht="13.2">
      <c r="A292" s="49"/>
      <c r="B292" s="5"/>
      <c r="C292" s="41"/>
      <c r="D292" s="41"/>
      <c r="E292" s="42"/>
      <c r="F292" s="43"/>
      <c r="G292" s="41"/>
    </row>
    <row r="293" spans="1:7" ht="13.2">
      <c r="A293" s="49"/>
      <c r="B293" s="5"/>
      <c r="C293" s="41"/>
      <c r="D293" s="41"/>
      <c r="E293" s="42"/>
      <c r="F293" s="43"/>
      <c r="G293" s="41"/>
    </row>
    <row r="294" spans="1:7" ht="13.2">
      <c r="A294" s="49"/>
      <c r="B294" s="5"/>
      <c r="C294" s="41"/>
      <c r="D294" s="41"/>
      <c r="E294" s="42"/>
      <c r="F294" s="43"/>
      <c r="G294" s="41"/>
    </row>
    <row r="295" spans="1:7" ht="13.2">
      <c r="A295" s="49"/>
      <c r="B295" s="5"/>
      <c r="C295" s="41"/>
      <c r="D295" s="41"/>
      <c r="E295" s="42"/>
      <c r="F295" s="43"/>
      <c r="G295" s="41"/>
    </row>
    <row r="296" spans="1:7" ht="13.2">
      <c r="A296" s="49"/>
      <c r="B296" s="5"/>
      <c r="C296" s="41"/>
      <c r="D296" s="41"/>
      <c r="E296" s="42"/>
      <c r="F296" s="43"/>
      <c r="G296" s="41"/>
    </row>
    <row r="297" spans="1:7" ht="13.2">
      <c r="A297" s="49"/>
      <c r="B297" s="5"/>
      <c r="C297" s="41"/>
      <c r="D297" s="41"/>
      <c r="E297" s="42"/>
      <c r="F297" s="43"/>
      <c r="G297" s="41"/>
    </row>
    <row r="298" spans="1:7" ht="13.2">
      <c r="A298" s="49"/>
      <c r="B298" s="5"/>
      <c r="C298" s="41"/>
      <c r="D298" s="41"/>
      <c r="E298" s="42"/>
      <c r="F298" s="43"/>
      <c r="G298" s="41"/>
    </row>
    <row r="299" spans="1:7" ht="13.2">
      <c r="A299" s="49"/>
      <c r="B299" s="5"/>
      <c r="C299" s="41"/>
      <c r="D299" s="41"/>
      <c r="E299" s="42"/>
      <c r="F299" s="43"/>
      <c r="G299" s="41"/>
    </row>
    <row r="300" spans="1:7" ht="13.2">
      <c r="A300" s="49"/>
      <c r="B300" s="5"/>
      <c r="C300" s="41"/>
      <c r="D300" s="41"/>
      <c r="E300" s="42"/>
      <c r="F300" s="43"/>
      <c r="G300" s="41"/>
    </row>
    <row r="301" spans="1:7" ht="13.2">
      <c r="A301" s="49"/>
      <c r="B301" s="5"/>
      <c r="C301" s="41"/>
      <c r="D301" s="41"/>
      <c r="E301" s="42"/>
      <c r="F301" s="43"/>
      <c r="G301" s="41"/>
    </row>
    <row r="302" spans="1:7" ht="13.2">
      <c r="A302" s="49"/>
      <c r="B302" s="5"/>
      <c r="C302" s="41"/>
      <c r="D302" s="41"/>
      <c r="E302" s="42"/>
      <c r="F302" s="43"/>
      <c r="G302" s="41"/>
    </row>
    <row r="303" spans="1:7" ht="13.2">
      <c r="A303" s="49"/>
      <c r="B303" s="5"/>
      <c r="C303" s="41"/>
      <c r="D303" s="41"/>
      <c r="E303" s="42"/>
      <c r="F303" s="43"/>
      <c r="G303" s="41"/>
    </row>
    <row r="304" spans="1:7" ht="13.2">
      <c r="A304" s="49"/>
      <c r="B304" s="5"/>
      <c r="C304" s="41"/>
      <c r="D304" s="41"/>
      <c r="E304" s="42"/>
      <c r="F304" s="43"/>
      <c r="G304" s="41"/>
    </row>
    <row r="305" spans="1:7" ht="13.2">
      <c r="A305" s="49"/>
      <c r="B305" s="5"/>
      <c r="C305" s="41"/>
      <c r="D305" s="41"/>
      <c r="E305" s="42"/>
      <c r="F305" s="43"/>
      <c r="G305" s="41"/>
    </row>
    <row r="306" spans="1:7" ht="13.2">
      <c r="A306" s="49"/>
      <c r="B306" s="5"/>
      <c r="C306" s="41"/>
      <c r="D306" s="41"/>
      <c r="E306" s="42"/>
      <c r="F306" s="43"/>
      <c r="G306" s="41"/>
    </row>
    <row r="307" spans="1:7" ht="13.2">
      <c r="A307" s="49"/>
      <c r="B307" s="5"/>
      <c r="C307" s="41"/>
      <c r="D307" s="41"/>
      <c r="E307" s="42"/>
      <c r="F307" s="43"/>
      <c r="G307" s="41"/>
    </row>
    <row r="308" spans="1:7" ht="13.2">
      <c r="A308" s="49"/>
      <c r="B308" s="5"/>
      <c r="C308" s="41"/>
      <c r="D308" s="41"/>
      <c r="E308" s="42"/>
      <c r="F308" s="43"/>
      <c r="G308" s="41"/>
    </row>
    <row r="309" spans="1:7" ht="13.2">
      <c r="A309" s="49"/>
      <c r="B309" s="5"/>
      <c r="C309" s="41"/>
      <c r="D309" s="41"/>
      <c r="E309" s="42"/>
      <c r="F309" s="43"/>
      <c r="G309" s="41"/>
    </row>
    <row r="310" spans="1:7" ht="13.2">
      <c r="A310" s="49"/>
      <c r="B310" s="5"/>
      <c r="C310" s="41"/>
      <c r="D310" s="41"/>
      <c r="E310" s="42"/>
      <c r="F310" s="43"/>
      <c r="G310" s="41"/>
    </row>
    <row r="311" spans="1:7" ht="13.2">
      <c r="A311" s="49"/>
      <c r="B311" s="5"/>
      <c r="C311" s="41"/>
      <c r="D311" s="41"/>
      <c r="E311" s="42"/>
      <c r="F311" s="43"/>
      <c r="G311" s="41"/>
    </row>
    <row r="312" spans="1:7" ht="13.2">
      <c r="A312" s="49"/>
      <c r="B312" s="5"/>
      <c r="C312" s="41"/>
      <c r="D312" s="41"/>
      <c r="E312" s="42"/>
      <c r="F312" s="43"/>
      <c r="G312" s="41"/>
    </row>
    <row r="313" spans="1:7" ht="13.2">
      <c r="A313" s="49"/>
      <c r="B313" s="5"/>
      <c r="C313" s="41"/>
      <c r="D313" s="41"/>
      <c r="E313" s="42"/>
      <c r="F313" s="43"/>
      <c r="G313" s="41"/>
    </row>
    <row r="314" spans="1:7" ht="13.2">
      <c r="A314" s="49"/>
      <c r="B314" s="5"/>
      <c r="C314" s="41"/>
      <c r="D314" s="41"/>
      <c r="E314" s="42"/>
      <c r="F314" s="43"/>
      <c r="G314" s="41"/>
    </row>
    <row r="315" spans="1:7" ht="13.2">
      <c r="A315" s="49"/>
      <c r="B315" s="5"/>
      <c r="C315" s="41"/>
      <c r="D315" s="41"/>
      <c r="E315" s="42"/>
      <c r="F315" s="43"/>
      <c r="G315" s="41"/>
    </row>
    <row r="316" spans="1:7" ht="13.2">
      <c r="A316" s="49"/>
      <c r="B316" s="5"/>
      <c r="C316" s="41"/>
      <c r="D316" s="41"/>
      <c r="E316" s="42"/>
      <c r="F316" s="43"/>
      <c r="G316" s="41"/>
    </row>
    <row r="317" spans="1:7" ht="13.2">
      <c r="A317" s="49"/>
      <c r="B317" s="5"/>
      <c r="C317" s="41"/>
      <c r="D317" s="41"/>
      <c r="E317" s="42"/>
      <c r="F317" s="43"/>
      <c r="G317" s="41"/>
    </row>
    <row r="318" spans="1:7" ht="13.2">
      <c r="A318" s="49"/>
      <c r="B318" s="5"/>
      <c r="C318" s="41"/>
      <c r="D318" s="41"/>
      <c r="E318" s="42"/>
      <c r="F318" s="43"/>
      <c r="G318" s="41"/>
    </row>
    <row r="319" spans="1:7" ht="13.2">
      <c r="A319" s="49"/>
      <c r="B319" s="5"/>
      <c r="C319" s="41"/>
      <c r="D319" s="41"/>
      <c r="E319" s="42"/>
      <c r="F319" s="43"/>
      <c r="G319" s="41"/>
    </row>
    <row r="320" spans="1:7" ht="13.2">
      <c r="A320" s="49"/>
      <c r="B320" s="5"/>
      <c r="C320" s="41"/>
      <c r="D320" s="41"/>
      <c r="E320" s="42"/>
      <c r="F320" s="43"/>
      <c r="G320" s="41"/>
    </row>
    <row r="321" spans="1:7" ht="13.2">
      <c r="A321" s="49"/>
      <c r="B321" s="5"/>
      <c r="C321" s="41"/>
      <c r="D321" s="41"/>
      <c r="E321" s="42"/>
      <c r="F321" s="43"/>
      <c r="G321" s="41"/>
    </row>
    <row r="322" spans="1:7" ht="13.2">
      <c r="A322" s="49"/>
      <c r="B322" s="5"/>
      <c r="C322" s="41"/>
      <c r="D322" s="41"/>
      <c r="E322" s="42"/>
      <c r="F322" s="43"/>
      <c r="G322" s="41"/>
    </row>
    <row r="323" spans="1:7" ht="13.2">
      <c r="A323" s="49"/>
      <c r="B323" s="5"/>
      <c r="C323" s="41"/>
      <c r="D323" s="41"/>
      <c r="E323" s="42"/>
      <c r="F323" s="43"/>
      <c r="G323" s="41"/>
    </row>
    <row r="324" spans="1:7" ht="13.2">
      <c r="A324" s="49"/>
      <c r="B324" s="5"/>
      <c r="C324" s="41"/>
      <c r="D324" s="41"/>
      <c r="E324" s="42"/>
      <c r="F324" s="43"/>
      <c r="G324" s="41"/>
    </row>
    <row r="325" spans="1:7" ht="13.2">
      <c r="A325" s="49"/>
      <c r="B325" s="5"/>
      <c r="C325" s="41"/>
      <c r="D325" s="41"/>
      <c r="E325" s="42"/>
      <c r="F325" s="43"/>
      <c r="G325" s="41"/>
    </row>
    <row r="326" spans="1:7" ht="13.2">
      <c r="A326" s="49"/>
      <c r="B326" s="5"/>
      <c r="C326" s="41"/>
      <c r="D326" s="41"/>
      <c r="E326" s="42"/>
      <c r="F326" s="43"/>
      <c r="G326" s="41"/>
    </row>
    <row r="327" spans="1:7" ht="13.2">
      <c r="A327" s="49"/>
      <c r="B327" s="5"/>
      <c r="C327" s="41"/>
      <c r="D327" s="41"/>
      <c r="E327" s="42"/>
      <c r="F327" s="43"/>
      <c r="G327" s="41"/>
    </row>
    <row r="328" spans="1:7" ht="13.2">
      <c r="A328" s="49"/>
      <c r="B328" s="5"/>
      <c r="C328" s="41"/>
      <c r="D328" s="41"/>
      <c r="E328" s="42"/>
      <c r="F328" s="43"/>
      <c r="G328" s="41"/>
    </row>
    <row r="329" spans="1:7" ht="13.2">
      <c r="A329" s="49"/>
      <c r="B329" s="5"/>
      <c r="C329" s="41"/>
      <c r="D329" s="41"/>
      <c r="E329" s="42"/>
      <c r="F329" s="43"/>
      <c r="G329" s="41"/>
    </row>
    <row r="330" spans="1:7" ht="13.2">
      <c r="A330" s="49"/>
      <c r="B330" s="5"/>
      <c r="C330" s="41"/>
      <c r="D330" s="41"/>
      <c r="E330" s="42"/>
      <c r="F330" s="43"/>
      <c r="G330" s="41"/>
    </row>
    <row r="331" spans="1:7" ht="13.2">
      <c r="A331" s="49"/>
      <c r="B331" s="5"/>
      <c r="C331" s="41"/>
      <c r="D331" s="41"/>
      <c r="E331" s="42"/>
      <c r="F331" s="43"/>
      <c r="G331" s="41"/>
    </row>
    <row r="332" spans="1:7" ht="13.2">
      <c r="A332" s="49"/>
      <c r="B332" s="5"/>
      <c r="C332" s="41"/>
      <c r="D332" s="41"/>
      <c r="E332" s="42"/>
      <c r="F332" s="43"/>
      <c r="G332" s="41"/>
    </row>
    <row r="333" spans="1:7" ht="13.2">
      <c r="A333" s="49"/>
      <c r="B333" s="5"/>
      <c r="C333" s="41"/>
      <c r="D333" s="41"/>
      <c r="E333" s="42"/>
      <c r="F333" s="43"/>
      <c r="G333" s="41"/>
    </row>
    <row r="334" spans="1:7" ht="13.2">
      <c r="A334" s="49"/>
      <c r="B334" s="5"/>
      <c r="C334" s="41"/>
      <c r="D334" s="41"/>
      <c r="E334" s="42"/>
      <c r="F334" s="43"/>
      <c r="G334" s="41"/>
    </row>
    <row r="335" spans="1:7" ht="13.2">
      <c r="A335" s="49"/>
      <c r="B335" s="5"/>
      <c r="C335" s="41"/>
      <c r="D335" s="41"/>
      <c r="E335" s="42"/>
      <c r="F335" s="43"/>
      <c r="G335" s="41"/>
    </row>
    <row r="336" spans="1:7" ht="13.2">
      <c r="A336" s="49"/>
      <c r="B336" s="5"/>
      <c r="C336" s="41"/>
      <c r="D336" s="41"/>
      <c r="E336" s="42"/>
      <c r="F336" s="43"/>
      <c r="G336" s="41"/>
    </row>
    <row r="337" spans="1:7" ht="13.2">
      <c r="A337" s="49"/>
      <c r="B337" s="5"/>
      <c r="C337" s="41"/>
      <c r="D337" s="41"/>
      <c r="E337" s="42"/>
      <c r="F337" s="43"/>
      <c r="G337" s="41"/>
    </row>
    <row r="338" spans="1:7" ht="13.2">
      <c r="A338" s="49"/>
      <c r="B338" s="5"/>
      <c r="C338" s="41"/>
      <c r="D338" s="41"/>
      <c r="E338" s="42"/>
      <c r="F338" s="43"/>
      <c r="G338" s="41"/>
    </row>
    <row r="339" spans="1:7" ht="13.2">
      <c r="A339" s="49"/>
      <c r="B339" s="5"/>
      <c r="C339" s="41"/>
      <c r="D339" s="41"/>
      <c r="E339" s="42"/>
      <c r="F339" s="43"/>
      <c r="G339" s="41"/>
    </row>
    <row r="340" spans="1:7" ht="13.2">
      <c r="A340" s="49"/>
      <c r="B340" s="5"/>
      <c r="C340" s="41"/>
      <c r="D340" s="41"/>
      <c r="E340" s="42"/>
      <c r="F340" s="43"/>
      <c r="G340" s="41"/>
    </row>
    <row r="341" spans="1:7" ht="13.2">
      <c r="A341" s="49"/>
      <c r="B341" s="5"/>
      <c r="C341" s="41"/>
      <c r="D341" s="41"/>
      <c r="E341" s="42"/>
      <c r="F341" s="43"/>
      <c r="G341" s="41"/>
    </row>
    <row r="342" spans="1:7" ht="13.2">
      <c r="A342" s="49"/>
      <c r="B342" s="5"/>
      <c r="C342" s="41"/>
      <c r="D342" s="41"/>
      <c r="E342" s="42"/>
      <c r="F342" s="43"/>
      <c r="G342" s="41"/>
    </row>
    <row r="343" spans="1:7" ht="13.2">
      <c r="A343" s="49"/>
      <c r="B343" s="5"/>
      <c r="C343" s="41"/>
      <c r="D343" s="41"/>
      <c r="E343" s="42"/>
      <c r="F343" s="43"/>
      <c r="G343" s="41"/>
    </row>
    <row r="344" spans="1:7" ht="13.2">
      <c r="A344" s="49"/>
      <c r="B344" s="5"/>
      <c r="C344" s="41"/>
      <c r="D344" s="41"/>
      <c r="E344" s="42"/>
      <c r="F344" s="43"/>
      <c r="G344" s="41"/>
    </row>
    <row r="345" spans="1:7" ht="13.2">
      <c r="A345" s="49"/>
      <c r="B345" s="5"/>
      <c r="C345" s="41"/>
      <c r="D345" s="41"/>
      <c r="E345" s="42"/>
      <c r="F345" s="43"/>
      <c r="G345" s="41"/>
    </row>
    <row r="346" spans="1:7" ht="13.2">
      <c r="A346" s="49"/>
      <c r="B346" s="5"/>
      <c r="C346" s="41"/>
      <c r="D346" s="41"/>
      <c r="E346" s="42"/>
      <c r="F346" s="43"/>
      <c r="G346" s="41"/>
    </row>
    <row r="347" spans="1:7" ht="13.2">
      <c r="A347" s="49"/>
      <c r="B347" s="5"/>
      <c r="C347" s="41"/>
      <c r="D347" s="41"/>
      <c r="E347" s="42"/>
      <c r="F347" s="43"/>
      <c r="G347" s="41"/>
    </row>
    <row r="348" spans="1:7" ht="13.2">
      <c r="A348" s="49"/>
      <c r="B348" s="5"/>
      <c r="C348" s="41"/>
      <c r="D348" s="41"/>
      <c r="E348" s="42"/>
      <c r="F348" s="43"/>
      <c r="G348" s="41"/>
    </row>
    <row r="349" spans="1:7" ht="13.2">
      <c r="A349" s="49"/>
      <c r="B349" s="5"/>
      <c r="C349" s="41"/>
      <c r="D349" s="41"/>
      <c r="E349" s="42"/>
      <c r="F349" s="43"/>
      <c r="G349" s="41"/>
    </row>
    <row r="350" spans="1:7" ht="13.2">
      <c r="A350" s="49"/>
      <c r="B350" s="5"/>
      <c r="C350" s="41"/>
      <c r="D350" s="41"/>
      <c r="E350" s="42"/>
      <c r="F350" s="43"/>
      <c r="G350" s="41"/>
    </row>
    <row r="351" spans="1:7" ht="13.2">
      <c r="A351" s="49"/>
      <c r="B351" s="5"/>
      <c r="C351" s="41"/>
      <c r="D351" s="41"/>
      <c r="E351" s="42"/>
      <c r="F351" s="43"/>
      <c r="G351" s="41"/>
    </row>
    <row r="352" spans="1:7" ht="13.2">
      <c r="A352" s="49"/>
      <c r="B352" s="5"/>
      <c r="C352" s="41"/>
      <c r="D352" s="41"/>
      <c r="E352" s="42"/>
      <c r="F352" s="43"/>
      <c r="G352" s="41"/>
    </row>
    <row r="353" spans="1:7" ht="13.2">
      <c r="A353" s="49"/>
      <c r="B353" s="5"/>
      <c r="C353" s="41"/>
      <c r="D353" s="41"/>
      <c r="E353" s="42"/>
      <c r="F353" s="43"/>
      <c r="G353" s="41"/>
    </row>
    <row r="354" spans="1:7" ht="13.2">
      <c r="A354" s="49"/>
      <c r="B354" s="5"/>
      <c r="C354" s="41"/>
      <c r="D354" s="41"/>
      <c r="E354" s="42"/>
      <c r="F354" s="43"/>
      <c r="G354" s="41"/>
    </row>
    <row r="355" spans="1:7" ht="13.2">
      <c r="A355" s="49"/>
      <c r="B355" s="5"/>
      <c r="C355" s="41"/>
      <c r="D355" s="41"/>
      <c r="E355" s="42"/>
      <c r="F355" s="43"/>
      <c r="G355" s="41"/>
    </row>
    <row r="356" spans="1:7" ht="13.2">
      <c r="A356" s="49"/>
      <c r="B356" s="5"/>
      <c r="C356" s="41"/>
      <c r="D356" s="41"/>
      <c r="E356" s="42"/>
      <c r="F356" s="43"/>
      <c r="G356" s="41"/>
    </row>
    <row r="357" spans="1:7" ht="13.2">
      <c r="A357" s="49"/>
      <c r="B357" s="5"/>
      <c r="C357" s="41"/>
      <c r="D357" s="41"/>
      <c r="E357" s="42"/>
      <c r="F357" s="43"/>
      <c r="G357" s="41"/>
    </row>
    <row r="358" spans="1:7" ht="13.2">
      <c r="A358" s="49"/>
      <c r="B358" s="5"/>
      <c r="C358" s="41"/>
      <c r="D358" s="41"/>
      <c r="E358" s="42"/>
      <c r="F358" s="43"/>
      <c r="G358" s="41"/>
    </row>
    <row r="359" spans="1:7" ht="13.2">
      <c r="A359" s="49"/>
      <c r="B359" s="5"/>
      <c r="C359" s="41"/>
      <c r="D359" s="41"/>
      <c r="E359" s="42"/>
      <c r="F359" s="43"/>
      <c r="G359" s="41"/>
    </row>
    <row r="360" spans="1:7" ht="13.2">
      <c r="A360" s="49"/>
      <c r="B360" s="5"/>
      <c r="C360" s="41"/>
      <c r="D360" s="41"/>
      <c r="E360" s="42"/>
      <c r="F360" s="43"/>
      <c r="G360" s="41"/>
    </row>
    <row r="361" spans="1:7" ht="13.2">
      <c r="A361" s="49"/>
      <c r="B361" s="5"/>
      <c r="C361" s="41"/>
      <c r="D361" s="41"/>
      <c r="E361" s="42"/>
      <c r="F361" s="43"/>
      <c r="G361" s="41"/>
    </row>
    <row r="362" spans="1:7" ht="13.2">
      <c r="A362" s="49"/>
      <c r="B362" s="5"/>
      <c r="C362" s="41"/>
      <c r="D362" s="41"/>
      <c r="E362" s="42"/>
      <c r="F362" s="43"/>
      <c r="G362" s="41"/>
    </row>
    <row r="363" spans="1:7" ht="13.2">
      <c r="A363" s="49"/>
      <c r="B363" s="5"/>
      <c r="C363" s="41"/>
      <c r="D363" s="41"/>
      <c r="E363" s="42"/>
      <c r="F363" s="43"/>
      <c r="G363" s="41"/>
    </row>
    <row r="364" spans="1:7" ht="13.2">
      <c r="A364" s="49"/>
      <c r="B364" s="5"/>
      <c r="C364" s="41"/>
      <c r="D364" s="41"/>
      <c r="E364" s="42"/>
      <c r="F364" s="43"/>
      <c r="G364" s="41"/>
    </row>
    <row r="365" spans="1:7" ht="13.2">
      <c r="A365" s="49"/>
      <c r="B365" s="5"/>
      <c r="C365" s="41"/>
      <c r="D365" s="41"/>
      <c r="E365" s="42"/>
      <c r="F365" s="43"/>
      <c r="G365" s="41"/>
    </row>
    <row r="366" spans="1:7" ht="13.2">
      <c r="A366" s="49"/>
      <c r="B366" s="5"/>
      <c r="C366" s="41"/>
      <c r="D366" s="41"/>
      <c r="E366" s="42"/>
      <c r="F366" s="43"/>
      <c r="G366" s="41"/>
    </row>
    <row r="367" spans="1:7" ht="13.2">
      <c r="A367" s="49"/>
      <c r="B367" s="5"/>
      <c r="C367" s="41"/>
      <c r="D367" s="41"/>
      <c r="E367" s="42"/>
      <c r="F367" s="43"/>
      <c r="G367" s="41"/>
    </row>
    <row r="368" spans="1:7" ht="13.2">
      <c r="A368" s="49"/>
      <c r="B368" s="5"/>
      <c r="C368" s="41"/>
      <c r="D368" s="41"/>
      <c r="E368" s="42"/>
      <c r="F368" s="43"/>
      <c r="G368" s="41"/>
    </row>
    <row r="369" spans="1:7" ht="13.2">
      <c r="A369" s="49"/>
      <c r="B369" s="5"/>
      <c r="C369" s="41"/>
      <c r="D369" s="41"/>
      <c r="E369" s="42"/>
      <c r="F369" s="43"/>
      <c r="G369" s="41"/>
    </row>
    <row r="370" spans="1:7" ht="13.2">
      <c r="A370" s="49"/>
      <c r="B370" s="5"/>
      <c r="C370" s="41"/>
      <c r="D370" s="41"/>
      <c r="E370" s="42"/>
      <c r="F370" s="43"/>
      <c r="G370" s="41"/>
    </row>
    <row r="371" spans="1:7" ht="13.2">
      <c r="A371" s="49"/>
      <c r="B371" s="5"/>
      <c r="C371" s="41"/>
      <c r="D371" s="41"/>
      <c r="E371" s="42"/>
      <c r="F371" s="43"/>
      <c r="G371" s="41"/>
    </row>
    <row r="372" spans="1:7" ht="13.2">
      <c r="A372" s="49"/>
      <c r="B372" s="5"/>
      <c r="C372" s="41"/>
      <c r="D372" s="41"/>
      <c r="E372" s="42"/>
      <c r="F372" s="43"/>
      <c r="G372" s="41"/>
    </row>
    <row r="373" spans="1:7" ht="13.2">
      <c r="A373" s="49"/>
      <c r="B373" s="5"/>
      <c r="C373" s="41"/>
      <c r="D373" s="41"/>
      <c r="E373" s="42"/>
      <c r="F373" s="43"/>
      <c r="G373" s="41"/>
    </row>
    <row r="374" spans="1:7" ht="13.2">
      <c r="A374" s="49"/>
      <c r="B374" s="5"/>
      <c r="C374" s="41"/>
      <c r="D374" s="41"/>
      <c r="E374" s="42"/>
      <c r="F374" s="43"/>
      <c r="G374" s="41"/>
    </row>
    <row r="375" spans="1:7" ht="13.2">
      <c r="A375" s="49"/>
      <c r="B375" s="5"/>
      <c r="C375" s="41"/>
      <c r="D375" s="41"/>
      <c r="E375" s="42"/>
      <c r="F375" s="43"/>
      <c r="G375" s="41"/>
    </row>
    <row r="376" spans="1:7" ht="13.2">
      <c r="A376" s="49"/>
      <c r="B376" s="5"/>
      <c r="C376" s="41"/>
      <c r="D376" s="41"/>
      <c r="E376" s="42"/>
      <c r="F376" s="43"/>
      <c r="G376" s="41"/>
    </row>
    <row r="377" spans="1:7" ht="13.2">
      <c r="A377" s="49"/>
      <c r="B377" s="5"/>
      <c r="C377" s="41"/>
      <c r="D377" s="41"/>
      <c r="E377" s="42"/>
      <c r="F377" s="43"/>
      <c r="G377" s="41"/>
    </row>
    <row r="378" spans="1:7" ht="13.2">
      <c r="A378" s="49"/>
      <c r="B378" s="5"/>
      <c r="C378" s="41"/>
      <c r="D378" s="41"/>
      <c r="E378" s="42"/>
      <c r="F378" s="43"/>
      <c r="G378" s="41"/>
    </row>
    <row r="379" spans="1:7" ht="13.2">
      <c r="A379" s="49"/>
      <c r="B379" s="5"/>
      <c r="C379" s="41"/>
      <c r="D379" s="41"/>
      <c r="E379" s="42"/>
      <c r="F379" s="43"/>
      <c r="G379" s="41"/>
    </row>
    <row r="380" spans="1:7" ht="13.2">
      <c r="A380" s="49"/>
      <c r="B380" s="5"/>
      <c r="C380" s="41"/>
      <c r="D380" s="41"/>
      <c r="E380" s="42"/>
      <c r="F380" s="43"/>
      <c r="G380" s="41"/>
    </row>
    <row r="381" spans="1:7" ht="13.2">
      <c r="A381" s="49"/>
      <c r="B381" s="5"/>
      <c r="C381" s="41"/>
      <c r="D381" s="41"/>
      <c r="E381" s="42"/>
      <c r="F381" s="43"/>
      <c r="G381" s="41"/>
    </row>
    <row r="382" spans="1:7" ht="13.2">
      <c r="A382" s="49"/>
      <c r="B382" s="5"/>
      <c r="C382" s="41"/>
      <c r="D382" s="41"/>
      <c r="E382" s="42"/>
      <c r="F382" s="43"/>
      <c r="G382" s="41"/>
    </row>
    <row r="383" spans="1:7" ht="13.2">
      <c r="A383" s="49"/>
      <c r="B383" s="5"/>
      <c r="C383" s="41"/>
      <c r="D383" s="41"/>
      <c r="E383" s="42"/>
      <c r="F383" s="43"/>
      <c r="G383" s="41"/>
    </row>
    <row r="384" spans="1:7" ht="13.2">
      <c r="A384" s="49"/>
      <c r="B384" s="5"/>
      <c r="C384" s="41"/>
      <c r="D384" s="41"/>
      <c r="E384" s="42"/>
      <c r="F384" s="43"/>
      <c r="G384" s="41"/>
    </row>
    <row r="385" spans="1:7" ht="13.2">
      <c r="A385" s="49"/>
      <c r="B385" s="5"/>
      <c r="C385" s="41"/>
      <c r="D385" s="41"/>
      <c r="E385" s="42"/>
      <c r="F385" s="43"/>
      <c r="G385" s="41"/>
    </row>
    <row r="386" spans="1:7" ht="13.2">
      <c r="A386" s="49"/>
      <c r="B386" s="5"/>
      <c r="C386" s="41"/>
      <c r="D386" s="41"/>
      <c r="E386" s="42"/>
      <c r="F386" s="43"/>
      <c r="G386" s="41"/>
    </row>
    <row r="387" spans="1:7" ht="13.2">
      <c r="A387" s="49"/>
      <c r="B387" s="5"/>
      <c r="C387" s="41"/>
      <c r="D387" s="41"/>
      <c r="E387" s="42"/>
      <c r="F387" s="43"/>
      <c r="G387" s="41"/>
    </row>
    <row r="388" spans="1:7" ht="13.2">
      <c r="A388" s="49"/>
      <c r="B388" s="5"/>
      <c r="C388" s="41"/>
      <c r="D388" s="41"/>
      <c r="E388" s="42"/>
      <c r="F388" s="43"/>
      <c r="G388" s="41"/>
    </row>
    <row r="389" spans="1:7" ht="13.2">
      <c r="A389" s="49"/>
      <c r="B389" s="5"/>
      <c r="C389" s="41"/>
      <c r="D389" s="41"/>
      <c r="E389" s="42"/>
      <c r="F389" s="43"/>
      <c r="G389" s="41"/>
    </row>
    <row r="390" spans="1:7" ht="13.2">
      <c r="A390" s="49"/>
      <c r="B390" s="5"/>
      <c r="C390" s="41"/>
      <c r="D390" s="41"/>
      <c r="E390" s="42"/>
      <c r="F390" s="43"/>
      <c r="G390" s="41"/>
    </row>
    <row r="391" spans="1:7" ht="13.2">
      <c r="A391" s="49"/>
      <c r="B391" s="5"/>
      <c r="C391" s="41"/>
      <c r="D391" s="41"/>
      <c r="E391" s="42"/>
      <c r="F391" s="43"/>
      <c r="G391" s="41"/>
    </row>
    <row r="392" spans="1:7" ht="13.2">
      <c r="A392" s="49"/>
      <c r="B392" s="5"/>
      <c r="C392" s="41"/>
      <c r="D392" s="41"/>
      <c r="E392" s="42"/>
      <c r="F392" s="43"/>
      <c r="G392" s="41"/>
    </row>
    <row r="393" spans="1:7" ht="13.2">
      <c r="A393" s="49"/>
      <c r="B393" s="5"/>
      <c r="C393" s="41"/>
      <c r="D393" s="41"/>
      <c r="E393" s="42"/>
      <c r="F393" s="43"/>
      <c r="G393" s="41"/>
    </row>
    <row r="394" spans="1:7" ht="13.2">
      <c r="A394" s="49"/>
      <c r="B394" s="5"/>
      <c r="C394" s="41"/>
      <c r="D394" s="41"/>
      <c r="E394" s="42"/>
      <c r="F394" s="43"/>
      <c r="G394" s="41"/>
    </row>
    <row r="395" spans="1:7" ht="13.2">
      <c r="A395" s="49"/>
      <c r="B395" s="5"/>
      <c r="C395" s="41"/>
      <c r="D395" s="41"/>
      <c r="E395" s="42"/>
      <c r="F395" s="43"/>
      <c r="G395" s="41"/>
    </row>
    <row r="396" spans="1:7" ht="13.2">
      <c r="A396" s="49"/>
      <c r="B396" s="5"/>
      <c r="C396" s="41"/>
      <c r="D396" s="41"/>
      <c r="E396" s="42"/>
      <c r="F396" s="43"/>
      <c r="G396" s="41"/>
    </row>
    <row r="397" spans="1:7" ht="13.2">
      <c r="A397" s="49"/>
      <c r="B397" s="5"/>
      <c r="C397" s="41"/>
      <c r="D397" s="41"/>
      <c r="E397" s="42"/>
      <c r="F397" s="43"/>
      <c r="G397" s="41"/>
    </row>
    <row r="398" spans="1:7" ht="13.2">
      <c r="A398" s="49"/>
      <c r="B398" s="5"/>
      <c r="C398" s="41"/>
      <c r="D398" s="41"/>
      <c r="E398" s="42"/>
      <c r="F398" s="43"/>
      <c r="G398" s="41"/>
    </row>
    <row r="399" spans="1:7" ht="13.2">
      <c r="A399" s="49"/>
      <c r="B399" s="5"/>
      <c r="C399" s="41"/>
      <c r="D399" s="41"/>
      <c r="E399" s="42"/>
      <c r="F399" s="43"/>
      <c r="G399" s="41"/>
    </row>
    <row r="400" spans="1:7" ht="13.2">
      <c r="A400" s="49"/>
      <c r="B400" s="5"/>
      <c r="C400" s="41"/>
      <c r="D400" s="41"/>
      <c r="E400" s="42"/>
      <c r="F400" s="43"/>
      <c r="G400" s="41"/>
    </row>
    <row r="401" spans="1:7" ht="13.2">
      <c r="A401" s="49"/>
      <c r="B401" s="5"/>
      <c r="C401" s="41"/>
      <c r="D401" s="41"/>
      <c r="E401" s="42"/>
      <c r="F401" s="43"/>
      <c r="G401" s="41"/>
    </row>
    <row r="402" spans="1:7" ht="13.2">
      <c r="A402" s="49"/>
      <c r="B402" s="5"/>
      <c r="C402" s="41"/>
      <c r="D402" s="41"/>
      <c r="E402" s="42"/>
      <c r="F402" s="43"/>
      <c r="G402" s="41"/>
    </row>
    <row r="403" spans="1:7" ht="13.2">
      <c r="A403" s="49"/>
      <c r="B403" s="5"/>
      <c r="C403" s="41"/>
      <c r="D403" s="41"/>
      <c r="E403" s="42"/>
      <c r="F403" s="43"/>
      <c r="G403" s="41"/>
    </row>
    <row r="404" spans="1:7" ht="13.2">
      <c r="A404" s="49"/>
      <c r="B404" s="5"/>
      <c r="C404" s="41"/>
      <c r="D404" s="41"/>
      <c r="E404" s="42"/>
      <c r="F404" s="43"/>
      <c r="G404" s="41"/>
    </row>
    <row r="405" spans="1:7" ht="13.2">
      <c r="A405" s="49"/>
      <c r="B405" s="5"/>
      <c r="C405" s="41"/>
      <c r="D405" s="41"/>
      <c r="E405" s="42"/>
      <c r="F405" s="43"/>
      <c r="G405" s="41"/>
    </row>
    <row r="406" spans="1:7" ht="13.2">
      <c r="A406" s="49"/>
      <c r="B406" s="5"/>
      <c r="C406" s="41"/>
      <c r="D406" s="41"/>
      <c r="E406" s="42"/>
      <c r="F406" s="43"/>
      <c r="G406" s="41"/>
    </row>
    <row r="407" spans="1:7" ht="13.2">
      <c r="A407" s="49"/>
      <c r="B407" s="5"/>
      <c r="C407" s="41"/>
      <c r="D407" s="41"/>
      <c r="E407" s="42"/>
      <c r="F407" s="43"/>
      <c r="G407" s="41"/>
    </row>
    <row r="408" spans="1:7" ht="13.2">
      <c r="A408" s="49"/>
      <c r="B408" s="5"/>
      <c r="C408" s="41"/>
      <c r="D408" s="41"/>
      <c r="E408" s="42"/>
      <c r="F408" s="43"/>
      <c r="G408" s="41"/>
    </row>
    <row r="409" spans="1:7" ht="13.2">
      <c r="A409" s="49"/>
      <c r="B409" s="5"/>
      <c r="C409" s="41"/>
      <c r="D409" s="41"/>
      <c r="E409" s="42"/>
      <c r="F409" s="43"/>
      <c r="G409" s="41"/>
    </row>
    <row r="410" spans="1:7" ht="13.2">
      <c r="A410" s="49"/>
      <c r="B410" s="5"/>
      <c r="C410" s="41"/>
      <c r="D410" s="41"/>
      <c r="E410" s="42"/>
      <c r="F410" s="43"/>
      <c r="G410" s="41"/>
    </row>
    <row r="411" spans="1:7" ht="13.2">
      <c r="A411" s="49"/>
      <c r="B411" s="5"/>
      <c r="C411" s="41"/>
      <c r="D411" s="41"/>
      <c r="E411" s="42"/>
      <c r="F411" s="43"/>
      <c r="G411" s="41"/>
    </row>
    <row r="412" spans="1:7" ht="13.2">
      <c r="A412" s="49"/>
      <c r="B412" s="5"/>
      <c r="C412" s="41"/>
      <c r="D412" s="41"/>
      <c r="E412" s="42"/>
      <c r="F412" s="43"/>
      <c r="G412" s="41"/>
    </row>
    <row r="413" spans="1:7" ht="13.2">
      <c r="A413" s="49"/>
      <c r="B413" s="5"/>
      <c r="C413" s="41"/>
      <c r="D413" s="41"/>
      <c r="E413" s="42"/>
      <c r="F413" s="43"/>
      <c r="G413" s="41"/>
    </row>
    <row r="414" spans="1:7" ht="13.2">
      <c r="A414" s="49"/>
      <c r="B414" s="5"/>
      <c r="C414" s="41"/>
      <c r="D414" s="41"/>
      <c r="E414" s="42"/>
      <c r="F414" s="43"/>
      <c r="G414" s="41"/>
    </row>
    <row r="415" spans="1:7" ht="13.2">
      <c r="A415" s="49"/>
      <c r="B415" s="5"/>
      <c r="C415" s="41"/>
      <c r="D415" s="41"/>
      <c r="E415" s="42"/>
      <c r="F415" s="43"/>
      <c r="G415" s="41"/>
    </row>
    <row r="416" spans="1:7" ht="13.2">
      <c r="A416" s="49"/>
      <c r="B416" s="5"/>
      <c r="C416" s="41"/>
      <c r="D416" s="41"/>
      <c r="E416" s="42"/>
      <c r="F416" s="43"/>
      <c r="G416" s="41"/>
    </row>
    <row r="417" spans="1:7" ht="13.2">
      <c r="A417" s="49"/>
      <c r="B417" s="5"/>
      <c r="C417" s="41"/>
      <c r="D417" s="41"/>
      <c r="E417" s="42"/>
      <c r="F417" s="43"/>
      <c r="G417" s="41"/>
    </row>
    <row r="418" spans="1:7" ht="13.2">
      <c r="A418" s="49"/>
      <c r="B418" s="5"/>
      <c r="C418" s="41"/>
      <c r="D418" s="41"/>
      <c r="E418" s="42"/>
      <c r="F418" s="43"/>
      <c r="G418" s="41"/>
    </row>
    <row r="419" spans="1:7" ht="13.2">
      <c r="A419" s="49"/>
      <c r="B419" s="5"/>
      <c r="C419" s="41"/>
      <c r="D419" s="41"/>
      <c r="E419" s="42"/>
      <c r="F419" s="43"/>
      <c r="G419" s="41"/>
    </row>
    <row r="420" spans="1:7" ht="13.2">
      <c r="A420" s="49"/>
      <c r="B420" s="5"/>
      <c r="C420" s="41"/>
      <c r="D420" s="41"/>
      <c r="E420" s="42"/>
      <c r="F420" s="43"/>
      <c r="G420" s="41"/>
    </row>
    <row r="421" spans="1:7" ht="13.2">
      <c r="A421" s="49"/>
      <c r="B421" s="5"/>
      <c r="C421" s="41"/>
      <c r="D421" s="41"/>
      <c r="E421" s="42"/>
      <c r="F421" s="43"/>
      <c r="G421" s="41"/>
    </row>
    <row r="422" spans="1:7" ht="13.2">
      <c r="A422" s="49"/>
      <c r="B422" s="5"/>
      <c r="C422" s="41"/>
      <c r="D422" s="41"/>
      <c r="E422" s="42"/>
      <c r="F422" s="43"/>
      <c r="G422" s="41"/>
    </row>
    <row r="423" spans="1:7" ht="13.2">
      <c r="A423" s="49"/>
      <c r="B423" s="5"/>
      <c r="C423" s="41"/>
      <c r="D423" s="41"/>
      <c r="E423" s="42"/>
      <c r="F423" s="43"/>
      <c r="G423" s="41"/>
    </row>
    <row r="424" spans="1:7" ht="13.2">
      <c r="A424" s="49"/>
      <c r="B424" s="5"/>
      <c r="C424" s="41"/>
      <c r="D424" s="41"/>
      <c r="E424" s="42"/>
      <c r="F424" s="43"/>
      <c r="G424" s="41"/>
    </row>
    <row r="425" spans="1:7" ht="13.2">
      <c r="A425" s="49"/>
      <c r="B425" s="5"/>
      <c r="C425" s="41"/>
      <c r="D425" s="41"/>
      <c r="E425" s="42"/>
      <c r="F425" s="43"/>
      <c r="G425" s="41"/>
    </row>
    <row r="426" spans="1:7" ht="13.2">
      <c r="A426" s="49"/>
      <c r="B426" s="5"/>
      <c r="C426" s="41"/>
      <c r="D426" s="41"/>
      <c r="E426" s="42"/>
      <c r="F426" s="43"/>
      <c r="G426" s="41"/>
    </row>
    <row r="427" spans="1:7" ht="13.2">
      <c r="A427" s="49"/>
      <c r="B427" s="5"/>
      <c r="C427" s="41"/>
      <c r="D427" s="41"/>
      <c r="E427" s="42"/>
      <c r="F427" s="43"/>
      <c r="G427" s="41"/>
    </row>
    <row r="428" spans="1:7" ht="13.2">
      <c r="A428" s="49"/>
      <c r="B428" s="5"/>
      <c r="C428" s="41"/>
      <c r="D428" s="41"/>
      <c r="E428" s="42"/>
      <c r="F428" s="43"/>
      <c r="G428" s="41"/>
    </row>
    <row r="429" spans="1:7" ht="13.2">
      <c r="A429" s="49"/>
      <c r="B429" s="5"/>
      <c r="C429" s="41"/>
      <c r="D429" s="41"/>
      <c r="E429" s="42"/>
      <c r="F429" s="43"/>
      <c r="G429" s="41"/>
    </row>
    <row r="430" spans="1:7" ht="13.2">
      <c r="A430" s="49"/>
      <c r="B430" s="5"/>
      <c r="C430" s="41"/>
      <c r="D430" s="41"/>
      <c r="E430" s="42"/>
      <c r="F430" s="43"/>
      <c r="G430" s="41"/>
    </row>
    <row r="431" spans="1:7" ht="13.2">
      <c r="A431" s="49"/>
      <c r="B431" s="5"/>
      <c r="C431" s="41"/>
      <c r="D431" s="41"/>
      <c r="E431" s="42"/>
      <c r="F431" s="43"/>
      <c r="G431" s="41"/>
    </row>
    <row r="432" spans="1:7" ht="13.2">
      <c r="A432" s="49"/>
      <c r="B432" s="5"/>
      <c r="C432" s="41"/>
      <c r="D432" s="41"/>
      <c r="E432" s="42"/>
      <c r="F432" s="43"/>
      <c r="G432" s="41"/>
    </row>
    <row r="433" spans="1:7" ht="13.2">
      <c r="A433" s="49"/>
      <c r="B433" s="5"/>
      <c r="C433" s="41"/>
      <c r="D433" s="41"/>
      <c r="E433" s="42"/>
      <c r="F433" s="43"/>
      <c r="G433" s="41"/>
    </row>
    <row r="434" spans="1:7" ht="13.2">
      <c r="A434" s="49"/>
      <c r="B434" s="5"/>
      <c r="C434" s="41"/>
      <c r="D434" s="41"/>
      <c r="E434" s="42"/>
      <c r="F434" s="43"/>
      <c r="G434" s="41"/>
    </row>
    <row r="435" spans="1:7" ht="13.2">
      <c r="A435" s="49"/>
      <c r="B435" s="5"/>
      <c r="C435" s="41"/>
      <c r="D435" s="41"/>
      <c r="E435" s="42"/>
      <c r="F435" s="43"/>
      <c r="G435" s="41"/>
    </row>
    <row r="436" spans="1:7" ht="13.2">
      <c r="A436" s="49"/>
      <c r="B436" s="5"/>
      <c r="C436" s="41"/>
      <c r="D436" s="41"/>
      <c r="E436" s="42"/>
      <c r="F436" s="43"/>
      <c r="G436" s="41"/>
    </row>
    <row r="437" spans="1:7" ht="13.2">
      <c r="A437" s="49"/>
      <c r="B437" s="5"/>
      <c r="C437" s="41"/>
      <c r="D437" s="41"/>
      <c r="E437" s="42"/>
      <c r="F437" s="43"/>
      <c r="G437" s="41"/>
    </row>
    <row r="438" spans="1:7" ht="13.2">
      <c r="A438" s="49"/>
      <c r="B438" s="5"/>
      <c r="C438" s="41"/>
      <c r="D438" s="41"/>
      <c r="E438" s="42"/>
      <c r="F438" s="43"/>
      <c r="G438" s="41"/>
    </row>
    <row r="439" spans="1:7" ht="13.2">
      <c r="A439" s="49"/>
      <c r="B439" s="5"/>
      <c r="C439" s="41"/>
      <c r="D439" s="41"/>
      <c r="E439" s="42"/>
      <c r="F439" s="43"/>
      <c r="G439" s="41"/>
    </row>
    <row r="440" spans="1:7" ht="13.2">
      <c r="A440" s="49"/>
      <c r="B440" s="5"/>
      <c r="C440" s="41"/>
      <c r="D440" s="41"/>
      <c r="E440" s="42"/>
      <c r="F440" s="43"/>
      <c r="G440" s="41"/>
    </row>
    <row r="441" spans="1:7" ht="13.2">
      <c r="A441" s="49"/>
      <c r="B441" s="5"/>
      <c r="C441" s="41"/>
      <c r="D441" s="41"/>
      <c r="E441" s="42"/>
      <c r="F441" s="43"/>
      <c r="G441" s="41"/>
    </row>
    <row r="442" spans="1:7" ht="13.2">
      <c r="A442" s="49"/>
      <c r="B442" s="5"/>
      <c r="C442" s="41"/>
      <c r="D442" s="41"/>
      <c r="E442" s="42"/>
      <c r="F442" s="43"/>
      <c r="G442" s="41"/>
    </row>
    <row r="443" spans="1:7" ht="13.2">
      <c r="A443" s="49"/>
      <c r="B443" s="5"/>
      <c r="C443" s="41"/>
      <c r="D443" s="41"/>
      <c r="E443" s="42"/>
      <c r="F443" s="43"/>
      <c r="G443" s="41"/>
    </row>
    <row r="444" spans="1:7" ht="13.2">
      <c r="A444" s="49"/>
      <c r="B444" s="5"/>
      <c r="C444" s="41"/>
      <c r="D444" s="41"/>
      <c r="E444" s="42"/>
      <c r="F444" s="43"/>
      <c r="G444" s="41"/>
    </row>
    <row r="445" spans="1:7" ht="13.2">
      <c r="A445" s="49"/>
      <c r="B445" s="5"/>
      <c r="C445" s="41"/>
      <c r="D445" s="41"/>
      <c r="E445" s="42"/>
      <c r="F445" s="43"/>
      <c r="G445" s="41"/>
    </row>
    <row r="446" spans="1:7" ht="13.2">
      <c r="A446" s="49"/>
      <c r="B446" s="5"/>
      <c r="C446" s="41"/>
      <c r="D446" s="41"/>
      <c r="E446" s="42"/>
      <c r="F446" s="43"/>
      <c r="G446" s="41"/>
    </row>
    <row r="447" spans="1:7" ht="13.2">
      <c r="A447" s="49"/>
      <c r="B447" s="5"/>
      <c r="C447" s="41"/>
      <c r="D447" s="41"/>
      <c r="E447" s="42"/>
      <c r="F447" s="43"/>
      <c r="G447" s="41"/>
    </row>
    <row r="448" spans="1:7" ht="13.2">
      <c r="A448" s="49"/>
      <c r="B448" s="5"/>
      <c r="C448" s="41"/>
      <c r="D448" s="41"/>
      <c r="E448" s="42"/>
      <c r="F448" s="43"/>
      <c r="G448" s="41"/>
    </row>
    <row r="449" spans="1:7" ht="13.2">
      <c r="A449" s="49"/>
      <c r="B449" s="5"/>
      <c r="C449" s="41"/>
      <c r="D449" s="41"/>
      <c r="E449" s="42"/>
      <c r="F449" s="43"/>
      <c r="G449" s="41"/>
    </row>
    <row r="450" spans="1:7" ht="13.2">
      <c r="A450" s="49"/>
      <c r="B450" s="5"/>
      <c r="C450" s="41"/>
      <c r="D450" s="41"/>
      <c r="E450" s="42"/>
      <c r="F450" s="43"/>
      <c r="G450" s="41"/>
    </row>
    <row r="451" spans="1:7" ht="13.2">
      <c r="A451" s="49"/>
      <c r="B451" s="5"/>
      <c r="C451" s="41"/>
      <c r="D451" s="41"/>
      <c r="E451" s="42"/>
      <c r="F451" s="43"/>
      <c r="G451" s="41"/>
    </row>
    <row r="452" spans="1:7" ht="13.2">
      <c r="A452" s="49"/>
      <c r="B452" s="5"/>
      <c r="C452" s="41"/>
      <c r="D452" s="41"/>
      <c r="E452" s="42"/>
      <c r="F452" s="43"/>
      <c r="G452" s="41"/>
    </row>
    <row r="453" spans="1:7" ht="13.2">
      <c r="A453" s="49"/>
      <c r="B453" s="5"/>
      <c r="C453" s="41"/>
      <c r="D453" s="41"/>
      <c r="E453" s="42"/>
      <c r="F453" s="43"/>
      <c r="G453" s="41"/>
    </row>
    <row r="454" spans="1:7" ht="13.2">
      <c r="A454" s="49"/>
      <c r="B454" s="5"/>
      <c r="C454" s="41"/>
      <c r="D454" s="41"/>
      <c r="E454" s="42"/>
      <c r="F454" s="43"/>
      <c r="G454" s="41"/>
    </row>
    <row r="455" spans="1:7" ht="13.2">
      <c r="A455" s="49"/>
      <c r="B455" s="5"/>
      <c r="C455" s="41"/>
      <c r="D455" s="41"/>
      <c r="E455" s="42"/>
      <c r="F455" s="43"/>
      <c r="G455" s="41"/>
    </row>
    <row r="456" spans="1:7" ht="13.2">
      <c r="A456" s="49"/>
      <c r="B456" s="5"/>
      <c r="C456" s="41"/>
      <c r="D456" s="41"/>
      <c r="E456" s="42"/>
      <c r="F456" s="43"/>
      <c r="G456" s="41"/>
    </row>
    <row r="457" spans="1:7" ht="13.2">
      <c r="A457" s="49"/>
      <c r="B457" s="5"/>
      <c r="C457" s="41"/>
      <c r="D457" s="41"/>
      <c r="E457" s="42"/>
      <c r="F457" s="43"/>
      <c r="G457" s="41"/>
    </row>
    <row r="458" spans="1:7" ht="13.2">
      <c r="A458" s="49"/>
      <c r="B458" s="5"/>
      <c r="C458" s="41"/>
      <c r="D458" s="41"/>
      <c r="E458" s="42"/>
      <c r="F458" s="43"/>
      <c r="G458" s="41"/>
    </row>
    <row r="459" spans="1:7" ht="13.2">
      <c r="A459" s="49"/>
      <c r="B459" s="5"/>
      <c r="C459" s="41"/>
      <c r="D459" s="41"/>
      <c r="E459" s="42"/>
      <c r="F459" s="43"/>
      <c r="G459" s="41"/>
    </row>
    <row r="460" spans="1:7" ht="13.2">
      <c r="A460" s="49"/>
      <c r="B460" s="5"/>
      <c r="C460" s="41"/>
      <c r="D460" s="41"/>
      <c r="E460" s="42"/>
      <c r="F460" s="43"/>
      <c r="G460" s="41"/>
    </row>
    <row r="461" spans="1:7" ht="13.2">
      <c r="A461" s="49"/>
      <c r="B461" s="5"/>
      <c r="C461" s="41"/>
      <c r="D461" s="41"/>
      <c r="E461" s="42"/>
      <c r="F461" s="43"/>
      <c r="G461" s="41"/>
    </row>
    <row r="462" spans="1:7" ht="13.2">
      <c r="A462" s="49"/>
      <c r="B462" s="5"/>
      <c r="C462" s="41"/>
      <c r="D462" s="41"/>
      <c r="E462" s="42"/>
      <c r="F462" s="43"/>
      <c r="G462" s="41"/>
    </row>
    <row r="463" spans="1:7" ht="13.2">
      <c r="A463" s="49"/>
      <c r="B463" s="5"/>
      <c r="C463" s="41"/>
      <c r="D463" s="41"/>
      <c r="E463" s="42"/>
      <c r="F463" s="43"/>
      <c r="G463" s="41"/>
    </row>
    <row r="464" spans="1:7" ht="13.2">
      <c r="A464" s="49"/>
      <c r="B464" s="5"/>
      <c r="C464" s="41"/>
      <c r="D464" s="41"/>
      <c r="E464" s="42"/>
      <c r="F464" s="43"/>
      <c r="G464" s="41"/>
    </row>
    <row r="465" spans="1:7" ht="13.2">
      <c r="A465" s="49"/>
      <c r="B465" s="5"/>
      <c r="C465" s="41"/>
      <c r="D465" s="41"/>
      <c r="E465" s="42"/>
      <c r="F465" s="43"/>
      <c r="G465" s="41"/>
    </row>
    <row r="466" spans="1:7" ht="13.2">
      <c r="A466" s="49"/>
      <c r="B466" s="5"/>
      <c r="C466" s="41"/>
      <c r="D466" s="41"/>
      <c r="E466" s="42"/>
      <c r="F466" s="43"/>
      <c r="G466" s="41"/>
    </row>
    <row r="467" spans="1:7" ht="13.2">
      <c r="A467" s="49"/>
      <c r="B467" s="5"/>
      <c r="C467" s="41"/>
      <c r="D467" s="41"/>
      <c r="E467" s="42"/>
      <c r="F467" s="43"/>
      <c r="G467" s="41"/>
    </row>
    <row r="468" spans="1:7" ht="13.2">
      <c r="A468" s="49"/>
      <c r="B468" s="5"/>
      <c r="C468" s="41"/>
      <c r="D468" s="41"/>
      <c r="E468" s="42"/>
      <c r="F468" s="43"/>
      <c r="G468" s="41"/>
    </row>
    <row r="469" spans="1:7" ht="13.2">
      <c r="A469" s="49"/>
      <c r="B469" s="5"/>
      <c r="C469" s="41"/>
      <c r="D469" s="41"/>
      <c r="E469" s="42"/>
      <c r="F469" s="43"/>
      <c r="G469" s="41"/>
    </row>
    <row r="470" spans="1:7" ht="13.2">
      <c r="A470" s="49"/>
      <c r="B470" s="5"/>
      <c r="C470" s="41"/>
      <c r="D470" s="41"/>
      <c r="E470" s="42"/>
      <c r="F470" s="43"/>
      <c r="G470" s="41"/>
    </row>
    <row r="471" spans="1:7" ht="13.2">
      <c r="A471" s="49"/>
      <c r="B471" s="5"/>
      <c r="C471" s="41"/>
      <c r="D471" s="41"/>
      <c r="E471" s="42"/>
      <c r="F471" s="43"/>
      <c r="G471" s="41"/>
    </row>
    <row r="472" spans="1:7" ht="13.2">
      <c r="A472" s="49"/>
      <c r="B472" s="5"/>
      <c r="C472" s="41"/>
      <c r="D472" s="41"/>
      <c r="E472" s="42"/>
      <c r="F472" s="43"/>
      <c r="G472" s="41"/>
    </row>
    <row r="473" spans="1:7" ht="13.2">
      <c r="A473" s="49"/>
      <c r="B473" s="5"/>
      <c r="C473" s="41"/>
      <c r="D473" s="41"/>
      <c r="E473" s="42"/>
      <c r="F473" s="43"/>
      <c r="G473" s="41"/>
    </row>
    <row r="474" spans="1:7" ht="13.2">
      <c r="A474" s="49"/>
      <c r="B474" s="5"/>
      <c r="C474" s="41"/>
      <c r="D474" s="41"/>
      <c r="E474" s="42"/>
      <c r="F474" s="43"/>
      <c r="G474" s="41"/>
    </row>
    <row r="475" spans="1:7" ht="13.2">
      <c r="A475" s="49"/>
      <c r="B475" s="5"/>
      <c r="C475" s="41"/>
      <c r="D475" s="41"/>
      <c r="E475" s="42"/>
      <c r="F475" s="43"/>
      <c r="G475" s="41"/>
    </row>
    <row r="476" spans="1:7" ht="13.2">
      <c r="A476" s="49"/>
      <c r="B476" s="5"/>
      <c r="C476" s="41"/>
      <c r="D476" s="41"/>
      <c r="E476" s="42"/>
      <c r="F476" s="43"/>
      <c r="G476" s="41"/>
    </row>
    <row r="477" spans="1:7" ht="13.2">
      <c r="A477" s="49"/>
      <c r="B477" s="5"/>
      <c r="C477" s="41"/>
      <c r="D477" s="41"/>
      <c r="E477" s="42"/>
      <c r="F477" s="43"/>
      <c r="G477" s="41"/>
    </row>
    <row r="478" spans="1:7" ht="13.2">
      <c r="A478" s="49"/>
      <c r="B478" s="5"/>
      <c r="C478" s="41"/>
      <c r="D478" s="41"/>
      <c r="E478" s="42"/>
      <c r="F478" s="43"/>
      <c r="G478" s="41"/>
    </row>
    <row r="479" spans="1:7" ht="13.2">
      <c r="A479" s="49"/>
      <c r="B479" s="5"/>
      <c r="C479" s="41"/>
      <c r="D479" s="41"/>
      <c r="E479" s="42"/>
      <c r="F479" s="43"/>
      <c r="G479" s="41"/>
    </row>
    <row r="480" spans="1:7" ht="13.2">
      <c r="A480" s="49"/>
      <c r="B480" s="5"/>
      <c r="C480" s="41"/>
      <c r="D480" s="41"/>
      <c r="E480" s="42"/>
      <c r="F480" s="43"/>
      <c r="G480" s="41"/>
    </row>
    <row r="481" spans="1:7" ht="13.2">
      <c r="A481" s="49"/>
      <c r="B481" s="5"/>
      <c r="C481" s="41"/>
      <c r="D481" s="41"/>
      <c r="E481" s="42"/>
      <c r="F481" s="43"/>
      <c r="G481" s="41"/>
    </row>
    <row r="482" spans="1:7" ht="13.2">
      <c r="A482" s="49"/>
      <c r="B482" s="5"/>
      <c r="C482" s="41"/>
      <c r="D482" s="41"/>
      <c r="E482" s="42"/>
      <c r="F482" s="43"/>
      <c r="G482" s="41"/>
    </row>
    <row r="483" spans="1:7" ht="13.2">
      <c r="A483" s="49"/>
      <c r="B483" s="5"/>
      <c r="C483" s="41"/>
      <c r="D483" s="41"/>
      <c r="E483" s="42"/>
      <c r="F483" s="43"/>
      <c r="G483" s="41"/>
    </row>
    <row r="484" spans="1:7" ht="13.2">
      <c r="A484" s="49"/>
      <c r="B484" s="5"/>
      <c r="C484" s="41"/>
      <c r="D484" s="41"/>
      <c r="E484" s="42"/>
      <c r="F484" s="43"/>
      <c r="G484" s="41"/>
    </row>
    <row r="485" spans="1:7" ht="13.2">
      <c r="A485" s="49"/>
      <c r="B485" s="5"/>
      <c r="C485" s="41"/>
      <c r="D485" s="41"/>
      <c r="E485" s="42"/>
      <c r="F485" s="43"/>
      <c r="G485" s="41"/>
    </row>
    <row r="486" spans="1:7" ht="13.2">
      <c r="A486" s="49"/>
      <c r="B486" s="5"/>
      <c r="C486" s="41"/>
      <c r="D486" s="41"/>
      <c r="E486" s="42"/>
      <c r="F486" s="43"/>
      <c r="G486" s="41"/>
    </row>
    <row r="487" spans="1:7" ht="13.2">
      <c r="A487" s="49"/>
      <c r="B487" s="5"/>
      <c r="C487" s="41"/>
      <c r="D487" s="41"/>
      <c r="E487" s="42"/>
      <c r="F487" s="43"/>
      <c r="G487" s="41"/>
    </row>
    <row r="488" spans="1:7" ht="13.2">
      <c r="A488" s="49"/>
      <c r="B488" s="5"/>
      <c r="C488" s="41"/>
      <c r="D488" s="41"/>
      <c r="E488" s="42"/>
      <c r="F488" s="43"/>
      <c r="G488" s="41"/>
    </row>
    <row r="489" spans="1:7" ht="13.2">
      <c r="A489" s="49"/>
      <c r="B489" s="5"/>
      <c r="C489" s="41"/>
      <c r="D489" s="41"/>
      <c r="E489" s="42"/>
      <c r="F489" s="43"/>
      <c r="G489" s="41"/>
    </row>
    <row r="490" spans="1:7" ht="13.2">
      <c r="A490" s="49"/>
      <c r="B490" s="5"/>
      <c r="C490" s="41"/>
      <c r="D490" s="41"/>
      <c r="E490" s="42"/>
      <c r="F490" s="43"/>
      <c r="G490" s="41"/>
    </row>
    <row r="491" spans="1:7" ht="13.2">
      <c r="A491" s="49"/>
      <c r="B491" s="5"/>
      <c r="C491" s="41"/>
      <c r="D491" s="41"/>
      <c r="E491" s="42"/>
      <c r="F491" s="43"/>
      <c r="G491" s="41"/>
    </row>
    <row r="492" spans="1:7" ht="13.2">
      <c r="A492" s="49"/>
      <c r="B492" s="5"/>
      <c r="C492" s="41"/>
      <c r="D492" s="41"/>
      <c r="E492" s="42"/>
      <c r="F492" s="43"/>
      <c r="G492" s="41"/>
    </row>
    <row r="493" spans="1:7" ht="13.2">
      <c r="A493" s="49"/>
      <c r="B493" s="5"/>
      <c r="C493" s="41"/>
      <c r="D493" s="41"/>
      <c r="E493" s="42"/>
      <c r="F493" s="43"/>
      <c r="G493" s="41"/>
    </row>
    <row r="494" spans="1:7" ht="13.2">
      <c r="A494" s="49"/>
      <c r="B494" s="5"/>
      <c r="C494" s="41"/>
      <c r="D494" s="41"/>
      <c r="E494" s="42"/>
      <c r="F494" s="43"/>
      <c r="G494" s="41"/>
    </row>
    <row r="495" spans="1:7" ht="13.2">
      <c r="A495" s="49"/>
      <c r="B495" s="5"/>
      <c r="C495" s="41"/>
      <c r="D495" s="41"/>
      <c r="E495" s="42"/>
      <c r="F495" s="43"/>
      <c r="G495" s="41"/>
    </row>
    <row r="496" spans="1:7" ht="13.2">
      <c r="A496" s="49"/>
      <c r="B496" s="5"/>
      <c r="C496" s="41"/>
      <c r="D496" s="41"/>
      <c r="E496" s="42"/>
      <c r="F496" s="43"/>
      <c r="G496" s="41"/>
    </row>
    <row r="497" spans="1:7" ht="13.2">
      <c r="A497" s="49"/>
      <c r="B497" s="5"/>
      <c r="C497" s="41"/>
      <c r="D497" s="41"/>
      <c r="E497" s="42"/>
      <c r="F497" s="43"/>
      <c r="G497" s="41"/>
    </row>
    <row r="498" spans="1:7" ht="13.2">
      <c r="A498" s="49"/>
      <c r="B498" s="5"/>
      <c r="C498" s="41"/>
      <c r="D498" s="41"/>
      <c r="E498" s="42"/>
      <c r="F498" s="43"/>
      <c r="G498" s="41"/>
    </row>
    <row r="499" spans="1:7" ht="13.2">
      <c r="A499" s="49"/>
      <c r="B499" s="5"/>
      <c r="C499" s="41"/>
      <c r="D499" s="41"/>
      <c r="E499" s="42"/>
      <c r="F499" s="43"/>
      <c r="G499" s="41"/>
    </row>
    <row r="500" spans="1:7" ht="13.2">
      <c r="A500" s="49"/>
      <c r="B500" s="5"/>
      <c r="C500" s="41"/>
      <c r="D500" s="41"/>
      <c r="E500" s="42"/>
      <c r="F500" s="43"/>
      <c r="G500" s="41"/>
    </row>
    <row r="501" spans="1:7" ht="13.2">
      <c r="A501" s="49"/>
      <c r="B501" s="5"/>
      <c r="C501" s="41"/>
      <c r="D501" s="41"/>
      <c r="E501" s="42"/>
      <c r="F501" s="43"/>
      <c r="G501" s="41"/>
    </row>
    <row r="502" spans="1:7" ht="13.2">
      <c r="A502" s="49"/>
      <c r="B502" s="5"/>
      <c r="C502" s="41"/>
      <c r="D502" s="41"/>
      <c r="E502" s="42"/>
      <c r="F502" s="43"/>
      <c r="G502" s="41"/>
    </row>
    <row r="503" spans="1:7" ht="13.2">
      <c r="A503" s="49"/>
      <c r="B503" s="5"/>
      <c r="C503" s="41"/>
      <c r="D503" s="41"/>
      <c r="E503" s="42"/>
      <c r="F503" s="43"/>
      <c r="G503" s="41"/>
    </row>
    <row r="504" spans="1:7" ht="13.2">
      <c r="A504" s="49"/>
      <c r="B504" s="5"/>
      <c r="C504" s="41"/>
      <c r="D504" s="41"/>
      <c r="E504" s="42"/>
      <c r="F504" s="43"/>
      <c r="G504" s="41"/>
    </row>
    <row r="505" spans="1:7" ht="13.2">
      <c r="A505" s="49"/>
      <c r="B505" s="5"/>
      <c r="C505" s="41"/>
      <c r="D505" s="41"/>
      <c r="E505" s="42"/>
      <c r="F505" s="43"/>
      <c r="G505" s="41"/>
    </row>
    <row r="506" spans="1:7" ht="13.2">
      <c r="A506" s="49"/>
      <c r="B506" s="5"/>
      <c r="C506" s="41"/>
      <c r="D506" s="41"/>
      <c r="E506" s="42"/>
      <c r="F506" s="43"/>
      <c r="G506" s="41"/>
    </row>
    <row r="507" spans="1:7" ht="13.2">
      <c r="A507" s="49"/>
      <c r="B507" s="5"/>
      <c r="C507" s="41"/>
      <c r="D507" s="41"/>
      <c r="E507" s="42"/>
      <c r="F507" s="43"/>
      <c r="G507" s="41"/>
    </row>
    <row r="508" spans="1:7" ht="13.2">
      <c r="A508" s="49"/>
      <c r="B508" s="5"/>
      <c r="C508" s="41"/>
      <c r="D508" s="41"/>
      <c r="E508" s="42"/>
      <c r="F508" s="43"/>
      <c r="G508" s="41"/>
    </row>
    <row r="509" spans="1:7" ht="13.2">
      <c r="A509" s="49"/>
      <c r="B509" s="5"/>
      <c r="C509" s="41"/>
      <c r="D509" s="41"/>
      <c r="E509" s="42"/>
      <c r="F509" s="43"/>
      <c r="G509" s="41"/>
    </row>
    <row r="510" spans="1:7" ht="13.2">
      <c r="A510" s="49"/>
      <c r="B510" s="5"/>
      <c r="C510" s="41"/>
      <c r="D510" s="41"/>
      <c r="E510" s="42"/>
      <c r="F510" s="43"/>
      <c r="G510" s="41"/>
    </row>
    <row r="511" spans="1:7" ht="13.2">
      <c r="A511" s="49"/>
      <c r="B511" s="5"/>
      <c r="C511" s="41"/>
      <c r="D511" s="41"/>
      <c r="E511" s="42"/>
      <c r="F511" s="43"/>
      <c r="G511" s="41"/>
    </row>
    <row r="512" spans="1:7" ht="13.2">
      <c r="A512" s="49"/>
      <c r="B512" s="5"/>
      <c r="C512" s="41"/>
      <c r="D512" s="41"/>
      <c r="E512" s="42"/>
      <c r="F512" s="43"/>
      <c r="G512" s="41"/>
    </row>
    <row r="513" spans="1:7" ht="13.2">
      <c r="A513" s="49"/>
      <c r="B513" s="5"/>
      <c r="C513" s="41"/>
      <c r="D513" s="41"/>
      <c r="E513" s="42"/>
      <c r="F513" s="43"/>
      <c r="G513" s="41"/>
    </row>
    <row r="514" spans="1:7" ht="13.2">
      <c r="A514" s="49"/>
      <c r="B514" s="5"/>
      <c r="C514" s="41"/>
      <c r="D514" s="41"/>
      <c r="E514" s="42"/>
      <c r="F514" s="43"/>
      <c r="G514" s="41"/>
    </row>
    <row r="515" spans="1:7" ht="13.2">
      <c r="A515" s="49"/>
      <c r="B515" s="5"/>
      <c r="C515" s="41"/>
      <c r="D515" s="41"/>
      <c r="E515" s="42"/>
      <c r="F515" s="43"/>
      <c r="G515" s="41"/>
    </row>
    <row r="516" spans="1:7" ht="13.2">
      <c r="A516" s="49"/>
      <c r="B516" s="5"/>
      <c r="C516" s="41"/>
      <c r="D516" s="41"/>
      <c r="E516" s="42"/>
      <c r="F516" s="43"/>
      <c r="G516" s="41"/>
    </row>
    <row r="517" spans="1:7" ht="13.2">
      <c r="A517" s="49"/>
      <c r="B517" s="5"/>
      <c r="C517" s="41"/>
      <c r="D517" s="41"/>
      <c r="E517" s="42"/>
      <c r="F517" s="43"/>
      <c r="G517" s="41"/>
    </row>
    <row r="518" spans="1:7" ht="13.2">
      <c r="A518" s="49"/>
      <c r="B518" s="5"/>
      <c r="C518" s="41"/>
      <c r="D518" s="41"/>
      <c r="E518" s="42"/>
      <c r="F518" s="43"/>
      <c r="G518" s="41"/>
    </row>
    <row r="519" spans="1:7" ht="13.2">
      <c r="A519" s="49"/>
      <c r="B519" s="5"/>
      <c r="C519" s="41"/>
      <c r="D519" s="41"/>
      <c r="E519" s="42"/>
      <c r="F519" s="43"/>
      <c r="G519" s="41"/>
    </row>
    <row r="520" spans="1:7" ht="13.2">
      <c r="A520" s="49"/>
      <c r="B520" s="5"/>
      <c r="C520" s="41"/>
      <c r="D520" s="41"/>
      <c r="E520" s="42"/>
      <c r="F520" s="43"/>
      <c r="G520" s="41"/>
    </row>
    <row r="521" spans="1:7" ht="13.2">
      <c r="A521" s="49"/>
      <c r="B521" s="5"/>
      <c r="C521" s="41"/>
      <c r="D521" s="41"/>
      <c r="E521" s="42"/>
      <c r="F521" s="43"/>
      <c r="G521" s="41"/>
    </row>
    <row r="522" spans="1:7" ht="13.2">
      <c r="A522" s="49"/>
      <c r="B522" s="5"/>
      <c r="C522" s="41"/>
      <c r="D522" s="41"/>
      <c r="E522" s="42"/>
      <c r="F522" s="43"/>
      <c r="G522" s="41"/>
    </row>
    <row r="523" spans="1:7" ht="13.2">
      <c r="A523" s="49"/>
      <c r="B523" s="5"/>
      <c r="C523" s="41"/>
      <c r="D523" s="41"/>
      <c r="E523" s="42"/>
      <c r="F523" s="43"/>
      <c r="G523" s="41"/>
    </row>
    <row r="524" spans="1:7" ht="13.2">
      <c r="A524" s="49"/>
      <c r="B524" s="5"/>
      <c r="C524" s="41"/>
      <c r="D524" s="41"/>
      <c r="E524" s="42"/>
      <c r="F524" s="43"/>
      <c r="G524" s="41"/>
    </row>
    <row r="525" spans="1:7" ht="13.2">
      <c r="A525" s="49"/>
      <c r="B525" s="5"/>
      <c r="C525" s="41"/>
      <c r="D525" s="41"/>
      <c r="E525" s="42"/>
      <c r="F525" s="43"/>
      <c r="G525" s="41"/>
    </row>
    <row r="526" spans="1:7" ht="13.2">
      <c r="A526" s="49"/>
      <c r="B526" s="5"/>
      <c r="C526" s="41"/>
      <c r="D526" s="41"/>
      <c r="E526" s="42"/>
      <c r="F526" s="43"/>
      <c r="G526" s="41"/>
    </row>
    <row r="527" spans="1:7" ht="13.2">
      <c r="A527" s="49"/>
      <c r="B527" s="5"/>
      <c r="C527" s="41"/>
      <c r="D527" s="41"/>
      <c r="E527" s="42"/>
      <c r="F527" s="43"/>
      <c r="G527" s="41"/>
    </row>
    <row r="528" spans="1:7" ht="13.2">
      <c r="A528" s="49"/>
      <c r="B528" s="5"/>
      <c r="C528" s="41"/>
      <c r="D528" s="41"/>
      <c r="E528" s="42"/>
      <c r="F528" s="43"/>
      <c r="G528" s="41"/>
    </row>
    <row r="529" spans="1:7" ht="13.2">
      <c r="A529" s="49"/>
      <c r="B529" s="5"/>
      <c r="C529" s="41"/>
      <c r="D529" s="41"/>
      <c r="E529" s="42"/>
      <c r="F529" s="43"/>
      <c r="G529" s="41"/>
    </row>
    <row r="530" spans="1:7" ht="13.2">
      <c r="A530" s="49"/>
      <c r="B530" s="5"/>
      <c r="C530" s="41"/>
      <c r="D530" s="41"/>
      <c r="E530" s="42"/>
      <c r="F530" s="43"/>
      <c r="G530" s="41"/>
    </row>
    <row r="531" spans="1:7" ht="13.2">
      <c r="A531" s="49"/>
      <c r="B531" s="5"/>
      <c r="C531" s="41"/>
      <c r="D531" s="41"/>
      <c r="E531" s="42"/>
      <c r="F531" s="43"/>
      <c r="G531" s="41"/>
    </row>
    <row r="532" spans="1:7" ht="13.2">
      <c r="A532" s="49"/>
      <c r="B532" s="5"/>
      <c r="C532" s="41"/>
      <c r="D532" s="41"/>
      <c r="E532" s="42"/>
      <c r="F532" s="43"/>
      <c r="G532" s="41"/>
    </row>
    <row r="533" spans="1:7" ht="13.2">
      <c r="A533" s="49"/>
      <c r="B533" s="5"/>
      <c r="C533" s="41"/>
      <c r="D533" s="41"/>
      <c r="E533" s="42"/>
      <c r="F533" s="43"/>
      <c r="G533" s="41"/>
    </row>
    <row r="534" spans="1:7" ht="13.2">
      <c r="A534" s="49"/>
      <c r="B534" s="5"/>
      <c r="C534" s="41"/>
      <c r="D534" s="41"/>
      <c r="E534" s="42"/>
      <c r="F534" s="43"/>
      <c r="G534" s="41"/>
    </row>
    <row r="535" spans="1:7" ht="13.2">
      <c r="A535" s="49"/>
      <c r="B535" s="5"/>
      <c r="C535" s="41"/>
      <c r="D535" s="41"/>
      <c r="E535" s="42"/>
      <c r="F535" s="43"/>
      <c r="G535" s="41"/>
    </row>
    <row r="536" spans="1:7" ht="13.2">
      <c r="A536" s="49"/>
      <c r="B536" s="5"/>
      <c r="C536" s="41"/>
      <c r="D536" s="41"/>
      <c r="E536" s="42"/>
      <c r="F536" s="43"/>
      <c r="G536" s="41"/>
    </row>
    <row r="537" spans="1:7" ht="13.2">
      <c r="A537" s="49"/>
      <c r="B537" s="5"/>
      <c r="C537" s="41"/>
      <c r="D537" s="41"/>
      <c r="E537" s="42"/>
      <c r="F537" s="43"/>
      <c r="G537" s="41"/>
    </row>
    <row r="538" spans="1:7" ht="13.2">
      <c r="A538" s="49"/>
      <c r="B538" s="5"/>
      <c r="C538" s="41"/>
      <c r="D538" s="41"/>
      <c r="E538" s="42"/>
      <c r="F538" s="43"/>
      <c r="G538" s="41"/>
    </row>
    <row r="539" spans="1:7" ht="13.2">
      <c r="A539" s="49"/>
      <c r="B539" s="5"/>
      <c r="C539" s="41"/>
      <c r="D539" s="41"/>
      <c r="E539" s="42"/>
      <c r="F539" s="43"/>
      <c r="G539" s="41"/>
    </row>
    <row r="540" spans="1:7" ht="13.2">
      <c r="A540" s="49"/>
      <c r="B540" s="5"/>
      <c r="C540" s="41"/>
      <c r="D540" s="41"/>
      <c r="E540" s="42"/>
      <c r="F540" s="43"/>
      <c r="G540" s="41"/>
    </row>
    <row r="541" spans="1:7" ht="13.2">
      <c r="A541" s="49"/>
      <c r="B541" s="5"/>
      <c r="C541" s="41"/>
      <c r="D541" s="41"/>
      <c r="E541" s="42"/>
      <c r="F541" s="43"/>
      <c r="G541" s="41"/>
    </row>
    <row r="542" spans="1:7" ht="13.2">
      <c r="A542" s="49"/>
      <c r="B542" s="5"/>
      <c r="C542" s="41"/>
      <c r="D542" s="41"/>
      <c r="E542" s="42"/>
      <c r="F542" s="43"/>
      <c r="G542" s="41"/>
    </row>
    <row r="543" spans="1:7" ht="13.2">
      <c r="A543" s="49"/>
      <c r="B543" s="5"/>
      <c r="C543" s="41"/>
      <c r="D543" s="41"/>
      <c r="E543" s="42"/>
      <c r="F543" s="43"/>
      <c r="G543" s="41"/>
    </row>
    <row r="544" spans="1:7" ht="13.2">
      <c r="A544" s="49"/>
      <c r="B544" s="5"/>
      <c r="C544" s="41"/>
      <c r="D544" s="41"/>
      <c r="E544" s="42"/>
      <c r="F544" s="43"/>
      <c r="G544" s="41"/>
    </row>
    <row r="545" spans="1:7" ht="13.2">
      <c r="A545" s="49"/>
      <c r="B545" s="5"/>
      <c r="C545" s="41"/>
      <c r="D545" s="41"/>
      <c r="E545" s="42"/>
      <c r="F545" s="43"/>
      <c r="G545" s="41"/>
    </row>
    <row r="546" spans="1:7" ht="13.2">
      <c r="A546" s="49"/>
      <c r="B546" s="5"/>
      <c r="C546" s="41"/>
      <c r="D546" s="41"/>
      <c r="E546" s="42"/>
      <c r="F546" s="43"/>
      <c r="G546" s="41"/>
    </row>
    <row r="547" spans="1:7" ht="13.2">
      <c r="A547" s="49"/>
      <c r="B547" s="5"/>
      <c r="C547" s="41"/>
      <c r="D547" s="41"/>
      <c r="E547" s="42"/>
      <c r="F547" s="43"/>
      <c r="G547" s="41"/>
    </row>
    <row r="548" spans="1:7" ht="13.2">
      <c r="A548" s="49"/>
      <c r="B548" s="5"/>
      <c r="C548" s="41"/>
      <c r="D548" s="41"/>
      <c r="E548" s="42"/>
      <c r="F548" s="43"/>
      <c r="G548" s="41"/>
    </row>
    <row r="549" spans="1:7" ht="13.2">
      <c r="A549" s="49"/>
      <c r="B549" s="5"/>
      <c r="C549" s="41"/>
      <c r="D549" s="41"/>
      <c r="E549" s="42"/>
      <c r="F549" s="43"/>
      <c r="G549" s="41"/>
    </row>
    <row r="550" spans="1:7" ht="13.2">
      <c r="A550" s="49"/>
      <c r="B550" s="5"/>
      <c r="C550" s="41"/>
      <c r="D550" s="41"/>
      <c r="E550" s="42"/>
      <c r="F550" s="43"/>
      <c r="G550" s="41"/>
    </row>
    <row r="551" spans="1:7" ht="13.2">
      <c r="A551" s="49"/>
      <c r="B551" s="5"/>
      <c r="C551" s="41"/>
      <c r="D551" s="41"/>
      <c r="E551" s="42"/>
      <c r="F551" s="43"/>
      <c r="G551" s="41"/>
    </row>
    <row r="552" spans="1:7" ht="13.2">
      <c r="A552" s="49"/>
      <c r="B552" s="5"/>
      <c r="C552" s="41"/>
      <c r="D552" s="41"/>
      <c r="E552" s="42"/>
      <c r="F552" s="43"/>
      <c r="G552" s="41"/>
    </row>
    <row r="553" spans="1:7" ht="13.2">
      <c r="A553" s="49"/>
      <c r="B553" s="5"/>
      <c r="C553" s="41"/>
      <c r="D553" s="41"/>
      <c r="E553" s="42"/>
      <c r="F553" s="43"/>
      <c r="G553" s="41"/>
    </row>
    <row r="554" spans="1:7" ht="13.2">
      <c r="A554" s="49"/>
      <c r="B554" s="5"/>
      <c r="C554" s="41"/>
      <c r="D554" s="41"/>
      <c r="E554" s="42"/>
      <c r="F554" s="43"/>
      <c r="G554" s="41"/>
    </row>
    <row r="555" spans="1:7" ht="13.2">
      <c r="A555" s="49"/>
      <c r="B555" s="5"/>
      <c r="C555" s="41"/>
      <c r="D555" s="41"/>
      <c r="E555" s="42"/>
      <c r="F555" s="43"/>
      <c r="G555" s="41"/>
    </row>
    <row r="556" spans="1:7" ht="13.2">
      <c r="A556" s="49"/>
      <c r="B556" s="5"/>
      <c r="C556" s="41"/>
      <c r="D556" s="41"/>
      <c r="E556" s="42"/>
      <c r="F556" s="43"/>
      <c r="G556" s="41"/>
    </row>
    <row r="557" spans="1:7" ht="13.2">
      <c r="A557" s="49"/>
      <c r="B557" s="5"/>
      <c r="C557" s="41"/>
      <c r="D557" s="41"/>
      <c r="E557" s="42"/>
      <c r="F557" s="43"/>
      <c r="G557" s="41"/>
    </row>
    <row r="558" spans="1:7" ht="13.2">
      <c r="A558" s="49"/>
      <c r="B558" s="5"/>
      <c r="C558" s="41"/>
      <c r="D558" s="41"/>
      <c r="E558" s="42"/>
      <c r="F558" s="43"/>
      <c r="G558" s="41"/>
    </row>
    <row r="559" spans="1:7" ht="13.2">
      <c r="A559" s="49"/>
      <c r="B559" s="5"/>
      <c r="C559" s="41"/>
      <c r="D559" s="41"/>
      <c r="E559" s="42"/>
      <c r="F559" s="43"/>
      <c r="G559" s="41"/>
    </row>
    <row r="560" spans="1:7" ht="13.2">
      <c r="A560" s="49"/>
      <c r="B560" s="5"/>
      <c r="C560" s="41"/>
      <c r="D560" s="41"/>
      <c r="E560" s="42"/>
      <c r="F560" s="43"/>
      <c r="G560" s="41"/>
    </row>
    <row r="561" spans="1:7" ht="13.2">
      <c r="A561" s="49"/>
      <c r="B561" s="5"/>
      <c r="C561" s="41"/>
      <c r="D561" s="41"/>
      <c r="E561" s="42"/>
      <c r="F561" s="43"/>
      <c r="G561" s="41"/>
    </row>
    <row r="562" spans="1:7" ht="13.2">
      <c r="A562" s="49"/>
      <c r="B562" s="5"/>
      <c r="C562" s="41"/>
      <c r="D562" s="41"/>
      <c r="E562" s="42"/>
      <c r="F562" s="43"/>
      <c r="G562" s="41"/>
    </row>
    <row r="563" spans="1:7" ht="13.2">
      <c r="A563" s="49"/>
      <c r="B563" s="5"/>
      <c r="C563" s="41"/>
      <c r="D563" s="41"/>
      <c r="E563" s="42"/>
      <c r="F563" s="43"/>
      <c r="G563" s="41"/>
    </row>
    <row r="564" spans="1:7" ht="13.2">
      <c r="A564" s="49"/>
      <c r="B564" s="5"/>
      <c r="C564" s="41"/>
      <c r="D564" s="41"/>
      <c r="E564" s="42"/>
      <c r="F564" s="43"/>
      <c r="G564" s="41"/>
    </row>
    <row r="565" spans="1:7" ht="13.2">
      <c r="A565" s="49"/>
      <c r="B565" s="5"/>
      <c r="C565" s="41"/>
      <c r="D565" s="41"/>
      <c r="E565" s="42"/>
      <c r="F565" s="43"/>
      <c r="G565" s="41"/>
    </row>
    <row r="566" spans="1:7" ht="13.2">
      <c r="A566" s="49"/>
      <c r="B566" s="5"/>
      <c r="C566" s="41"/>
      <c r="D566" s="41"/>
      <c r="E566" s="42"/>
      <c r="F566" s="43"/>
      <c r="G566" s="41"/>
    </row>
    <row r="567" spans="1:7" ht="13.2">
      <c r="A567" s="49"/>
      <c r="B567" s="5"/>
      <c r="C567" s="41"/>
      <c r="D567" s="41"/>
      <c r="E567" s="42"/>
      <c r="F567" s="43"/>
      <c r="G567" s="41"/>
    </row>
    <row r="568" spans="1:7" ht="13.2">
      <c r="A568" s="49"/>
      <c r="B568" s="5"/>
      <c r="C568" s="41"/>
      <c r="D568" s="41"/>
      <c r="E568" s="42"/>
      <c r="F568" s="43"/>
      <c r="G568" s="41"/>
    </row>
    <row r="569" spans="1:7" ht="13.2">
      <c r="A569" s="49"/>
      <c r="B569" s="5"/>
      <c r="C569" s="41"/>
      <c r="D569" s="41"/>
      <c r="E569" s="42"/>
      <c r="F569" s="43"/>
      <c r="G569" s="41"/>
    </row>
    <row r="570" spans="1:7" ht="13.2">
      <c r="A570" s="49"/>
      <c r="B570" s="5"/>
      <c r="C570" s="41"/>
      <c r="D570" s="41"/>
      <c r="E570" s="42"/>
      <c r="F570" s="43"/>
      <c r="G570" s="41"/>
    </row>
    <row r="571" spans="1:7" ht="13.2">
      <c r="A571" s="49"/>
      <c r="B571" s="5"/>
      <c r="C571" s="41"/>
      <c r="D571" s="41"/>
      <c r="E571" s="42"/>
      <c r="F571" s="43"/>
      <c r="G571" s="41"/>
    </row>
    <row r="572" spans="1:7" ht="13.2">
      <c r="A572" s="49"/>
      <c r="B572" s="5"/>
      <c r="C572" s="41"/>
      <c r="D572" s="41"/>
      <c r="E572" s="42"/>
      <c r="F572" s="43"/>
      <c r="G572" s="41"/>
    </row>
    <row r="573" spans="1:7" ht="13.2">
      <c r="A573" s="49"/>
      <c r="B573" s="5"/>
      <c r="C573" s="41"/>
      <c r="D573" s="41"/>
      <c r="E573" s="42"/>
      <c r="F573" s="43"/>
      <c r="G573" s="41"/>
    </row>
    <row r="574" spans="1:7" ht="13.2">
      <c r="A574" s="49"/>
      <c r="B574" s="5"/>
      <c r="C574" s="41"/>
      <c r="D574" s="41"/>
      <c r="E574" s="42"/>
      <c r="F574" s="43"/>
      <c r="G574" s="41"/>
    </row>
    <row r="575" spans="1:7" ht="13.2">
      <c r="A575" s="49"/>
      <c r="B575" s="5"/>
      <c r="C575" s="41"/>
      <c r="D575" s="41"/>
      <c r="E575" s="42"/>
      <c r="F575" s="43"/>
      <c r="G575" s="41"/>
    </row>
    <row r="576" spans="1:7" ht="13.2">
      <c r="A576" s="49"/>
      <c r="B576" s="5"/>
      <c r="C576" s="41"/>
      <c r="D576" s="41"/>
      <c r="E576" s="42"/>
      <c r="F576" s="43"/>
      <c r="G576" s="41"/>
    </row>
    <row r="577" spans="1:7" ht="13.2">
      <c r="A577" s="49"/>
      <c r="B577" s="5"/>
      <c r="C577" s="41"/>
      <c r="D577" s="41"/>
      <c r="E577" s="42"/>
      <c r="F577" s="43"/>
      <c r="G577" s="41"/>
    </row>
    <row r="578" spans="1:7" ht="13.2">
      <c r="A578" s="49"/>
      <c r="B578" s="5"/>
      <c r="C578" s="41"/>
      <c r="D578" s="41"/>
      <c r="E578" s="42"/>
      <c r="F578" s="43"/>
      <c r="G578" s="41"/>
    </row>
    <row r="579" spans="1:7" ht="13.2">
      <c r="A579" s="49"/>
      <c r="B579" s="5"/>
      <c r="C579" s="41"/>
      <c r="D579" s="41"/>
      <c r="E579" s="42"/>
      <c r="F579" s="43"/>
      <c r="G579" s="41"/>
    </row>
    <row r="580" spans="1:7" ht="13.2">
      <c r="A580" s="49"/>
      <c r="B580" s="5"/>
      <c r="C580" s="41"/>
      <c r="D580" s="41"/>
      <c r="E580" s="42"/>
      <c r="F580" s="43"/>
      <c r="G580" s="41"/>
    </row>
    <row r="581" spans="1:7" ht="13.2">
      <c r="A581" s="49"/>
      <c r="B581" s="5"/>
      <c r="C581" s="41"/>
      <c r="D581" s="41"/>
      <c r="E581" s="42"/>
      <c r="F581" s="43"/>
      <c r="G581" s="41"/>
    </row>
    <row r="582" spans="1:7" ht="13.2">
      <c r="A582" s="49"/>
      <c r="B582" s="5"/>
      <c r="C582" s="41"/>
      <c r="D582" s="41"/>
      <c r="E582" s="42"/>
      <c r="F582" s="43"/>
      <c r="G582" s="41"/>
    </row>
    <row r="583" spans="1:7" ht="13.2">
      <c r="A583" s="49"/>
      <c r="B583" s="5"/>
      <c r="C583" s="41"/>
      <c r="D583" s="41"/>
      <c r="E583" s="42"/>
      <c r="F583" s="43"/>
      <c r="G583" s="41"/>
    </row>
    <row r="584" spans="1:7" ht="13.2">
      <c r="A584" s="49"/>
      <c r="B584" s="5"/>
      <c r="C584" s="41"/>
      <c r="D584" s="41"/>
      <c r="E584" s="42"/>
      <c r="F584" s="43"/>
      <c r="G584" s="41"/>
    </row>
    <row r="585" spans="1:7" ht="13.2">
      <c r="A585" s="49"/>
      <c r="B585" s="5"/>
      <c r="C585" s="41"/>
      <c r="D585" s="41"/>
      <c r="E585" s="42"/>
      <c r="F585" s="43"/>
      <c r="G585" s="41"/>
    </row>
    <row r="586" spans="1:7" ht="13.2">
      <c r="A586" s="49"/>
      <c r="B586" s="5"/>
      <c r="C586" s="41"/>
      <c r="D586" s="41"/>
      <c r="E586" s="42"/>
      <c r="F586" s="43"/>
      <c r="G586" s="41"/>
    </row>
    <row r="587" spans="1:7" ht="13.2">
      <c r="A587" s="49"/>
      <c r="B587" s="5"/>
      <c r="C587" s="41"/>
      <c r="D587" s="41"/>
      <c r="E587" s="42"/>
      <c r="F587" s="43"/>
      <c r="G587" s="41"/>
    </row>
    <row r="588" spans="1:7" ht="13.2">
      <c r="A588" s="49"/>
      <c r="B588" s="5"/>
      <c r="C588" s="41"/>
      <c r="D588" s="41"/>
      <c r="E588" s="42"/>
      <c r="F588" s="43"/>
      <c r="G588" s="41"/>
    </row>
    <row r="589" spans="1:7" ht="13.2">
      <c r="A589" s="49"/>
      <c r="B589" s="5"/>
      <c r="C589" s="41"/>
      <c r="D589" s="41"/>
      <c r="E589" s="42"/>
      <c r="F589" s="43"/>
      <c r="G589" s="41"/>
    </row>
    <row r="590" spans="1:7" ht="13.2">
      <c r="A590" s="49"/>
      <c r="B590" s="5"/>
      <c r="C590" s="41"/>
      <c r="D590" s="41"/>
      <c r="E590" s="42"/>
      <c r="F590" s="43"/>
      <c r="G590" s="41"/>
    </row>
    <row r="591" spans="1:7" ht="13.2">
      <c r="A591" s="49"/>
      <c r="B591" s="5"/>
      <c r="C591" s="41"/>
      <c r="D591" s="41"/>
      <c r="E591" s="42"/>
      <c r="F591" s="43"/>
      <c r="G591" s="41"/>
    </row>
    <row r="592" spans="1:7" ht="13.2">
      <c r="A592" s="49"/>
      <c r="B592" s="5"/>
      <c r="C592" s="41"/>
      <c r="D592" s="41"/>
      <c r="E592" s="42"/>
      <c r="F592" s="43"/>
      <c r="G592" s="41"/>
    </row>
    <row r="593" spans="1:7" ht="13.2">
      <c r="A593" s="49"/>
      <c r="B593" s="5"/>
      <c r="C593" s="41"/>
      <c r="D593" s="41"/>
      <c r="E593" s="42"/>
      <c r="F593" s="43"/>
      <c r="G593" s="41"/>
    </row>
    <row r="594" spans="1:7" ht="13.2">
      <c r="A594" s="49"/>
      <c r="B594" s="5"/>
      <c r="C594" s="41"/>
      <c r="D594" s="41"/>
      <c r="E594" s="42"/>
      <c r="F594" s="43"/>
      <c r="G594" s="41"/>
    </row>
    <row r="595" spans="1:7" ht="13.2">
      <c r="A595" s="49"/>
      <c r="B595" s="5"/>
      <c r="C595" s="41"/>
      <c r="D595" s="41"/>
      <c r="E595" s="42"/>
      <c r="F595" s="43"/>
      <c r="G595" s="41"/>
    </row>
    <row r="596" spans="1:7" ht="13.2">
      <c r="A596" s="49"/>
      <c r="B596" s="5"/>
      <c r="C596" s="41"/>
      <c r="D596" s="41"/>
      <c r="E596" s="42"/>
      <c r="F596" s="43"/>
      <c r="G596" s="41"/>
    </row>
    <row r="597" spans="1:7" ht="13.2">
      <c r="A597" s="49"/>
      <c r="B597" s="5"/>
      <c r="C597" s="41"/>
      <c r="D597" s="41"/>
      <c r="E597" s="42"/>
      <c r="F597" s="43"/>
      <c r="G597" s="41"/>
    </row>
    <row r="598" spans="1:7" ht="13.2">
      <c r="A598" s="49"/>
      <c r="B598" s="5"/>
      <c r="C598" s="41"/>
      <c r="D598" s="41"/>
      <c r="E598" s="42"/>
      <c r="F598" s="43"/>
      <c r="G598" s="41"/>
    </row>
    <row r="599" spans="1:7" ht="13.2">
      <c r="A599" s="49"/>
      <c r="B599" s="5"/>
      <c r="C599" s="41"/>
      <c r="D599" s="41"/>
      <c r="E599" s="42"/>
      <c r="F599" s="43"/>
      <c r="G599" s="41"/>
    </row>
    <row r="600" spans="1:7" ht="13.2">
      <c r="A600" s="49"/>
      <c r="B600" s="5"/>
      <c r="C600" s="41"/>
      <c r="D600" s="41"/>
      <c r="E600" s="42"/>
      <c r="F600" s="43"/>
      <c r="G600" s="41"/>
    </row>
    <row r="601" spans="1:7" ht="13.2">
      <c r="A601" s="49"/>
      <c r="B601" s="5"/>
      <c r="C601" s="41"/>
      <c r="D601" s="41"/>
      <c r="E601" s="42"/>
      <c r="F601" s="43"/>
      <c r="G601" s="41"/>
    </row>
    <row r="602" spans="1:7" ht="13.2">
      <c r="A602" s="49"/>
      <c r="B602" s="5"/>
      <c r="C602" s="41"/>
      <c r="D602" s="41"/>
      <c r="E602" s="42"/>
      <c r="F602" s="43"/>
      <c r="G602" s="41"/>
    </row>
    <row r="603" spans="1:7" ht="13.2">
      <c r="A603" s="49"/>
      <c r="B603" s="5"/>
      <c r="C603" s="41"/>
      <c r="D603" s="41"/>
      <c r="E603" s="42"/>
      <c r="F603" s="43"/>
      <c r="G603" s="41"/>
    </row>
    <row r="604" spans="1:7" ht="13.2">
      <c r="A604" s="49"/>
      <c r="B604" s="5"/>
      <c r="C604" s="41"/>
      <c r="D604" s="41"/>
      <c r="E604" s="42"/>
      <c r="F604" s="43"/>
      <c r="G604" s="41"/>
    </row>
    <row r="605" spans="1:7" ht="13.2">
      <c r="A605" s="49"/>
      <c r="B605" s="5"/>
      <c r="C605" s="41"/>
      <c r="D605" s="41"/>
      <c r="E605" s="42"/>
      <c r="F605" s="43"/>
      <c r="G605" s="41"/>
    </row>
    <row r="606" spans="1:7" ht="13.2">
      <c r="A606" s="49"/>
      <c r="B606" s="5"/>
      <c r="C606" s="41"/>
      <c r="D606" s="41"/>
      <c r="E606" s="42"/>
      <c r="F606" s="43"/>
      <c r="G606" s="41"/>
    </row>
    <row r="607" spans="1:7" ht="13.2">
      <c r="A607" s="49"/>
      <c r="B607" s="5"/>
      <c r="C607" s="41"/>
      <c r="D607" s="41"/>
      <c r="E607" s="42"/>
      <c r="F607" s="43"/>
      <c r="G607" s="41"/>
    </row>
    <row r="608" spans="1:7" ht="13.2">
      <c r="A608" s="49"/>
      <c r="B608" s="5"/>
      <c r="C608" s="41"/>
      <c r="D608" s="41"/>
      <c r="E608" s="42"/>
      <c r="F608" s="43"/>
      <c r="G608" s="41"/>
    </row>
    <row r="609" spans="1:7" ht="13.2">
      <c r="A609" s="49"/>
      <c r="B609" s="5"/>
      <c r="C609" s="41"/>
      <c r="D609" s="41"/>
      <c r="E609" s="42"/>
      <c r="F609" s="43"/>
      <c r="G609" s="41"/>
    </row>
    <row r="610" spans="1:7" ht="13.2">
      <c r="A610" s="49"/>
      <c r="B610" s="5"/>
      <c r="C610" s="41"/>
      <c r="D610" s="41"/>
      <c r="E610" s="42"/>
      <c r="F610" s="43"/>
      <c r="G610" s="41"/>
    </row>
    <row r="611" spans="1:7" ht="13.2">
      <c r="A611" s="49"/>
      <c r="B611" s="5"/>
      <c r="C611" s="41"/>
      <c r="D611" s="41"/>
      <c r="E611" s="42"/>
      <c r="F611" s="43"/>
      <c r="G611" s="41"/>
    </row>
    <row r="612" spans="1:7" ht="13.2">
      <c r="A612" s="49"/>
      <c r="B612" s="5"/>
      <c r="C612" s="41"/>
      <c r="D612" s="41"/>
      <c r="E612" s="42"/>
      <c r="F612" s="43"/>
      <c r="G612" s="41"/>
    </row>
    <row r="613" spans="1:7" ht="13.2">
      <c r="A613" s="49"/>
      <c r="B613" s="5"/>
      <c r="C613" s="41"/>
      <c r="D613" s="41"/>
      <c r="E613" s="42"/>
      <c r="F613" s="43"/>
      <c r="G613" s="41"/>
    </row>
    <row r="614" spans="1:7" ht="13.2">
      <c r="A614" s="49"/>
      <c r="B614" s="5"/>
      <c r="C614" s="41"/>
      <c r="D614" s="41"/>
      <c r="E614" s="42"/>
      <c r="F614" s="43"/>
      <c r="G614" s="41"/>
    </row>
    <row r="615" spans="1:7" ht="13.2">
      <c r="A615" s="49"/>
      <c r="B615" s="5"/>
      <c r="C615" s="41"/>
      <c r="D615" s="41"/>
      <c r="E615" s="42"/>
      <c r="F615" s="43"/>
      <c r="G615" s="41"/>
    </row>
    <row r="616" spans="1:7" ht="13.2">
      <c r="A616" s="49"/>
      <c r="B616" s="5"/>
      <c r="C616" s="41"/>
      <c r="D616" s="41"/>
      <c r="E616" s="42"/>
      <c r="F616" s="43"/>
      <c r="G616" s="41"/>
    </row>
    <row r="617" spans="1:7" ht="13.2">
      <c r="A617" s="49"/>
      <c r="B617" s="5"/>
      <c r="C617" s="41"/>
      <c r="D617" s="41"/>
      <c r="E617" s="42"/>
      <c r="F617" s="43"/>
      <c r="G617" s="41"/>
    </row>
    <row r="618" spans="1:7" ht="13.2">
      <c r="A618" s="49"/>
      <c r="B618" s="5"/>
      <c r="C618" s="41"/>
      <c r="D618" s="41"/>
      <c r="E618" s="42"/>
      <c r="F618" s="43"/>
      <c r="G618" s="41"/>
    </row>
    <row r="619" spans="1:7" ht="13.2">
      <c r="A619" s="49"/>
      <c r="B619" s="5"/>
      <c r="C619" s="41"/>
      <c r="D619" s="41"/>
      <c r="E619" s="42"/>
      <c r="F619" s="43"/>
      <c r="G619" s="41"/>
    </row>
    <row r="620" spans="1:7" ht="13.2">
      <c r="A620" s="49"/>
      <c r="B620" s="5"/>
      <c r="C620" s="41"/>
      <c r="D620" s="41"/>
      <c r="E620" s="42"/>
      <c r="F620" s="43"/>
      <c r="G620" s="41"/>
    </row>
    <row r="621" spans="1:7" ht="13.2">
      <c r="A621" s="49"/>
      <c r="B621" s="5"/>
      <c r="C621" s="41"/>
      <c r="D621" s="41"/>
      <c r="E621" s="42"/>
      <c r="F621" s="43"/>
      <c r="G621" s="41"/>
    </row>
    <row r="622" spans="1:7" ht="13.2">
      <c r="A622" s="49"/>
      <c r="B622" s="5"/>
      <c r="C622" s="41"/>
      <c r="D622" s="41"/>
      <c r="E622" s="42"/>
      <c r="F622" s="43"/>
      <c r="G622" s="41"/>
    </row>
    <row r="623" spans="1:7" ht="13.2">
      <c r="A623" s="49"/>
      <c r="B623" s="5"/>
      <c r="C623" s="41"/>
      <c r="D623" s="41"/>
      <c r="E623" s="42"/>
      <c r="F623" s="43"/>
      <c r="G623" s="41"/>
    </row>
    <row r="624" spans="1:7" ht="13.2">
      <c r="A624" s="49"/>
      <c r="B624" s="5"/>
      <c r="C624" s="41"/>
      <c r="D624" s="41"/>
      <c r="E624" s="42"/>
      <c r="F624" s="43"/>
      <c r="G624" s="41"/>
    </row>
    <row r="625" spans="1:7" ht="13.2">
      <c r="A625" s="49"/>
      <c r="B625" s="5"/>
      <c r="C625" s="41"/>
      <c r="D625" s="41"/>
      <c r="E625" s="42"/>
      <c r="F625" s="43"/>
      <c r="G625" s="41"/>
    </row>
    <row r="626" spans="1:7" ht="13.2">
      <c r="A626" s="49"/>
      <c r="B626" s="5"/>
      <c r="C626" s="41"/>
      <c r="D626" s="41"/>
      <c r="E626" s="42"/>
      <c r="F626" s="43"/>
      <c r="G626" s="41"/>
    </row>
    <row r="627" spans="1:7" ht="13.2">
      <c r="A627" s="49"/>
      <c r="B627" s="5"/>
      <c r="C627" s="41"/>
      <c r="D627" s="41"/>
      <c r="E627" s="42"/>
      <c r="F627" s="43"/>
      <c r="G627" s="41"/>
    </row>
    <row r="628" spans="1:7" ht="13.2">
      <c r="A628" s="49"/>
      <c r="B628" s="5"/>
      <c r="C628" s="41"/>
      <c r="D628" s="41"/>
      <c r="E628" s="42"/>
      <c r="F628" s="43"/>
      <c r="G628" s="41"/>
    </row>
    <row r="629" spans="1:7" ht="13.2">
      <c r="A629" s="49"/>
      <c r="B629" s="5"/>
      <c r="C629" s="41"/>
      <c r="D629" s="41"/>
      <c r="E629" s="42"/>
      <c r="F629" s="43"/>
      <c r="G629" s="41"/>
    </row>
    <row r="630" spans="1:7" ht="13.2">
      <c r="A630" s="49"/>
      <c r="B630" s="5"/>
      <c r="C630" s="41"/>
      <c r="D630" s="41"/>
      <c r="E630" s="42"/>
      <c r="F630" s="43"/>
      <c r="G630" s="41"/>
    </row>
    <row r="631" spans="1:7" ht="13.2">
      <c r="A631" s="49"/>
      <c r="B631" s="5"/>
      <c r="C631" s="41"/>
      <c r="D631" s="41"/>
      <c r="E631" s="42"/>
      <c r="F631" s="43"/>
      <c r="G631" s="41"/>
    </row>
    <row r="632" spans="1:7" ht="13.2">
      <c r="A632" s="49"/>
      <c r="B632" s="5"/>
      <c r="C632" s="41"/>
      <c r="D632" s="41"/>
      <c r="E632" s="42"/>
      <c r="F632" s="43"/>
      <c r="G632" s="41"/>
    </row>
    <row r="633" spans="1:7" ht="13.2">
      <c r="A633" s="49"/>
      <c r="B633" s="5"/>
      <c r="C633" s="41"/>
      <c r="D633" s="41"/>
      <c r="E633" s="42"/>
      <c r="F633" s="43"/>
      <c r="G633" s="41"/>
    </row>
    <row r="634" spans="1:7" ht="13.2">
      <c r="A634" s="49"/>
      <c r="B634" s="5"/>
      <c r="C634" s="41"/>
      <c r="D634" s="41"/>
      <c r="E634" s="42"/>
      <c r="F634" s="43"/>
      <c r="G634" s="41"/>
    </row>
    <row r="635" spans="1:7" ht="13.2">
      <c r="A635" s="49"/>
      <c r="B635" s="5"/>
      <c r="C635" s="41"/>
      <c r="D635" s="41"/>
      <c r="E635" s="42"/>
      <c r="F635" s="43"/>
      <c r="G635" s="41"/>
    </row>
    <row r="636" spans="1:7" ht="13.2">
      <c r="A636" s="49"/>
      <c r="B636" s="5"/>
      <c r="C636" s="41"/>
      <c r="D636" s="41"/>
      <c r="E636" s="42"/>
      <c r="F636" s="43"/>
      <c r="G636" s="41"/>
    </row>
    <row r="637" spans="1:7" ht="13.2">
      <c r="A637" s="49"/>
      <c r="B637" s="5"/>
      <c r="C637" s="41"/>
      <c r="D637" s="41"/>
      <c r="E637" s="42"/>
      <c r="F637" s="43"/>
      <c r="G637" s="41"/>
    </row>
    <row r="638" spans="1:7" ht="13.2">
      <c r="A638" s="49"/>
      <c r="B638" s="5"/>
      <c r="C638" s="41"/>
      <c r="D638" s="41"/>
      <c r="E638" s="42"/>
      <c r="F638" s="43"/>
      <c r="G638" s="41"/>
    </row>
    <row r="639" spans="1:7" ht="13.2">
      <c r="A639" s="49"/>
      <c r="B639" s="5"/>
      <c r="C639" s="41"/>
      <c r="D639" s="41"/>
      <c r="E639" s="42"/>
      <c r="F639" s="43"/>
      <c r="G639" s="41"/>
    </row>
    <row r="640" spans="1:7" ht="13.2">
      <c r="A640" s="49"/>
      <c r="B640" s="5"/>
      <c r="C640" s="41"/>
      <c r="D640" s="41"/>
      <c r="E640" s="42"/>
      <c r="F640" s="43"/>
      <c r="G640" s="41"/>
    </row>
    <row r="641" spans="1:7" ht="13.2">
      <c r="A641" s="49"/>
      <c r="B641" s="5"/>
      <c r="C641" s="41"/>
      <c r="D641" s="41"/>
      <c r="E641" s="42"/>
      <c r="F641" s="43"/>
      <c r="G641" s="41"/>
    </row>
    <row r="642" spans="1:7" ht="13.2">
      <c r="A642" s="49"/>
      <c r="B642" s="5"/>
      <c r="C642" s="41"/>
      <c r="D642" s="41"/>
      <c r="E642" s="42"/>
      <c r="F642" s="43"/>
      <c r="G642" s="41"/>
    </row>
    <row r="643" spans="1:7" ht="13.2">
      <c r="A643" s="49"/>
      <c r="B643" s="5"/>
      <c r="C643" s="41"/>
      <c r="D643" s="41"/>
      <c r="E643" s="42"/>
      <c r="F643" s="43"/>
      <c r="G643" s="41"/>
    </row>
    <row r="644" spans="1:7" ht="13.2">
      <c r="A644" s="49"/>
      <c r="B644" s="5"/>
      <c r="C644" s="41"/>
      <c r="D644" s="41"/>
      <c r="E644" s="42"/>
      <c r="F644" s="43"/>
      <c r="G644" s="41"/>
    </row>
    <row r="645" spans="1:7" ht="13.2">
      <c r="A645" s="49"/>
      <c r="B645" s="5"/>
      <c r="C645" s="41"/>
      <c r="D645" s="41"/>
      <c r="E645" s="42"/>
      <c r="F645" s="43"/>
      <c r="G645" s="41"/>
    </row>
    <row r="646" spans="1:7" ht="13.2">
      <c r="A646" s="49"/>
      <c r="B646" s="5"/>
      <c r="C646" s="41"/>
      <c r="D646" s="41"/>
      <c r="E646" s="42"/>
      <c r="F646" s="43"/>
      <c r="G646" s="41"/>
    </row>
    <row r="647" spans="1:7" ht="13.2">
      <c r="A647" s="49"/>
      <c r="B647" s="5"/>
      <c r="C647" s="41"/>
      <c r="D647" s="41"/>
      <c r="E647" s="42"/>
      <c r="F647" s="43"/>
      <c r="G647" s="41"/>
    </row>
    <row r="648" spans="1:7" ht="13.2">
      <c r="A648" s="49"/>
      <c r="B648" s="5"/>
      <c r="C648" s="41"/>
      <c r="D648" s="41"/>
      <c r="E648" s="42"/>
      <c r="F648" s="43"/>
      <c r="G648" s="41"/>
    </row>
    <row r="649" spans="1:7" ht="13.2">
      <c r="A649" s="49"/>
      <c r="B649" s="5"/>
      <c r="C649" s="41"/>
      <c r="D649" s="41"/>
      <c r="E649" s="42"/>
      <c r="F649" s="43"/>
      <c r="G649" s="41"/>
    </row>
    <row r="650" spans="1:7" ht="13.2">
      <c r="A650" s="49"/>
      <c r="B650" s="5"/>
      <c r="C650" s="41"/>
      <c r="D650" s="41"/>
      <c r="E650" s="42"/>
      <c r="F650" s="43"/>
      <c r="G650" s="41"/>
    </row>
    <row r="651" spans="1:7" ht="13.2">
      <c r="A651" s="49"/>
      <c r="B651" s="5"/>
      <c r="C651" s="41"/>
      <c r="D651" s="41"/>
      <c r="E651" s="42"/>
      <c r="F651" s="43"/>
      <c r="G651" s="41"/>
    </row>
    <row r="652" spans="1:7" ht="13.2">
      <c r="A652" s="49"/>
      <c r="B652" s="5"/>
      <c r="C652" s="41"/>
      <c r="D652" s="41"/>
      <c r="E652" s="42"/>
      <c r="F652" s="43"/>
      <c r="G652" s="41"/>
    </row>
    <row r="653" spans="1:7" ht="13.2">
      <c r="A653" s="49"/>
      <c r="B653" s="5"/>
      <c r="C653" s="41"/>
      <c r="D653" s="41"/>
      <c r="E653" s="42"/>
      <c r="F653" s="43"/>
      <c r="G653" s="41"/>
    </row>
    <row r="654" spans="1:7" ht="13.2">
      <c r="A654" s="49"/>
      <c r="B654" s="5"/>
      <c r="C654" s="41"/>
      <c r="D654" s="41"/>
      <c r="E654" s="42"/>
      <c r="F654" s="43"/>
      <c r="G654" s="41"/>
    </row>
    <row r="655" spans="1:7" ht="13.2">
      <c r="A655" s="49"/>
      <c r="B655" s="5"/>
      <c r="C655" s="41"/>
      <c r="D655" s="41"/>
      <c r="E655" s="42"/>
      <c r="F655" s="43"/>
      <c r="G655" s="41"/>
    </row>
    <row r="656" spans="1:7" ht="13.2">
      <c r="A656" s="49"/>
      <c r="B656" s="5"/>
      <c r="C656" s="41"/>
      <c r="D656" s="41"/>
      <c r="E656" s="42"/>
      <c r="F656" s="43"/>
      <c r="G656" s="41"/>
    </row>
    <row r="657" spans="1:7" ht="13.2">
      <c r="A657" s="49"/>
      <c r="B657" s="5"/>
      <c r="C657" s="41"/>
      <c r="D657" s="41"/>
      <c r="E657" s="42"/>
      <c r="F657" s="43"/>
      <c r="G657" s="41"/>
    </row>
    <row r="658" spans="1:7" ht="13.2">
      <c r="A658" s="49"/>
      <c r="B658" s="5"/>
      <c r="C658" s="41"/>
      <c r="D658" s="41"/>
      <c r="E658" s="42"/>
      <c r="F658" s="43"/>
      <c r="G658" s="41"/>
    </row>
    <row r="659" spans="1:7" ht="13.2">
      <c r="A659" s="49"/>
      <c r="B659" s="5"/>
      <c r="C659" s="41"/>
      <c r="D659" s="41"/>
      <c r="E659" s="42"/>
      <c r="F659" s="43"/>
      <c r="G659" s="41"/>
    </row>
    <row r="660" spans="1:7" ht="13.2">
      <c r="A660" s="49"/>
      <c r="B660" s="5"/>
      <c r="C660" s="41"/>
      <c r="D660" s="41"/>
      <c r="E660" s="42"/>
      <c r="F660" s="43"/>
      <c r="G660" s="41"/>
    </row>
    <row r="661" spans="1:7" ht="13.2">
      <c r="A661" s="49"/>
      <c r="B661" s="5"/>
      <c r="C661" s="41"/>
      <c r="D661" s="41"/>
      <c r="E661" s="42"/>
      <c r="F661" s="43"/>
      <c r="G661" s="41"/>
    </row>
    <row r="662" spans="1:7" ht="13.2">
      <c r="A662" s="49"/>
      <c r="B662" s="5"/>
      <c r="C662" s="41"/>
      <c r="D662" s="41"/>
      <c r="E662" s="42"/>
      <c r="F662" s="43"/>
      <c r="G662" s="41"/>
    </row>
    <row r="663" spans="1:7" ht="13.2">
      <c r="A663" s="49"/>
      <c r="B663" s="5"/>
      <c r="C663" s="41"/>
      <c r="D663" s="41"/>
      <c r="E663" s="42"/>
      <c r="F663" s="43"/>
      <c r="G663" s="41"/>
    </row>
    <row r="664" spans="1:7" ht="13.2">
      <c r="A664" s="49"/>
      <c r="B664" s="5"/>
      <c r="C664" s="41"/>
      <c r="D664" s="41"/>
      <c r="E664" s="42"/>
      <c r="F664" s="43"/>
      <c r="G664" s="41"/>
    </row>
    <row r="665" spans="1:7" ht="13.2">
      <c r="A665" s="49"/>
      <c r="B665" s="5"/>
      <c r="C665" s="41"/>
      <c r="D665" s="41"/>
      <c r="E665" s="42"/>
      <c r="F665" s="43"/>
      <c r="G665" s="41"/>
    </row>
    <row r="666" spans="1:7" ht="13.2">
      <c r="A666" s="49"/>
      <c r="B666" s="5"/>
      <c r="C666" s="41"/>
      <c r="D666" s="41"/>
      <c r="E666" s="42"/>
      <c r="F666" s="43"/>
      <c r="G666" s="41"/>
    </row>
    <row r="667" spans="1:7" ht="13.2">
      <c r="A667" s="49"/>
      <c r="B667" s="5"/>
      <c r="C667" s="41"/>
      <c r="D667" s="41"/>
      <c r="E667" s="42"/>
      <c r="F667" s="43"/>
      <c r="G667" s="41"/>
    </row>
    <row r="668" spans="1:7" ht="13.2">
      <c r="A668" s="49"/>
      <c r="B668" s="5"/>
      <c r="C668" s="41"/>
      <c r="D668" s="41"/>
      <c r="E668" s="42"/>
      <c r="F668" s="43"/>
      <c r="G668" s="41"/>
    </row>
    <row r="669" spans="1:7" ht="13.2">
      <c r="A669" s="49"/>
      <c r="B669" s="5"/>
      <c r="C669" s="41"/>
      <c r="D669" s="41"/>
      <c r="E669" s="42"/>
      <c r="F669" s="43"/>
      <c r="G669" s="41"/>
    </row>
    <row r="670" spans="1:7" ht="13.2">
      <c r="A670" s="49"/>
      <c r="B670" s="5"/>
      <c r="C670" s="41"/>
      <c r="D670" s="41"/>
      <c r="E670" s="42"/>
      <c r="F670" s="43"/>
      <c r="G670" s="41"/>
    </row>
    <row r="671" spans="1:7" ht="13.2">
      <c r="A671" s="49"/>
      <c r="B671" s="5"/>
      <c r="C671" s="41"/>
      <c r="D671" s="41"/>
      <c r="E671" s="42"/>
      <c r="F671" s="43"/>
      <c r="G671" s="41"/>
    </row>
    <row r="672" spans="1:7" ht="13.2">
      <c r="A672" s="49"/>
      <c r="B672" s="5"/>
      <c r="C672" s="41"/>
      <c r="D672" s="41"/>
      <c r="E672" s="42"/>
      <c r="F672" s="43"/>
      <c r="G672" s="41"/>
    </row>
    <row r="673" spans="1:7" ht="13.2">
      <c r="A673" s="49"/>
      <c r="B673" s="5"/>
      <c r="C673" s="41"/>
      <c r="D673" s="41"/>
      <c r="E673" s="42"/>
      <c r="F673" s="43"/>
      <c r="G673" s="41"/>
    </row>
    <row r="674" spans="1:7" ht="13.2">
      <c r="A674" s="49"/>
      <c r="B674" s="5"/>
      <c r="C674" s="41"/>
      <c r="D674" s="41"/>
      <c r="E674" s="42"/>
      <c r="F674" s="43"/>
      <c r="G674" s="41"/>
    </row>
    <row r="675" spans="1:7" ht="13.2">
      <c r="A675" s="49"/>
      <c r="B675" s="5"/>
      <c r="C675" s="41"/>
      <c r="D675" s="41"/>
      <c r="E675" s="42"/>
      <c r="F675" s="43"/>
      <c r="G675" s="41"/>
    </row>
    <row r="676" spans="1:7" ht="13.2">
      <c r="A676" s="49"/>
      <c r="B676" s="5"/>
      <c r="C676" s="41"/>
      <c r="D676" s="41"/>
      <c r="E676" s="42"/>
      <c r="F676" s="43"/>
      <c r="G676" s="41"/>
    </row>
    <row r="677" spans="1:7" ht="13.2">
      <c r="A677" s="49"/>
      <c r="B677" s="5"/>
      <c r="C677" s="41"/>
      <c r="D677" s="41"/>
      <c r="E677" s="42"/>
      <c r="F677" s="43"/>
      <c r="G677" s="41"/>
    </row>
    <row r="678" spans="1:7" ht="13.2">
      <c r="A678" s="49"/>
      <c r="B678" s="5"/>
      <c r="C678" s="41"/>
      <c r="D678" s="41"/>
      <c r="E678" s="42"/>
      <c r="F678" s="43"/>
      <c r="G678" s="41"/>
    </row>
    <row r="679" spans="1:7" ht="13.2">
      <c r="A679" s="49"/>
      <c r="B679" s="5"/>
      <c r="C679" s="41"/>
      <c r="D679" s="41"/>
      <c r="E679" s="42"/>
      <c r="F679" s="43"/>
      <c r="G679" s="41"/>
    </row>
    <row r="680" spans="1:7" ht="13.2">
      <c r="A680" s="49"/>
      <c r="B680" s="5"/>
      <c r="C680" s="41"/>
      <c r="D680" s="41"/>
      <c r="E680" s="42"/>
      <c r="F680" s="43"/>
      <c r="G680" s="41"/>
    </row>
    <row r="681" spans="1:7" ht="13.2">
      <c r="A681" s="49"/>
      <c r="B681" s="5"/>
      <c r="C681" s="41"/>
      <c r="D681" s="41"/>
      <c r="E681" s="42"/>
      <c r="F681" s="43"/>
      <c r="G681" s="41"/>
    </row>
    <row r="682" spans="1:7" ht="13.2">
      <c r="A682" s="49"/>
      <c r="B682" s="5"/>
      <c r="C682" s="41"/>
      <c r="D682" s="41"/>
      <c r="E682" s="42"/>
      <c r="F682" s="43"/>
      <c r="G682" s="41"/>
    </row>
    <row r="683" spans="1:7" ht="13.2">
      <c r="A683" s="49"/>
      <c r="B683" s="5"/>
      <c r="C683" s="41"/>
      <c r="D683" s="41"/>
      <c r="E683" s="42"/>
      <c r="F683" s="43"/>
      <c r="G683" s="41"/>
    </row>
    <row r="684" spans="1:7" ht="13.2">
      <c r="A684" s="49"/>
      <c r="B684" s="5"/>
      <c r="C684" s="41"/>
      <c r="D684" s="41"/>
      <c r="E684" s="42"/>
      <c r="F684" s="43"/>
      <c r="G684" s="41"/>
    </row>
    <row r="685" spans="1:7" ht="13.2">
      <c r="A685" s="49"/>
      <c r="B685" s="5"/>
      <c r="C685" s="41"/>
      <c r="D685" s="41"/>
      <c r="E685" s="42"/>
      <c r="F685" s="43"/>
      <c r="G685" s="41"/>
    </row>
    <row r="686" spans="1:7" ht="13.2">
      <c r="A686" s="49"/>
      <c r="B686" s="5"/>
      <c r="C686" s="41"/>
      <c r="D686" s="41"/>
      <c r="E686" s="42"/>
      <c r="F686" s="43"/>
      <c r="G686" s="41"/>
    </row>
    <row r="687" spans="1:7" ht="13.2">
      <c r="A687" s="49"/>
      <c r="B687" s="5"/>
      <c r="C687" s="41"/>
      <c r="D687" s="41"/>
      <c r="E687" s="42"/>
      <c r="F687" s="43"/>
      <c r="G687" s="41"/>
    </row>
    <row r="688" spans="1:7" ht="13.2">
      <c r="A688" s="49"/>
      <c r="B688" s="5"/>
      <c r="C688" s="41"/>
      <c r="D688" s="41"/>
      <c r="E688" s="42"/>
      <c r="F688" s="43"/>
      <c r="G688" s="41"/>
    </row>
    <row r="689" spans="1:7" ht="13.2">
      <c r="A689" s="49"/>
      <c r="B689" s="5"/>
      <c r="C689" s="41"/>
      <c r="D689" s="41"/>
      <c r="E689" s="42"/>
      <c r="F689" s="43"/>
      <c r="G689" s="41"/>
    </row>
    <row r="690" spans="1:7" ht="13.2">
      <c r="A690" s="49"/>
      <c r="B690" s="5"/>
      <c r="C690" s="41"/>
      <c r="D690" s="41"/>
      <c r="E690" s="42"/>
      <c r="F690" s="43"/>
      <c r="G690" s="41"/>
    </row>
    <row r="691" spans="1:7" ht="13.2">
      <c r="A691" s="49"/>
      <c r="B691" s="5"/>
      <c r="C691" s="41"/>
      <c r="D691" s="41"/>
      <c r="E691" s="42"/>
      <c r="F691" s="43"/>
      <c r="G691" s="41"/>
    </row>
    <row r="692" spans="1:7" ht="13.2">
      <c r="A692" s="49"/>
      <c r="B692" s="5"/>
      <c r="C692" s="41"/>
      <c r="D692" s="41"/>
      <c r="E692" s="42"/>
      <c r="F692" s="43"/>
      <c r="G692" s="41"/>
    </row>
    <row r="693" spans="1:7" ht="13.2">
      <c r="A693" s="49"/>
      <c r="B693" s="5"/>
      <c r="C693" s="41"/>
      <c r="D693" s="41"/>
      <c r="E693" s="42"/>
      <c r="F693" s="43"/>
      <c r="G693" s="41"/>
    </row>
    <row r="694" spans="1:7" ht="13.2">
      <c r="A694" s="49"/>
      <c r="B694" s="5"/>
      <c r="C694" s="41"/>
      <c r="D694" s="41"/>
      <c r="E694" s="42"/>
      <c r="F694" s="43"/>
      <c r="G694" s="41"/>
    </row>
    <row r="695" spans="1:7" ht="13.2">
      <c r="A695" s="49"/>
      <c r="B695" s="5"/>
      <c r="C695" s="41"/>
      <c r="D695" s="41"/>
      <c r="E695" s="42"/>
      <c r="F695" s="43"/>
      <c r="G695" s="41"/>
    </row>
    <row r="696" spans="1:7" ht="13.2">
      <c r="A696" s="49"/>
      <c r="B696" s="5"/>
      <c r="C696" s="41"/>
      <c r="D696" s="41"/>
      <c r="E696" s="42"/>
      <c r="F696" s="43"/>
      <c r="G696" s="41"/>
    </row>
    <row r="697" spans="1:7" ht="13.2">
      <c r="A697" s="49"/>
      <c r="B697" s="5"/>
      <c r="C697" s="41"/>
      <c r="D697" s="41"/>
      <c r="E697" s="42"/>
      <c r="F697" s="43"/>
      <c r="G697" s="41"/>
    </row>
    <row r="698" spans="1:7" ht="13.2">
      <c r="A698" s="49"/>
      <c r="B698" s="5"/>
      <c r="C698" s="41"/>
      <c r="D698" s="41"/>
      <c r="E698" s="42"/>
      <c r="F698" s="43"/>
      <c r="G698" s="41"/>
    </row>
    <row r="699" spans="1:7" ht="13.2">
      <c r="A699" s="49"/>
      <c r="B699" s="5"/>
      <c r="C699" s="41"/>
      <c r="D699" s="41"/>
      <c r="E699" s="42"/>
      <c r="F699" s="43"/>
      <c r="G699" s="41"/>
    </row>
    <row r="700" spans="1:7" ht="13.2">
      <c r="A700" s="49"/>
      <c r="B700" s="5"/>
      <c r="C700" s="41"/>
      <c r="D700" s="41"/>
      <c r="E700" s="42"/>
      <c r="F700" s="43"/>
      <c r="G700" s="41"/>
    </row>
    <row r="701" spans="1:7" ht="13.2">
      <c r="A701" s="49"/>
      <c r="B701" s="5"/>
      <c r="C701" s="41"/>
      <c r="D701" s="41"/>
      <c r="E701" s="42"/>
      <c r="F701" s="43"/>
      <c r="G701" s="41"/>
    </row>
    <row r="702" spans="1:7" ht="13.2">
      <c r="A702" s="49"/>
      <c r="B702" s="5"/>
      <c r="C702" s="41"/>
      <c r="D702" s="41"/>
      <c r="E702" s="42"/>
      <c r="F702" s="43"/>
      <c r="G702" s="41"/>
    </row>
    <row r="703" spans="1:7" ht="13.2">
      <c r="A703" s="49"/>
      <c r="B703" s="5"/>
      <c r="C703" s="41"/>
      <c r="D703" s="41"/>
      <c r="E703" s="42"/>
      <c r="F703" s="43"/>
      <c r="G703" s="41"/>
    </row>
    <row r="704" spans="1:7" ht="13.2">
      <c r="A704" s="49"/>
      <c r="B704" s="5"/>
      <c r="C704" s="41"/>
      <c r="D704" s="41"/>
      <c r="E704" s="42"/>
      <c r="F704" s="43"/>
      <c r="G704" s="41"/>
    </row>
    <row r="705" spans="1:7" ht="13.2">
      <c r="A705" s="49"/>
      <c r="B705" s="5"/>
      <c r="C705" s="41"/>
      <c r="D705" s="41"/>
      <c r="E705" s="42"/>
      <c r="F705" s="43"/>
      <c r="G705" s="41"/>
    </row>
    <row r="706" spans="1:7" ht="13.2">
      <c r="A706" s="49"/>
      <c r="B706" s="5"/>
      <c r="C706" s="41"/>
      <c r="D706" s="41"/>
      <c r="E706" s="42"/>
      <c r="F706" s="43"/>
      <c r="G706" s="41"/>
    </row>
    <row r="707" spans="1:7" ht="13.2">
      <c r="A707" s="49"/>
      <c r="B707" s="5"/>
      <c r="C707" s="41"/>
      <c r="D707" s="41"/>
      <c r="E707" s="42"/>
      <c r="F707" s="43"/>
      <c r="G707" s="41"/>
    </row>
    <row r="708" spans="1:7" ht="13.2">
      <c r="A708" s="49"/>
      <c r="B708" s="5"/>
      <c r="C708" s="41"/>
      <c r="D708" s="41"/>
      <c r="E708" s="42"/>
      <c r="F708" s="43"/>
      <c r="G708" s="41"/>
    </row>
    <row r="709" spans="1:7" ht="13.2">
      <c r="A709" s="49"/>
      <c r="B709" s="5"/>
      <c r="C709" s="41"/>
      <c r="D709" s="41"/>
      <c r="E709" s="42"/>
      <c r="F709" s="43"/>
      <c r="G709" s="41"/>
    </row>
    <row r="710" spans="1:7" ht="13.2">
      <c r="A710" s="49"/>
      <c r="B710" s="5"/>
      <c r="C710" s="41"/>
      <c r="D710" s="41"/>
      <c r="E710" s="42"/>
      <c r="F710" s="43"/>
      <c r="G710" s="41"/>
    </row>
    <row r="711" spans="1:7" ht="13.2">
      <c r="A711" s="49"/>
      <c r="B711" s="5"/>
      <c r="C711" s="41"/>
      <c r="D711" s="41"/>
      <c r="E711" s="42"/>
      <c r="F711" s="43"/>
      <c r="G711" s="41"/>
    </row>
    <row r="712" spans="1:7" ht="13.2">
      <c r="A712" s="49"/>
      <c r="B712" s="5"/>
      <c r="C712" s="41"/>
      <c r="D712" s="41"/>
      <c r="E712" s="42"/>
      <c r="F712" s="43"/>
      <c r="G712" s="41"/>
    </row>
    <row r="713" spans="1:7" ht="13.2">
      <c r="A713" s="49"/>
      <c r="B713" s="5"/>
      <c r="C713" s="41"/>
      <c r="D713" s="41"/>
      <c r="E713" s="42"/>
      <c r="F713" s="43"/>
      <c r="G713" s="41"/>
    </row>
    <row r="714" spans="1:7" ht="13.2">
      <c r="A714" s="49"/>
      <c r="B714" s="5"/>
      <c r="C714" s="41"/>
      <c r="D714" s="41"/>
      <c r="E714" s="42"/>
      <c r="F714" s="43"/>
      <c r="G714" s="41"/>
    </row>
    <row r="715" spans="1:7" ht="13.2">
      <c r="A715" s="49"/>
      <c r="B715" s="5"/>
      <c r="C715" s="41"/>
      <c r="D715" s="41"/>
      <c r="E715" s="42"/>
      <c r="F715" s="43"/>
      <c r="G715" s="41"/>
    </row>
    <row r="716" spans="1:7" ht="13.2">
      <c r="A716" s="49"/>
      <c r="B716" s="5"/>
      <c r="C716" s="41"/>
      <c r="D716" s="41"/>
      <c r="E716" s="42"/>
      <c r="F716" s="43"/>
      <c r="G716" s="41"/>
    </row>
    <row r="717" spans="1:7" ht="13.2">
      <c r="A717" s="49"/>
      <c r="B717" s="5"/>
      <c r="C717" s="41"/>
      <c r="D717" s="41"/>
      <c r="E717" s="42"/>
      <c r="F717" s="43"/>
      <c r="G717" s="41"/>
    </row>
    <row r="718" spans="1:7" ht="13.2">
      <c r="A718" s="49"/>
      <c r="B718" s="5"/>
      <c r="C718" s="41"/>
      <c r="D718" s="41"/>
      <c r="E718" s="42"/>
      <c r="F718" s="43"/>
      <c r="G718" s="41"/>
    </row>
    <row r="719" spans="1:7" ht="13.2">
      <c r="A719" s="49"/>
      <c r="B719" s="5"/>
      <c r="C719" s="41"/>
      <c r="D719" s="41"/>
      <c r="E719" s="42"/>
      <c r="F719" s="43"/>
      <c r="G719" s="41"/>
    </row>
    <row r="720" spans="1:7" ht="13.2">
      <c r="A720" s="49"/>
      <c r="B720" s="5"/>
      <c r="C720" s="41"/>
      <c r="D720" s="41"/>
      <c r="E720" s="42"/>
      <c r="F720" s="43"/>
      <c r="G720" s="41"/>
    </row>
    <row r="721" spans="1:7" ht="13.2">
      <c r="A721" s="49"/>
      <c r="B721" s="5"/>
      <c r="C721" s="41"/>
      <c r="D721" s="41"/>
      <c r="E721" s="42"/>
      <c r="F721" s="43"/>
      <c r="G721" s="41"/>
    </row>
    <row r="722" spans="1:7" ht="13.2">
      <c r="A722" s="49"/>
      <c r="B722" s="5"/>
      <c r="C722" s="41"/>
      <c r="D722" s="41"/>
      <c r="E722" s="42"/>
      <c r="F722" s="43"/>
      <c r="G722" s="41"/>
    </row>
    <row r="723" spans="1:7" ht="13.2">
      <c r="A723" s="49"/>
      <c r="B723" s="5"/>
      <c r="C723" s="41"/>
      <c r="D723" s="41"/>
      <c r="E723" s="42"/>
      <c r="F723" s="43"/>
      <c r="G723" s="41"/>
    </row>
    <row r="724" spans="1:7" ht="13.2">
      <c r="A724" s="49"/>
      <c r="B724" s="5"/>
      <c r="C724" s="41"/>
      <c r="D724" s="41"/>
      <c r="E724" s="42"/>
      <c r="F724" s="43"/>
      <c r="G724" s="41"/>
    </row>
    <row r="725" spans="1:7" ht="13.2">
      <c r="A725" s="49"/>
      <c r="B725" s="5"/>
      <c r="C725" s="41"/>
      <c r="D725" s="41"/>
      <c r="E725" s="42"/>
      <c r="F725" s="43"/>
      <c r="G725" s="41"/>
    </row>
    <row r="726" spans="1:7" ht="13.2">
      <c r="A726" s="49"/>
      <c r="B726" s="5"/>
      <c r="C726" s="41"/>
      <c r="D726" s="41"/>
      <c r="E726" s="42"/>
      <c r="F726" s="43"/>
      <c r="G726" s="41"/>
    </row>
    <row r="727" spans="1:7" ht="13.2">
      <c r="A727" s="49"/>
      <c r="B727" s="5"/>
      <c r="C727" s="41"/>
      <c r="D727" s="41"/>
      <c r="E727" s="42"/>
      <c r="F727" s="43"/>
      <c r="G727" s="41"/>
    </row>
    <row r="728" spans="1:7" ht="13.2">
      <c r="A728" s="49"/>
      <c r="B728" s="5"/>
      <c r="C728" s="41"/>
      <c r="D728" s="41"/>
      <c r="E728" s="42"/>
      <c r="F728" s="43"/>
      <c r="G728" s="41"/>
    </row>
    <row r="729" spans="1:7" ht="13.2">
      <c r="A729" s="49"/>
      <c r="B729" s="5"/>
      <c r="C729" s="41"/>
      <c r="D729" s="41"/>
      <c r="E729" s="42"/>
      <c r="F729" s="43"/>
      <c r="G729" s="41"/>
    </row>
    <row r="730" spans="1:7" ht="13.2">
      <c r="A730" s="49"/>
      <c r="B730" s="5"/>
      <c r="C730" s="41"/>
      <c r="D730" s="41"/>
      <c r="E730" s="42"/>
      <c r="F730" s="43"/>
      <c r="G730" s="41"/>
    </row>
    <row r="731" spans="1:7" ht="13.2">
      <c r="A731" s="49"/>
      <c r="B731" s="5"/>
      <c r="C731" s="41"/>
      <c r="D731" s="41"/>
      <c r="E731" s="42"/>
      <c r="F731" s="43"/>
      <c r="G731" s="41"/>
    </row>
    <row r="732" spans="1:7" ht="13.2">
      <c r="A732" s="49"/>
      <c r="B732" s="5"/>
      <c r="C732" s="41"/>
      <c r="D732" s="41"/>
      <c r="E732" s="42"/>
      <c r="F732" s="43"/>
      <c r="G732" s="41"/>
    </row>
    <row r="733" spans="1:7" ht="13.2">
      <c r="A733" s="49"/>
      <c r="B733" s="5"/>
      <c r="C733" s="41"/>
      <c r="D733" s="41"/>
      <c r="E733" s="42"/>
      <c r="F733" s="43"/>
      <c r="G733" s="41"/>
    </row>
    <row r="734" spans="1:7" ht="13.2">
      <c r="A734" s="49"/>
      <c r="B734" s="5"/>
      <c r="C734" s="41"/>
      <c r="D734" s="41"/>
      <c r="E734" s="42"/>
      <c r="F734" s="43"/>
      <c r="G734" s="41"/>
    </row>
    <row r="735" spans="1:7" ht="13.2">
      <c r="A735" s="49"/>
      <c r="B735" s="5"/>
      <c r="C735" s="41"/>
      <c r="D735" s="41"/>
      <c r="E735" s="42"/>
      <c r="F735" s="43"/>
      <c r="G735" s="41"/>
    </row>
    <row r="736" spans="1:7" ht="13.2">
      <c r="A736" s="49"/>
      <c r="B736" s="5"/>
      <c r="C736" s="41"/>
      <c r="D736" s="41"/>
      <c r="E736" s="42"/>
      <c r="F736" s="43"/>
      <c r="G736" s="41"/>
    </row>
    <row r="737" spans="1:7" ht="13.2">
      <c r="A737" s="49"/>
      <c r="B737" s="5"/>
      <c r="C737" s="41"/>
      <c r="D737" s="41"/>
      <c r="E737" s="42"/>
      <c r="F737" s="43"/>
      <c r="G737" s="41"/>
    </row>
    <row r="738" spans="1:7" ht="13.2">
      <c r="A738" s="49"/>
      <c r="B738" s="5"/>
      <c r="C738" s="41"/>
      <c r="D738" s="41"/>
      <c r="E738" s="42"/>
      <c r="F738" s="43"/>
      <c r="G738" s="41"/>
    </row>
    <row r="739" spans="1:7" ht="13.2">
      <c r="A739" s="49"/>
      <c r="B739" s="5"/>
      <c r="C739" s="41"/>
      <c r="D739" s="41"/>
      <c r="E739" s="42"/>
      <c r="F739" s="43"/>
      <c r="G739" s="41"/>
    </row>
    <row r="740" spans="1:7" ht="13.2">
      <c r="A740" s="49"/>
      <c r="B740" s="5"/>
      <c r="C740" s="41"/>
      <c r="D740" s="41"/>
      <c r="E740" s="42"/>
      <c r="F740" s="43"/>
      <c r="G740" s="41"/>
    </row>
    <row r="741" spans="1:7" ht="13.2">
      <c r="A741" s="49"/>
      <c r="B741" s="5"/>
      <c r="C741" s="41"/>
      <c r="D741" s="41"/>
      <c r="E741" s="42"/>
      <c r="F741" s="43"/>
      <c r="G741" s="41"/>
    </row>
    <row r="742" spans="1:7" ht="13.2">
      <c r="A742" s="49"/>
      <c r="B742" s="5"/>
      <c r="C742" s="41"/>
      <c r="D742" s="41"/>
      <c r="E742" s="42"/>
      <c r="F742" s="43"/>
      <c r="G742" s="41"/>
    </row>
    <row r="743" spans="1:7" ht="13.2">
      <c r="A743" s="49"/>
      <c r="B743" s="5"/>
      <c r="C743" s="41"/>
      <c r="D743" s="41"/>
      <c r="E743" s="42"/>
      <c r="F743" s="43"/>
      <c r="G743" s="41"/>
    </row>
    <row r="744" spans="1:7" ht="13.2">
      <c r="A744" s="49"/>
      <c r="B744" s="5"/>
      <c r="C744" s="41"/>
      <c r="D744" s="41"/>
      <c r="E744" s="42"/>
      <c r="F744" s="43"/>
      <c r="G744" s="41"/>
    </row>
    <row r="745" spans="1:7" ht="13.2">
      <c r="A745" s="49"/>
      <c r="B745" s="5"/>
      <c r="C745" s="41"/>
      <c r="D745" s="41"/>
      <c r="E745" s="42"/>
      <c r="F745" s="43"/>
      <c r="G745" s="41"/>
    </row>
    <row r="746" spans="1:7" ht="13.2">
      <c r="A746" s="49"/>
      <c r="B746" s="5"/>
      <c r="C746" s="41"/>
      <c r="D746" s="41"/>
      <c r="E746" s="42"/>
      <c r="F746" s="43"/>
      <c r="G746" s="41"/>
    </row>
    <row r="747" spans="1:7" ht="13.2">
      <c r="A747" s="49"/>
      <c r="B747" s="5"/>
      <c r="C747" s="41"/>
      <c r="D747" s="41"/>
      <c r="E747" s="42"/>
      <c r="F747" s="43"/>
      <c r="G747" s="41"/>
    </row>
    <row r="748" spans="1:7" ht="13.2">
      <c r="A748" s="49"/>
      <c r="B748" s="5"/>
      <c r="C748" s="41"/>
      <c r="D748" s="41"/>
      <c r="E748" s="42"/>
      <c r="F748" s="43"/>
      <c r="G748" s="41"/>
    </row>
    <row r="749" spans="1:7" ht="13.2">
      <c r="A749" s="49"/>
      <c r="B749" s="5"/>
      <c r="C749" s="41"/>
      <c r="D749" s="41"/>
      <c r="E749" s="42"/>
      <c r="F749" s="43"/>
      <c r="G749" s="41"/>
    </row>
    <row r="750" spans="1:7" ht="13.2">
      <c r="A750" s="49"/>
      <c r="B750" s="5"/>
      <c r="C750" s="41"/>
      <c r="D750" s="41"/>
      <c r="E750" s="42"/>
      <c r="F750" s="43"/>
      <c r="G750" s="41"/>
    </row>
    <row r="751" spans="1:7" ht="13.2">
      <c r="A751" s="49"/>
      <c r="B751" s="5"/>
      <c r="C751" s="41"/>
      <c r="D751" s="41"/>
      <c r="E751" s="42"/>
      <c r="F751" s="43"/>
      <c r="G751" s="41"/>
    </row>
    <row r="752" spans="1:7" ht="13.2">
      <c r="A752" s="49"/>
      <c r="B752" s="5"/>
      <c r="C752" s="41"/>
      <c r="D752" s="41"/>
      <c r="E752" s="42"/>
      <c r="F752" s="43"/>
      <c r="G752" s="41"/>
    </row>
    <row r="753" spans="1:7" ht="13.2">
      <c r="A753" s="49"/>
      <c r="B753" s="5"/>
      <c r="C753" s="41"/>
      <c r="D753" s="41"/>
      <c r="E753" s="42"/>
      <c r="F753" s="43"/>
      <c r="G753" s="41"/>
    </row>
    <row r="754" spans="1:7" ht="13.2">
      <c r="A754" s="49"/>
      <c r="B754" s="5"/>
      <c r="C754" s="41"/>
      <c r="D754" s="41"/>
      <c r="E754" s="42"/>
      <c r="F754" s="43"/>
      <c r="G754" s="41"/>
    </row>
    <row r="755" spans="1:7" ht="13.2">
      <c r="A755" s="49"/>
      <c r="B755" s="5"/>
      <c r="C755" s="41"/>
      <c r="D755" s="41"/>
      <c r="E755" s="42"/>
      <c r="F755" s="43"/>
      <c r="G755" s="41"/>
    </row>
    <row r="756" spans="1:7" ht="13.2">
      <c r="A756" s="49"/>
      <c r="B756" s="5"/>
      <c r="C756" s="41"/>
      <c r="D756" s="41"/>
      <c r="E756" s="42"/>
      <c r="F756" s="43"/>
      <c r="G756" s="41"/>
    </row>
    <row r="757" spans="1:7" ht="13.2">
      <c r="A757" s="49"/>
      <c r="B757" s="5"/>
      <c r="C757" s="41"/>
      <c r="D757" s="41"/>
      <c r="E757" s="42"/>
      <c r="F757" s="43"/>
      <c r="G757" s="41"/>
    </row>
    <row r="758" spans="1:7" ht="13.2">
      <c r="A758" s="49"/>
      <c r="B758" s="5"/>
      <c r="C758" s="41"/>
      <c r="D758" s="41"/>
      <c r="E758" s="42"/>
      <c r="F758" s="43"/>
      <c r="G758" s="41"/>
    </row>
    <row r="759" spans="1:7" ht="13.2">
      <c r="A759" s="49"/>
      <c r="B759" s="5"/>
      <c r="C759" s="41"/>
      <c r="D759" s="41"/>
      <c r="E759" s="42"/>
      <c r="F759" s="43"/>
      <c r="G759" s="41"/>
    </row>
    <row r="760" spans="1:7" ht="13.2">
      <c r="A760" s="49"/>
      <c r="B760" s="5"/>
      <c r="C760" s="41"/>
      <c r="D760" s="41"/>
      <c r="E760" s="42"/>
      <c r="F760" s="43"/>
      <c r="G760" s="41"/>
    </row>
    <row r="761" spans="1:7" ht="13.2">
      <c r="A761" s="49"/>
      <c r="B761" s="5"/>
      <c r="C761" s="41"/>
      <c r="D761" s="41"/>
      <c r="E761" s="42"/>
      <c r="F761" s="43"/>
      <c r="G761" s="41"/>
    </row>
    <row r="762" spans="1:7" ht="13.2">
      <c r="A762" s="49"/>
      <c r="B762" s="5"/>
      <c r="C762" s="41"/>
      <c r="D762" s="41"/>
      <c r="E762" s="42"/>
      <c r="F762" s="43"/>
      <c r="G762" s="41"/>
    </row>
    <row r="763" spans="1:7" ht="13.2">
      <c r="A763" s="49"/>
      <c r="B763" s="5"/>
      <c r="C763" s="41"/>
      <c r="D763" s="41"/>
      <c r="E763" s="42"/>
      <c r="F763" s="43"/>
      <c r="G763" s="41"/>
    </row>
    <row r="764" spans="1:7" ht="13.2">
      <c r="A764" s="49"/>
      <c r="B764" s="5"/>
      <c r="C764" s="41"/>
      <c r="D764" s="41"/>
      <c r="E764" s="42"/>
      <c r="F764" s="43"/>
      <c r="G764" s="41"/>
    </row>
    <row r="765" spans="1:7" ht="13.2">
      <c r="A765" s="49"/>
      <c r="B765" s="5"/>
      <c r="C765" s="41"/>
      <c r="D765" s="41"/>
      <c r="E765" s="42"/>
      <c r="F765" s="43"/>
      <c r="G765" s="41"/>
    </row>
    <row r="766" spans="1:7" ht="13.2">
      <c r="A766" s="49"/>
      <c r="B766" s="5"/>
      <c r="C766" s="41"/>
      <c r="D766" s="41"/>
      <c r="E766" s="42"/>
      <c r="F766" s="43"/>
      <c r="G766" s="41"/>
    </row>
    <row r="767" spans="1:7" ht="13.2">
      <c r="A767" s="49"/>
      <c r="B767" s="5"/>
      <c r="C767" s="41"/>
      <c r="D767" s="41"/>
      <c r="E767" s="42"/>
      <c r="F767" s="43"/>
      <c r="G767" s="41"/>
    </row>
    <row r="768" spans="1:7" ht="13.2">
      <c r="A768" s="49"/>
      <c r="B768" s="5"/>
      <c r="C768" s="41"/>
      <c r="D768" s="41"/>
      <c r="E768" s="42"/>
      <c r="F768" s="43"/>
      <c r="G768" s="41"/>
    </row>
    <row r="769" spans="1:7" ht="13.2">
      <c r="A769" s="49"/>
      <c r="B769" s="5"/>
      <c r="C769" s="41"/>
      <c r="D769" s="41"/>
      <c r="E769" s="42"/>
      <c r="F769" s="43"/>
      <c r="G769" s="41"/>
    </row>
    <row r="770" spans="1:7" ht="13.2">
      <c r="A770" s="49"/>
      <c r="B770" s="5"/>
      <c r="C770" s="41"/>
      <c r="D770" s="41"/>
      <c r="E770" s="42"/>
      <c r="F770" s="43"/>
      <c r="G770" s="41"/>
    </row>
    <row r="771" spans="1:7" ht="13.2">
      <c r="A771" s="49"/>
      <c r="B771" s="5"/>
      <c r="C771" s="41"/>
      <c r="D771" s="41"/>
      <c r="E771" s="42"/>
      <c r="F771" s="43"/>
      <c r="G771" s="41"/>
    </row>
    <row r="772" spans="1:7" ht="13.2">
      <c r="A772" s="49"/>
      <c r="B772" s="5"/>
      <c r="C772" s="41"/>
      <c r="D772" s="41"/>
      <c r="E772" s="42"/>
      <c r="F772" s="43"/>
      <c r="G772" s="41"/>
    </row>
    <row r="773" spans="1:7" ht="13.2">
      <c r="A773" s="49"/>
      <c r="B773" s="5"/>
      <c r="C773" s="41"/>
      <c r="D773" s="41"/>
      <c r="E773" s="42"/>
      <c r="F773" s="43"/>
      <c r="G773" s="41"/>
    </row>
    <row r="774" spans="1:7" ht="13.2">
      <c r="A774" s="49"/>
      <c r="B774" s="5"/>
      <c r="C774" s="41"/>
      <c r="D774" s="41"/>
      <c r="E774" s="42"/>
      <c r="F774" s="43"/>
      <c r="G774" s="41"/>
    </row>
    <row r="775" spans="1:7" ht="13.2">
      <c r="A775" s="49"/>
      <c r="B775" s="5"/>
      <c r="C775" s="41"/>
      <c r="D775" s="41"/>
      <c r="E775" s="42"/>
      <c r="F775" s="43"/>
      <c r="G775" s="41"/>
    </row>
    <row r="776" spans="1:7" ht="13.2">
      <c r="A776" s="49"/>
      <c r="B776" s="5"/>
      <c r="C776" s="41"/>
      <c r="D776" s="41"/>
      <c r="E776" s="42"/>
      <c r="F776" s="43"/>
      <c r="G776" s="41"/>
    </row>
    <row r="777" spans="1:7" ht="13.2">
      <c r="A777" s="49"/>
      <c r="B777" s="5"/>
      <c r="C777" s="41"/>
      <c r="D777" s="41"/>
      <c r="E777" s="42"/>
      <c r="F777" s="43"/>
      <c r="G777" s="41"/>
    </row>
    <row r="778" spans="1:7" ht="13.2">
      <c r="A778" s="49"/>
      <c r="B778" s="5"/>
      <c r="C778" s="41"/>
      <c r="D778" s="41"/>
      <c r="E778" s="42"/>
      <c r="F778" s="43"/>
      <c r="G778" s="41"/>
    </row>
    <row r="779" spans="1:7" ht="13.2">
      <c r="A779" s="49"/>
      <c r="B779" s="5"/>
      <c r="C779" s="41"/>
      <c r="D779" s="41"/>
      <c r="E779" s="42"/>
      <c r="F779" s="43"/>
      <c r="G779" s="41"/>
    </row>
    <row r="780" spans="1:7" ht="13.2">
      <c r="A780" s="49"/>
      <c r="B780" s="5"/>
      <c r="C780" s="41"/>
      <c r="D780" s="41"/>
      <c r="E780" s="42"/>
      <c r="F780" s="43"/>
      <c r="G780" s="41"/>
    </row>
    <row r="781" spans="1:7" ht="13.2">
      <c r="A781" s="49"/>
      <c r="B781" s="5"/>
      <c r="C781" s="41"/>
      <c r="D781" s="41"/>
      <c r="E781" s="42"/>
      <c r="F781" s="43"/>
      <c r="G781" s="41"/>
    </row>
    <row r="782" spans="1:7" ht="13.2">
      <c r="A782" s="49"/>
      <c r="B782" s="5"/>
      <c r="C782" s="41"/>
      <c r="D782" s="41"/>
      <c r="E782" s="42"/>
      <c r="F782" s="43"/>
      <c r="G782" s="41"/>
    </row>
    <row r="783" spans="1:7" ht="13.2">
      <c r="A783" s="49"/>
      <c r="B783" s="5"/>
      <c r="C783" s="41"/>
      <c r="D783" s="41"/>
      <c r="E783" s="42"/>
      <c r="F783" s="43"/>
      <c r="G783" s="41"/>
    </row>
    <row r="784" spans="1:7" ht="13.2">
      <c r="A784" s="49"/>
      <c r="B784" s="5"/>
      <c r="C784" s="41"/>
      <c r="D784" s="41"/>
      <c r="E784" s="42"/>
      <c r="F784" s="43"/>
      <c r="G784" s="41"/>
    </row>
    <row r="785" spans="1:7" ht="13.2">
      <c r="A785" s="49"/>
      <c r="B785" s="5"/>
      <c r="C785" s="41"/>
      <c r="D785" s="41"/>
      <c r="E785" s="42"/>
      <c r="F785" s="43"/>
      <c r="G785" s="41"/>
    </row>
    <row r="786" spans="1:7" ht="13.2">
      <c r="A786" s="49"/>
      <c r="B786" s="5"/>
      <c r="C786" s="41"/>
      <c r="D786" s="41"/>
      <c r="E786" s="42"/>
      <c r="F786" s="43"/>
      <c r="G786" s="41"/>
    </row>
    <row r="787" spans="1:7" ht="13.2">
      <c r="A787" s="49"/>
      <c r="B787" s="5"/>
      <c r="C787" s="41"/>
      <c r="D787" s="41"/>
      <c r="E787" s="42"/>
      <c r="F787" s="43"/>
      <c r="G787" s="41"/>
    </row>
    <row r="788" spans="1:7" ht="13.2">
      <c r="A788" s="49"/>
      <c r="B788" s="5"/>
      <c r="C788" s="41"/>
      <c r="D788" s="41"/>
      <c r="E788" s="42"/>
      <c r="F788" s="43"/>
      <c r="G788" s="41"/>
    </row>
    <row r="789" spans="1:7" ht="13.2">
      <c r="A789" s="49"/>
      <c r="B789" s="5"/>
      <c r="C789" s="41"/>
      <c r="D789" s="41"/>
      <c r="E789" s="42"/>
      <c r="F789" s="43"/>
      <c r="G789" s="41"/>
    </row>
    <row r="790" spans="1:7" ht="13.2">
      <c r="A790" s="49"/>
      <c r="B790" s="5"/>
      <c r="C790" s="41"/>
      <c r="D790" s="41"/>
      <c r="E790" s="42"/>
      <c r="F790" s="43"/>
      <c r="G790" s="41"/>
    </row>
    <row r="791" spans="1:7" ht="13.2">
      <c r="A791" s="49"/>
      <c r="B791" s="5"/>
      <c r="C791" s="41"/>
      <c r="D791" s="41"/>
      <c r="E791" s="42"/>
      <c r="F791" s="43"/>
      <c r="G791" s="41"/>
    </row>
    <row r="792" spans="1:7" ht="13.2">
      <c r="A792" s="49"/>
      <c r="B792" s="5"/>
      <c r="C792" s="41"/>
      <c r="D792" s="41"/>
      <c r="E792" s="42"/>
      <c r="F792" s="43"/>
      <c r="G792" s="41"/>
    </row>
    <row r="793" spans="1:7" ht="13.2">
      <c r="A793" s="49"/>
      <c r="B793" s="5"/>
      <c r="C793" s="41"/>
      <c r="D793" s="41"/>
      <c r="E793" s="42"/>
      <c r="F793" s="43"/>
      <c r="G793" s="41"/>
    </row>
    <row r="794" spans="1:7" ht="13.2">
      <c r="A794" s="49"/>
      <c r="B794" s="5"/>
      <c r="C794" s="41"/>
      <c r="D794" s="41"/>
      <c r="E794" s="42"/>
      <c r="F794" s="43"/>
      <c r="G794" s="41"/>
    </row>
    <row r="795" spans="1:7" ht="13.2">
      <c r="A795" s="49"/>
      <c r="B795" s="5"/>
      <c r="C795" s="41"/>
      <c r="D795" s="41"/>
      <c r="E795" s="42"/>
      <c r="F795" s="43"/>
      <c r="G795" s="41"/>
    </row>
    <row r="796" spans="1:7" ht="13.2">
      <c r="A796" s="49"/>
      <c r="B796" s="5"/>
      <c r="C796" s="41"/>
      <c r="D796" s="41"/>
      <c r="E796" s="42"/>
      <c r="F796" s="43"/>
      <c r="G796" s="41"/>
    </row>
    <row r="797" spans="1:7" ht="13.2">
      <c r="A797" s="49"/>
      <c r="B797" s="5"/>
      <c r="C797" s="41"/>
      <c r="D797" s="41"/>
      <c r="E797" s="42"/>
      <c r="F797" s="43"/>
      <c r="G797" s="41"/>
    </row>
    <row r="798" spans="1:7" ht="13.2">
      <c r="A798" s="49"/>
      <c r="B798" s="5"/>
      <c r="C798" s="41"/>
      <c r="D798" s="41"/>
      <c r="E798" s="42"/>
      <c r="F798" s="43"/>
      <c r="G798" s="41"/>
    </row>
    <row r="799" spans="1:7" ht="13.2">
      <c r="A799" s="49"/>
      <c r="B799" s="5"/>
      <c r="C799" s="41"/>
      <c r="D799" s="41"/>
      <c r="E799" s="42"/>
      <c r="F799" s="43"/>
      <c r="G799" s="41"/>
    </row>
    <row r="800" spans="1:7" ht="13.2">
      <c r="A800" s="49"/>
      <c r="B800" s="5"/>
      <c r="C800" s="41"/>
      <c r="D800" s="41"/>
      <c r="E800" s="42"/>
      <c r="F800" s="43"/>
      <c r="G800" s="41"/>
    </row>
    <row r="801" spans="1:7" ht="13.2">
      <c r="A801" s="49"/>
      <c r="B801" s="5"/>
      <c r="C801" s="41"/>
      <c r="D801" s="41"/>
      <c r="E801" s="42"/>
      <c r="F801" s="43"/>
      <c r="G801" s="41"/>
    </row>
    <row r="802" spans="1:7" ht="13.2">
      <c r="A802" s="49"/>
      <c r="B802" s="5"/>
      <c r="C802" s="41"/>
      <c r="D802" s="41"/>
      <c r="E802" s="42"/>
      <c r="F802" s="43"/>
      <c r="G802" s="41"/>
    </row>
    <row r="803" spans="1:7" ht="13.2">
      <c r="A803" s="49"/>
      <c r="B803" s="5"/>
      <c r="C803" s="41"/>
      <c r="D803" s="41"/>
      <c r="E803" s="42"/>
      <c r="F803" s="43"/>
      <c r="G803" s="41"/>
    </row>
    <row r="804" spans="1:7" ht="13.2">
      <c r="A804" s="49"/>
      <c r="B804" s="5"/>
      <c r="C804" s="41"/>
      <c r="D804" s="41"/>
      <c r="E804" s="42"/>
      <c r="F804" s="43"/>
      <c r="G804" s="41"/>
    </row>
    <row r="805" spans="1:7" ht="13.2">
      <c r="A805" s="49"/>
      <c r="B805" s="5"/>
      <c r="C805" s="41"/>
      <c r="D805" s="41"/>
      <c r="E805" s="42"/>
      <c r="F805" s="43"/>
      <c r="G805" s="41"/>
    </row>
    <row r="806" spans="1:7" ht="13.2">
      <c r="A806" s="49"/>
      <c r="B806" s="5"/>
      <c r="C806" s="41"/>
      <c r="D806" s="41"/>
      <c r="E806" s="42"/>
      <c r="F806" s="43"/>
      <c r="G806" s="41"/>
    </row>
    <row r="807" spans="1:7" ht="13.2">
      <c r="A807" s="49"/>
      <c r="B807" s="5"/>
      <c r="C807" s="41"/>
      <c r="D807" s="41"/>
      <c r="E807" s="42"/>
      <c r="F807" s="43"/>
      <c r="G807" s="41"/>
    </row>
    <row r="808" spans="1:7" ht="13.2">
      <c r="A808" s="49"/>
      <c r="B808" s="5"/>
      <c r="C808" s="41"/>
      <c r="D808" s="41"/>
      <c r="E808" s="42"/>
      <c r="F808" s="43"/>
      <c r="G808" s="41"/>
    </row>
    <row r="809" spans="1:7" ht="13.2">
      <c r="A809" s="49"/>
      <c r="B809" s="5"/>
      <c r="C809" s="41"/>
      <c r="D809" s="41"/>
      <c r="E809" s="42"/>
      <c r="F809" s="43"/>
      <c r="G809" s="41"/>
    </row>
    <row r="810" spans="1:7" ht="13.2">
      <c r="A810" s="49"/>
      <c r="B810" s="5"/>
      <c r="C810" s="41"/>
      <c r="D810" s="41"/>
      <c r="E810" s="42"/>
      <c r="F810" s="43"/>
      <c r="G810" s="41"/>
    </row>
    <row r="811" spans="1:7" ht="13.2">
      <c r="A811" s="49"/>
      <c r="B811" s="5"/>
      <c r="C811" s="41"/>
      <c r="D811" s="41"/>
      <c r="E811" s="42"/>
      <c r="F811" s="43"/>
      <c r="G811" s="41"/>
    </row>
    <row r="812" spans="1:7" ht="13.2">
      <c r="A812" s="49"/>
      <c r="B812" s="5"/>
      <c r="C812" s="41"/>
      <c r="D812" s="41"/>
      <c r="E812" s="42"/>
      <c r="F812" s="43"/>
      <c r="G812" s="41"/>
    </row>
    <row r="813" spans="1:7" ht="13.2">
      <c r="A813" s="49"/>
      <c r="B813" s="5"/>
      <c r="C813" s="41"/>
      <c r="D813" s="41"/>
      <c r="E813" s="42"/>
      <c r="F813" s="43"/>
      <c r="G813" s="41"/>
    </row>
    <row r="814" spans="1:7" ht="13.2">
      <c r="A814" s="49"/>
      <c r="B814" s="5"/>
      <c r="C814" s="41"/>
      <c r="D814" s="41"/>
      <c r="E814" s="42"/>
      <c r="F814" s="43"/>
      <c r="G814" s="41"/>
    </row>
    <row r="815" spans="1:7" ht="13.2">
      <c r="A815" s="49"/>
      <c r="B815" s="5"/>
      <c r="C815" s="41"/>
      <c r="D815" s="41"/>
      <c r="E815" s="42"/>
      <c r="F815" s="43"/>
      <c r="G815" s="41"/>
    </row>
    <row r="816" spans="1:7" ht="13.2">
      <c r="A816" s="49"/>
      <c r="B816" s="5"/>
      <c r="C816" s="41"/>
      <c r="D816" s="41"/>
      <c r="E816" s="42"/>
      <c r="F816" s="43"/>
      <c r="G816" s="41"/>
    </row>
    <row r="817" spans="1:7" ht="13.2">
      <c r="A817" s="49"/>
      <c r="B817" s="5"/>
      <c r="C817" s="41"/>
      <c r="D817" s="41"/>
      <c r="E817" s="42"/>
      <c r="F817" s="43"/>
      <c r="G817" s="41"/>
    </row>
    <row r="818" spans="1:7" ht="13.2">
      <c r="A818" s="49"/>
      <c r="B818" s="5"/>
      <c r="C818" s="41"/>
      <c r="D818" s="41"/>
      <c r="E818" s="42"/>
      <c r="F818" s="43"/>
      <c r="G818" s="41"/>
    </row>
    <row r="819" spans="1:7" ht="13.2">
      <c r="A819" s="49"/>
      <c r="B819" s="5"/>
      <c r="C819" s="41"/>
      <c r="D819" s="41"/>
      <c r="E819" s="42"/>
      <c r="F819" s="43"/>
      <c r="G819" s="41"/>
    </row>
    <row r="820" spans="1:7" ht="13.2">
      <c r="A820" s="49"/>
      <c r="B820" s="5"/>
      <c r="C820" s="41"/>
      <c r="D820" s="41"/>
      <c r="E820" s="42"/>
      <c r="F820" s="43"/>
      <c r="G820" s="41"/>
    </row>
    <row r="821" spans="1:7" ht="13.2">
      <c r="A821" s="49"/>
      <c r="B821" s="5"/>
      <c r="C821" s="41"/>
      <c r="D821" s="41"/>
      <c r="E821" s="42"/>
      <c r="F821" s="43"/>
      <c r="G821" s="41"/>
    </row>
    <row r="822" spans="1:7" ht="13.2">
      <c r="A822" s="49"/>
      <c r="B822" s="5"/>
      <c r="C822" s="41"/>
      <c r="D822" s="41"/>
      <c r="E822" s="42"/>
      <c r="F822" s="43"/>
      <c r="G822" s="41"/>
    </row>
    <row r="823" spans="1:7" ht="13.2">
      <c r="A823" s="49"/>
      <c r="B823" s="5"/>
      <c r="C823" s="41"/>
      <c r="D823" s="41"/>
      <c r="E823" s="42"/>
      <c r="F823" s="43"/>
      <c r="G823" s="41"/>
    </row>
    <row r="824" spans="1:7" ht="13.2">
      <c r="A824" s="49"/>
      <c r="B824" s="5"/>
      <c r="C824" s="41"/>
      <c r="D824" s="41"/>
      <c r="E824" s="42"/>
      <c r="F824" s="43"/>
      <c r="G824" s="41"/>
    </row>
    <row r="825" spans="1:7" ht="13.2">
      <c r="A825" s="49"/>
      <c r="B825" s="5"/>
      <c r="C825" s="41"/>
      <c r="D825" s="41"/>
      <c r="E825" s="42"/>
      <c r="F825" s="43"/>
      <c r="G825" s="41"/>
    </row>
    <row r="826" spans="1:7" ht="13.2">
      <c r="A826" s="49"/>
      <c r="B826" s="5"/>
      <c r="C826" s="41"/>
      <c r="D826" s="41"/>
      <c r="E826" s="42"/>
      <c r="F826" s="43"/>
      <c r="G826" s="41"/>
    </row>
    <row r="827" spans="1:7" ht="13.2">
      <c r="A827" s="49"/>
      <c r="B827" s="5"/>
      <c r="C827" s="41"/>
      <c r="D827" s="41"/>
      <c r="E827" s="42"/>
      <c r="F827" s="43"/>
      <c r="G827" s="41"/>
    </row>
    <row r="828" spans="1:7" ht="13.2">
      <c r="A828" s="49"/>
      <c r="B828" s="5"/>
      <c r="C828" s="41"/>
      <c r="D828" s="41"/>
      <c r="E828" s="42"/>
      <c r="F828" s="43"/>
      <c r="G828" s="41"/>
    </row>
    <row r="829" spans="1:7" ht="13.2">
      <c r="A829" s="49"/>
      <c r="B829" s="5"/>
      <c r="C829" s="41"/>
      <c r="D829" s="41"/>
      <c r="E829" s="42"/>
      <c r="F829" s="43"/>
      <c r="G829" s="41"/>
    </row>
    <row r="830" spans="1:7" ht="13.2">
      <c r="A830" s="49"/>
      <c r="B830" s="5"/>
      <c r="C830" s="41"/>
      <c r="D830" s="41"/>
      <c r="E830" s="42"/>
      <c r="F830" s="43"/>
      <c r="G830" s="41"/>
    </row>
    <row r="831" spans="1:7" ht="13.2">
      <c r="A831" s="49"/>
      <c r="B831" s="5"/>
      <c r="C831" s="41"/>
      <c r="D831" s="41"/>
      <c r="E831" s="42"/>
      <c r="F831" s="43"/>
      <c r="G831" s="41"/>
    </row>
    <row r="832" spans="1:7" ht="13.2">
      <c r="A832" s="49"/>
      <c r="B832" s="5"/>
      <c r="C832" s="41"/>
      <c r="D832" s="41"/>
      <c r="E832" s="42"/>
      <c r="F832" s="43"/>
      <c r="G832" s="41"/>
    </row>
    <row r="833" spans="1:7" ht="13.2">
      <c r="A833" s="49"/>
      <c r="B833" s="5"/>
      <c r="C833" s="41"/>
      <c r="D833" s="41"/>
      <c r="E833" s="42"/>
      <c r="F833" s="43"/>
      <c r="G833" s="41"/>
    </row>
    <row r="834" spans="1:7" ht="13.2">
      <c r="A834" s="49"/>
      <c r="B834" s="5"/>
      <c r="C834" s="41"/>
      <c r="D834" s="41"/>
      <c r="E834" s="42"/>
      <c r="F834" s="43"/>
      <c r="G834" s="41"/>
    </row>
    <row r="835" spans="1:7" ht="13.2">
      <c r="A835" s="49"/>
      <c r="B835" s="5"/>
      <c r="C835" s="41"/>
      <c r="D835" s="41"/>
      <c r="E835" s="42"/>
      <c r="F835" s="43"/>
      <c r="G835" s="41"/>
    </row>
    <row r="836" spans="1:7" ht="13.2">
      <c r="A836" s="49"/>
      <c r="B836" s="5"/>
      <c r="C836" s="41"/>
      <c r="D836" s="41"/>
      <c r="E836" s="42"/>
      <c r="F836" s="43"/>
      <c r="G836" s="41"/>
    </row>
    <row r="837" spans="1:7" ht="13.2">
      <c r="A837" s="49"/>
      <c r="B837" s="5"/>
      <c r="C837" s="41"/>
      <c r="D837" s="41"/>
      <c r="E837" s="42"/>
      <c r="F837" s="43"/>
      <c r="G837" s="41"/>
    </row>
    <row r="838" spans="1:7" ht="13.2">
      <c r="A838" s="49"/>
      <c r="B838" s="5"/>
      <c r="C838" s="41"/>
      <c r="D838" s="41"/>
      <c r="E838" s="42"/>
      <c r="F838" s="43"/>
      <c r="G838" s="41"/>
    </row>
    <row r="839" spans="1:7" ht="13.2">
      <c r="A839" s="49"/>
      <c r="B839" s="5"/>
      <c r="C839" s="41"/>
      <c r="D839" s="41"/>
      <c r="E839" s="42"/>
      <c r="F839" s="43"/>
      <c r="G839" s="41"/>
    </row>
    <row r="840" spans="1:7" ht="13.2">
      <c r="A840" s="49"/>
      <c r="B840" s="5"/>
      <c r="C840" s="41"/>
      <c r="D840" s="41"/>
      <c r="E840" s="42"/>
      <c r="F840" s="43"/>
      <c r="G840" s="41"/>
    </row>
    <row r="841" spans="1:7" ht="13.2">
      <c r="A841" s="49"/>
      <c r="B841" s="5"/>
      <c r="C841" s="41"/>
      <c r="D841" s="41"/>
      <c r="E841" s="42"/>
      <c r="F841" s="43"/>
      <c r="G841" s="41"/>
    </row>
    <row r="842" spans="1:7" ht="13.2">
      <c r="A842" s="49"/>
      <c r="B842" s="5"/>
      <c r="C842" s="41"/>
      <c r="D842" s="41"/>
      <c r="E842" s="42"/>
      <c r="F842" s="43"/>
      <c r="G842" s="41"/>
    </row>
    <row r="843" spans="1:7" ht="13.2">
      <c r="A843" s="49"/>
      <c r="B843" s="5"/>
      <c r="C843" s="41"/>
      <c r="D843" s="41"/>
      <c r="E843" s="42"/>
      <c r="F843" s="43"/>
      <c r="G843" s="41"/>
    </row>
    <row r="844" spans="1:7" ht="13.2">
      <c r="A844" s="49"/>
      <c r="B844" s="5"/>
      <c r="C844" s="41"/>
      <c r="D844" s="41"/>
      <c r="E844" s="42"/>
      <c r="F844" s="43"/>
      <c r="G844" s="41"/>
    </row>
    <row r="845" spans="1:7" ht="13.2">
      <c r="A845" s="49"/>
      <c r="B845" s="5"/>
      <c r="C845" s="41"/>
      <c r="D845" s="41"/>
      <c r="E845" s="42"/>
      <c r="F845" s="43"/>
      <c r="G845" s="41"/>
    </row>
    <row r="846" spans="1:7" ht="13.2">
      <c r="A846" s="49"/>
      <c r="B846" s="5"/>
      <c r="C846" s="41"/>
      <c r="D846" s="41"/>
      <c r="E846" s="42"/>
      <c r="F846" s="43"/>
      <c r="G846" s="41"/>
    </row>
    <row r="847" spans="1:7" ht="13.2">
      <c r="A847" s="49"/>
      <c r="B847" s="5"/>
      <c r="C847" s="41"/>
      <c r="D847" s="41"/>
      <c r="E847" s="42"/>
      <c r="F847" s="43"/>
      <c r="G847" s="41"/>
    </row>
    <row r="848" spans="1:7" ht="13.2">
      <c r="A848" s="49"/>
      <c r="B848" s="5"/>
      <c r="C848" s="41"/>
      <c r="D848" s="41"/>
      <c r="E848" s="42"/>
      <c r="F848" s="43"/>
      <c r="G848" s="41"/>
    </row>
    <row r="849" spans="1:7" ht="13.2">
      <c r="A849" s="49"/>
      <c r="B849" s="5"/>
      <c r="C849" s="41"/>
      <c r="D849" s="41"/>
      <c r="E849" s="42"/>
      <c r="F849" s="43"/>
      <c r="G849" s="41"/>
    </row>
    <row r="850" spans="1:7" ht="13.2">
      <c r="A850" s="49"/>
      <c r="B850" s="5"/>
      <c r="C850" s="41"/>
      <c r="D850" s="41"/>
      <c r="E850" s="42"/>
      <c r="F850" s="43"/>
      <c r="G850" s="41"/>
    </row>
    <row r="851" spans="1:7" ht="13.2">
      <c r="A851" s="49"/>
      <c r="B851" s="5"/>
      <c r="C851" s="41"/>
      <c r="D851" s="41"/>
      <c r="E851" s="42"/>
      <c r="F851" s="43"/>
      <c r="G851" s="41"/>
    </row>
    <row r="852" spans="1:7" ht="13.2">
      <c r="A852" s="49"/>
      <c r="B852" s="5"/>
      <c r="C852" s="41"/>
      <c r="D852" s="41"/>
      <c r="E852" s="42"/>
      <c r="F852" s="43"/>
      <c r="G852" s="41"/>
    </row>
    <row r="853" spans="1:7" ht="13.2">
      <c r="A853" s="49"/>
      <c r="B853" s="5"/>
      <c r="C853" s="41"/>
      <c r="D853" s="41"/>
      <c r="E853" s="42"/>
      <c r="F853" s="43"/>
      <c r="G853" s="41"/>
    </row>
    <row r="854" spans="1:7" ht="13.2">
      <c r="A854" s="49"/>
      <c r="B854" s="5"/>
      <c r="C854" s="41"/>
      <c r="D854" s="41"/>
      <c r="E854" s="42"/>
      <c r="F854" s="43"/>
      <c r="G854" s="41"/>
    </row>
    <row r="855" spans="1:7" ht="13.2">
      <c r="A855" s="49"/>
      <c r="B855" s="5"/>
      <c r="C855" s="41"/>
      <c r="D855" s="41"/>
      <c r="E855" s="42"/>
      <c r="F855" s="43"/>
      <c r="G855" s="41"/>
    </row>
    <row r="856" spans="1:7" ht="13.2">
      <c r="A856" s="49"/>
      <c r="B856" s="5"/>
      <c r="C856" s="41"/>
      <c r="D856" s="41"/>
      <c r="E856" s="42"/>
      <c r="F856" s="43"/>
      <c r="G856" s="41"/>
    </row>
    <row r="857" spans="1:7" ht="13.2">
      <c r="A857" s="49"/>
      <c r="B857" s="5"/>
      <c r="C857" s="41"/>
      <c r="D857" s="41"/>
      <c r="E857" s="42"/>
      <c r="F857" s="43"/>
      <c r="G857" s="41"/>
    </row>
    <row r="858" spans="1:7" ht="13.2">
      <c r="A858" s="49"/>
      <c r="B858" s="5"/>
      <c r="C858" s="41"/>
      <c r="D858" s="41"/>
      <c r="E858" s="42"/>
      <c r="F858" s="43"/>
      <c r="G858" s="41"/>
    </row>
    <row r="859" spans="1:7" ht="13.2">
      <c r="A859" s="49"/>
      <c r="B859" s="5"/>
      <c r="C859" s="41"/>
      <c r="D859" s="41"/>
      <c r="E859" s="42"/>
      <c r="F859" s="43"/>
      <c r="G859" s="41"/>
    </row>
    <row r="860" spans="1:7" ht="13.2">
      <c r="A860" s="49"/>
      <c r="B860" s="5"/>
      <c r="C860" s="41"/>
      <c r="D860" s="41"/>
      <c r="E860" s="42"/>
      <c r="F860" s="43"/>
      <c r="G860" s="41"/>
    </row>
    <row r="861" spans="1:7" ht="13.2">
      <c r="A861" s="49"/>
      <c r="B861" s="5"/>
      <c r="C861" s="41"/>
      <c r="D861" s="41"/>
      <c r="E861" s="42"/>
      <c r="F861" s="43"/>
      <c r="G861" s="41"/>
    </row>
    <row r="862" spans="1:7" ht="13.2">
      <c r="A862" s="49"/>
      <c r="B862" s="5"/>
      <c r="C862" s="41"/>
      <c r="D862" s="41"/>
      <c r="E862" s="42"/>
      <c r="F862" s="43"/>
      <c r="G862" s="41"/>
    </row>
    <row r="863" spans="1:7" ht="13.2">
      <c r="A863" s="49"/>
      <c r="B863" s="5"/>
      <c r="C863" s="41"/>
      <c r="D863" s="41"/>
      <c r="E863" s="42"/>
      <c r="F863" s="43"/>
      <c r="G863" s="41"/>
    </row>
    <row r="864" spans="1:7" ht="13.2">
      <c r="A864" s="49"/>
      <c r="B864" s="5"/>
      <c r="C864" s="41"/>
      <c r="D864" s="41"/>
      <c r="E864" s="42"/>
      <c r="F864" s="43"/>
      <c r="G864" s="41"/>
    </row>
    <row r="865" spans="1:7" ht="13.2">
      <c r="A865" s="49"/>
      <c r="B865" s="5"/>
      <c r="C865" s="41"/>
      <c r="D865" s="41"/>
      <c r="E865" s="42"/>
      <c r="F865" s="43"/>
      <c r="G865" s="41"/>
    </row>
    <row r="866" spans="1:7" ht="13.2">
      <c r="A866" s="49"/>
      <c r="B866" s="5"/>
      <c r="C866" s="41"/>
      <c r="D866" s="41"/>
      <c r="E866" s="42"/>
      <c r="F866" s="43"/>
      <c r="G866" s="41"/>
    </row>
    <row r="867" spans="1:7" ht="13.2">
      <c r="A867" s="49"/>
      <c r="B867" s="5"/>
      <c r="C867" s="41"/>
      <c r="D867" s="41"/>
      <c r="E867" s="42"/>
      <c r="F867" s="43"/>
      <c r="G867" s="41"/>
    </row>
    <row r="868" spans="1:7" ht="13.2">
      <c r="A868" s="49"/>
      <c r="B868" s="5"/>
      <c r="C868" s="41"/>
      <c r="D868" s="41"/>
      <c r="E868" s="42"/>
      <c r="F868" s="43"/>
      <c r="G868" s="41"/>
    </row>
    <row r="869" spans="1:7" ht="13.2">
      <c r="A869" s="49"/>
      <c r="B869" s="5"/>
      <c r="C869" s="41"/>
      <c r="D869" s="41"/>
      <c r="E869" s="42"/>
      <c r="F869" s="43"/>
      <c r="G869" s="41"/>
    </row>
    <row r="870" spans="1:7" ht="13.2">
      <c r="A870" s="49"/>
      <c r="B870" s="5"/>
      <c r="C870" s="41"/>
      <c r="D870" s="41"/>
      <c r="E870" s="42"/>
      <c r="F870" s="43"/>
      <c r="G870" s="41"/>
    </row>
    <row r="871" spans="1:7" ht="13.2">
      <c r="A871" s="49"/>
      <c r="B871" s="5"/>
      <c r="C871" s="41"/>
      <c r="D871" s="41"/>
      <c r="E871" s="42"/>
      <c r="F871" s="43"/>
      <c r="G871" s="41"/>
    </row>
    <row r="872" spans="1:7" ht="13.2">
      <c r="A872" s="49"/>
      <c r="B872" s="5"/>
      <c r="C872" s="41"/>
      <c r="D872" s="41"/>
      <c r="E872" s="42"/>
      <c r="F872" s="43"/>
      <c r="G872" s="41"/>
    </row>
    <row r="873" spans="1:7" ht="13.2">
      <c r="A873" s="49"/>
      <c r="B873" s="5"/>
      <c r="C873" s="41"/>
      <c r="D873" s="41"/>
      <c r="E873" s="42"/>
      <c r="F873" s="43"/>
      <c r="G873" s="41"/>
    </row>
    <row r="874" spans="1:7" ht="13.2">
      <c r="A874" s="49"/>
      <c r="B874" s="5"/>
      <c r="C874" s="41"/>
      <c r="D874" s="41"/>
      <c r="E874" s="42"/>
      <c r="F874" s="43"/>
      <c r="G874" s="41"/>
    </row>
    <row r="875" spans="1:7" ht="13.2">
      <c r="A875" s="49"/>
      <c r="B875" s="5"/>
      <c r="C875" s="41"/>
      <c r="D875" s="41"/>
      <c r="E875" s="42"/>
      <c r="F875" s="43"/>
      <c r="G875" s="41"/>
    </row>
    <row r="876" spans="1:7" ht="13.2">
      <c r="A876" s="49"/>
      <c r="B876" s="5"/>
      <c r="C876" s="41"/>
      <c r="D876" s="41"/>
      <c r="E876" s="42"/>
      <c r="F876" s="43"/>
      <c r="G876" s="41"/>
    </row>
    <row r="877" spans="1:7" ht="13.2">
      <c r="A877" s="49"/>
      <c r="B877" s="5"/>
      <c r="C877" s="41"/>
      <c r="D877" s="41"/>
      <c r="E877" s="42"/>
      <c r="F877" s="43"/>
      <c r="G877" s="41"/>
    </row>
    <row r="878" spans="1:7" ht="13.2">
      <c r="A878" s="49"/>
      <c r="B878" s="5"/>
      <c r="C878" s="41"/>
      <c r="D878" s="41"/>
      <c r="E878" s="42"/>
      <c r="F878" s="43"/>
      <c r="G878" s="41"/>
    </row>
    <row r="879" spans="1:7" ht="13.2">
      <c r="A879" s="49"/>
      <c r="B879" s="5"/>
      <c r="C879" s="41"/>
      <c r="D879" s="41"/>
      <c r="E879" s="42"/>
      <c r="F879" s="43"/>
      <c r="G879" s="41"/>
    </row>
    <row r="880" spans="1:7" ht="13.2">
      <c r="A880" s="49"/>
      <c r="B880" s="5"/>
      <c r="C880" s="41"/>
      <c r="D880" s="41"/>
      <c r="E880" s="42"/>
      <c r="F880" s="43"/>
      <c r="G880" s="41"/>
    </row>
    <row r="881" spans="1:7" ht="13.2">
      <c r="A881" s="49"/>
      <c r="B881" s="5"/>
      <c r="C881" s="41"/>
      <c r="D881" s="41"/>
      <c r="E881" s="42"/>
      <c r="F881" s="43"/>
      <c r="G881" s="41"/>
    </row>
    <row r="882" spans="1:7" ht="13.2">
      <c r="A882" s="49"/>
      <c r="B882" s="5"/>
      <c r="C882" s="41"/>
      <c r="D882" s="41"/>
      <c r="E882" s="42"/>
      <c r="F882" s="43"/>
      <c r="G882" s="41"/>
    </row>
    <row r="883" spans="1:7" ht="13.2">
      <c r="A883" s="49"/>
      <c r="B883" s="5"/>
      <c r="C883" s="41"/>
      <c r="D883" s="41"/>
      <c r="E883" s="42"/>
      <c r="F883" s="43"/>
      <c r="G883" s="41"/>
    </row>
    <row r="884" spans="1:7" ht="13.2">
      <c r="A884" s="49"/>
      <c r="B884" s="5"/>
      <c r="C884" s="41"/>
      <c r="D884" s="41"/>
      <c r="E884" s="42"/>
      <c r="F884" s="43"/>
      <c r="G884" s="41"/>
    </row>
    <row r="885" spans="1:7" ht="13.2">
      <c r="A885" s="49"/>
      <c r="B885" s="5"/>
      <c r="C885" s="41"/>
      <c r="D885" s="41"/>
      <c r="E885" s="42"/>
      <c r="F885" s="43"/>
      <c r="G885" s="41"/>
    </row>
    <row r="886" spans="1:7" ht="13.2">
      <c r="A886" s="49"/>
      <c r="B886" s="5"/>
      <c r="C886" s="41"/>
      <c r="D886" s="41"/>
      <c r="E886" s="42"/>
      <c r="F886" s="43"/>
      <c r="G886" s="41"/>
    </row>
    <row r="887" spans="1:7" ht="13.2">
      <c r="A887" s="49"/>
      <c r="B887" s="5"/>
      <c r="C887" s="41"/>
      <c r="D887" s="41"/>
      <c r="E887" s="42"/>
      <c r="F887" s="43"/>
      <c r="G887" s="41"/>
    </row>
    <row r="888" spans="1:7" ht="13.2">
      <c r="A888" s="49"/>
      <c r="B888" s="5"/>
      <c r="C888" s="41"/>
      <c r="D888" s="41"/>
      <c r="E888" s="42"/>
      <c r="F888" s="43"/>
      <c r="G888" s="41"/>
    </row>
    <row r="889" spans="1:7" ht="13.2">
      <c r="A889" s="49"/>
      <c r="B889" s="5"/>
      <c r="C889" s="41"/>
      <c r="D889" s="41"/>
      <c r="E889" s="42"/>
      <c r="F889" s="43"/>
      <c r="G889" s="41"/>
    </row>
    <row r="890" spans="1:7" ht="13.2">
      <c r="A890" s="49"/>
      <c r="B890" s="5"/>
      <c r="C890" s="41"/>
      <c r="D890" s="41"/>
      <c r="E890" s="42"/>
      <c r="F890" s="43"/>
      <c r="G890" s="41"/>
    </row>
    <row r="891" spans="1:7" ht="13.2">
      <c r="A891" s="49"/>
      <c r="B891" s="5"/>
      <c r="C891" s="41"/>
      <c r="D891" s="41"/>
      <c r="E891" s="42"/>
      <c r="F891" s="43"/>
      <c r="G891" s="41"/>
    </row>
    <row r="892" spans="1:7" ht="13.2">
      <c r="A892" s="49"/>
      <c r="B892" s="5"/>
      <c r="C892" s="41"/>
      <c r="D892" s="41"/>
      <c r="E892" s="42"/>
      <c r="F892" s="43"/>
      <c r="G892" s="41"/>
    </row>
    <row r="893" spans="1:7" ht="13.2">
      <c r="A893" s="49"/>
      <c r="B893" s="5"/>
      <c r="C893" s="41"/>
      <c r="D893" s="41"/>
      <c r="E893" s="42"/>
      <c r="F893" s="43"/>
      <c r="G893" s="41"/>
    </row>
    <row r="894" spans="1:7" ht="13.2">
      <c r="A894" s="49"/>
      <c r="B894" s="5"/>
      <c r="C894" s="41"/>
      <c r="D894" s="41"/>
      <c r="E894" s="42"/>
      <c r="F894" s="43"/>
      <c r="G894" s="41"/>
    </row>
    <row r="895" spans="1:7" ht="13.2">
      <c r="A895" s="49"/>
      <c r="B895" s="5"/>
      <c r="C895" s="41"/>
      <c r="D895" s="41"/>
      <c r="E895" s="42"/>
      <c r="F895" s="43"/>
      <c r="G895" s="41"/>
    </row>
    <row r="896" spans="1:7" ht="13.2">
      <c r="A896" s="49"/>
      <c r="B896" s="5"/>
      <c r="C896" s="41"/>
      <c r="D896" s="41"/>
      <c r="E896" s="42"/>
      <c r="F896" s="43"/>
      <c r="G896" s="41"/>
    </row>
    <row r="897" spans="1:7" ht="13.2">
      <c r="A897" s="49"/>
      <c r="B897" s="5"/>
      <c r="C897" s="41"/>
      <c r="D897" s="41"/>
      <c r="E897" s="42"/>
      <c r="F897" s="43"/>
      <c r="G897" s="41"/>
    </row>
    <row r="898" spans="1:7" ht="13.2">
      <c r="A898" s="49"/>
      <c r="B898" s="5"/>
      <c r="C898" s="41"/>
      <c r="D898" s="41"/>
      <c r="E898" s="42"/>
      <c r="F898" s="43"/>
      <c r="G898" s="41"/>
    </row>
    <row r="899" spans="1:7" ht="13.2">
      <c r="A899" s="49"/>
      <c r="B899" s="5"/>
      <c r="C899" s="41"/>
      <c r="D899" s="41"/>
      <c r="E899" s="42"/>
      <c r="F899" s="43"/>
      <c r="G899" s="41"/>
    </row>
    <row r="900" spans="1:7" ht="13.2">
      <c r="A900" s="49"/>
      <c r="B900" s="5"/>
      <c r="C900" s="41"/>
      <c r="D900" s="41"/>
      <c r="E900" s="42"/>
      <c r="F900" s="43"/>
      <c r="G900" s="41"/>
    </row>
    <row r="901" spans="1:7" ht="13.2">
      <c r="A901" s="49"/>
      <c r="B901" s="5"/>
      <c r="C901" s="41"/>
      <c r="D901" s="41"/>
      <c r="E901" s="42"/>
      <c r="F901" s="43"/>
      <c r="G901" s="41"/>
    </row>
    <row r="902" spans="1:7" ht="13.2">
      <c r="A902" s="49"/>
      <c r="B902" s="5"/>
      <c r="C902" s="41"/>
      <c r="D902" s="41"/>
      <c r="E902" s="42"/>
      <c r="F902" s="43"/>
      <c r="G902" s="41"/>
    </row>
    <row r="903" spans="1:7" ht="13.2">
      <c r="A903" s="49"/>
      <c r="B903" s="5"/>
      <c r="C903" s="41"/>
      <c r="D903" s="41"/>
      <c r="E903" s="42"/>
      <c r="F903" s="43"/>
      <c r="G903" s="41"/>
    </row>
    <row r="904" spans="1:7" ht="13.2">
      <c r="A904" s="49"/>
      <c r="B904" s="5"/>
      <c r="C904" s="41"/>
      <c r="D904" s="41"/>
      <c r="E904" s="42"/>
      <c r="F904" s="43"/>
      <c r="G904" s="41"/>
    </row>
    <row r="905" spans="1:7" ht="13.2">
      <c r="A905" s="49"/>
      <c r="B905" s="5"/>
      <c r="C905" s="41"/>
      <c r="D905" s="41"/>
      <c r="E905" s="42"/>
      <c r="F905" s="43"/>
      <c r="G905" s="41"/>
    </row>
    <row r="906" spans="1:7" ht="13.2">
      <c r="A906" s="49"/>
      <c r="B906" s="5"/>
      <c r="C906" s="41"/>
      <c r="D906" s="41"/>
      <c r="E906" s="42"/>
      <c r="F906" s="43"/>
      <c r="G906" s="41"/>
    </row>
    <row r="907" spans="1:7" ht="13.2">
      <c r="A907" s="49"/>
      <c r="B907" s="5"/>
      <c r="C907" s="41"/>
      <c r="D907" s="41"/>
      <c r="E907" s="42"/>
      <c r="F907" s="43"/>
      <c r="G907" s="41"/>
    </row>
    <row r="908" spans="1:7" ht="13.2">
      <c r="A908" s="49"/>
      <c r="B908" s="5"/>
      <c r="C908" s="41"/>
      <c r="D908" s="41"/>
      <c r="E908" s="42"/>
      <c r="F908" s="43"/>
      <c r="G908" s="41"/>
    </row>
    <row r="909" spans="1:7" ht="13.2">
      <c r="A909" s="49"/>
      <c r="B909" s="5"/>
      <c r="C909" s="41"/>
      <c r="D909" s="41"/>
      <c r="E909" s="42"/>
      <c r="F909" s="43"/>
      <c r="G909" s="41"/>
    </row>
    <row r="910" spans="1:7" ht="13.2">
      <c r="A910" s="49"/>
      <c r="B910" s="5"/>
      <c r="C910" s="41"/>
      <c r="D910" s="41"/>
      <c r="E910" s="42"/>
      <c r="F910" s="43"/>
      <c r="G910" s="41"/>
    </row>
    <row r="911" spans="1:7" ht="13.2">
      <c r="A911" s="49"/>
      <c r="B911" s="5"/>
      <c r="C911" s="41"/>
      <c r="D911" s="41"/>
      <c r="E911" s="42"/>
      <c r="F911" s="43"/>
      <c r="G911" s="41"/>
    </row>
    <row r="912" spans="1:7" ht="13.2">
      <c r="A912" s="49"/>
      <c r="B912" s="5"/>
      <c r="C912" s="41"/>
      <c r="D912" s="41"/>
      <c r="E912" s="42"/>
      <c r="F912" s="43"/>
      <c r="G912" s="41"/>
    </row>
    <row r="913" spans="1:7" ht="13.2">
      <c r="A913" s="49"/>
      <c r="B913" s="5"/>
      <c r="C913" s="41"/>
      <c r="D913" s="41"/>
      <c r="E913" s="42"/>
      <c r="F913" s="43"/>
      <c r="G913" s="41"/>
    </row>
    <row r="914" spans="1:7" ht="13.2">
      <c r="A914" s="49"/>
      <c r="B914" s="5"/>
      <c r="C914" s="41"/>
      <c r="D914" s="41"/>
      <c r="E914" s="42"/>
      <c r="F914" s="43"/>
      <c r="G914" s="41"/>
    </row>
    <row r="915" spans="1:7" ht="13.2">
      <c r="A915" s="49"/>
      <c r="B915" s="5"/>
      <c r="C915" s="41"/>
      <c r="D915" s="41"/>
      <c r="E915" s="42"/>
      <c r="F915" s="43"/>
      <c r="G915" s="41"/>
    </row>
    <row r="916" spans="1:7" ht="13.2">
      <c r="A916" s="49"/>
      <c r="B916" s="5"/>
      <c r="C916" s="41"/>
      <c r="D916" s="41"/>
      <c r="E916" s="42"/>
      <c r="F916" s="43"/>
      <c r="G916" s="41"/>
    </row>
    <row r="917" spans="1:7" ht="13.2">
      <c r="A917" s="49"/>
      <c r="B917" s="5"/>
      <c r="C917" s="41"/>
      <c r="D917" s="41"/>
      <c r="E917" s="42"/>
      <c r="F917" s="43"/>
      <c r="G917" s="41"/>
    </row>
    <row r="918" spans="1:7" ht="13.2">
      <c r="A918" s="49"/>
      <c r="B918" s="5"/>
      <c r="C918" s="41"/>
      <c r="D918" s="41"/>
      <c r="E918" s="42"/>
      <c r="F918" s="43"/>
      <c r="G918" s="41"/>
    </row>
    <row r="919" spans="1:7" ht="13.2">
      <c r="A919" s="49"/>
      <c r="B919" s="5"/>
      <c r="C919" s="41"/>
      <c r="D919" s="41"/>
      <c r="E919" s="42"/>
      <c r="F919" s="43"/>
      <c r="G919" s="41"/>
    </row>
    <row r="920" spans="1:7" ht="13.2">
      <c r="A920" s="49"/>
      <c r="B920" s="5"/>
      <c r="C920" s="41"/>
      <c r="D920" s="41"/>
      <c r="E920" s="42"/>
      <c r="F920" s="43"/>
      <c r="G920" s="41"/>
    </row>
    <row r="921" spans="1:7" ht="13.2">
      <c r="A921" s="49"/>
      <c r="B921" s="5"/>
      <c r="C921" s="41"/>
      <c r="D921" s="41"/>
      <c r="E921" s="42"/>
      <c r="F921" s="43"/>
      <c r="G921" s="41"/>
    </row>
    <row r="922" spans="1:7" ht="13.2">
      <c r="A922" s="49"/>
      <c r="B922" s="5"/>
      <c r="C922" s="41"/>
      <c r="D922" s="41"/>
      <c r="E922" s="42"/>
      <c r="F922" s="43"/>
      <c r="G922" s="41"/>
    </row>
    <row r="923" spans="1:7" ht="13.2">
      <c r="A923" s="49"/>
      <c r="B923" s="5"/>
      <c r="C923" s="41"/>
      <c r="D923" s="41"/>
      <c r="E923" s="42"/>
      <c r="F923" s="43"/>
      <c r="G923" s="41"/>
    </row>
    <row r="924" spans="1:7" ht="13.2">
      <c r="A924" s="49"/>
      <c r="B924" s="5"/>
      <c r="C924" s="41"/>
      <c r="D924" s="41"/>
      <c r="E924" s="42"/>
      <c r="F924" s="43"/>
      <c r="G924" s="41"/>
    </row>
    <row r="925" spans="1:7" ht="13.2">
      <c r="A925" s="49"/>
      <c r="B925" s="5"/>
      <c r="C925" s="41"/>
      <c r="D925" s="41"/>
      <c r="E925" s="42"/>
      <c r="F925" s="43"/>
      <c r="G925" s="41"/>
    </row>
    <row r="926" spans="1:7" ht="13.2">
      <c r="A926" s="49"/>
      <c r="B926" s="5"/>
      <c r="C926" s="41"/>
      <c r="D926" s="41"/>
      <c r="E926" s="42"/>
      <c r="F926" s="43"/>
      <c r="G926" s="41"/>
    </row>
    <row r="927" spans="1:7" ht="13.2">
      <c r="A927" s="49"/>
      <c r="B927" s="5"/>
      <c r="C927" s="41"/>
      <c r="D927" s="41"/>
      <c r="E927" s="42"/>
      <c r="F927" s="43"/>
      <c r="G927" s="41"/>
    </row>
    <row r="928" spans="1:7" ht="13.2">
      <c r="A928" s="49"/>
      <c r="B928" s="5"/>
      <c r="C928" s="41"/>
      <c r="D928" s="41"/>
      <c r="E928" s="42"/>
      <c r="F928" s="43"/>
      <c r="G928" s="41"/>
    </row>
    <row r="929" spans="1:7" ht="13.2">
      <c r="A929" s="49"/>
      <c r="B929" s="5"/>
      <c r="C929" s="41"/>
      <c r="D929" s="41"/>
      <c r="E929" s="42"/>
      <c r="F929" s="43"/>
      <c r="G929" s="41"/>
    </row>
    <row r="930" spans="1:7" ht="13.2">
      <c r="A930" s="49"/>
      <c r="B930" s="5"/>
      <c r="C930" s="41"/>
      <c r="D930" s="41"/>
      <c r="E930" s="42"/>
      <c r="F930" s="43"/>
      <c r="G930" s="41"/>
    </row>
    <row r="931" spans="1:7" ht="13.2">
      <c r="A931" s="49"/>
      <c r="B931" s="5"/>
      <c r="C931" s="41"/>
      <c r="D931" s="41"/>
      <c r="E931" s="42"/>
      <c r="F931" s="43"/>
      <c r="G931" s="41"/>
    </row>
    <row r="932" spans="1:7" ht="13.2">
      <c r="A932" s="49"/>
      <c r="B932" s="5"/>
      <c r="C932" s="41"/>
      <c r="D932" s="41"/>
      <c r="E932" s="42"/>
      <c r="F932" s="43"/>
      <c r="G932" s="41"/>
    </row>
    <row r="933" spans="1:7" ht="13.2">
      <c r="A933" s="49"/>
      <c r="B933" s="5"/>
      <c r="C933" s="41"/>
      <c r="D933" s="41"/>
      <c r="E933" s="42"/>
      <c r="F933" s="43"/>
      <c r="G933" s="41"/>
    </row>
    <row r="934" spans="1:7" ht="13.2">
      <c r="A934" s="49"/>
      <c r="B934" s="5"/>
      <c r="C934" s="41"/>
      <c r="D934" s="41"/>
      <c r="E934" s="42"/>
      <c r="F934" s="43"/>
      <c r="G934" s="41"/>
    </row>
    <row r="935" spans="1:7" ht="13.2">
      <c r="A935" s="49"/>
      <c r="B935" s="5"/>
      <c r="C935" s="41"/>
      <c r="D935" s="41"/>
      <c r="E935" s="42"/>
      <c r="F935" s="43"/>
      <c r="G935" s="41"/>
    </row>
    <row r="936" spans="1:7" ht="13.2">
      <c r="A936" s="49"/>
      <c r="B936" s="5"/>
      <c r="C936" s="41"/>
      <c r="D936" s="41"/>
      <c r="E936" s="42"/>
      <c r="F936" s="43"/>
      <c r="G936" s="41"/>
    </row>
    <row r="937" spans="1:7" ht="13.2">
      <c r="A937" s="49"/>
      <c r="B937" s="5"/>
      <c r="C937" s="41"/>
      <c r="D937" s="41"/>
      <c r="E937" s="42"/>
      <c r="F937" s="43"/>
      <c r="G937" s="41"/>
    </row>
    <row r="938" spans="1:7" ht="13.2">
      <c r="A938" s="49"/>
      <c r="B938" s="5"/>
      <c r="C938" s="41"/>
      <c r="D938" s="41"/>
      <c r="E938" s="42"/>
      <c r="F938" s="43"/>
      <c r="G938" s="41"/>
    </row>
    <row r="939" spans="1:7" ht="13.2">
      <c r="A939" s="49"/>
      <c r="B939" s="5"/>
      <c r="C939" s="41"/>
      <c r="D939" s="41"/>
      <c r="E939" s="42"/>
      <c r="F939" s="43"/>
      <c r="G939" s="41"/>
    </row>
    <row r="940" spans="1:7" ht="13.2">
      <c r="A940" s="49"/>
      <c r="B940" s="5"/>
      <c r="C940" s="41"/>
      <c r="D940" s="41"/>
      <c r="E940" s="42"/>
      <c r="F940" s="43"/>
      <c r="G940" s="41"/>
    </row>
    <row r="941" spans="1:7" ht="13.2">
      <c r="A941" s="49"/>
      <c r="B941" s="5"/>
      <c r="C941" s="41"/>
      <c r="D941" s="41"/>
      <c r="E941" s="42"/>
      <c r="F941" s="43"/>
      <c r="G941" s="41"/>
    </row>
    <row r="942" spans="1:7" ht="13.2">
      <c r="A942" s="49"/>
      <c r="B942" s="5"/>
      <c r="C942" s="41"/>
      <c r="D942" s="41"/>
      <c r="E942" s="42"/>
      <c r="F942" s="43"/>
      <c r="G942" s="41"/>
    </row>
    <row r="943" spans="1:7" ht="13.2">
      <c r="A943" s="49"/>
      <c r="B943" s="5"/>
      <c r="C943" s="41"/>
      <c r="D943" s="41"/>
      <c r="E943" s="42"/>
      <c r="F943" s="43"/>
      <c r="G943" s="41"/>
    </row>
    <row r="944" spans="1:7" ht="13.2">
      <c r="A944" s="49"/>
      <c r="B944" s="5"/>
      <c r="C944" s="41"/>
      <c r="D944" s="41"/>
      <c r="E944" s="42"/>
      <c r="F944" s="43"/>
      <c r="G944" s="41"/>
    </row>
    <row r="945" spans="1:7" ht="13.2">
      <c r="A945" s="49"/>
      <c r="B945" s="5"/>
      <c r="C945" s="41"/>
      <c r="D945" s="41"/>
      <c r="E945" s="42"/>
      <c r="F945" s="43"/>
      <c r="G945" s="41"/>
    </row>
    <row r="946" spans="1:7" ht="13.2">
      <c r="A946" s="49"/>
      <c r="B946" s="5"/>
      <c r="C946" s="41"/>
      <c r="D946" s="41"/>
      <c r="E946" s="42"/>
      <c r="F946" s="43"/>
      <c r="G946" s="41"/>
    </row>
    <row r="947" spans="1:7" ht="13.2">
      <c r="A947" s="49"/>
      <c r="B947" s="5"/>
      <c r="C947" s="41"/>
      <c r="D947" s="41"/>
      <c r="E947" s="42"/>
      <c r="F947" s="43"/>
      <c r="G947" s="41"/>
    </row>
    <row r="948" spans="1:7" ht="13.2">
      <c r="A948" s="49"/>
      <c r="B948" s="5"/>
      <c r="C948" s="41"/>
      <c r="D948" s="41"/>
      <c r="E948" s="42"/>
      <c r="F948" s="43"/>
      <c r="G948" s="41"/>
    </row>
    <row r="949" spans="1:7" ht="13.2">
      <c r="A949" s="49"/>
      <c r="B949" s="5"/>
      <c r="C949" s="41"/>
      <c r="D949" s="41"/>
      <c r="E949" s="42"/>
      <c r="F949" s="43"/>
      <c r="G949" s="41"/>
    </row>
    <row r="950" spans="1:7" ht="13.2">
      <c r="A950" s="49"/>
      <c r="B950" s="5"/>
      <c r="C950" s="41"/>
      <c r="D950" s="41"/>
      <c r="E950" s="42"/>
      <c r="F950" s="43"/>
      <c r="G950" s="41"/>
    </row>
    <row r="951" spans="1:7" ht="13.2">
      <c r="A951" s="49"/>
      <c r="B951" s="5"/>
      <c r="C951" s="41"/>
      <c r="D951" s="41"/>
      <c r="E951" s="42"/>
      <c r="F951" s="43"/>
      <c r="G951" s="41"/>
    </row>
    <row r="952" spans="1:7" ht="13.2">
      <c r="A952" s="49"/>
      <c r="B952" s="5"/>
      <c r="C952" s="41"/>
      <c r="D952" s="41"/>
      <c r="E952" s="42"/>
      <c r="F952" s="43"/>
      <c r="G952" s="41"/>
    </row>
    <row r="953" spans="1:7" ht="13.2">
      <c r="A953" s="49"/>
      <c r="B953" s="5"/>
      <c r="C953" s="41"/>
      <c r="D953" s="41"/>
      <c r="E953" s="42"/>
      <c r="F953" s="43"/>
      <c r="G953" s="41"/>
    </row>
    <row r="954" spans="1:7" ht="13.2">
      <c r="A954" s="49"/>
      <c r="B954" s="5"/>
      <c r="C954" s="41"/>
      <c r="D954" s="41"/>
      <c r="E954" s="42"/>
      <c r="F954" s="43"/>
      <c r="G954" s="41"/>
    </row>
    <row r="955" spans="1:7" ht="13.2">
      <c r="A955" s="49"/>
      <c r="B955" s="5"/>
      <c r="C955" s="41"/>
      <c r="D955" s="41"/>
      <c r="E955" s="42"/>
      <c r="F955" s="43"/>
      <c r="G955" s="41"/>
    </row>
    <row r="956" spans="1:7" ht="13.2">
      <c r="A956" s="49"/>
      <c r="B956" s="5"/>
      <c r="C956" s="41"/>
      <c r="D956" s="41"/>
      <c r="E956" s="42"/>
      <c r="F956" s="43"/>
      <c r="G956" s="41"/>
    </row>
    <row r="957" spans="1:7" ht="13.2">
      <c r="A957" s="49"/>
      <c r="B957" s="5"/>
      <c r="C957" s="41"/>
      <c r="D957" s="41"/>
      <c r="E957" s="42"/>
      <c r="F957" s="43"/>
      <c r="G957" s="41"/>
    </row>
    <row r="958" spans="1:7" ht="13.2">
      <c r="A958" s="49"/>
      <c r="B958" s="5"/>
      <c r="C958" s="41"/>
      <c r="D958" s="41"/>
      <c r="E958" s="42"/>
      <c r="F958" s="43"/>
      <c r="G958" s="41"/>
    </row>
    <row r="959" spans="1:7" ht="13.2">
      <c r="A959" s="49"/>
      <c r="B959" s="5"/>
      <c r="C959" s="41"/>
      <c r="D959" s="41"/>
      <c r="E959" s="42"/>
      <c r="F959" s="43"/>
      <c r="G959" s="41"/>
    </row>
    <row r="960" spans="1:7" ht="13.2">
      <c r="A960" s="49"/>
      <c r="B960" s="5"/>
      <c r="C960" s="41"/>
      <c r="D960" s="41"/>
      <c r="E960" s="42"/>
      <c r="F960" s="43"/>
      <c r="G960" s="41"/>
    </row>
    <row r="961" spans="1:7" ht="13.2">
      <c r="A961" s="49"/>
      <c r="B961" s="5"/>
      <c r="C961" s="41"/>
      <c r="D961" s="41"/>
      <c r="E961" s="42"/>
      <c r="F961" s="43"/>
      <c r="G961" s="41"/>
    </row>
    <row r="962" spans="1:7" ht="13.2">
      <c r="A962" s="49"/>
      <c r="B962" s="5"/>
      <c r="C962" s="41"/>
      <c r="D962" s="41"/>
      <c r="E962" s="42"/>
      <c r="F962" s="43"/>
      <c r="G962" s="41"/>
    </row>
    <row r="963" spans="1:7" ht="13.2">
      <c r="A963" s="49"/>
      <c r="B963" s="5"/>
      <c r="C963" s="41"/>
      <c r="D963" s="41"/>
      <c r="E963" s="42"/>
      <c r="F963" s="43"/>
      <c r="G963" s="41"/>
    </row>
    <row r="964" spans="1:7" ht="13.2">
      <c r="A964" s="49"/>
      <c r="B964" s="5"/>
      <c r="C964" s="41"/>
      <c r="D964" s="41"/>
      <c r="E964" s="42"/>
      <c r="F964" s="43"/>
      <c r="G964" s="41"/>
    </row>
    <row r="965" spans="1:7" ht="13.2">
      <c r="A965" s="49"/>
      <c r="B965" s="5"/>
      <c r="C965" s="41"/>
      <c r="D965" s="41"/>
      <c r="E965" s="42"/>
      <c r="F965" s="43"/>
      <c r="G965" s="41"/>
    </row>
    <row r="966" spans="1:7" ht="13.2">
      <c r="A966" s="49"/>
      <c r="B966" s="5"/>
      <c r="C966" s="41"/>
      <c r="D966" s="41"/>
      <c r="E966" s="42"/>
      <c r="F966" s="43"/>
      <c r="G966" s="41"/>
    </row>
    <row r="967" spans="1:7" ht="13.2">
      <c r="A967" s="49"/>
      <c r="B967" s="5"/>
      <c r="C967" s="41"/>
      <c r="D967" s="41"/>
      <c r="E967" s="42"/>
      <c r="F967" s="43"/>
      <c r="G967" s="41"/>
    </row>
    <row r="968" spans="1:7" ht="13.2">
      <c r="A968" s="49"/>
      <c r="B968" s="5"/>
      <c r="C968" s="41"/>
      <c r="D968" s="41"/>
      <c r="E968" s="42"/>
      <c r="F968" s="43"/>
      <c r="G968" s="41"/>
    </row>
    <row r="969" spans="1:7" ht="13.2">
      <c r="A969" s="49"/>
      <c r="B969" s="5"/>
      <c r="C969" s="41"/>
      <c r="D969" s="41"/>
      <c r="E969" s="42"/>
      <c r="F969" s="43"/>
      <c r="G969" s="41"/>
    </row>
    <row r="970" spans="1:7" ht="13.2">
      <c r="A970" s="49"/>
      <c r="B970" s="5"/>
      <c r="C970" s="41"/>
      <c r="D970" s="41"/>
      <c r="E970" s="42"/>
      <c r="F970" s="43"/>
      <c r="G970" s="41"/>
    </row>
    <row r="971" spans="1:7" ht="13.2">
      <c r="A971" s="49"/>
      <c r="B971" s="5"/>
      <c r="C971" s="41"/>
      <c r="D971" s="41"/>
      <c r="E971" s="42"/>
      <c r="F971" s="43"/>
      <c r="G971" s="41"/>
    </row>
    <row r="972" spans="1:7" ht="13.2">
      <c r="A972" s="49"/>
      <c r="B972" s="5"/>
      <c r="C972" s="41"/>
      <c r="D972" s="41"/>
      <c r="E972" s="42"/>
      <c r="F972" s="43"/>
      <c r="G972" s="41"/>
    </row>
    <row r="973" spans="1:7" ht="13.2">
      <c r="A973" s="49"/>
      <c r="B973" s="5"/>
      <c r="C973" s="41"/>
      <c r="D973" s="41"/>
      <c r="E973" s="42"/>
      <c r="F973" s="43"/>
      <c r="G973" s="41"/>
    </row>
    <row r="974" spans="1:7" ht="13.2">
      <c r="A974" s="49"/>
      <c r="B974" s="5"/>
      <c r="C974" s="41"/>
      <c r="D974" s="41"/>
      <c r="E974" s="42"/>
      <c r="F974" s="43"/>
      <c r="G974" s="41"/>
    </row>
    <row r="975" spans="1:7" ht="13.2">
      <c r="A975" s="49"/>
      <c r="B975" s="5"/>
      <c r="C975" s="41"/>
      <c r="D975" s="41"/>
      <c r="E975" s="42"/>
      <c r="F975" s="43"/>
      <c r="G975" s="41"/>
    </row>
    <row r="976" spans="1:7" ht="13.2">
      <c r="A976" s="49"/>
      <c r="B976" s="5"/>
      <c r="C976" s="41"/>
      <c r="D976" s="41"/>
      <c r="E976" s="42"/>
      <c r="F976" s="43"/>
      <c r="G976" s="41"/>
    </row>
    <row r="977" spans="1:7" ht="13.2">
      <c r="A977" s="49"/>
      <c r="B977" s="5"/>
      <c r="C977" s="41"/>
      <c r="D977" s="41"/>
      <c r="E977" s="42"/>
      <c r="F977" s="43"/>
      <c r="G977" s="41"/>
    </row>
    <row r="978" spans="1:7" ht="13.2">
      <c r="A978" s="49"/>
      <c r="B978" s="5"/>
      <c r="C978" s="41"/>
      <c r="D978" s="41"/>
      <c r="E978" s="42"/>
      <c r="F978" s="43"/>
      <c r="G978" s="41"/>
    </row>
    <row r="979" spans="1:7" ht="13.2">
      <c r="A979" s="49"/>
      <c r="B979" s="5"/>
      <c r="C979" s="41"/>
      <c r="D979" s="41"/>
      <c r="E979" s="42"/>
      <c r="F979" s="43"/>
      <c r="G979" s="41"/>
    </row>
    <row r="980" spans="1:7" ht="13.2">
      <c r="A980" s="49"/>
      <c r="B980" s="5"/>
      <c r="C980" s="41"/>
      <c r="D980" s="41"/>
      <c r="E980" s="42"/>
      <c r="F980" s="43"/>
      <c r="G980" s="41"/>
    </row>
    <row r="981" spans="1:7" ht="13.2">
      <c r="A981" s="49"/>
      <c r="B981" s="5"/>
      <c r="C981" s="41"/>
      <c r="D981" s="41"/>
      <c r="E981" s="42"/>
      <c r="F981" s="43"/>
      <c r="G981" s="41"/>
    </row>
    <row r="982" spans="1:7" ht="13.2">
      <c r="A982" s="49"/>
      <c r="B982" s="5"/>
      <c r="C982" s="41"/>
      <c r="D982" s="41"/>
      <c r="E982" s="42"/>
      <c r="F982" s="43"/>
      <c r="G982" s="41"/>
    </row>
    <row r="983" spans="1:7" ht="13.2">
      <c r="A983" s="49"/>
      <c r="B983" s="5"/>
      <c r="C983" s="41"/>
      <c r="D983" s="41"/>
      <c r="E983" s="42"/>
      <c r="F983" s="43"/>
      <c r="G983" s="41"/>
    </row>
    <row r="984" spans="1:7" ht="13.2">
      <c r="A984" s="49"/>
      <c r="B984" s="5"/>
      <c r="C984" s="41"/>
      <c r="D984" s="41"/>
      <c r="E984" s="42"/>
      <c r="F984" s="43"/>
      <c r="G984" s="41"/>
    </row>
    <row r="985" spans="1:7" ht="13.2">
      <c r="A985" s="49"/>
      <c r="B985" s="5"/>
      <c r="C985" s="41"/>
      <c r="D985" s="41"/>
      <c r="E985" s="42"/>
      <c r="F985" s="43"/>
      <c r="G985" s="41"/>
    </row>
    <row r="986" spans="1:7" ht="13.2">
      <c r="A986" s="49"/>
      <c r="B986" s="5"/>
      <c r="C986" s="41"/>
      <c r="D986" s="41"/>
      <c r="E986" s="42"/>
      <c r="F986" s="43"/>
      <c r="G986" s="41"/>
    </row>
    <row r="987" spans="1:7" ht="13.2">
      <c r="A987" s="49"/>
      <c r="B987" s="5"/>
      <c r="C987" s="41"/>
      <c r="D987" s="41"/>
      <c r="E987" s="42"/>
      <c r="F987" s="43"/>
      <c r="G987" s="41"/>
    </row>
    <row r="988" spans="1:7" ht="13.2">
      <c r="A988" s="49"/>
      <c r="B988" s="5"/>
      <c r="C988" s="41"/>
      <c r="D988" s="41"/>
      <c r="E988" s="42"/>
      <c r="F988" s="43"/>
      <c r="G988" s="41"/>
    </row>
    <row r="989" spans="1:7" ht="13.2">
      <c r="A989" s="49"/>
      <c r="B989" s="5"/>
      <c r="C989" s="41"/>
      <c r="D989" s="41"/>
      <c r="E989" s="42"/>
      <c r="F989" s="43"/>
      <c r="G989" s="41"/>
    </row>
    <row r="990" spans="1:7" ht="13.2">
      <c r="A990" s="49"/>
      <c r="B990" s="5"/>
      <c r="C990" s="41"/>
      <c r="D990" s="41"/>
      <c r="E990" s="42"/>
      <c r="F990" s="43"/>
      <c r="G990" s="41"/>
    </row>
    <row r="991" spans="1:7" ht="13.2">
      <c r="A991" s="49"/>
      <c r="B991" s="5"/>
      <c r="C991" s="41"/>
      <c r="D991" s="41"/>
      <c r="E991" s="42"/>
      <c r="F991" s="43"/>
      <c r="G991" s="41"/>
    </row>
    <row r="992" spans="1:7" ht="13.2">
      <c r="A992" s="49"/>
      <c r="B992" s="5"/>
      <c r="C992" s="41"/>
      <c r="D992" s="41"/>
      <c r="E992" s="42"/>
      <c r="F992" s="43"/>
      <c r="G992" s="41"/>
    </row>
    <row r="993" spans="1:7" ht="13.2">
      <c r="A993" s="49"/>
      <c r="B993" s="5"/>
      <c r="C993" s="41"/>
      <c r="D993" s="41"/>
      <c r="E993" s="42"/>
      <c r="F993" s="43"/>
      <c r="G993" s="41"/>
    </row>
    <row r="994" spans="1:7" ht="13.2">
      <c r="A994" s="49"/>
      <c r="B994" s="5"/>
      <c r="C994" s="41"/>
      <c r="D994" s="41"/>
      <c r="E994" s="42"/>
      <c r="F994" s="43"/>
      <c r="G994" s="41"/>
    </row>
    <row r="995" spans="1:7" ht="13.2">
      <c r="A995" s="49"/>
      <c r="B995" s="5"/>
      <c r="C995" s="41"/>
      <c r="D995" s="41"/>
      <c r="E995" s="42"/>
      <c r="F995" s="43"/>
      <c r="G995" s="41"/>
    </row>
    <row r="996" spans="1:7" ht="13.2">
      <c r="A996" s="49"/>
      <c r="B996" s="5"/>
      <c r="C996" s="41"/>
      <c r="D996" s="41"/>
      <c r="E996" s="42"/>
      <c r="F996" s="43"/>
      <c r="G996" s="41"/>
    </row>
    <row r="997" spans="1:7" ht="13.2">
      <c r="A997" s="49"/>
      <c r="B997" s="5"/>
      <c r="C997" s="41"/>
      <c r="D997" s="41"/>
      <c r="E997" s="42"/>
      <c r="F997" s="43"/>
      <c r="G997" s="41"/>
    </row>
    <row r="998" spans="1:7" ht="13.2">
      <c r="A998" s="49"/>
      <c r="B998" s="5"/>
      <c r="C998" s="41"/>
      <c r="D998" s="41"/>
      <c r="E998" s="42"/>
      <c r="F998" s="43"/>
      <c r="G998" s="41"/>
    </row>
    <row r="999" spans="1:7" ht="13.2">
      <c r="A999" s="49"/>
      <c r="B999" s="5"/>
      <c r="C999" s="41"/>
      <c r="D999" s="41"/>
      <c r="E999" s="42"/>
      <c r="F999" s="43"/>
      <c r="G999" s="41"/>
    </row>
    <row r="1000" spans="1:7" ht="13.2">
      <c r="A1000" s="49"/>
      <c r="B1000" s="5"/>
      <c r="C1000" s="41"/>
      <c r="D1000" s="41"/>
      <c r="E1000" s="42"/>
      <c r="F1000" s="43"/>
      <c r="G1000" s="41"/>
    </row>
    <row r="1001" spans="1:7" ht="13.2">
      <c r="A1001" s="49"/>
      <c r="B1001" s="5"/>
      <c r="C1001" s="41"/>
      <c r="D1001" s="41"/>
      <c r="E1001" s="42"/>
      <c r="F1001" s="43"/>
      <c r="G1001" s="41"/>
    </row>
    <row r="1002" spans="1:7" ht="13.2">
      <c r="A1002" s="49"/>
      <c r="B1002" s="5"/>
      <c r="C1002" s="41"/>
      <c r="D1002" s="41"/>
      <c r="E1002" s="42"/>
      <c r="F1002" s="43"/>
      <c r="G1002" s="41"/>
    </row>
    <row r="1003" spans="1:7" ht="13.2">
      <c r="A1003" s="49"/>
      <c r="B1003" s="5"/>
      <c r="C1003" s="41"/>
      <c r="D1003" s="41"/>
      <c r="E1003" s="42"/>
      <c r="F1003" s="43"/>
      <c r="G1003" s="41"/>
    </row>
    <row r="1004" spans="1:7" ht="13.2">
      <c r="A1004" s="49"/>
      <c r="B1004" s="5"/>
      <c r="C1004" s="41"/>
      <c r="D1004" s="41"/>
      <c r="E1004" s="42"/>
      <c r="F1004" s="56"/>
      <c r="G1004" s="41"/>
    </row>
  </sheetData>
  <conditionalFormatting sqref="A2:A1004">
    <cfRule type="colorScale" priority="1">
      <colorScale>
        <cfvo type="formula" val="1"/>
        <cfvo type="formula" val="30"/>
        <color rgb="FF57BB8A"/>
        <color rgb="FF990000"/>
      </colorScale>
    </cfRule>
  </conditionalFormatting>
  <dataValidations count="1">
    <dataValidation type="list" allowBlank="1" sqref="E2:E1004" xr:uid="{00000000-0002-0000-0200-000000000000}">
      <formula1>"ID,Cost"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98"/>
  <sheetViews>
    <sheetView workbookViewId="0"/>
  </sheetViews>
  <sheetFormatPr defaultColWidth="12.6640625" defaultRowHeight="15.75" customHeight="1"/>
  <cols>
    <col min="3" max="3" width="28.88671875" customWidth="1"/>
    <col min="6" max="6" width="19.77734375" customWidth="1"/>
    <col min="7" max="7" width="26" customWidth="1"/>
    <col min="8" max="8" width="4" customWidth="1"/>
    <col min="9" max="9" width="26" customWidth="1"/>
    <col min="10" max="10" width="4" customWidth="1"/>
    <col min="11" max="11" width="26" customWidth="1"/>
    <col min="12" max="12" width="4" customWidth="1"/>
    <col min="13" max="13" width="26" customWidth="1"/>
    <col min="14" max="14" width="4" customWidth="1"/>
    <col min="15" max="15" width="26" customWidth="1"/>
    <col min="16" max="16" width="4" customWidth="1"/>
  </cols>
  <sheetData>
    <row r="1" spans="1:32" ht="15.75" customHeight="1">
      <c r="A1" s="8" t="s">
        <v>684</v>
      </c>
      <c r="B1" s="8" t="s">
        <v>0</v>
      </c>
      <c r="C1" s="8" t="s">
        <v>685</v>
      </c>
      <c r="D1" s="8" t="s">
        <v>8</v>
      </c>
      <c r="E1" s="10" t="s">
        <v>675</v>
      </c>
      <c r="F1" s="8" t="s">
        <v>686</v>
      </c>
      <c r="G1" s="11" t="s">
        <v>687</v>
      </c>
      <c r="H1" s="57" t="s">
        <v>688</v>
      </c>
      <c r="I1" s="11" t="s">
        <v>689</v>
      </c>
      <c r="J1" s="57" t="s">
        <v>688</v>
      </c>
      <c r="K1" s="11" t="s">
        <v>690</v>
      </c>
      <c r="L1" s="57" t="s">
        <v>688</v>
      </c>
      <c r="M1" s="11" t="s">
        <v>691</v>
      </c>
      <c r="N1" s="57" t="s">
        <v>688</v>
      </c>
      <c r="O1" s="11" t="s">
        <v>692</v>
      </c>
      <c r="P1" s="8" t="s">
        <v>688</v>
      </c>
      <c r="Q1" s="58" t="s">
        <v>693</v>
      </c>
      <c r="R1" s="9" t="s">
        <v>694</v>
      </c>
      <c r="S1" s="9" t="s">
        <v>695</v>
      </c>
      <c r="T1" s="9" t="s">
        <v>696</v>
      </c>
      <c r="U1" s="9" t="s">
        <v>697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5.75" customHeight="1">
      <c r="A2" s="5">
        <v>1</v>
      </c>
      <c r="B2" s="5">
        <f ca="1">IFERROR(__xludf.DUMMYFUNCTION("if(ISBLANK(C2),,QUERY(MD!$A$2:$D$1000,""Select A where C = '""&amp; C2 &amp;""'""))"),162)</f>
        <v>162</v>
      </c>
      <c r="C2" s="5" t="s">
        <v>57</v>
      </c>
      <c r="D2" s="5">
        <f ca="1">IFERROR(__xludf.DUMMYFUNCTION("if(ISBLANK(C2),,QUERY(MD!$A$2:$D$1000,""Select D where C = '""&amp; C2 &amp;""'""))"),25)</f>
        <v>25</v>
      </c>
      <c r="E2" s="59" t="str">
        <f ca="1">IFERROR(__xludf.DUMMYFUNCTION("if(ISBLANK(C2),,QUERY(MD!$A$2:$D$1000,""Select B where C = '""&amp; C2 &amp;""'""))"),"1/8")</f>
        <v>1/8</v>
      </c>
      <c r="F2" s="5">
        <f t="shared" ref="F2:F256" ca="1" si="0">IF(ISBLANK(C2),,TRUNC(1+(5-1)*(TRUNC(MOD((CELL("Row",E2)*1103515245 +12345)/ 65536, 32768),0)/32768),0))</f>
        <v>1</v>
      </c>
      <c r="G2" s="60" t="s">
        <v>698</v>
      </c>
      <c r="H2" s="61">
        <v>1</v>
      </c>
      <c r="I2" s="32" t="s">
        <v>699</v>
      </c>
      <c r="J2" s="61">
        <v>1</v>
      </c>
      <c r="K2" s="32" t="s">
        <v>699</v>
      </c>
      <c r="L2" s="61">
        <v>2</v>
      </c>
      <c r="M2" s="32" t="s">
        <v>699</v>
      </c>
      <c r="N2" s="61">
        <v>3</v>
      </c>
      <c r="O2" s="32" t="s">
        <v>700</v>
      </c>
      <c r="P2" s="61">
        <v>1</v>
      </c>
      <c r="Q2" s="62">
        <v>0.53303388485822023</v>
      </c>
      <c r="R2" s="63">
        <v>2.0849122132461373E-3</v>
      </c>
      <c r="S2" s="63">
        <v>0.42894350283001215</v>
      </c>
      <c r="T2" s="63">
        <v>0.18995520337957605</v>
      </c>
      <c r="U2" s="63">
        <v>0.51752926872215643</v>
      </c>
    </row>
    <row r="3" spans="1:32" ht="15.75" customHeight="1">
      <c r="A3" s="5">
        <f t="shared" ref="A3:A257" ca="1" si="1">IF(ISBLANK(B3),,A2+1)</f>
        <v>2</v>
      </c>
      <c r="B3" s="5">
        <f ca="1">IFERROR(__xludf.DUMMYFUNCTION("if(ISBLANK(C3),,QUERY(MD!$A$2:$D$1000,""Select A where C = '""&amp; C3 &amp;""'""))"),148)</f>
        <v>148</v>
      </c>
      <c r="C3" s="5" t="s">
        <v>26</v>
      </c>
      <c r="D3" s="16">
        <f ca="1">IFERROR(__xludf.DUMMYFUNCTION("if(ISBLANK(C3),,QUERY(MD!$A$2:$D$1000,""Select D where C = '""&amp; C3 &amp;""'""))"),25)</f>
        <v>25</v>
      </c>
      <c r="E3" s="59" t="str">
        <f ca="1">IFERROR(__xludf.DUMMYFUNCTION("if(ISBLANK(C3),,QUERY(MD!$A$2:$D$1000,""Select B where C = '""&amp; C3 &amp;""'""))"),"1/8")</f>
        <v>1/8</v>
      </c>
      <c r="F3" s="5">
        <f t="shared" ca="1" si="0"/>
        <v>3</v>
      </c>
      <c r="G3" s="32" t="str">
        <f ca="1">IFERROR(__xludf.DUMMYFUNCTION("if($F3&gt;=1,QUERY(Loot!$A$2:$G$904,""Select G where A = '""&amp; $E3 &amp;""' AND D &gt;= ""&amp; Q3  &amp;"" LIMIT 1""),)"),"#N/A")</f>
        <v>#N/A</v>
      </c>
      <c r="H3" s="61"/>
      <c r="I3" s="32" t="s">
        <v>699</v>
      </c>
      <c r="J3" s="61"/>
      <c r="K3" s="32" t="s">
        <v>699</v>
      </c>
      <c r="L3" s="61"/>
      <c r="M3" s="32" t="s">
        <v>699</v>
      </c>
      <c r="N3" s="61">
        <v>3</v>
      </c>
      <c r="O3" s="32" t="str">
        <f ca="1">IFERROR(__xludf.DUMMYFUNCTION("if($F3&gt;=5,QUERY(Loot!$A$2:$G$904,""Select G where A = '""&amp; $E3 &amp;""' AND D &gt;= ""&amp; U3 &amp;"" LIMIT 1""),)"),"")</f>
        <v/>
      </c>
      <c r="P3" s="61"/>
      <c r="Q3" s="62">
        <v>0.25095984199741883</v>
      </c>
      <c r="R3" s="63">
        <v>0.62757072990392682</v>
      </c>
      <c r="S3" s="63">
        <v>0.28038580666803636</v>
      </c>
      <c r="T3" s="63">
        <v>7.9333951130494684E-2</v>
      </c>
      <c r="U3" s="63">
        <v>0.10345189542305566</v>
      </c>
    </row>
    <row r="4" spans="1:32" ht="15.75" customHeight="1">
      <c r="A4" s="5">
        <f t="shared" ca="1" si="1"/>
        <v>3</v>
      </c>
      <c r="B4" s="5">
        <f ca="1">IFERROR(__xludf.DUMMYFUNCTION("if(ISBLANK(C4),,QUERY(MD!$A$2:$D$1000,""Select A where C = '""&amp; C4 &amp;""'""))"),44)</f>
        <v>44</v>
      </c>
      <c r="C4" s="5" t="s">
        <v>195</v>
      </c>
      <c r="D4" s="5">
        <f ca="1">IFERROR(__xludf.DUMMYFUNCTION("if(ISBLANK(C4),,QUERY(MD!$A$2:$D$1000,""Select D where C = '""&amp; C4 &amp;""'""))"),200)</f>
        <v>200</v>
      </c>
      <c r="E4" s="59" t="str">
        <f ca="1">IFERROR(__xludf.DUMMYFUNCTION("if(ISBLANK(C4),,QUERY(MD!$A$2:$D$1000,""Select B where C = '""&amp; C4 &amp;""'""))"),"1")</f>
        <v>1</v>
      </c>
      <c r="F4" s="5">
        <f t="shared" ca="1" si="0"/>
        <v>1</v>
      </c>
      <c r="G4" s="32" t="str">
        <f ca="1">IFERROR(__xludf.DUMMYFUNCTION("if($F4&gt;=1,QUERY(Loot!$A$2:$G$904,""Select G where A = '""&amp; $E4 &amp;""' AND D &gt;= ""&amp; Q4  &amp;"" LIMIT 1""),)"),"Dart")</f>
        <v>Dart</v>
      </c>
      <c r="H4" s="61"/>
      <c r="I4" s="32" t="s">
        <v>699</v>
      </c>
      <c r="J4" s="61">
        <v>1</v>
      </c>
      <c r="K4" s="32" t="s">
        <v>699</v>
      </c>
      <c r="L4" s="61">
        <v>2</v>
      </c>
      <c r="M4" s="32" t="s">
        <v>699</v>
      </c>
      <c r="N4" s="61">
        <v>3</v>
      </c>
      <c r="O4" s="32" t="str">
        <f ca="1">IFERROR(__xludf.DUMMYFUNCTION("if($F4&gt;=5,QUERY(Loot!$A$2:$G$904,""Select G where A = '""&amp; $E4 &amp;""' AND D &gt;= ""&amp; U4 &amp;"" LIMIT 1""),)"),"")</f>
        <v/>
      </c>
      <c r="P4" s="61"/>
      <c r="Q4" s="62">
        <v>0.86017071941060119</v>
      </c>
      <c r="R4" s="63">
        <v>0.17094214993620249</v>
      </c>
      <c r="S4" s="63">
        <v>0.29260728038405603</v>
      </c>
      <c r="T4" s="63">
        <v>0.3520277926123313</v>
      </c>
      <c r="U4" s="63">
        <v>0.39115805698749018</v>
      </c>
    </row>
    <row r="5" spans="1:32" ht="15.75" customHeight="1">
      <c r="A5" s="5">
        <f t="shared" ca="1" si="1"/>
        <v>4</v>
      </c>
      <c r="B5" s="5">
        <f ca="1">IFERROR(__xludf.DUMMYFUNCTION("if(ISBLANK(C5),,QUERY(MD!$A$2:$D$1000,""Select A where C = '""&amp; C5 &amp;""'""))"),45)</f>
        <v>45</v>
      </c>
      <c r="C5" s="5" t="s">
        <v>196</v>
      </c>
      <c r="D5" s="5">
        <f ca="1">IFERROR(__xludf.DUMMYFUNCTION("if(ISBLANK(C5),,QUERY(MD!$A$2:$D$1000,""Select D where C = '""&amp; C5 &amp;""'""))"),200)</f>
        <v>200</v>
      </c>
      <c r="E5" s="59" t="str">
        <f ca="1">IFERROR(__xludf.DUMMYFUNCTION("if(ISBLANK(C5),,QUERY(MD!$A$2:$D$1000,""Select B where C = '""&amp; C5 &amp;""'""))"),"1")</f>
        <v>1</v>
      </c>
      <c r="F5" s="5">
        <f t="shared" ca="1" si="0"/>
        <v>3</v>
      </c>
      <c r="G5" s="32" t="str">
        <f ca="1">IFERROR(__xludf.DUMMYFUNCTION("if($F5&gt;=1,QUERY(Loot!$A$2:$G$904,""Select G where A = '""&amp; $E5 &amp;""' AND D &gt;= ""&amp; Q5  &amp;"" LIMIT 1""),)"),"Pick, light")</f>
        <v>Pick, light</v>
      </c>
      <c r="H5" s="61"/>
      <c r="I5" s="32" t="s">
        <v>699</v>
      </c>
      <c r="J5" s="61">
        <v>1</v>
      </c>
      <c r="K5" s="32" t="s">
        <v>699</v>
      </c>
      <c r="L5" s="61">
        <v>2</v>
      </c>
      <c r="M5" s="32"/>
      <c r="N5" s="61"/>
      <c r="O5" s="32" t="str">
        <f ca="1">IFERROR(__xludf.DUMMYFUNCTION("if($F5&gt;=5,QUERY(Loot!$A$2:$G$904,""Select G where A = '""&amp; $E5 &amp;""' AND D &gt;= ""&amp; U5 &amp;"" LIMIT 1""),)"),"")</f>
        <v/>
      </c>
      <c r="P5" s="61"/>
      <c r="Q5" s="62">
        <v>0.10446191131412541</v>
      </c>
      <c r="R5" s="63">
        <v>0.87673615191658849</v>
      </c>
      <c r="S5" s="63">
        <v>0.84203926225476888</v>
      </c>
      <c r="T5" s="63">
        <v>0.51277916506506038</v>
      </c>
      <c r="U5" s="63">
        <v>0.17996371290733226</v>
      </c>
    </row>
    <row r="6" spans="1:32" ht="15.75" customHeight="1">
      <c r="A6" s="5">
        <f t="shared" ca="1" si="1"/>
        <v>5</v>
      </c>
      <c r="B6" s="5">
        <f ca="1">IFERROR(__xludf.DUMMYFUNCTION("if(ISBLANK(C6),,QUERY(MD!$A$2:$D$1000,""Select A where C = '""&amp; C6 &amp;""'""))"),46)</f>
        <v>46</v>
      </c>
      <c r="C6" s="5" t="s">
        <v>197</v>
      </c>
      <c r="D6" s="5">
        <f ca="1">IFERROR(__xludf.DUMMYFUNCTION("if(ISBLANK(C6),,QUERY(MD!$A$2:$D$1000,""Select D where C = '""&amp; C6 &amp;""'""))"),200)</f>
        <v>200</v>
      </c>
      <c r="E6" s="59" t="s">
        <v>225</v>
      </c>
      <c r="F6" s="5">
        <f t="shared" ca="1" si="0"/>
        <v>1</v>
      </c>
      <c r="G6" s="32" t="str">
        <f ca="1">IFERROR(__xludf.DUMMYFUNCTION("if($F6&gt;=1,QUERY(Loot!$A$2:$G$904,""Select G where A = '""&amp; $E6 &amp;""' AND D &gt;= ""&amp; Q6  &amp;"" LIMIT 1""),)"),"Greatclub")</f>
        <v>Greatclub</v>
      </c>
      <c r="H6" s="61"/>
      <c r="I6" s="32"/>
      <c r="J6" s="61"/>
      <c r="K6" s="32" t="str">
        <f ca="1">IFERROR(__xludf.DUMMYFUNCTION("if($F6&gt;=3,QUERY(Loot!$A$2:$G$904,""Select G where A = '""&amp; $E6 &amp;""' AND D &gt;= ""&amp; S6  &amp;"" LIMIT 1""),)"),"")</f>
        <v/>
      </c>
      <c r="L6" s="61"/>
      <c r="M6" s="32" t="str">
        <f ca="1">IFERROR(__xludf.DUMMYFUNCTION("if($F6&gt;=4,QUERY(Loot!$A$2:$G$904,""Select G where A = '""&amp; $E6 &amp;""' AND D &gt;= ""&amp;T6 &amp;"" LIMIT 1""),)"),"")</f>
        <v/>
      </c>
      <c r="N6" s="61"/>
      <c r="O6" s="32" t="str">
        <f ca="1">IFERROR(__xludf.DUMMYFUNCTION("if($F6&gt;=5,QUERY(Loot!$A$2:$G$904,""Select G where A = '""&amp; $E6 &amp;""' AND D &gt;= ""&amp; U6 &amp;"" LIMIT 1""),)"),"")</f>
        <v/>
      </c>
      <c r="P6" s="61"/>
      <c r="Q6" s="62">
        <v>0.41812399527275912</v>
      </c>
      <c r="R6" s="63">
        <v>0.26166327572975834</v>
      </c>
      <c r="S6" s="63">
        <v>2.5468144257975278E-2</v>
      </c>
      <c r="T6" s="63">
        <v>0.80072379195957555</v>
      </c>
      <c r="U6" s="63">
        <v>0.6821914814506308</v>
      </c>
    </row>
    <row r="7" spans="1:32" ht="15.75" customHeight="1">
      <c r="A7" s="5">
        <f t="shared" ca="1" si="1"/>
        <v>6</v>
      </c>
      <c r="B7" s="5">
        <f ca="1">IFERROR(__xludf.DUMMYFUNCTION("if(ISBLANK(C7),,QUERY(MD!$A$2:$D$1000,""Select A where C = '""&amp; C7 &amp;""'""))"),47)</f>
        <v>47</v>
      </c>
      <c r="C7" s="5" t="s">
        <v>198</v>
      </c>
      <c r="D7" s="5">
        <f ca="1">IFERROR(__xludf.DUMMYFUNCTION("if(ISBLANK(C7),,QUERY(MD!$A$2:$D$1000,""Select D where C = '""&amp; C7 &amp;""'""))"),200)</f>
        <v>200</v>
      </c>
      <c r="E7" s="59" t="str">
        <f ca="1">IFERROR(__xludf.DUMMYFUNCTION("if(ISBLANK(C7),,QUERY(MD!$A$2:$D$1000,""Select B where C = '""&amp; C7 &amp;""'""))"),"1")</f>
        <v>1</v>
      </c>
      <c r="F7" s="5">
        <f t="shared" ca="1" si="0"/>
        <v>3</v>
      </c>
      <c r="G7" s="32" t="str">
        <f ca="1">IFERROR(__xludf.DUMMYFUNCTION("if($F7&gt;=1,QUERY(Loot!$A$2:$G$904,""Select G where A = '""&amp; $E7 &amp;""' AND D &gt;= ""&amp; Q7  &amp;"" LIMIT 1""),)"),"Shield, light wooden")</f>
        <v>Shield, light wooden</v>
      </c>
      <c r="H7" s="61"/>
      <c r="I7" s="32" t="str">
        <f ca="1">IFERROR(__xludf.DUMMYFUNCTION("if($F7&gt;=2,QUERY(Loot!$A$2:$G$904,""Select G where A = '""&amp; $E7 &amp;""' AND D &gt;= ""&amp; R7 &amp;"" LIMIT 1""),)"),"Shield, light wooden")</f>
        <v>Shield, light wooden</v>
      </c>
      <c r="J7" s="61"/>
      <c r="K7" s="32" t="str">
        <f ca="1">IFERROR(__xludf.DUMMYFUNCTION("if($F7&gt;=3,QUERY(Loot!$A$2:$G$904,""Select G where A = '""&amp; $E7 &amp;""' AND D &gt;= ""&amp; S7  &amp;"" LIMIT 1""),)"),"Shield, light wooden")</f>
        <v>Shield, light wooden</v>
      </c>
      <c r="L7" s="61"/>
      <c r="M7" s="32" t="str">
        <f ca="1">IFERROR(__xludf.DUMMYFUNCTION("if($F7&gt;=4,QUERY(Loot!$A$2:$G$904,""Select G where A = '""&amp; $E7 &amp;""' AND D &gt;= ""&amp;T7 &amp;"" LIMIT 1""),)"),"")</f>
        <v/>
      </c>
      <c r="N7" s="61"/>
      <c r="O7" s="32" t="str">
        <f ca="1">IFERROR(__xludf.DUMMYFUNCTION("if($F7&gt;=5,QUERY(Loot!$A$2:$G$904,""Select G where A = '""&amp; $E7 &amp;""' AND D &gt;= ""&amp; U7 &amp;"" LIMIT 1""),)"),"")</f>
        <v/>
      </c>
      <c r="P7" s="61"/>
      <c r="Q7" s="62">
        <v>0.45944034277579404</v>
      </c>
      <c r="R7" s="63">
        <v>0.33346474763869782</v>
      </c>
      <c r="S7" s="63">
        <v>0.43929433001388085</v>
      </c>
      <c r="T7" s="63">
        <v>0.36013600992408457</v>
      </c>
      <c r="U7" s="63">
        <v>0.34499920100333792</v>
      </c>
    </row>
    <row r="8" spans="1:32" ht="15.75" customHeight="1">
      <c r="A8" s="5">
        <f t="shared" ca="1" si="1"/>
        <v>7</v>
      </c>
      <c r="B8" s="5">
        <f ca="1">IFERROR(__xludf.DUMMYFUNCTION("if(ISBLANK(C8),,QUERY(MD!$A$2:$D$1000,""Select A where C = '""&amp; C8 &amp;""'""))"),48)</f>
        <v>48</v>
      </c>
      <c r="C8" s="5" t="s">
        <v>199</v>
      </c>
      <c r="D8" s="5">
        <f ca="1">IFERROR(__xludf.DUMMYFUNCTION("if(ISBLANK(C8),,QUERY(MD!$A$2:$D$1000,""Select D where C = '""&amp; C8 &amp;""'""))"),200)</f>
        <v>200</v>
      </c>
      <c r="E8" s="59" t="str">
        <f ca="1">IFERROR(__xludf.DUMMYFUNCTION("if(ISBLANK(C8),,QUERY(MD!$A$2:$D$1000,""Select B where C = '""&amp; C8 &amp;""'""))"),"1")</f>
        <v>1</v>
      </c>
      <c r="F8" s="5">
        <f t="shared" ca="1" si="0"/>
        <v>1</v>
      </c>
      <c r="G8" s="32" t="str">
        <f ca="1">IFERROR(__xludf.DUMMYFUNCTION("if($F8&gt;=1,QUERY(Loot!$A$2:$G$904,""Select G where A = '""&amp; $E8 &amp;""' AND D &gt;= ""&amp; Q8  &amp;"" LIMIT 1""),)"),"Jug, clay")</f>
        <v>Jug, clay</v>
      </c>
      <c r="H8" s="61">
        <v>1</v>
      </c>
      <c r="I8" s="32" t="str">
        <f ca="1">IFERROR(__xludf.DUMMYFUNCTION("if($F8&gt;=2,QUERY(Loot!$A$2:$G$904,""Select G where A = '""&amp; $E8 &amp;""' AND D &gt;= ""&amp; R8 &amp;"" LIMIT 1""),)"),"")</f>
        <v/>
      </c>
      <c r="J8" s="61"/>
      <c r="K8" s="32" t="str">
        <f ca="1">IFERROR(__xludf.DUMMYFUNCTION("if($F8&gt;=3,QUERY(Loot!$A$2:$G$904,""Select G where A = '""&amp; $E8 &amp;""' AND D &gt;= ""&amp; S8  &amp;"" LIMIT 1""),)"),"")</f>
        <v/>
      </c>
      <c r="L8" s="61"/>
      <c r="M8" s="32" t="str">
        <f ca="1">IFERROR(__xludf.DUMMYFUNCTION("if($F8&gt;=4,QUERY(Loot!$A$2:$G$904,""Select G where A = '""&amp; $E8 &amp;""' AND D &gt;= ""&amp;T8 &amp;"" LIMIT 1""),)"),"")</f>
        <v/>
      </c>
      <c r="N8" s="61"/>
      <c r="O8" s="32" t="str">
        <f ca="1">IFERROR(__xludf.DUMMYFUNCTION("if($F8&gt;=5,QUERY(Loot!$A$2:$G$904,""Select G where A = '""&amp; $E8 &amp;""' AND D &gt;= ""&amp; U8 &amp;"" LIMIT 1""),)"),"")</f>
        <v/>
      </c>
      <c r="P8" s="61"/>
      <c r="Q8" s="62">
        <v>0.57348206562186166</v>
      </c>
      <c r="R8" s="63">
        <v>4.5300518545018043E-2</v>
      </c>
      <c r="S8" s="63">
        <v>0.63459672273962886</v>
      </c>
      <c r="T8" s="63">
        <v>0.62706128804419603</v>
      </c>
      <c r="U8" s="63">
        <v>0.92581769074228792</v>
      </c>
    </row>
    <row r="9" spans="1:32" ht="15.75" customHeight="1">
      <c r="A9" s="5">
        <f t="shared" ca="1" si="1"/>
        <v>8</v>
      </c>
      <c r="B9" s="5">
        <f ca="1">IFERROR(__xludf.DUMMYFUNCTION("if(ISBLANK(C9),,QUERY(MD!$A$2:$D$1000,""Select A where C = '""&amp; C9 &amp;""'""))"),151)</f>
        <v>151</v>
      </c>
      <c r="C9" s="5" t="s">
        <v>34</v>
      </c>
      <c r="D9" s="16">
        <f ca="1">IFERROR(__xludf.DUMMYFUNCTION("if(ISBLANK(C9),,QUERY(MD!$A$2:$D$1000,""Select D where C = '""&amp; C9 &amp;""'""))"),25)</f>
        <v>25</v>
      </c>
      <c r="E9" s="59" t="str">
        <f ca="1">IFERROR(__xludf.DUMMYFUNCTION("if(ISBLANK(C9),,QUERY(MD!$A$2:$D$1000,""Select B where C = '""&amp; C9 &amp;""'""))"),"1/8")</f>
        <v>1/8</v>
      </c>
      <c r="F9" s="5">
        <f t="shared" ca="1" si="0"/>
        <v>3</v>
      </c>
      <c r="G9" s="32" t="str">
        <f ca="1">IFERROR(__xludf.DUMMYFUNCTION("if($F9&gt;=1,QUERY(Loot!$A$2:$G$904,""Select G where A = '""&amp; $E9 &amp;""' AND D &gt;= ""&amp; Q9  &amp;"" LIMIT 1""),)"),"#N/A")</f>
        <v>#N/A</v>
      </c>
      <c r="H9" s="61">
        <v>2</v>
      </c>
      <c r="I9" s="32" t="str">
        <f ca="1">IFERROR(__xludf.DUMMYFUNCTION("if($F9&gt;=2,QUERY(Loot!$A$2:$G$904,""Select G where A = '""&amp; $E9 &amp;""' AND D &gt;= ""&amp; R9 &amp;"" LIMIT 1""),)"),"#N/A")</f>
        <v>#N/A</v>
      </c>
      <c r="J9" s="61">
        <v>1</v>
      </c>
      <c r="K9" s="32" t="str">
        <f ca="1">IFERROR(__xludf.DUMMYFUNCTION("if($F9&gt;=3,QUERY(Loot!$A$2:$G$904,""Select G where A = '""&amp; $E9 &amp;""' AND D &gt;= ""&amp; S9  &amp;"" LIMIT 1""),)"),"#N/A")</f>
        <v>#N/A</v>
      </c>
      <c r="L9" s="61">
        <v>1</v>
      </c>
      <c r="M9" s="32" t="str">
        <f ca="1">IFERROR(__xludf.DUMMYFUNCTION("if($F9&gt;=4,QUERY(Loot!$A$2:$G$904,""Select G where A = '""&amp; $E9 &amp;""' AND D &gt;= ""&amp;T9 &amp;"" LIMIT 1""),)"),"")</f>
        <v/>
      </c>
      <c r="N9" s="61"/>
      <c r="O9" s="32" t="str">
        <f ca="1">IFERROR(__xludf.DUMMYFUNCTION("if($F9&gt;=5,QUERY(Loot!$A$2:$G$904,""Select G where A = '""&amp; $E9 &amp;""' AND D &gt;= ""&amp; U9 &amp;"" LIMIT 1""),)"),"")</f>
        <v/>
      </c>
      <c r="P9" s="61"/>
      <c r="Q9" s="62">
        <v>0.22611459821186397</v>
      </c>
      <c r="R9" s="63">
        <v>0.14785354114973048</v>
      </c>
      <c r="S9" s="63">
        <v>0.5255988670123628</v>
      </c>
      <c r="T9" s="63">
        <v>0.53688490737989913</v>
      </c>
      <c r="U9" s="63">
        <v>0.81590626296007251</v>
      </c>
    </row>
    <row r="10" spans="1:32" ht="15.75" customHeight="1">
      <c r="A10" s="5">
        <f t="shared" ca="1" si="1"/>
        <v>9</v>
      </c>
      <c r="B10" s="5">
        <f ca="1">IFERROR(__xludf.DUMMYFUNCTION("if(ISBLANK(C10),,QUERY(MD!$A$2:$D$1000,""Select A where C = '""&amp; C10 &amp;""'""))"),52)</f>
        <v>52</v>
      </c>
      <c r="C10" s="5" t="s">
        <v>207</v>
      </c>
      <c r="D10" s="5">
        <f ca="1">IFERROR(__xludf.DUMMYFUNCTION("if(ISBLANK(C10),,QUERY(MD!$A$2:$D$1000,""Select D where C = '""&amp; C10 &amp;""'""))"),200)</f>
        <v>200</v>
      </c>
      <c r="E10" s="59" t="str">
        <f ca="1">IFERROR(__xludf.DUMMYFUNCTION("if(ISBLANK(C10),,QUERY(MD!$A$2:$D$1000,""Select B where C = '""&amp; C10 &amp;""'""))"),"1")</f>
        <v>1</v>
      </c>
      <c r="F10" s="5">
        <f t="shared" ca="1" si="0"/>
        <v>1</v>
      </c>
      <c r="G10" s="32" t="str">
        <f ca="1">IFERROR(__xludf.DUMMYFUNCTION("if($F10&gt;=1,QUERY(Loot!$A$2:$G$904,""Select G where A = '""&amp; $E10 &amp;""' AND D &gt;= ""&amp; Q10  &amp;"" LIMIT 1""),)"),"Dart")</f>
        <v>Dart</v>
      </c>
      <c r="H10" s="61"/>
      <c r="I10" s="32" t="str">
        <f ca="1">IFERROR(__xludf.DUMMYFUNCTION("if($F10&gt;=2,QUERY(Loot!$A$2:$G$904,""Select G where A = '""&amp; $E10 &amp;""' AND D &gt;= ""&amp; R10 &amp;"" LIMIT 1""),)"),"")</f>
        <v/>
      </c>
      <c r="J10" s="61"/>
      <c r="K10" s="32" t="str">
        <f ca="1">IFERROR(__xludf.DUMMYFUNCTION("if($F10&gt;=3,QUERY(Loot!$A$2:$G$904,""Select G where A = '""&amp; $E10 &amp;""' AND D &gt;= ""&amp; S10  &amp;"" LIMIT 1""),)"),"")</f>
        <v/>
      </c>
      <c r="L10" s="61"/>
      <c r="M10" s="32" t="str">
        <f ca="1">IFERROR(__xludf.DUMMYFUNCTION("if($F10&gt;=4,QUERY(Loot!$A$2:$G$904,""Select G where A = '""&amp; $E10 &amp;""' AND D &gt;= ""&amp;T10 &amp;"" LIMIT 1""),)"),"")</f>
        <v/>
      </c>
      <c r="N10" s="61"/>
      <c r="O10" s="32" t="str">
        <f ca="1">IFERROR(__xludf.DUMMYFUNCTION("if($F10&gt;=5,QUERY(Loot!$A$2:$G$904,""Select G where A = '""&amp; $E10 &amp;""' AND D &gt;= ""&amp; U10 &amp;"" LIMIT 1""),)"),"")</f>
        <v/>
      </c>
      <c r="P10" s="61"/>
      <c r="Q10" s="62">
        <v>0.84177346756904314</v>
      </c>
      <c r="R10" s="63">
        <v>0.15000288532171602</v>
      </c>
      <c r="S10" s="63">
        <v>0.85137994622704527</v>
      </c>
      <c r="T10" s="63">
        <v>0.59220013191940346</v>
      </c>
      <c r="U10" s="63">
        <v>0.28692200958214764</v>
      </c>
    </row>
    <row r="11" spans="1:32" ht="15.75" customHeight="1">
      <c r="A11" s="5">
        <f t="shared" ca="1" si="1"/>
        <v>10</v>
      </c>
      <c r="B11" s="5">
        <f ca="1">IFERROR(__xludf.DUMMYFUNCTION("if(ISBLANK(C11),,QUERY(MD!$A$2:$D$1000,""Select A where C = '""&amp; C11 &amp;""'""))"),53)</f>
        <v>53</v>
      </c>
      <c r="C11" s="5" t="s">
        <v>208</v>
      </c>
      <c r="D11" s="5">
        <f ca="1">IFERROR(__xludf.DUMMYFUNCTION("if(ISBLANK(C11),,QUERY(MD!$A$2:$D$1000,""Select D where C = '""&amp; C11 &amp;""'""))"),200)</f>
        <v>200</v>
      </c>
      <c r="E11" s="59" t="str">
        <f ca="1">IFERROR(__xludf.DUMMYFUNCTION("if(ISBLANK(C11),,QUERY(MD!$A$2:$D$1000,""Select B where C = '""&amp; C11 &amp;""'""))"),"1")</f>
        <v>1</v>
      </c>
      <c r="F11" s="5">
        <f t="shared" ca="1" si="0"/>
        <v>3</v>
      </c>
      <c r="G11" s="32" t="str">
        <f ca="1">IFERROR(__xludf.DUMMYFUNCTION("if($F11&gt;=1,QUERY(Loot!$A$2:$G$904,""Select G where A = '""&amp; $E11 &amp;""' AND D &gt;= ""&amp; Q11  &amp;"" LIMIT 1""),)"),"Jug, clay")</f>
        <v>Jug, clay</v>
      </c>
      <c r="H11" s="61"/>
      <c r="I11" s="32" t="str">
        <f ca="1">IFERROR(__xludf.DUMMYFUNCTION("if($F11&gt;=2,QUERY(Loot!$A$2:$G$904,""Select G where A = '""&amp; $E11 &amp;""' AND D &gt;= ""&amp; R11 &amp;"" LIMIT 1""),)"),"Dart")</f>
        <v>Dart</v>
      </c>
      <c r="J11" s="61"/>
      <c r="K11" s="32" t="str">
        <f ca="1">IFERROR(__xludf.DUMMYFUNCTION("if($F11&gt;=3,QUERY(Loot!$A$2:$G$904,""Select G where A = '""&amp; $E11 &amp;""' AND D &gt;= ""&amp; S11  &amp;"" LIMIT 1""),)"),"Pick, light")</f>
        <v>Pick, light</v>
      </c>
      <c r="L11" s="61"/>
      <c r="M11" s="32" t="str">
        <f ca="1">IFERROR(__xludf.DUMMYFUNCTION("if($F11&gt;=4,QUERY(Loot!$A$2:$G$904,""Select G where A = '""&amp; $E11 &amp;""' AND D &gt;= ""&amp;T11 &amp;"" LIMIT 1""),)"),"")</f>
        <v/>
      </c>
      <c r="N11" s="61"/>
      <c r="O11" s="32" t="str">
        <f ca="1">IFERROR(__xludf.DUMMYFUNCTION("if($F11&gt;=5,QUERY(Loot!$A$2:$G$904,""Select G where A = '""&amp; $E11 &amp;""' AND D &gt;= ""&amp; U11 &amp;"" LIMIT 1""),)"),"")</f>
        <v/>
      </c>
      <c r="P11" s="61"/>
      <c r="Q11" s="62">
        <v>0.50979423898442811</v>
      </c>
      <c r="R11" s="63">
        <v>0.78023815682049047</v>
      </c>
      <c r="S11" s="63">
        <v>9.8323901918170975E-2</v>
      </c>
      <c r="T11" s="63">
        <v>6.0028736763380053E-2</v>
      </c>
      <c r="U11" s="63">
        <v>0.66059725186758655</v>
      </c>
    </row>
    <row r="12" spans="1:32" ht="15.75" customHeight="1">
      <c r="A12" s="5">
        <f t="shared" ca="1" si="1"/>
        <v>11</v>
      </c>
      <c r="B12" s="5">
        <f ca="1">IFERROR(__xludf.DUMMYFUNCTION("if(ISBLANK(C12),,QUERY(MD!$A$2:$D$1000,""Select A where C = '""&amp; C12 &amp;""'""))"),54)</f>
        <v>54</v>
      </c>
      <c r="C12" s="5" t="s">
        <v>210</v>
      </c>
      <c r="D12" s="5">
        <f ca="1">IFERROR(__xludf.DUMMYFUNCTION("if(ISBLANK(C12),,QUERY(MD!$A$2:$D$1000,""Select D where C = '""&amp; C12 &amp;""'""))"),200)</f>
        <v>200</v>
      </c>
      <c r="E12" s="59" t="str">
        <f ca="1">IFERROR(__xludf.DUMMYFUNCTION("if(ISBLANK(C12),,QUERY(MD!$A$2:$D$1000,""Select B where C = '""&amp; C12 &amp;""'""))"),"1")</f>
        <v>1</v>
      </c>
      <c r="F12" s="5">
        <f t="shared" ca="1" si="0"/>
        <v>1</v>
      </c>
      <c r="G12" s="32" t="str">
        <f ca="1">IFERROR(__xludf.DUMMYFUNCTION("if($F12&gt;=1,QUERY(Loot!$A$2:$G$904,""Select G where A = '""&amp; $E12 &amp;""' AND D &gt;= ""&amp; Q12  &amp;"" LIMIT 1""),)"),"Jug, clay")</f>
        <v>Jug, clay</v>
      </c>
      <c r="H12" s="61">
        <v>4</v>
      </c>
      <c r="I12" s="32" t="str">
        <f ca="1">IFERROR(__xludf.DUMMYFUNCTION("if($F12&gt;=2,QUERY(Loot!$A$2:$G$904,""Select G where A = '""&amp; $E12 &amp;""' AND D &gt;= ""&amp; R12 &amp;"" LIMIT 1""),)"),"")</f>
        <v/>
      </c>
      <c r="J12" s="61"/>
      <c r="K12" s="32" t="str">
        <f ca="1">IFERROR(__xludf.DUMMYFUNCTION("if($F12&gt;=3,QUERY(Loot!$A$2:$G$904,""Select G where A = '""&amp; $E12 &amp;""' AND D &gt;= ""&amp; S12  &amp;"" LIMIT 1""),)"),"")</f>
        <v/>
      </c>
      <c r="L12" s="61"/>
      <c r="M12" s="32" t="str">
        <f ca="1">IFERROR(__xludf.DUMMYFUNCTION("if($F12&gt;=4,QUERY(Loot!$A$2:$G$904,""Select G where A = '""&amp; $E12 &amp;""' AND D &gt;= ""&amp;T12 &amp;"" LIMIT 1""),)"),"")</f>
        <v/>
      </c>
      <c r="N12" s="61"/>
      <c r="O12" s="32" t="str">
        <f ca="1">IFERROR(__xludf.DUMMYFUNCTION("if($F12&gt;=5,QUERY(Loot!$A$2:$G$904,""Select G where A = '""&amp; $E12 &amp;""' AND D &gt;= ""&amp; U12 &amp;"" LIMIT 1""),)"),"")</f>
        <v/>
      </c>
      <c r="P12" s="61"/>
      <c r="Q12" s="62">
        <v>0.6290426438150245</v>
      </c>
      <c r="R12" s="63">
        <v>0.55628457552512478</v>
      </c>
      <c r="S12" s="63">
        <v>0.90327382520337718</v>
      </c>
      <c r="T12" s="63">
        <v>0.40752915725208472</v>
      </c>
      <c r="U12" s="63">
        <v>0.89885909061144553</v>
      </c>
    </row>
    <row r="13" spans="1:32" ht="15.75" customHeight="1">
      <c r="A13" s="5">
        <f t="shared" ca="1" si="1"/>
        <v>12</v>
      </c>
      <c r="B13" s="5">
        <f ca="1">IFERROR(__xludf.DUMMYFUNCTION("if(ISBLANK(C13),,QUERY(MD!$A$2:$D$1000,""Select A where C = '""&amp; C13 &amp;""'""))"),55)</f>
        <v>55</v>
      </c>
      <c r="C13" s="5" t="s">
        <v>212</v>
      </c>
      <c r="D13" s="5">
        <f ca="1">IFERROR(__xludf.DUMMYFUNCTION("if(ISBLANK(C13),,QUERY(MD!$A$2:$D$1000,""Select D where C = '""&amp; C13 &amp;""'""))"),200)</f>
        <v>200</v>
      </c>
      <c r="E13" s="59" t="str">
        <f ca="1">IFERROR(__xludf.DUMMYFUNCTION("if(ISBLANK(C13),,QUERY(MD!$A$2:$D$1000,""Select B where C = '""&amp; C13 &amp;""'""))"),"1")</f>
        <v>1</v>
      </c>
      <c r="F13" s="5">
        <f t="shared" ca="1" si="0"/>
        <v>3</v>
      </c>
      <c r="G13" s="32" t="str">
        <f ca="1">IFERROR(__xludf.DUMMYFUNCTION("if($F13&gt;=1,QUERY(Loot!$A$2:$G$904,""Select G where A = '""&amp; $E13 &amp;""' AND D &gt;= ""&amp; Q13  &amp;"" LIMIT 1""),)"),"Dart")</f>
        <v>Dart</v>
      </c>
      <c r="H13" s="61"/>
      <c r="I13" s="32" t="str">
        <f ca="1">IFERROR(__xludf.DUMMYFUNCTION("if($F13&gt;=2,QUERY(Loot!$A$2:$G$904,""Select G where A = '""&amp; $E13 &amp;""' AND D &gt;= ""&amp; R13 &amp;"" LIMIT 1""),)"),"Pick, light")</f>
        <v>Pick, light</v>
      </c>
      <c r="J13" s="61"/>
      <c r="K13" s="32" t="str">
        <f ca="1">IFERROR(__xludf.DUMMYFUNCTION("if($F13&gt;=3,QUERY(Loot!$A$2:$G$904,""Select G where A = '""&amp; $E13 &amp;""' AND D &gt;= ""&amp; S13  &amp;"" LIMIT 1""),)"),"Jug, clay")</f>
        <v>Jug, clay</v>
      </c>
      <c r="L13" s="61"/>
      <c r="M13" s="32" t="str">
        <f ca="1">IFERROR(__xludf.DUMMYFUNCTION("if($F13&gt;=4,QUERY(Loot!$A$2:$G$904,""Select G where A = '""&amp; $E13 &amp;""' AND D &gt;= ""&amp;T13 &amp;"" LIMIT 1""),)"),"")</f>
        <v/>
      </c>
      <c r="N13" s="61"/>
      <c r="O13" s="32" t="str">
        <f ca="1">IFERROR(__xludf.DUMMYFUNCTION("if($F13&gt;=5,QUERY(Loot!$A$2:$G$904,""Select G where A = '""&amp; $E13 &amp;""' AND D &gt;= ""&amp; U13 &amp;"" LIMIT 1""),)"),"")</f>
        <v/>
      </c>
      <c r="P13" s="61"/>
      <c r="Q13" s="62">
        <v>0.79886181509955756</v>
      </c>
      <c r="R13" s="63">
        <v>0.12844634145008937</v>
      </c>
      <c r="S13" s="63">
        <v>0.5035583288148292</v>
      </c>
      <c r="T13" s="63">
        <v>0.3866008298329382</v>
      </c>
      <c r="U13" s="63">
        <v>0.31529208334068659</v>
      </c>
    </row>
    <row r="14" spans="1:32" ht="15.75" customHeight="1">
      <c r="A14" s="5">
        <f t="shared" ca="1" si="1"/>
        <v>13</v>
      </c>
      <c r="B14" s="5">
        <f ca="1">IFERROR(__xludf.DUMMYFUNCTION("if(ISBLANK(C14),,QUERY(MD!$A$2:$D$1000,""Select A where C = '""&amp; C14 &amp;""'""))"),56)</f>
        <v>56</v>
      </c>
      <c r="C14" s="5" t="s">
        <v>213</v>
      </c>
      <c r="D14" s="5">
        <f ca="1">IFERROR(__xludf.DUMMYFUNCTION("if(ISBLANK(C14),,QUERY(MD!$A$2:$D$1000,""Select D where C = '""&amp; C14 &amp;""'""))"),200)</f>
        <v>200</v>
      </c>
      <c r="E14" s="59" t="str">
        <f ca="1">IFERROR(__xludf.DUMMYFUNCTION("if(ISBLANK(C14),,QUERY(MD!$A$2:$D$1000,""Select B where C = '""&amp; C14 &amp;""'""))"),"1")</f>
        <v>1</v>
      </c>
      <c r="F14" s="5">
        <f t="shared" ca="1" si="0"/>
        <v>1</v>
      </c>
      <c r="G14" s="32" t="str">
        <f ca="1">IFERROR(__xludf.DUMMYFUNCTION("if($F14&gt;=1,QUERY(Loot!$A$2:$G$904,""Select G where A = '""&amp; $E14 &amp;""' AND D &gt;= ""&amp; Q14  &amp;"" LIMIT 1""),)"),"Jug, clay")</f>
        <v>Jug, clay</v>
      </c>
      <c r="H14" s="61"/>
      <c r="I14" s="32" t="str">
        <f ca="1">IFERROR(__xludf.DUMMYFUNCTION("if($F14&gt;=2,QUERY(Loot!$A$2:$G$904,""Select G where A = '""&amp; $E14 &amp;""' AND D &gt;= ""&amp; R14 &amp;"" LIMIT 1""),)"),"")</f>
        <v/>
      </c>
      <c r="J14" s="61"/>
      <c r="K14" s="32" t="str">
        <f ca="1">IFERROR(__xludf.DUMMYFUNCTION("if($F14&gt;=3,QUERY(Loot!$A$2:$G$904,""Select G where A = '""&amp; $E14 &amp;""' AND D &gt;= ""&amp; S14  &amp;"" LIMIT 1""),)"),"")</f>
        <v/>
      </c>
      <c r="L14" s="61"/>
      <c r="M14" s="32" t="str">
        <f ca="1">IFERROR(__xludf.DUMMYFUNCTION("if($F14&gt;=4,QUERY(Loot!$A$2:$G$904,""Select G where A = '""&amp; $E14 &amp;""' AND D &gt;= ""&amp;T14 &amp;"" LIMIT 1""),)"),"")</f>
        <v/>
      </c>
      <c r="N14" s="61"/>
      <c r="O14" s="32" t="str">
        <f ca="1">IFERROR(__xludf.DUMMYFUNCTION("if($F14&gt;=5,QUERY(Loot!$A$2:$G$904,""Select G where A = '""&amp; $E14 &amp;""' AND D &gt;= ""&amp; U14 &amp;"" LIMIT 1""),)"),"")</f>
        <v/>
      </c>
      <c r="P14" s="61"/>
      <c r="Q14" s="62">
        <v>0.62636874210312432</v>
      </c>
      <c r="R14" s="63">
        <v>0.74534034388133208</v>
      </c>
      <c r="S14" s="63">
        <v>1.6074761575460284E-2</v>
      </c>
      <c r="T14" s="63">
        <v>0.13680233201565961</v>
      </c>
      <c r="U14" s="63">
        <v>0.72619550120398768</v>
      </c>
    </row>
    <row r="15" spans="1:32" ht="15.75" customHeight="1">
      <c r="A15" s="5">
        <f t="shared" ca="1" si="1"/>
        <v>14</v>
      </c>
      <c r="B15" s="5">
        <f ca="1">IFERROR(__xludf.DUMMYFUNCTION("if(ISBLANK(C15),,QUERY(MD!$A$2:$D$1000,""Select A where C = '""&amp; C15 &amp;""'""))"),57)</f>
        <v>57</v>
      </c>
      <c r="C15" s="5" t="s">
        <v>214</v>
      </c>
      <c r="D15" s="5">
        <f ca="1">IFERROR(__xludf.DUMMYFUNCTION("if(ISBLANK(C15),,QUERY(MD!$A$2:$D$1000,""Select D where C = '""&amp; C15 &amp;""'""))"),200)</f>
        <v>200</v>
      </c>
      <c r="E15" s="59" t="str">
        <f ca="1">IFERROR(__xludf.DUMMYFUNCTION("if(ISBLANK(C15),,QUERY(MD!$A$2:$D$1000,""Select B where C = '""&amp; C15 &amp;""'""))"),"1")</f>
        <v>1</v>
      </c>
      <c r="F15" s="5">
        <f t="shared" ca="1" si="0"/>
        <v>3</v>
      </c>
      <c r="G15" s="32" t="str">
        <f ca="1">IFERROR(__xludf.DUMMYFUNCTION("if($F15&gt;=1,QUERY(Loot!$A$2:$G$904,""Select G where A = '""&amp; $E15 &amp;""' AND D &gt;= ""&amp; Q15  &amp;"" LIMIT 1""),)"),"Dart")</f>
        <v>Dart</v>
      </c>
      <c r="H15" s="61"/>
      <c r="I15" s="32" t="str">
        <f ca="1">IFERROR(__xludf.DUMMYFUNCTION("if($F15&gt;=2,QUERY(Loot!$A$2:$G$904,""Select G where A = '""&amp; $E15 &amp;""' AND D &gt;= ""&amp; R15 &amp;"" LIMIT 1""),)"),"Pick, light")</f>
        <v>Pick, light</v>
      </c>
      <c r="J15" s="61"/>
      <c r="K15" s="32" t="str">
        <f ca="1">IFERROR(__xludf.DUMMYFUNCTION("if($F15&gt;=3,QUERY(Loot!$A$2:$G$904,""Select G where A = '""&amp; $E15 &amp;""' AND D &gt;= ""&amp; S15  &amp;"" LIMIT 1""),)"),"Dart")</f>
        <v>Dart</v>
      </c>
      <c r="L15" s="61"/>
      <c r="M15" s="32" t="str">
        <f ca="1">IFERROR(__xludf.DUMMYFUNCTION("if($F15&gt;=4,QUERY(Loot!$A$2:$G$904,""Select G where A = '""&amp; $E15 &amp;""' AND D &gt;= ""&amp;T15 &amp;"" LIMIT 1""),)"),"")</f>
        <v/>
      </c>
      <c r="N15" s="61"/>
      <c r="O15" s="32" t="str">
        <f ca="1">IFERROR(__xludf.DUMMYFUNCTION("if($F15&gt;=5,QUERY(Loot!$A$2:$G$904,""Select G where A = '""&amp; $E15 &amp;""' AND D &gt;= ""&amp; U15 &amp;"" LIMIT 1""),)"),"")</f>
        <v/>
      </c>
      <c r="P15" s="61"/>
      <c r="Q15" s="62">
        <v>0.91303969604603907</v>
      </c>
      <c r="R15" s="63">
        <v>0.12644511342090614</v>
      </c>
      <c r="S15" s="63">
        <v>0.82945769391303059</v>
      </c>
      <c r="T15" s="63">
        <v>0.93436028862448306</v>
      </c>
      <c r="U15" s="63">
        <v>9.5595587403205728E-2</v>
      </c>
    </row>
    <row r="16" spans="1:32" ht="15.75" customHeight="1">
      <c r="A16" s="5">
        <f t="shared" ca="1" si="1"/>
        <v>15</v>
      </c>
      <c r="B16" s="5">
        <f ca="1">IFERROR(__xludf.DUMMYFUNCTION("if(ISBLANK(C16),,QUERY(MD!A17:D1015,""Select A where C = '""&amp; C16 &amp;""'""))"),58)</f>
        <v>58</v>
      </c>
      <c r="C16" s="5" t="s">
        <v>215</v>
      </c>
      <c r="D16" s="5">
        <f ca="1">IFERROR(__xludf.DUMMYFUNCTION("if(ISBLANK(C16),,QUERY(MD!$A$2:$D$1000,""Select D where C = '""&amp; C16 &amp;""'""))"),200)</f>
        <v>200</v>
      </c>
      <c r="E16" s="59" t="str">
        <f ca="1">IFERROR(__xludf.DUMMYFUNCTION("if(ISBLANK(C16),,QUERY(MD!$A$2:$D$1000,""Select B where C = '""&amp; C16 &amp;""'""))"),"1")</f>
        <v>1</v>
      </c>
      <c r="F16" s="5">
        <f t="shared" ca="1" si="0"/>
        <v>1</v>
      </c>
      <c r="G16" s="32" t="str">
        <f ca="1">IFERROR(__xludf.DUMMYFUNCTION("if($F16&gt;=1,QUERY(Loot!$A$2:$G$904,""Select G where A = '""&amp; $E16 &amp;""' AND D &gt;= ""&amp; Q16  &amp;"" LIMIT 1""),)"),"Shield, light wooden")</f>
        <v>Shield, light wooden</v>
      </c>
      <c r="H16" s="61"/>
      <c r="I16" s="32" t="str">
        <f ca="1">IFERROR(__xludf.DUMMYFUNCTION("if($F16&gt;=2,QUERY(Loot!$A$2:$G$904,""Select G where A = '""&amp; $E16 &amp;""' AND D &gt;= ""&amp; R16 &amp;"" LIMIT 1""),)"),"")</f>
        <v/>
      </c>
      <c r="J16" s="61"/>
      <c r="K16" s="32" t="str">
        <f ca="1">IFERROR(__xludf.DUMMYFUNCTION("if($F16&gt;=3,QUERY(Loot!$A$2:$G$904,""Select G where A = '""&amp; $E16 &amp;""' AND D &gt;= ""&amp; S16  &amp;"" LIMIT 1""),)"),"")</f>
        <v/>
      </c>
      <c r="L16" s="61"/>
      <c r="M16" s="32" t="str">
        <f ca="1">IFERROR(__xludf.DUMMYFUNCTION("if($F16&gt;=4,QUERY(Loot!$A$2:$G$904,""Select G where A = '""&amp; $E16 &amp;""' AND D &gt;= ""&amp;T16 &amp;"" LIMIT 1""),)"),"")</f>
        <v/>
      </c>
      <c r="N16" s="61"/>
      <c r="O16" s="32" t="str">
        <f ca="1">IFERROR(__xludf.DUMMYFUNCTION("if($F16&gt;=5,QUERY(Loot!$A$2:$G$904,""Select G where A = '""&amp; $E16 &amp;""' AND D &gt;= ""&amp; U16 &amp;"" LIMIT 1""),)"),"")</f>
        <v/>
      </c>
      <c r="P16" s="61"/>
      <c r="Q16" s="62">
        <v>0.3098452623031962</v>
      </c>
      <c r="R16" s="63">
        <v>0.45430376089129232</v>
      </c>
      <c r="S16" s="63">
        <v>5.1257681649801157E-3</v>
      </c>
      <c r="T16" s="63">
        <v>0.75031485325390612</v>
      </c>
      <c r="U16" s="63">
        <v>1.690283865267217E-2</v>
      </c>
    </row>
    <row r="17" spans="1:21" ht="15.75" customHeight="1">
      <c r="A17" s="5">
        <f t="shared" ca="1" si="1"/>
        <v>16</v>
      </c>
      <c r="B17" s="5">
        <f ca="1">IFERROR(__xludf.DUMMYFUNCTION("if(ISBLANK(C17),,QUERY(MD!A18:D1016,""Select A where C = '""&amp; C17 &amp;""'""))"),59)</f>
        <v>59</v>
      </c>
      <c r="C17" s="5" t="s">
        <v>216</v>
      </c>
      <c r="D17" s="5">
        <f ca="1">IFERROR(__xludf.DUMMYFUNCTION("if(ISBLANK(C17),,QUERY(MD!$A$2:$D$1000,""Select D where C = '""&amp; C17 &amp;""'""))"),200)</f>
        <v>200</v>
      </c>
      <c r="E17" s="59" t="str">
        <f ca="1">IFERROR(__xludf.DUMMYFUNCTION("if(ISBLANK(C17),,QUERY(MD!$A$2:$D$1000,""Select B where C = '""&amp; C17 &amp;""'""))"),"1")</f>
        <v>1</v>
      </c>
      <c r="F17" s="5">
        <f t="shared" ca="1" si="0"/>
        <v>3</v>
      </c>
      <c r="G17" s="32" t="str">
        <f ca="1">IFERROR(__xludf.DUMMYFUNCTION("if($F17&gt;=1,QUERY(Loot!$A$2:$G$904,""Select G where A = '""&amp; $E17 &amp;""' AND D &gt;= ""&amp; Q17  &amp;"" LIMIT 1""),)"),"Jug, clay")</f>
        <v>Jug, clay</v>
      </c>
      <c r="H17" s="61"/>
      <c r="I17" s="32" t="str">
        <f ca="1">IFERROR(__xludf.DUMMYFUNCTION("if($F17&gt;=2,QUERY(Loot!$A$2:$G$904,""Select G where A = '""&amp; $E17 &amp;""' AND D &gt;= ""&amp; R17 &amp;"" LIMIT 1""),)"),"Shield, light wooden")</f>
        <v>Shield, light wooden</v>
      </c>
      <c r="J17" s="61"/>
      <c r="K17" s="32" t="str">
        <f ca="1">IFERROR(__xludf.DUMMYFUNCTION("if($F17&gt;=3,QUERY(Loot!$A$2:$G$904,""Select G where A = '""&amp; $E17 &amp;""' AND D &gt;= ""&amp; S17  &amp;"" LIMIT 1""),)"),"Dart")</f>
        <v>Dart</v>
      </c>
      <c r="L17" s="61"/>
      <c r="M17" s="32" t="str">
        <f ca="1">IFERROR(__xludf.DUMMYFUNCTION("if($F17&gt;=4,QUERY(Loot!$A$2:$G$904,""Select G where A = '""&amp; $E17 &amp;""' AND D &gt;= ""&amp;T17 &amp;"" LIMIT 1""),)"),"")</f>
        <v/>
      </c>
      <c r="N17" s="61"/>
      <c r="O17" s="32" t="str">
        <f ca="1">IFERROR(__xludf.DUMMYFUNCTION("if($F17&gt;=5,QUERY(Loot!$A$2:$G$904,""Select G where A = '""&amp; $E17 &amp;""' AND D &gt;= ""&amp; U17 &amp;"" LIMIT 1""),)"),"")</f>
        <v/>
      </c>
      <c r="P17" s="61"/>
      <c r="Q17" s="62">
        <v>0.69114430419692319</v>
      </c>
      <c r="R17" s="63">
        <v>0.47341224748826272</v>
      </c>
      <c r="S17" s="63">
        <v>0.89823921129195117</v>
      </c>
      <c r="T17" s="63">
        <v>0.99330220142601799</v>
      </c>
      <c r="U17" s="63">
        <v>3.7242820538436971E-2</v>
      </c>
    </row>
    <row r="18" spans="1:21" ht="15.75" customHeight="1">
      <c r="A18" s="5">
        <f t="shared" ca="1" si="1"/>
        <v>17</v>
      </c>
      <c r="B18" s="5">
        <f ca="1">IFERROR(__xludf.DUMMYFUNCTION("if(ISBLANK(C18),,QUERY(MD!A19:D1017,""Select A where C = '""&amp; C18 &amp;""'""))"),60)</f>
        <v>60</v>
      </c>
      <c r="C18" s="5" t="s">
        <v>217</v>
      </c>
      <c r="D18" s="5">
        <f ca="1">IFERROR(__xludf.DUMMYFUNCTION("if(ISBLANK(C18),,QUERY(MD!$A$2:$D$1000,""Select D where C = '""&amp; C18 &amp;""'""))"),200)</f>
        <v>200</v>
      </c>
      <c r="E18" s="59" t="str">
        <f ca="1">IFERROR(__xludf.DUMMYFUNCTION("if(ISBLANK(C18),,QUERY(MD!$A$2:$D$1000,""Select B where C = '""&amp; C18 &amp;""'""))"),"1")</f>
        <v>1</v>
      </c>
      <c r="F18" s="5">
        <f t="shared" ca="1" si="0"/>
        <v>1</v>
      </c>
      <c r="G18" s="32" t="str">
        <f ca="1">IFERROR(__xludf.DUMMYFUNCTION("if($F18&gt;=1,QUERY(Loot!$A$2:$G$904,""Select G where A = '""&amp; $E18 &amp;""' AND D &gt;= ""&amp; Q18  &amp;"" LIMIT 1""),)"),"Dart")</f>
        <v>Dart</v>
      </c>
      <c r="H18" s="61"/>
      <c r="I18" s="32" t="str">
        <f ca="1">IFERROR(__xludf.DUMMYFUNCTION("if($F18&gt;=2,QUERY(Loot!$A$2:$G$904,""Select G where A = '""&amp; $E18 &amp;""' AND D &gt;= ""&amp; R18 &amp;"" LIMIT 1""),)"),"")</f>
        <v/>
      </c>
      <c r="J18" s="61"/>
      <c r="K18" s="32" t="str">
        <f ca="1">IFERROR(__xludf.DUMMYFUNCTION("if($F18&gt;=3,QUERY(Loot!$A$2:$G$904,""Select G where A = '""&amp; $E18 &amp;""' AND D &gt;= ""&amp; S18  &amp;"" LIMIT 1""),)"),"")</f>
        <v/>
      </c>
      <c r="L18" s="61"/>
      <c r="M18" s="32" t="str">
        <f ca="1">IFERROR(__xludf.DUMMYFUNCTION("if($F18&gt;=4,QUERY(Loot!$A$2:$G$904,""Select G where A = '""&amp; $E18 &amp;""' AND D &gt;= ""&amp;T18 &amp;"" LIMIT 1""),)"),"")</f>
        <v/>
      </c>
      <c r="N18" s="61"/>
      <c r="O18" s="32" t="str">
        <f ca="1">IFERROR(__xludf.DUMMYFUNCTION("if($F18&gt;=5,QUERY(Loot!$A$2:$G$904,""Select G where A = '""&amp; $E18 &amp;""' AND D &gt;= ""&amp; U18 &amp;"" LIMIT 1""),)"),"")</f>
        <v/>
      </c>
      <c r="P18" s="61"/>
      <c r="Q18" s="62">
        <v>0.85566754821201751</v>
      </c>
      <c r="R18" s="63">
        <v>0.38472419542990677</v>
      </c>
      <c r="S18" s="63">
        <v>0.60634024322793256</v>
      </c>
      <c r="T18" s="63">
        <v>0.69066915070242851</v>
      </c>
      <c r="U18" s="63">
        <v>0.14952088833861643</v>
      </c>
    </row>
    <row r="19" spans="1:21" ht="15.75" customHeight="1">
      <c r="A19" s="5">
        <f t="shared" ca="1" si="1"/>
        <v>18</v>
      </c>
      <c r="B19" s="5" t="str">
        <f ca="1">IFERROR(__xludf.DUMMYFUNCTION("if(ISBLANK(C19),,QUERY(MD!A20:D1018,""Select A where C = '""&amp; C19 &amp;""'""))"),"#N/A")</f>
        <v>#N/A</v>
      </c>
      <c r="C19" s="5" t="s">
        <v>28</v>
      </c>
      <c r="D19" s="16">
        <f ca="1">IFERROR(__xludf.DUMMYFUNCTION("if(ISBLANK(C19),,QUERY(MD!$A$2:$D$1000,""Select D where C = '""&amp; C19 &amp;""'""))"),25)</f>
        <v>25</v>
      </c>
      <c r="E19" s="59" t="str">
        <f ca="1">IFERROR(__xludf.DUMMYFUNCTION("if(ISBLANK(C19),,QUERY(MD!$A$2:$D$1000,""Select B where C = '""&amp; C19 &amp;""'""))"),"1/8")</f>
        <v>1/8</v>
      </c>
      <c r="F19" s="5">
        <f t="shared" ca="1" si="0"/>
        <v>4</v>
      </c>
      <c r="G19" s="32" t="str">
        <f ca="1">IFERROR(__xludf.DUMMYFUNCTION("if($F19&gt;=1,QUERY(Loot!$A$2:$G$904,""Select G where A = '""&amp; $E19 &amp;""' AND D &gt;= ""&amp; Q19  &amp;"" LIMIT 1""),)"),"#N/A")</f>
        <v>#N/A</v>
      </c>
      <c r="H19" s="61"/>
      <c r="I19" s="32" t="str">
        <f ca="1">IFERROR(__xludf.DUMMYFUNCTION("if($F19&gt;=2,QUERY(Loot!$A$2:$G$904,""Select G where A = '""&amp; $E19 &amp;""' AND D &gt;= ""&amp; R19 &amp;"" LIMIT 1""),)"),"#N/A")</f>
        <v>#N/A</v>
      </c>
      <c r="J19" s="61"/>
      <c r="K19" s="32" t="str">
        <f ca="1">IFERROR(__xludf.DUMMYFUNCTION("if($F19&gt;=3,QUERY(Loot!$A$2:$G$904,""Select G where A = '""&amp; $E19 &amp;""' AND D &gt;= ""&amp; S19  &amp;"" LIMIT 1""),)"),"#N/A")</f>
        <v>#N/A</v>
      </c>
      <c r="L19" s="61"/>
      <c r="M19" s="32" t="str">
        <f ca="1">IFERROR(__xludf.DUMMYFUNCTION("if($F19&gt;=4,QUERY(Loot!$A$2:$G$904,""Select G where A = '""&amp; $E19 &amp;""' AND D &gt;= ""&amp;T19 &amp;"" LIMIT 1""),)"),"#N/A")</f>
        <v>#N/A</v>
      </c>
      <c r="N19" s="61"/>
      <c r="O19" s="32" t="str">
        <f ca="1">IFERROR(__xludf.DUMMYFUNCTION("if($F19&gt;=5,QUERY(Loot!$A$2:$G$904,""Select G where A = '""&amp; $E19 &amp;""' AND D &gt;= ""&amp; U19 &amp;"" LIMIT 1""),)"),"")</f>
        <v/>
      </c>
      <c r="P19" s="61"/>
      <c r="Q19" s="62">
        <v>0.65377655192064654</v>
      </c>
      <c r="R19" s="63">
        <v>0.27048668168465373</v>
      </c>
      <c r="S19" s="63">
        <v>0.13011957395465612</v>
      </c>
      <c r="T19" s="63">
        <v>0.17480465363630948</v>
      </c>
      <c r="U19" s="63">
        <v>0.8535741004717724</v>
      </c>
    </row>
    <row r="20" spans="1:21" ht="15.75" customHeight="1">
      <c r="A20" s="5">
        <f t="shared" ca="1" si="1"/>
        <v>19</v>
      </c>
      <c r="B20" s="5">
        <f ca="1">IFERROR(__xludf.DUMMYFUNCTION("if(ISBLANK(C20),,QUERY(MD!A21:D1019,""Select A where C = '""&amp; C20 &amp;""'""))"),62)</f>
        <v>62</v>
      </c>
      <c r="C20" s="5" t="s">
        <v>219</v>
      </c>
      <c r="D20" s="5">
        <f ca="1">IFERROR(__xludf.DUMMYFUNCTION("if(ISBLANK(C20),,QUERY(MD!$A$2:$D$1000,""Select D where C = '""&amp; C20 &amp;""'""))"),200)</f>
        <v>200</v>
      </c>
      <c r="E20" s="59" t="str">
        <f ca="1">IFERROR(__xludf.DUMMYFUNCTION("if(ISBLANK(C20),,QUERY(MD!$A$2:$D$1000,""Select B where C = '""&amp; C20 &amp;""'""))"),"1")</f>
        <v>1</v>
      </c>
      <c r="F20" s="5">
        <f t="shared" ca="1" si="0"/>
        <v>2</v>
      </c>
      <c r="G20" s="32" t="str">
        <f ca="1">IFERROR(__xludf.DUMMYFUNCTION("if($F20&gt;=1,QUERY(Loot!$A$2:$G$904,""Select G where A = '""&amp; $E20 &amp;""' AND D &gt;= ""&amp; Q20  &amp;"" LIMIT 1""),)"),"Sling")</f>
        <v>Sling</v>
      </c>
      <c r="H20" s="61"/>
      <c r="I20" s="32" t="str">
        <f ca="1">IFERROR(__xludf.DUMMYFUNCTION("if($F20&gt;=2,QUERY(Loot!$A$2:$G$904,""Select G where A = '""&amp; $E20 &amp;""' AND D &gt;= ""&amp; R20 &amp;"" LIMIT 1""),)"),"Gauntlet, spiked")</f>
        <v>Gauntlet, spiked</v>
      </c>
      <c r="J20" s="61"/>
      <c r="K20" s="32" t="str">
        <f ca="1">IFERROR(__xludf.DUMMYFUNCTION("if($F20&gt;=3,QUERY(Loot!$A$2:$G$904,""Select G where A = '""&amp; $E20 &amp;""' AND D &gt;= ""&amp; S20  &amp;"" LIMIT 1""),)"),"")</f>
        <v/>
      </c>
      <c r="L20" s="61"/>
      <c r="M20" s="32" t="str">
        <f ca="1">IFERROR(__xludf.DUMMYFUNCTION("if($F20&gt;=4,QUERY(Loot!$A$2:$G$904,""Select G where A = '""&amp; $E20 &amp;""' AND D &gt;= ""&amp;T20 &amp;"" LIMIT 1""),)"),"")</f>
        <v/>
      </c>
      <c r="N20" s="61"/>
      <c r="O20" s="32" t="str">
        <f ca="1">IFERROR(__xludf.DUMMYFUNCTION("if($F20&gt;=5,QUERY(Loot!$A$2:$G$904,""Select G where A = '""&amp; $E20 &amp;""' AND D &gt;= ""&amp; U20 &amp;"" LIMIT 1""),)"),"")</f>
        <v/>
      </c>
      <c r="P20" s="61"/>
      <c r="Q20" s="62">
        <v>0.2358458203766155</v>
      </c>
      <c r="R20" s="63">
        <v>1.2942932387546513E-2</v>
      </c>
      <c r="S20" s="63">
        <v>2.6879408511441105E-2</v>
      </c>
      <c r="T20" s="63">
        <v>0.98257108583602182</v>
      </c>
      <c r="U20" s="63">
        <v>0.10554385454976722</v>
      </c>
    </row>
    <row r="21" spans="1:21" ht="15.75" customHeight="1">
      <c r="A21" s="5">
        <f t="shared" ca="1" si="1"/>
        <v>20</v>
      </c>
      <c r="B21" s="5">
        <f ca="1">IFERROR(__xludf.DUMMYFUNCTION("if(ISBLANK(C21),,QUERY(MD!A22:D1020,""Select A where C = '""&amp; C21 &amp;""'""))"),63)</f>
        <v>63</v>
      </c>
      <c r="C21" s="5" t="s">
        <v>220</v>
      </c>
      <c r="D21" s="5">
        <f ca="1">IFERROR(__xludf.DUMMYFUNCTION("if(ISBLANK(C21),,QUERY(MD!$A$2:$D$1000,""Select D where C = '""&amp; C21 &amp;""'""))"),200)</f>
        <v>200</v>
      </c>
      <c r="E21" s="59" t="str">
        <f ca="1">IFERROR(__xludf.DUMMYFUNCTION("if(ISBLANK(C21),,QUERY(MD!$A$2:$D$1000,""Select B where C = '""&amp; C21 &amp;""'""))"),"1")</f>
        <v>1</v>
      </c>
      <c r="F21" s="5">
        <f t="shared" ca="1" si="0"/>
        <v>4</v>
      </c>
      <c r="G21" s="32" t="str">
        <f ca="1">IFERROR(__xludf.DUMMYFUNCTION("if($F21&gt;=1,QUERY(Loot!$A$2:$G$904,""Select G where A = '""&amp; $E21 &amp;""' AND D &gt;= ""&amp; Q21  &amp;"" LIMIT 1""),)"),"Gauntlet, spiked")</f>
        <v>Gauntlet, spiked</v>
      </c>
      <c r="H21" s="61"/>
      <c r="I21" s="32" t="str">
        <f ca="1">IFERROR(__xludf.DUMMYFUNCTION("if($F21&gt;=2,QUERY(Loot!$A$2:$G$904,""Select G where A = '""&amp; $E21 &amp;""' AND D &gt;= ""&amp; R21 &amp;"" LIMIT 1""),)"),"Shield, light wooden")</f>
        <v>Shield, light wooden</v>
      </c>
      <c r="J21" s="61"/>
      <c r="K21" s="32" t="str">
        <f ca="1">IFERROR(__xludf.DUMMYFUNCTION("if($F21&gt;=3,QUERY(Loot!$A$2:$G$904,""Select G where A = '""&amp; $E21 &amp;""' AND D &gt;= ""&amp; S21  &amp;"" LIMIT 1""),)"),"Dart")</f>
        <v>Dart</v>
      </c>
      <c r="L21" s="61"/>
      <c r="M21" s="32" t="str">
        <f ca="1">IFERROR(__xludf.DUMMYFUNCTION("if($F21&gt;=4,QUERY(Loot!$A$2:$G$904,""Select G where A = '""&amp; $E21 &amp;""' AND D &gt;= ""&amp;T21 &amp;"" LIMIT 1""),)"),"Jug, clay")</f>
        <v>Jug, clay</v>
      </c>
      <c r="N21" s="61"/>
      <c r="O21" s="32" t="str">
        <f ca="1">IFERROR(__xludf.DUMMYFUNCTION("if($F21&gt;=5,QUERY(Loot!$A$2:$G$904,""Select G where A = '""&amp; $E21 &amp;""' AND D &gt;= ""&amp; U21 &amp;"" LIMIT 1""),)"),"")</f>
        <v/>
      </c>
      <c r="P21" s="61"/>
      <c r="Q21" s="62">
        <v>4.6568977257917532E-2</v>
      </c>
      <c r="R21" s="63">
        <v>0.48553754127581039</v>
      </c>
      <c r="S21" s="63">
        <v>0.92147858659127335</v>
      </c>
      <c r="T21" s="63">
        <v>0.70419234642928108</v>
      </c>
      <c r="U21" s="63">
        <v>0.57960080940230252</v>
      </c>
    </row>
    <row r="22" spans="1:21" ht="15.75" customHeight="1">
      <c r="A22" s="5">
        <f t="shared" ca="1" si="1"/>
        <v>21</v>
      </c>
      <c r="B22" s="5">
        <f ca="1">IFERROR(__xludf.DUMMYFUNCTION("if(ISBLANK(C22),,QUERY(MD!A23:D1021,""Select A where C = '""&amp; C22 &amp;""'""))"),225)</f>
        <v>225</v>
      </c>
      <c r="C22" s="5" t="s">
        <v>234</v>
      </c>
      <c r="D22" s="5">
        <f ca="1">IFERROR(__xludf.DUMMYFUNCTION("if(ISBLANK(C22),,QUERY(MD!$A$2:$D$1000,""Select D where C = '""&amp; C22 &amp;""'""))"),450)</f>
        <v>450</v>
      </c>
      <c r="E22" s="59" t="str">
        <f ca="1">IFERROR(__xludf.DUMMYFUNCTION("if(ISBLANK(C22),,QUERY(MD!$A$2:$D$1000,""Select B where C = '""&amp; C22 &amp;""'""))"),"2")</f>
        <v>2</v>
      </c>
      <c r="F22" s="5">
        <f t="shared" ca="1" si="0"/>
        <v>2</v>
      </c>
      <c r="G22" s="32" t="str">
        <f ca="1">IFERROR(__xludf.DUMMYFUNCTION("if($F22&gt;=1,QUERY(Loot!$A$2:$G$904,""Select G where A = '""&amp; $E22 &amp;""' AND D &gt;= ""&amp; Q22  &amp;"" LIMIT 1""),)"),"Greatclub")</f>
        <v>Greatclub</v>
      </c>
      <c r="H22" s="61"/>
      <c r="I22" s="32" t="str">
        <f ca="1">IFERROR(__xludf.DUMMYFUNCTION("if($F22&gt;=2,QUERY(Loot!$A$2:$G$904,""Select G where A = '""&amp; $E22 &amp;""' AND D &gt;= ""&amp; R22 &amp;"" LIMIT 1""),)"),"Greatclub")</f>
        <v>Greatclub</v>
      </c>
      <c r="J22" s="61"/>
      <c r="K22" s="32" t="str">
        <f ca="1">IFERROR(__xludf.DUMMYFUNCTION("if($F22&gt;=3,QUERY(Loot!$A$2:$G$904,""Select G where A = '""&amp; $E22 &amp;""' AND D &gt;= ""&amp; S22  &amp;"" LIMIT 1""),)"),"")</f>
        <v/>
      </c>
      <c r="L22" s="61"/>
      <c r="M22" s="32" t="str">
        <f ca="1">IFERROR(__xludf.DUMMYFUNCTION("if($F22&gt;=4,QUERY(Loot!$A$2:$G$904,""Select G where A = '""&amp; $E22 &amp;""' AND D &gt;= ""&amp;T22 &amp;"" LIMIT 1""),)"),"")</f>
        <v/>
      </c>
      <c r="N22" s="61"/>
      <c r="O22" s="32" t="str">
        <f ca="1">IFERROR(__xludf.DUMMYFUNCTION("if($F22&gt;=5,QUERY(Loot!$A$2:$G$904,""Select G where A = '""&amp; $E22 &amp;""' AND D &gt;= ""&amp; U22 &amp;"" LIMIT 1""),)"),"")</f>
        <v/>
      </c>
      <c r="P22" s="61"/>
      <c r="Q22" s="62">
        <v>0.48330946276471243</v>
      </c>
      <c r="R22" s="63">
        <v>0.51964678314368995</v>
      </c>
      <c r="S22" s="63">
        <v>0.32450529482182633</v>
      </c>
      <c r="T22" s="63">
        <v>0.27851259848827259</v>
      </c>
      <c r="U22" s="63">
        <v>0.58118278805313461</v>
      </c>
    </row>
    <row r="23" spans="1:21" ht="15.75" customHeight="1">
      <c r="A23" s="5">
        <f t="shared" ca="1" si="1"/>
        <v>22</v>
      </c>
      <c r="B23" s="5">
        <f ca="1">IFERROR(__xludf.DUMMYFUNCTION("if(ISBLANK(C23),,QUERY(MD!A24:D1022,""Select A where C = '""&amp; C23 &amp;""'""))"),226)</f>
        <v>226</v>
      </c>
      <c r="C23" s="5" t="s">
        <v>235</v>
      </c>
      <c r="D23" s="5">
        <f ca="1">IFERROR(__xludf.DUMMYFUNCTION("if(ISBLANK(C23),,QUERY(MD!$A$2:$D$1000,""Select D where C = '""&amp; C23 &amp;""'""))"),450)</f>
        <v>450</v>
      </c>
      <c r="E23" s="59" t="str">
        <f ca="1">IFERROR(__xludf.DUMMYFUNCTION("if(ISBLANK(C23),,QUERY(MD!$A$2:$D$1000,""Select B where C = '""&amp; C23 &amp;""'""))"),"2")</f>
        <v>2</v>
      </c>
      <c r="F23" s="5">
        <f t="shared" ca="1" si="0"/>
        <v>4</v>
      </c>
      <c r="G23" s="32" t="str">
        <f ca="1">IFERROR(__xludf.DUMMYFUNCTION("if($F23&gt;=1,QUERY(Loot!$A$2:$G$904,""Select G where A = '""&amp; $E23 &amp;""' AND D &gt;= ""&amp; Q23  &amp;"" LIMIT 1""),)"),"Greatclub")</f>
        <v>Greatclub</v>
      </c>
      <c r="H23" s="61"/>
      <c r="I23" s="32" t="str">
        <f ca="1">IFERROR(__xludf.DUMMYFUNCTION("if($F23&gt;=2,QUERY(Loot!$A$2:$G$904,""Select G where A = '""&amp; $E23 &amp;""' AND D &gt;= ""&amp; R23 &amp;"" LIMIT 1""),)"),"Lantern, hooded")</f>
        <v>Lantern, hooded</v>
      </c>
      <c r="J23" s="61"/>
      <c r="K23" s="32" t="str">
        <f ca="1">IFERROR(__xludf.DUMMYFUNCTION("if($F23&gt;=3,QUERY(Loot!$A$2:$G$904,""Select G where A = '""&amp; $E23 &amp;""' AND D &gt;= ""&amp; S23  &amp;"" LIMIT 1""),)"),"Shield, light steel")</f>
        <v>Shield, light steel</v>
      </c>
      <c r="L23" s="61"/>
      <c r="M23" s="32" t="str">
        <f ca="1">IFERROR(__xludf.DUMMYFUNCTION("if($F23&gt;=4,QUERY(Loot!$A$2:$G$904,""Select G where A = '""&amp; $E23 &amp;""' AND D &gt;= ""&amp;T23 &amp;"" LIMIT 1""),)"),"Lantern, hooded")</f>
        <v>Lantern, hooded</v>
      </c>
      <c r="N23" s="61"/>
      <c r="O23" s="32" t="str">
        <f ca="1">IFERROR(__xludf.DUMMYFUNCTION("if($F23&gt;=5,QUERY(Loot!$A$2:$G$904,""Select G where A = '""&amp; $E23 &amp;""' AND D &gt;= ""&amp; U23 &amp;"" LIMIT 1""),)"),"")</f>
        <v/>
      </c>
      <c r="P23" s="61"/>
      <c r="Q23" s="62">
        <v>0.55352484096959842</v>
      </c>
      <c r="R23" s="63">
        <v>0.13105857076596494</v>
      </c>
      <c r="S23" s="63">
        <v>0.95392365488079967</v>
      </c>
      <c r="T23" s="63">
        <v>0.25104791110883806</v>
      </c>
      <c r="U23" s="63">
        <v>0.34488695249881385</v>
      </c>
    </row>
    <row r="24" spans="1:21" ht="15.75" customHeight="1">
      <c r="A24" s="5">
        <f t="shared" ca="1" si="1"/>
        <v>23</v>
      </c>
      <c r="B24" s="5">
        <f ca="1">IFERROR(__xludf.DUMMYFUNCTION("if(ISBLANK(C24),,QUERY(MD!A25:D1023,""Select A where C = '""&amp; C24 &amp;""'""))"),227)</f>
        <v>227</v>
      </c>
      <c r="C24" s="5" t="s">
        <v>238</v>
      </c>
      <c r="D24" s="5">
        <f ca="1">IFERROR(__xludf.DUMMYFUNCTION("if(ISBLANK(C24),,QUERY(MD!$A$2:$D$1000,""Select D where C = '""&amp; C24 &amp;""'""))"),450)</f>
        <v>450</v>
      </c>
      <c r="E24" s="59" t="str">
        <f ca="1">IFERROR(__xludf.DUMMYFUNCTION("if(ISBLANK(C24),,QUERY(MD!$A$2:$D$1000,""Select B where C = '""&amp; C24 &amp;""'""))"),"2")</f>
        <v>2</v>
      </c>
      <c r="F24" s="5">
        <f t="shared" ca="1" si="0"/>
        <v>2</v>
      </c>
      <c r="G24" s="32" t="str">
        <f ca="1">IFERROR(__xludf.DUMMYFUNCTION("if($F24&gt;=1,QUERY(Loot!$A$2:$G$904,""Select G where A = '""&amp; $E24 &amp;""' AND D &gt;= ""&amp; Q24  &amp;"" LIMIT 1""),)"),"Greatclub")</f>
        <v>Greatclub</v>
      </c>
      <c r="H24" s="61"/>
      <c r="I24" s="32" t="str">
        <f ca="1">IFERROR(__xludf.DUMMYFUNCTION("if($F24&gt;=2,QUERY(Loot!$A$2:$G$904,""Select G where A = '""&amp; $E24 &amp;""' AND D &gt;= ""&amp; R24 &amp;"" LIMIT 1""),)"),"Shield, light wooden")</f>
        <v>Shield, light wooden</v>
      </c>
      <c r="J24" s="61"/>
      <c r="K24" s="32" t="str">
        <f ca="1">IFERROR(__xludf.DUMMYFUNCTION("if($F24&gt;=3,QUERY(Loot!$A$2:$G$904,""Select G where A = '""&amp; $E24 &amp;""' AND D &gt;= ""&amp; S24  &amp;"" LIMIT 1""),)"),"")</f>
        <v/>
      </c>
      <c r="L24" s="61"/>
      <c r="M24" s="32" t="str">
        <f ca="1">IFERROR(__xludf.DUMMYFUNCTION("if($F24&gt;=4,QUERY(Loot!$A$2:$G$904,""Select G where A = '""&amp; $E24 &amp;""' AND D &gt;= ""&amp;T24 &amp;"" LIMIT 1""),)"),"")</f>
        <v/>
      </c>
      <c r="N24" s="61"/>
      <c r="O24" s="32" t="str">
        <f ca="1">IFERROR(__xludf.DUMMYFUNCTION("if($F24&gt;=5,QUERY(Loot!$A$2:$G$904,""Select G where A = '""&amp; $E24 &amp;""' AND D &gt;= ""&amp; U24 &amp;"" LIMIT 1""),)"),"")</f>
        <v/>
      </c>
      <c r="P24" s="61"/>
      <c r="Q24" s="62">
        <v>0.39449501004720811</v>
      </c>
      <c r="R24" s="63">
        <v>0.82114088741361735</v>
      </c>
      <c r="S24" s="63">
        <v>0.2049132176596723</v>
      </c>
      <c r="T24" s="63">
        <v>0.53330123533347296</v>
      </c>
      <c r="U24" s="63">
        <v>3.8942949618383516E-3</v>
      </c>
    </row>
    <row r="25" spans="1:21" ht="15.75" customHeight="1">
      <c r="A25" s="5">
        <f t="shared" ca="1" si="1"/>
        <v>24</v>
      </c>
      <c r="B25" s="5">
        <f ca="1">IFERROR(__xludf.DUMMYFUNCTION("if(ISBLANK(C25),,QUERY(MD!A26:D1024,""Select A where C = '""&amp; C25 &amp;""'""))"),228)</f>
        <v>228</v>
      </c>
      <c r="C25" s="5" t="s">
        <v>240</v>
      </c>
      <c r="D25" s="5">
        <f ca="1">IFERROR(__xludf.DUMMYFUNCTION("if(ISBLANK(C25),,QUERY(MD!$A$2:$D$1000,""Select D where C = '""&amp; C25 &amp;""'""))"),450)</f>
        <v>450</v>
      </c>
      <c r="E25" s="59" t="str">
        <f ca="1">IFERROR(__xludf.DUMMYFUNCTION("if(ISBLANK(C25),,QUERY(MD!$A$2:$D$1000,""Select B where C = '""&amp; C25 &amp;""'""))"),"2")</f>
        <v>2</v>
      </c>
      <c r="F25" s="5">
        <f t="shared" ca="1" si="0"/>
        <v>4</v>
      </c>
      <c r="G25" s="32" t="str">
        <f ca="1">IFERROR(__xludf.DUMMYFUNCTION("if($F25&gt;=1,QUERY(Loot!$A$2:$G$904,""Select G where A = '""&amp; $E25 &amp;""' AND D &gt;= ""&amp; Q25  &amp;"" LIMIT 1""),)"),"Greatclub")</f>
        <v>Greatclub</v>
      </c>
      <c r="H25" s="61"/>
      <c r="I25" s="32" t="str">
        <f ca="1">IFERROR(__xludf.DUMMYFUNCTION("if($F25&gt;=2,QUERY(Loot!$A$2:$G$904,""Select G where A = '""&amp; $E25 &amp;""' AND D &gt;= ""&amp; R25 &amp;"" LIMIT 1""),)"),"Lantern, hooded")</f>
        <v>Lantern, hooded</v>
      </c>
      <c r="J25" s="61"/>
      <c r="K25" s="32" t="str">
        <f ca="1">IFERROR(__xludf.DUMMYFUNCTION("if($F25&gt;=3,QUERY(Loot!$A$2:$G$904,""Select G where A = '""&amp; $E25 &amp;""' AND D &gt;= ""&amp; S25  &amp;"" LIMIT 1""),)"),"Lantern, hooded")</f>
        <v>Lantern, hooded</v>
      </c>
      <c r="L25" s="61"/>
      <c r="M25" s="32" t="str">
        <f ca="1">IFERROR(__xludf.DUMMYFUNCTION("if($F25&gt;=4,QUERY(Loot!$A$2:$G$904,""Select G where A = '""&amp; $E25 &amp;""' AND D &gt;= ""&amp;T25 &amp;"" LIMIT 1""),)"),"Shield, light steel")</f>
        <v>Shield, light steel</v>
      </c>
      <c r="N25" s="61"/>
      <c r="O25" s="32" t="str">
        <f ca="1">IFERROR(__xludf.DUMMYFUNCTION("if($F25&gt;=5,QUERY(Loot!$A$2:$G$904,""Select G where A = '""&amp; $E25 &amp;""' AND D &gt;= ""&amp; U25 &amp;"" LIMIT 1""),)"),"")</f>
        <v/>
      </c>
      <c r="P25" s="61"/>
      <c r="Q25" s="62">
        <v>0.39506183872087042</v>
      </c>
      <c r="R25" s="63">
        <v>0.12124469604636123</v>
      </c>
      <c r="S25" s="63">
        <v>0.11794932663874835</v>
      </c>
      <c r="T25" s="63">
        <v>0.99977118247564578</v>
      </c>
      <c r="U25" s="63">
        <v>0.56954657565338951</v>
      </c>
    </row>
    <row r="26" spans="1:21" ht="15.75" customHeight="1">
      <c r="A26" s="5">
        <f t="shared" ca="1" si="1"/>
        <v>25</v>
      </c>
      <c r="B26" s="5">
        <f ca="1">IFERROR(__xludf.DUMMYFUNCTION("if(ISBLANK(C26),,QUERY(MD!A27:D1025,""Select A where C = '""&amp; C26 &amp;""'""))"),229)</f>
        <v>229</v>
      </c>
      <c r="C26" s="5" t="s">
        <v>241</v>
      </c>
      <c r="D26" s="5">
        <f ca="1">IFERROR(__xludf.DUMMYFUNCTION("if(ISBLANK(C26),,QUERY(MD!$A$2:$D$1000,""Select D where C = '""&amp; C26 &amp;""'""))"),450)</f>
        <v>450</v>
      </c>
      <c r="E26" s="59" t="str">
        <f ca="1">IFERROR(__xludf.DUMMYFUNCTION("if(ISBLANK(C26),,QUERY(MD!$A$2:$D$1000,""Select B where C = '""&amp; C26 &amp;""'""))"),"2")</f>
        <v>2</v>
      </c>
      <c r="F26" s="5">
        <f t="shared" ca="1" si="0"/>
        <v>2</v>
      </c>
      <c r="G26" s="32" t="str">
        <f ca="1">IFERROR(__xludf.DUMMYFUNCTION("if($F26&gt;=1,QUERY(Loot!$A$2:$G$904,""Select G where A = '""&amp; $E26 &amp;""' AND D &gt;= ""&amp; Q26  &amp;"" LIMIT 1""),)"),"Greatclub")</f>
        <v>Greatclub</v>
      </c>
      <c r="H26" s="61"/>
      <c r="I26" s="32" t="str">
        <f ca="1">IFERROR(__xludf.DUMMYFUNCTION("if($F26&gt;=2,QUERY(Loot!$A$2:$G$904,""Select G where A = '""&amp; $E26 &amp;""' AND D &gt;= ""&amp; R26 &amp;"" LIMIT 1""),)"),"Shield, light steel")</f>
        <v>Shield, light steel</v>
      </c>
      <c r="J26" s="61"/>
      <c r="K26" s="32" t="str">
        <f ca="1">IFERROR(__xludf.DUMMYFUNCTION("if($F26&gt;=3,QUERY(Loot!$A$2:$G$904,""Select G where A = '""&amp; $E26 &amp;""' AND D &gt;= ""&amp; S26  &amp;"" LIMIT 1""),)"),"")</f>
        <v/>
      </c>
      <c r="L26" s="61"/>
      <c r="M26" s="32" t="str">
        <f ca="1">IFERROR(__xludf.DUMMYFUNCTION("if($F26&gt;=4,QUERY(Loot!$A$2:$G$904,""Select G where A = '""&amp; $E26 &amp;""' AND D &gt;= ""&amp;T26 &amp;"" LIMIT 1""),)"),"")</f>
        <v/>
      </c>
      <c r="N26" s="61"/>
      <c r="O26" s="32" t="str">
        <f ca="1">IFERROR(__xludf.DUMMYFUNCTION("if($F26&gt;=5,QUERY(Loot!$A$2:$G$904,""Select G where A = '""&amp; $E26 &amp;""' AND D &gt;= ""&amp; U26 &amp;"" LIMIT 1""),)"),"")</f>
        <v/>
      </c>
      <c r="P26" s="61"/>
      <c r="Q26" s="62">
        <v>0.43924989334539821</v>
      </c>
      <c r="R26" s="63">
        <v>0.95587313285141873</v>
      </c>
      <c r="S26" s="63">
        <v>0.40791906099134656</v>
      </c>
      <c r="T26" s="63">
        <v>0.56975834616041809</v>
      </c>
      <c r="U26" s="63">
        <v>0.24612051450913663</v>
      </c>
    </row>
    <row r="27" spans="1:21" ht="16.2">
      <c r="A27" s="5">
        <f t="shared" ca="1" si="1"/>
        <v>26</v>
      </c>
      <c r="B27" s="5">
        <f ca="1">IFERROR(__xludf.DUMMYFUNCTION("if(ISBLANK(C27),,QUERY(MD!A28:D1026,""Select A where C = '""&amp; C27 &amp;""'""))"),230)</f>
        <v>230</v>
      </c>
      <c r="C27" s="5" t="s">
        <v>243</v>
      </c>
      <c r="D27" s="5">
        <f ca="1">IFERROR(__xludf.DUMMYFUNCTION("if(ISBLANK(C27),,QUERY(MD!$A$2:$D$1000,""Select D where C = '""&amp; C27 &amp;""'""))"),450)</f>
        <v>450</v>
      </c>
      <c r="E27" s="59" t="str">
        <f ca="1">IFERROR(__xludf.DUMMYFUNCTION("if(ISBLANK(C27),,QUERY(MD!$A$2:$D$1000,""Select B where C = '""&amp; C27 &amp;""'""))"),"2")</f>
        <v>2</v>
      </c>
      <c r="F27" s="5">
        <f t="shared" ca="1" si="0"/>
        <v>4</v>
      </c>
      <c r="G27" s="32" t="str">
        <f ca="1">IFERROR(__xludf.DUMMYFUNCTION("if($F27&gt;=1,QUERY(Loot!$A$2:$G$904,""Select G where A = '""&amp; $E27 &amp;""' AND D &gt;= ""&amp; Q27  &amp;"" LIMIT 1""),)"),"Greatclub")</f>
        <v>Greatclub</v>
      </c>
      <c r="H27" s="61"/>
      <c r="I27" s="32" t="str">
        <f ca="1">IFERROR(__xludf.DUMMYFUNCTION("if($F27&gt;=2,QUERY(Loot!$A$2:$G$904,""Select G where A = '""&amp; $E27 &amp;""' AND D &gt;= ""&amp; R27 &amp;"" LIMIT 1""),)"),"Greatclub")</f>
        <v>Greatclub</v>
      </c>
      <c r="J27" s="61"/>
      <c r="K27" s="32" t="str">
        <f ca="1">IFERROR(__xludf.DUMMYFUNCTION("if($F27&gt;=3,QUERY(Loot!$A$2:$G$904,""Select G where A = '""&amp; $E27 &amp;""' AND D &gt;= ""&amp; S27  &amp;"" LIMIT 1""),)"),"Lantern, hooded")</f>
        <v>Lantern, hooded</v>
      </c>
      <c r="L27" s="61"/>
      <c r="M27" s="32" t="str">
        <f ca="1">IFERROR(__xludf.DUMMYFUNCTION("if($F27&gt;=4,QUERY(Loot!$A$2:$G$904,""Select G where A = '""&amp; $E27 &amp;""' AND D &gt;= ""&amp;T27 &amp;"" LIMIT 1""),)"),"Signal whistle")</f>
        <v>Signal whistle</v>
      </c>
      <c r="N27" s="61"/>
      <c r="O27" s="32" t="str">
        <f ca="1">IFERROR(__xludf.DUMMYFUNCTION("if($F27&gt;=5,QUERY(Loot!$A$2:$G$904,""Select G where A = '""&amp; $E27 &amp;""' AND D &gt;= ""&amp; U27 &amp;"" LIMIT 1""),)"),"")</f>
        <v/>
      </c>
      <c r="P27" s="61"/>
      <c r="Q27" s="62">
        <v>0.64161846366021391</v>
      </c>
      <c r="R27" s="63">
        <v>0.43811547101801662</v>
      </c>
      <c r="S27" s="63">
        <v>0.13996297551295622</v>
      </c>
      <c r="T27" s="63">
        <v>3.4110431976656863E-2</v>
      </c>
      <c r="U27" s="63">
        <v>7.1100348588068019E-2</v>
      </c>
    </row>
    <row r="28" spans="1:21" ht="16.2">
      <c r="A28" s="5">
        <f t="shared" ca="1" si="1"/>
        <v>27</v>
      </c>
      <c r="B28" s="5">
        <f ca="1">IFERROR(__xludf.DUMMYFUNCTION("if(ISBLANK(C28),,QUERY(MD!A29:D1027,""Select A where C = '""&amp; C28 &amp;""'""))"),231)</f>
        <v>231</v>
      </c>
      <c r="C28" s="5" t="s">
        <v>244</v>
      </c>
      <c r="D28" s="5">
        <f ca="1">IFERROR(__xludf.DUMMYFUNCTION("if(ISBLANK(C28),,QUERY(MD!$A$2:$D$1000,""Select D where C = '""&amp; C28 &amp;""'""))"),450)</f>
        <v>450</v>
      </c>
      <c r="E28" s="59" t="str">
        <f ca="1">IFERROR(__xludf.DUMMYFUNCTION("if(ISBLANK(C28),,QUERY(MD!$A$2:$D$1000,""Select B where C = '""&amp; C28 &amp;""'""))"),"2")</f>
        <v>2</v>
      </c>
      <c r="F28" s="5">
        <f t="shared" ca="1" si="0"/>
        <v>2</v>
      </c>
      <c r="G28" s="32" t="str">
        <f ca="1">IFERROR(__xludf.DUMMYFUNCTION("if($F28&gt;=1,QUERY(Loot!$A$2:$G$904,""Select G where A = '""&amp; $E28 &amp;""' AND D &gt;= ""&amp; Q28  &amp;"" LIMIT 1""),)"),"Greatclub")</f>
        <v>Greatclub</v>
      </c>
      <c r="H28" s="61"/>
      <c r="I28" s="32" t="str">
        <f ca="1">IFERROR(__xludf.DUMMYFUNCTION("if($F28&gt;=2,QUERY(Loot!$A$2:$G$904,""Select G where A = '""&amp; $E28 &amp;""' AND D &gt;= ""&amp; R28 &amp;"" LIMIT 1""),)"),"Pick, light")</f>
        <v>Pick, light</v>
      </c>
      <c r="J28" s="61"/>
      <c r="K28" s="32" t="str">
        <f ca="1">IFERROR(__xludf.DUMMYFUNCTION("if($F28&gt;=3,QUERY(Loot!$A$2:$G$904,""Select G where A = '""&amp; $E28 &amp;""' AND D &gt;= ""&amp; S28  &amp;"" LIMIT 1""),)"),"")</f>
        <v/>
      </c>
      <c r="L28" s="61"/>
      <c r="M28" s="32" t="str">
        <f ca="1">IFERROR(__xludf.DUMMYFUNCTION("if($F28&gt;=4,QUERY(Loot!$A$2:$G$904,""Select G where A = '""&amp; $E28 &amp;""' AND D &gt;= ""&amp;T28 &amp;"" LIMIT 1""),)"),"")</f>
        <v/>
      </c>
      <c r="N28" s="61"/>
      <c r="O28" s="32" t="str">
        <f ca="1">IFERROR(__xludf.DUMMYFUNCTION("if($F28&gt;=5,QUERY(Loot!$A$2:$G$904,""Select G where A = '""&amp; $E28 &amp;""' AND D &gt;= ""&amp; U28 &amp;"" LIMIT 1""),)"),"")</f>
        <v/>
      </c>
      <c r="P28" s="61"/>
      <c r="Q28" s="62">
        <v>0.61333062943377825</v>
      </c>
      <c r="R28" s="63">
        <v>0.79948288803696954</v>
      </c>
      <c r="S28" s="63">
        <v>0.95514945524539174</v>
      </c>
      <c r="T28" s="63">
        <v>0.64403327216840667</v>
      </c>
      <c r="U28" s="63">
        <v>0.37297676111121414</v>
      </c>
    </row>
    <row r="29" spans="1:21" ht="16.2">
      <c r="A29" s="5">
        <f t="shared" ca="1" si="1"/>
        <v>28</v>
      </c>
      <c r="B29" s="5">
        <f ca="1">IFERROR(__xludf.DUMMYFUNCTION("if(ISBLANK(C29),,QUERY(MD!A30:D1028,""Select A where C = '""&amp; C29 &amp;""'""))"),232)</f>
        <v>232</v>
      </c>
      <c r="C29" s="5" t="s">
        <v>245</v>
      </c>
      <c r="D29" s="5">
        <f ca="1">IFERROR(__xludf.DUMMYFUNCTION("if(ISBLANK(C29),,QUERY(MD!$A$2:$D$1000,""Select D where C = '""&amp; C29 &amp;""'""))"),450)</f>
        <v>450</v>
      </c>
      <c r="E29" s="59" t="str">
        <f ca="1">IFERROR(__xludf.DUMMYFUNCTION("if(ISBLANK(C29),,QUERY(MD!$A$2:$D$1000,""Select B where C = '""&amp; C29 &amp;""'""))"),"2")</f>
        <v>2</v>
      </c>
      <c r="F29" s="5">
        <f t="shared" ca="1" si="0"/>
        <v>4</v>
      </c>
      <c r="G29" s="32" t="str">
        <f ca="1">IFERROR(__xludf.DUMMYFUNCTION("if($F29&gt;=1,QUERY(Loot!$A$2:$G$904,""Select G where A = '""&amp; $E29 &amp;""' AND D &gt;= ""&amp; Q29  &amp;"" LIMIT 1""),)"),"Pick, light")</f>
        <v>Pick, light</v>
      </c>
      <c r="H29" s="61"/>
      <c r="I29" s="32" t="str">
        <f ca="1">IFERROR(__xludf.DUMMYFUNCTION("if($F29&gt;=2,QUERY(Loot!$A$2:$G$904,""Select G where A = '""&amp; $E29 &amp;""' AND D &gt;= ""&amp; R29 &amp;"" LIMIT 1""),)"),"Lantern, hooded")</f>
        <v>Lantern, hooded</v>
      </c>
      <c r="J29" s="61"/>
      <c r="K29" s="32" t="str">
        <f ca="1">IFERROR(__xludf.DUMMYFUNCTION("if($F29&gt;=3,QUERY(Loot!$A$2:$G$904,""Select G where A = '""&amp; $E29 &amp;""' AND D &gt;= ""&amp; S29  &amp;"" LIMIT 1""),)"),"Pick, light")</f>
        <v>Pick, light</v>
      </c>
      <c r="L29" s="61"/>
      <c r="M29" s="32" t="str">
        <f ca="1">IFERROR(__xludf.DUMMYFUNCTION("if($F29&gt;=4,QUERY(Loot!$A$2:$G$904,""Select G where A = '""&amp; $E29 &amp;""' AND D &gt;= ""&amp;T29 &amp;"" LIMIT 1""),)"),"Shield, light steel")</f>
        <v>Shield, light steel</v>
      </c>
      <c r="N29" s="61"/>
      <c r="O29" s="32" t="str">
        <f ca="1">IFERROR(__xludf.DUMMYFUNCTION("if($F29&gt;=5,QUERY(Loot!$A$2:$G$904,""Select G where A = '""&amp; $E29 &amp;""' AND D &gt;= ""&amp; U29 &amp;"" LIMIT 1""),)"),"")</f>
        <v/>
      </c>
      <c r="P29" s="61"/>
      <c r="Q29" s="62">
        <v>0.75967331869237376</v>
      </c>
      <c r="R29" s="63">
        <v>0.11750433383242787</v>
      </c>
      <c r="S29" s="63">
        <v>0.74583547478363899</v>
      </c>
      <c r="T29" s="63">
        <v>0.90495545976311331</v>
      </c>
      <c r="U29" s="63">
        <v>0.98607684127111117</v>
      </c>
    </row>
    <row r="30" spans="1:21" ht="16.2">
      <c r="A30" s="5">
        <f t="shared" ca="1" si="1"/>
        <v>29</v>
      </c>
      <c r="B30" s="5">
        <f ca="1">IFERROR(__xludf.DUMMYFUNCTION("if(ISBLANK(C30),,QUERY(MD!A31:D1029,""Select A where C = '""&amp; C30 &amp;""'""))"),233)</f>
        <v>233</v>
      </c>
      <c r="C30" s="5" t="s">
        <v>246</v>
      </c>
      <c r="D30" s="5">
        <f ca="1">IFERROR(__xludf.DUMMYFUNCTION("if(ISBLANK(C30),,QUERY(MD!$A$2:$D$1000,""Select D where C = '""&amp; C30 &amp;""'""))"),450)</f>
        <v>450</v>
      </c>
      <c r="E30" s="59" t="str">
        <f ca="1">IFERROR(__xludf.DUMMYFUNCTION("if(ISBLANK(C30),,QUERY(MD!$A$2:$D$1000,""Select B where C = '""&amp; C30 &amp;""'""))"),"2")</f>
        <v>2</v>
      </c>
      <c r="F30" s="5">
        <f t="shared" ca="1" si="0"/>
        <v>2</v>
      </c>
      <c r="G30" s="32" t="str">
        <f ca="1">IFERROR(__xludf.DUMMYFUNCTION("if($F30&gt;=1,QUERY(Loot!$A$2:$G$904,""Select G where A = '""&amp; $E30 &amp;""' AND D &gt;= ""&amp; Q30  &amp;"" LIMIT 1""),)"),"Greatclub")</f>
        <v>Greatclub</v>
      </c>
      <c r="H30" s="61"/>
      <c r="I30" s="32" t="str">
        <f ca="1">IFERROR(__xludf.DUMMYFUNCTION("if($F30&gt;=2,QUERY(Loot!$A$2:$G$904,""Select G where A = '""&amp; $E30 &amp;""' AND D &gt;= ""&amp; R30 &amp;"" LIMIT 1""),)"),"Lantern, hooded")</f>
        <v>Lantern, hooded</v>
      </c>
      <c r="J30" s="61"/>
      <c r="K30" s="32" t="str">
        <f ca="1">IFERROR(__xludf.DUMMYFUNCTION("if($F30&gt;=3,QUERY(Loot!$A$2:$G$904,""Select G where A = '""&amp; $E30 &amp;""' AND D &gt;= ""&amp; S30  &amp;"" LIMIT 1""),)"),"")</f>
        <v/>
      </c>
      <c r="L30" s="61"/>
      <c r="M30" s="32" t="str">
        <f ca="1">IFERROR(__xludf.DUMMYFUNCTION("if($F30&gt;=4,QUERY(Loot!$A$2:$G$904,""Select G where A = '""&amp; $E30 &amp;""' AND D &gt;= ""&amp;T30 &amp;"" LIMIT 1""),)"),"")</f>
        <v/>
      </c>
      <c r="N30" s="61"/>
      <c r="O30" s="32" t="str">
        <f ca="1">IFERROR(__xludf.DUMMYFUNCTION("if($F30&gt;=5,QUERY(Loot!$A$2:$G$904,""Select G where A = '""&amp; $E30 &amp;""' AND D &gt;= ""&amp; U30 &amp;"" LIMIT 1""),)"),"")</f>
        <v/>
      </c>
      <c r="P30" s="61"/>
      <c r="Q30" s="62">
        <v>0.6406369277713132</v>
      </c>
      <c r="R30" s="63">
        <v>0.26652676040212908</v>
      </c>
      <c r="S30" s="63">
        <v>0.23522624459343899</v>
      </c>
      <c r="T30" s="63">
        <v>0.52657670424885439</v>
      </c>
      <c r="U30" s="63">
        <v>0.77774798532784328</v>
      </c>
    </row>
    <row r="31" spans="1:21" ht="16.2">
      <c r="A31" s="5">
        <f t="shared" ca="1" si="1"/>
        <v>30</v>
      </c>
      <c r="B31" s="5">
        <f ca="1">IFERROR(__xludf.DUMMYFUNCTION("if(ISBLANK(C31),,QUERY(MD!A32:D1030,""Select A where C = '""&amp; C31 &amp;""'""))"),234)</f>
        <v>234</v>
      </c>
      <c r="C31" s="5" t="s">
        <v>247</v>
      </c>
      <c r="D31" s="5">
        <f ca="1">IFERROR(__xludf.DUMMYFUNCTION("if(ISBLANK(C31),,QUERY(MD!$A$2:$D$1000,""Select D where C = '""&amp; C31 &amp;""'""))"),450)</f>
        <v>450</v>
      </c>
      <c r="E31" s="59" t="str">
        <f ca="1">IFERROR(__xludf.DUMMYFUNCTION("if(ISBLANK(C31),,QUERY(MD!$A$2:$D$1000,""Select B where C = '""&amp; C31 &amp;""'""))"),"2")</f>
        <v>2</v>
      </c>
      <c r="F31" s="5">
        <f t="shared" ca="1" si="0"/>
        <v>4</v>
      </c>
      <c r="G31" s="32" t="str">
        <f ca="1">IFERROR(__xludf.DUMMYFUNCTION("if($F31&gt;=1,QUERY(Loot!$A$2:$G$904,""Select G where A = '""&amp; $E31 &amp;""' AND D &gt;= ""&amp; Q31  &amp;"" LIMIT 1""),)"),"Shield, light steel")</f>
        <v>Shield, light steel</v>
      </c>
      <c r="H31" s="61"/>
      <c r="I31" s="32" t="str">
        <f ca="1">IFERROR(__xludf.DUMMYFUNCTION("if($F31&gt;=2,QUERY(Loot!$A$2:$G$904,""Select G where A = '""&amp; $E31 &amp;""' AND D &gt;= ""&amp; R31 &amp;"" LIMIT 1""),)"),"Shield, light wooden")</f>
        <v>Shield, light wooden</v>
      </c>
      <c r="J31" s="61"/>
      <c r="K31" s="32" t="str">
        <f ca="1">IFERROR(__xludf.DUMMYFUNCTION("if($F31&gt;=3,QUERY(Loot!$A$2:$G$904,""Select G where A = '""&amp; $E31 &amp;""' AND D &gt;= ""&amp; S31  &amp;"" LIMIT 1""),)"),"Shield, light wooden")</f>
        <v>Shield, light wooden</v>
      </c>
      <c r="L31" s="61"/>
      <c r="M31" s="32" t="str">
        <f ca="1">IFERROR(__xludf.DUMMYFUNCTION("if($F31&gt;=4,QUERY(Loot!$A$2:$G$904,""Select G where A = '""&amp; $E31 &amp;""' AND D &gt;= ""&amp;T31 &amp;"" LIMIT 1""),)"),"Greatclub")</f>
        <v>Greatclub</v>
      </c>
      <c r="N31" s="61"/>
      <c r="O31" s="32" t="str">
        <f ca="1">IFERROR(__xludf.DUMMYFUNCTION("if($F31&gt;=5,QUERY(Loot!$A$2:$G$904,""Select G where A = '""&amp; $E31 &amp;""' AND D &gt;= ""&amp; U31 &amp;"" LIMIT 1""),)"),"")</f>
        <v/>
      </c>
      <c r="P31" s="61"/>
      <c r="Q31" s="62">
        <v>0.92340495590977045</v>
      </c>
      <c r="R31" s="63">
        <v>0.81064058562841934</v>
      </c>
      <c r="S31" s="63">
        <v>0.87230176004604709</v>
      </c>
      <c r="T31" s="63">
        <v>0.56156897501593039</v>
      </c>
      <c r="U31" s="63">
        <v>4.6172351754627639E-2</v>
      </c>
    </row>
    <row r="32" spans="1:21" ht="16.2">
      <c r="A32" s="5">
        <f t="shared" ca="1" si="1"/>
        <v>31</v>
      </c>
      <c r="B32" s="5">
        <f ca="1">IFERROR(__xludf.DUMMYFUNCTION("if(ISBLANK(C32),,QUERY(MD!A33:D1031,""Select A where C = '""&amp; C32 &amp;""'""))"),235)</f>
        <v>235</v>
      </c>
      <c r="C32" s="5" t="s">
        <v>248</v>
      </c>
      <c r="D32" s="5">
        <f ca="1">IFERROR(__xludf.DUMMYFUNCTION("if(ISBLANK(C32),,QUERY(MD!$A$2:$D$1000,""Select D where C = '""&amp; C32 &amp;""'""))"),450)</f>
        <v>450</v>
      </c>
      <c r="E32" s="59" t="str">
        <f ca="1">IFERROR(__xludf.DUMMYFUNCTION("if(ISBLANK(C32),,QUERY(MD!$A$2:$D$1000,""Select B where C = '""&amp; C32 &amp;""'""))"),"2")</f>
        <v>2</v>
      </c>
      <c r="F32" s="5">
        <f t="shared" ca="1" si="0"/>
        <v>2</v>
      </c>
      <c r="G32" s="32" t="str">
        <f ca="1">IFERROR(__xludf.DUMMYFUNCTION("if($F32&gt;=1,QUERY(Loot!$A$2:$G$904,""Select G where A = '""&amp; $E32 &amp;""' AND D &gt;= ""&amp; Q32  &amp;"" LIMIT 1""),)"),"Signal whistle")</f>
        <v>Signal whistle</v>
      </c>
      <c r="H32" s="61"/>
      <c r="I32" s="32" t="str">
        <f ca="1">IFERROR(__xludf.DUMMYFUNCTION("if($F32&gt;=2,QUERY(Loot!$A$2:$G$904,""Select G where A = '""&amp; $E32 &amp;""' AND D &gt;= ""&amp; R32 &amp;"" LIMIT 1""),)"),"Greatclub")</f>
        <v>Greatclub</v>
      </c>
      <c r="J32" s="61"/>
      <c r="K32" s="32" t="str">
        <f ca="1">IFERROR(__xludf.DUMMYFUNCTION("if($F32&gt;=3,QUERY(Loot!$A$2:$G$904,""Select G where A = '""&amp; $E32 &amp;""' AND D &gt;= ""&amp; S32  &amp;"" LIMIT 1""),)"),"")</f>
        <v/>
      </c>
      <c r="L32" s="61"/>
      <c r="M32" s="32" t="str">
        <f ca="1">IFERROR(__xludf.DUMMYFUNCTION("if($F32&gt;=4,QUERY(Loot!$A$2:$G$904,""Select G where A = '""&amp; $E32 &amp;""' AND D &gt;= ""&amp;T32 &amp;"" LIMIT 1""),)"),"")</f>
        <v/>
      </c>
      <c r="N32" s="61"/>
      <c r="O32" s="32" t="str">
        <f ca="1">IFERROR(__xludf.DUMMYFUNCTION("if($F32&gt;=5,QUERY(Loot!$A$2:$G$904,""Select G where A = '""&amp; $E32 &amp;""' AND D &gt;= ""&amp; U32 &amp;"" LIMIT 1""),)"),"")</f>
        <v/>
      </c>
      <c r="P32" s="61"/>
      <c r="Q32" s="62">
        <v>7.5684291349141231E-2</v>
      </c>
      <c r="R32" s="63">
        <v>0.66924414394023057</v>
      </c>
      <c r="S32" s="63">
        <v>0.94434057993196763</v>
      </c>
      <c r="T32" s="63">
        <v>0.29017447130716267</v>
      </c>
      <c r="U32" s="63">
        <v>0.81012751052358867</v>
      </c>
    </row>
    <row r="33" spans="1:21" ht="16.2">
      <c r="A33" s="5">
        <f t="shared" ca="1" si="1"/>
        <v>32</v>
      </c>
      <c r="B33" s="5">
        <f ca="1">IFERROR(__xludf.DUMMYFUNCTION("if(ISBLANK(C33),,QUERY(MD!A34:D1032,""Select A where C = '""&amp; C33 &amp;""'""))"),236)</f>
        <v>236</v>
      </c>
      <c r="C33" s="5" t="s">
        <v>250</v>
      </c>
      <c r="D33" s="5">
        <f ca="1">IFERROR(__xludf.DUMMYFUNCTION("if(ISBLANK(C33),,QUERY(MD!$A$2:$D$1000,""Select D where C = '""&amp; C33 &amp;""'""))"),450)</f>
        <v>450</v>
      </c>
      <c r="E33" s="59" t="str">
        <f ca="1">IFERROR(__xludf.DUMMYFUNCTION("if(ISBLANK(C33),,QUERY(MD!$A$2:$D$1000,""Select B where C = '""&amp; C33 &amp;""'""))"),"2")</f>
        <v>2</v>
      </c>
      <c r="F33" s="5">
        <f t="shared" ca="1" si="0"/>
        <v>4</v>
      </c>
      <c r="G33" s="32" t="str">
        <f ca="1">IFERROR(__xludf.DUMMYFUNCTION("if($F33&gt;=1,QUERY(Loot!$A$2:$G$904,""Select G where A = '""&amp; $E33 &amp;""' AND D &gt;= ""&amp; Q33  &amp;"" LIMIT 1""),)"),"Greatclub")</f>
        <v>Greatclub</v>
      </c>
      <c r="H33" s="61"/>
      <c r="I33" s="32" t="str">
        <f ca="1">IFERROR(__xludf.DUMMYFUNCTION("if($F33&gt;=2,QUERY(Loot!$A$2:$G$904,""Select G where A = '""&amp; $E33 &amp;""' AND D &gt;= ""&amp; R33 &amp;"" LIMIT 1""),)"),"Greatclub")</f>
        <v>Greatclub</v>
      </c>
      <c r="J33" s="61"/>
      <c r="K33" s="32" t="str">
        <f ca="1">IFERROR(__xludf.DUMMYFUNCTION("if($F33&gt;=3,QUERY(Loot!$A$2:$G$904,""Select G where A = '""&amp; $E33 &amp;""' AND D &gt;= ""&amp; S33  &amp;"" LIMIT 1""),)"),"Greatclub")</f>
        <v>Greatclub</v>
      </c>
      <c r="L33" s="61"/>
      <c r="M33" s="32" t="str">
        <f ca="1">IFERROR(__xludf.DUMMYFUNCTION("if($F33&gt;=4,QUERY(Loot!$A$2:$G$904,""Select G where A = '""&amp; $E33 &amp;""' AND D &gt;= ""&amp;T33 &amp;"" LIMIT 1""),)"),"Lantern, hooded")</f>
        <v>Lantern, hooded</v>
      </c>
      <c r="N33" s="61"/>
      <c r="O33" s="32" t="str">
        <f ca="1">IFERROR(__xludf.DUMMYFUNCTION("if($F33&gt;=5,QUERY(Loot!$A$2:$G$904,""Select G where A = '""&amp; $E33 &amp;""' AND D &gt;= ""&amp; U33 &amp;"" LIMIT 1""),)"),"")</f>
        <v/>
      </c>
      <c r="P33" s="61"/>
      <c r="Q33" s="62">
        <v>0.67998661995467558</v>
      </c>
      <c r="R33" s="63">
        <v>0.50563686021185261</v>
      </c>
      <c r="S33" s="63">
        <v>0.62076714043469439</v>
      </c>
      <c r="T33" s="63">
        <v>0.13799078376879259</v>
      </c>
      <c r="U33" s="63">
        <v>0.35547705553247533</v>
      </c>
    </row>
    <row r="34" spans="1:21" ht="16.2">
      <c r="A34" s="5">
        <f t="shared" ca="1" si="1"/>
        <v>33</v>
      </c>
      <c r="B34" s="5">
        <f ca="1">IFERROR(__xludf.DUMMYFUNCTION("if(ISBLANK(C34),,QUERY(MD!A35:D1033,""Select A where C = '""&amp; C34 &amp;""'""))"),237)</f>
        <v>237</v>
      </c>
      <c r="C34" s="5" t="s">
        <v>252</v>
      </c>
      <c r="D34" s="5">
        <f ca="1">IFERROR(__xludf.DUMMYFUNCTION("if(ISBLANK(C34),,QUERY(MD!$A$2:$D$1000,""Select D where C = '""&amp; C34 &amp;""'""))"),450)</f>
        <v>450</v>
      </c>
      <c r="E34" s="59" t="str">
        <f ca="1">IFERROR(__xludf.DUMMYFUNCTION("if(ISBLANK(C34),,QUERY(MD!$A$2:$D$1000,""Select B where C = '""&amp; C34 &amp;""'""))"),"2")</f>
        <v>2</v>
      </c>
      <c r="F34" s="5">
        <f t="shared" ca="1" si="0"/>
        <v>2</v>
      </c>
      <c r="G34" s="32" t="str">
        <f ca="1">IFERROR(__xludf.DUMMYFUNCTION("if($F34&gt;=1,QUERY(Loot!$A$2:$G$904,""Select G where A = '""&amp; $E34 &amp;""' AND D &gt;= ""&amp; Q34  &amp;"" LIMIT 1""),)"),"Shield, light wooden")</f>
        <v>Shield, light wooden</v>
      </c>
      <c r="H34" s="61"/>
      <c r="I34" s="32" t="str">
        <f ca="1">IFERROR(__xludf.DUMMYFUNCTION("if($F34&gt;=2,QUERY(Loot!$A$2:$G$904,""Select G where A = '""&amp; $E34 &amp;""' AND D &gt;= ""&amp; R34 &amp;"" LIMIT 1""),)"),"Lantern, hooded")</f>
        <v>Lantern, hooded</v>
      </c>
      <c r="J34" s="61"/>
      <c r="K34" s="32" t="str">
        <f ca="1">IFERROR(__xludf.DUMMYFUNCTION("if($F34&gt;=3,QUERY(Loot!$A$2:$G$904,""Select G where A = '""&amp; $E34 &amp;""' AND D &gt;= ""&amp; S34  &amp;"" LIMIT 1""),)"),"")</f>
        <v/>
      </c>
      <c r="L34" s="61"/>
      <c r="M34" s="32" t="str">
        <f ca="1">IFERROR(__xludf.DUMMYFUNCTION("if($F34&gt;=4,QUERY(Loot!$A$2:$G$904,""Select G where A = '""&amp; $E34 &amp;""' AND D &gt;= ""&amp;T34 &amp;"" LIMIT 1""),)"),"")</f>
        <v/>
      </c>
      <c r="N34" s="61"/>
      <c r="O34" s="32" t="str">
        <f ca="1">IFERROR(__xludf.DUMMYFUNCTION("if($F34&gt;=5,QUERY(Loot!$A$2:$G$904,""Select G where A = '""&amp; $E34 &amp;""' AND D &gt;= ""&amp; U34 &amp;"" LIMIT 1""),)"),"")</f>
        <v/>
      </c>
      <c r="P34" s="61"/>
      <c r="Q34" s="62">
        <v>0.81249362357173327</v>
      </c>
      <c r="R34" s="63">
        <v>0.20518264638473749</v>
      </c>
      <c r="S34" s="63">
        <v>0.28155495210293779</v>
      </c>
      <c r="T34" s="63">
        <v>0.54210132137916356</v>
      </c>
      <c r="U34" s="63">
        <v>0.83968917180425329</v>
      </c>
    </row>
    <row r="35" spans="1:21" ht="16.2">
      <c r="A35" s="5">
        <f t="shared" ca="1" si="1"/>
        <v>34</v>
      </c>
      <c r="B35" s="5">
        <f ca="1">IFERROR(__xludf.DUMMYFUNCTION("if(ISBLANK(C35),,QUERY(MD!A36:D1034,""Select A where C = '""&amp; C35 &amp;""'""))"),238)</f>
        <v>238</v>
      </c>
      <c r="C35" s="5" t="s">
        <v>254</v>
      </c>
      <c r="D35" s="5">
        <f ca="1">IFERROR(__xludf.DUMMYFUNCTION("if(ISBLANK(C35),,QUERY(MD!$A$2:$D$1000,""Select D where C = '""&amp; C35 &amp;""'""))"),450)</f>
        <v>450</v>
      </c>
      <c r="E35" s="59" t="str">
        <f ca="1">IFERROR(__xludf.DUMMYFUNCTION("if(ISBLANK(C35),,QUERY(MD!$A$2:$D$1000,""Select B where C = '""&amp; C35 &amp;""'""))"),"2")</f>
        <v>2</v>
      </c>
      <c r="F35" s="5">
        <f t="shared" ca="1" si="0"/>
        <v>4</v>
      </c>
      <c r="G35" s="32" t="str">
        <f ca="1">IFERROR(__xludf.DUMMYFUNCTION("if($F35&gt;=1,QUERY(Loot!$A$2:$G$904,""Select G where A = '""&amp; $E35 &amp;""' AND D &gt;= ""&amp; Q35  &amp;"" LIMIT 1""),)"),"Greatclub")</f>
        <v>Greatclub</v>
      </c>
      <c r="H35" s="61"/>
      <c r="I35" s="32" t="str">
        <f ca="1">IFERROR(__xludf.DUMMYFUNCTION("if($F35&gt;=2,QUERY(Loot!$A$2:$G$904,""Select G where A = '""&amp; $E35 &amp;""' AND D &gt;= ""&amp; R35 &amp;"" LIMIT 1""),)"),"Lantern, hooded")</f>
        <v>Lantern, hooded</v>
      </c>
      <c r="J35" s="61"/>
      <c r="K35" s="32" t="str">
        <f ca="1">IFERROR(__xludf.DUMMYFUNCTION("if($F35&gt;=3,QUERY(Loot!$A$2:$G$904,""Select G where A = '""&amp; $E35 &amp;""' AND D &gt;= ""&amp; S35  &amp;"" LIMIT 1""),)"),"Greatclub")</f>
        <v>Greatclub</v>
      </c>
      <c r="L35" s="61"/>
      <c r="M35" s="32" t="str">
        <f ca="1">IFERROR(__xludf.DUMMYFUNCTION("if($F35&gt;=4,QUERY(Loot!$A$2:$G$904,""Select G where A = '""&amp; $E35 &amp;""' AND D &gt;= ""&amp;T35 &amp;"" LIMIT 1""),)"),"Lantern, hooded")</f>
        <v>Lantern, hooded</v>
      </c>
      <c r="N35" s="61"/>
      <c r="O35" s="32" t="str">
        <f ca="1">IFERROR(__xludf.DUMMYFUNCTION("if($F35&gt;=5,QUERY(Loot!$A$2:$G$904,""Select G where A = '""&amp; $E35 &amp;""' AND D &gt;= ""&amp; U35 &amp;"" LIMIT 1""),)"),"")</f>
        <v/>
      </c>
      <c r="P35" s="61"/>
      <c r="Q35" s="62">
        <v>0.43580273825293636</v>
      </c>
      <c r="R35" s="63">
        <v>0.17206292643225674</v>
      </c>
      <c r="S35" s="63">
        <v>0.32953668225418364</v>
      </c>
      <c r="T35" s="63">
        <v>0.18080445395040678</v>
      </c>
      <c r="U35" s="63">
        <v>0.90933381150498904</v>
      </c>
    </row>
    <row r="36" spans="1:21" ht="16.2">
      <c r="A36" s="5">
        <f t="shared" ca="1" si="1"/>
        <v>35</v>
      </c>
      <c r="B36" s="5">
        <f ca="1">IFERROR(__xludf.DUMMYFUNCTION("if(ISBLANK(C36),,QUERY(MD!A37:D1035,""Select A where C = '""&amp; C36 &amp;""'""))"),239)</f>
        <v>239</v>
      </c>
      <c r="C36" s="5" t="s">
        <v>256</v>
      </c>
      <c r="D36" s="5">
        <f ca="1">IFERROR(__xludf.DUMMYFUNCTION("if(ISBLANK(C36),,QUERY(MD!$A$2:$D$1000,""Select D where C = '""&amp; C36 &amp;""'""))"),450)</f>
        <v>450</v>
      </c>
      <c r="E36" s="59" t="str">
        <f ca="1">IFERROR(__xludf.DUMMYFUNCTION("if(ISBLANK(C36),,QUERY(MD!$A$2:$D$1000,""Select B where C = '""&amp; C36 &amp;""'""))"),"2")</f>
        <v>2</v>
      </c>
      <c r="F36" s="5">
        <f t="shared" ca="1" si="0"/>
        <v>2</v>
      </c>
      <c r="G36" s="32" t="str">
        <f ca="1">IFERROR(__xludf.DUMMYFUNCTION("if($F36&gt;=1,QUERY(Loot!$A$2:$G$904,""Select G where A = '""&amp; $E36 &amp;""' AND D &gt;= ""&amp; Q36  &amp;"" LIMIT 1""),)"),"Shield, light wooden")</f>
        <v>Shield, light wooden</v>
      </c>
      <c r="H36" s="61"/>
      <c r="I36" s="32" t="str">
        <f ca="1">IFERROR(__xludf.DUMMYFUNCTION("if($F36&gt;=2,QUERY(Loot!$A$2:$G$904,""Select G where A = '""&amp; $E36 &amp;""' AND D &gt;= ""&amp; R36 &amp;"" LIMIT 1""),)"),"Lantern, hooded")</f>
        <v>Lantern, hooded</v>
      </c>
      <c r="J36" s="61"/>
      <c r="K36" s="32" t="str">
        <f ca="1">IFERROR(__xludf.DUMMYFUNCTION("if($F36&gt;=3,QUERY(Loot!$A$2:$G$904,""Select G where A = '""&amp; $E36 &amp;""' AND D &gt;= ""&amp; S36  &amp;"" LIMIT 1""),)"),"")</f>
        <v/>
      </c>
      <c r="L36" s="61"/>
      <c r="M36" s="32" t="str">
        <f ca="1">IFERROR(__xludf.DUMMYFUNCTION("if($F36&gt;=4,QUERY(Loot!$A$2:$G$904,""Select G where A = '""&amp; $E36 &amp;""' AND D &gt;= ""&amp;T36 &amp;"" LIMIT 1""),)"),"")</f>
        <v/>
      </c>
      <c r="N36" s="61"/>
      <c r="O36" s="32" t="str">
        <f ca="1">IFERROR(__xludf.DUMMYFUNCTION("if($F36&gt;=5,QUERY(Loot!$A$2:$G$904,""Select G where A = '""&amp; $E36 &amp;""' AND D &gt;= ""&amp; U36 &amp;"" LIMIT 1""),)"),"")</f>
        <v/>
      </c>
      <c r="P36" s="61"/>
      <c r="Q36" s="62">
        <v>0.8180169188524159</v>
      </c>
      <c r="R36" s="63">
        <v>0.2699937258581584</v>
      </c>
      <c r="S36" s="63">
        <v>0.56700515735155432</v>
      </c>
      <c r="T36" s="63">
        <v>0.77782601949120533</v>
      </c>
      <c r="U36" s="63">
        <v>0.36429480156622962</v>
      </c>
    </row>
    <row r="37" spans="1:21" ht="16.2">
      <c r="A37" s="5">
        <f t="shared" ca="1" si="1"/>
        <v>36</v>
      </c>
      <c r="B37" s="5">
        <f ca="1">IFERROR(__xludf.DUMMYFUNCTION("if(ISBLANK(C37),,QUERY(MD!A38:D1036,""Select A where C = '""&amp; C37 &amp;""'""))"),240)</f>
        <v>240</v>
      </c>
      <c r="C37" s="5" t="s">
        <v>258</v>
      </c>
      <c r="D37" s="5">
        <f ca="1">IFERROR(__xludf.DUMMYFUNCTION("if(ISBLANK(C37),,QUERY(MD!$A$2:$D$1000,""Select D where C = '""&amp; C37 &amp;""'""))"),450)</f>
        <v>450</v>
      </c>
      <c r="E37" s="59" t="str">
        <f ca="1">IFERROR(__xludf.DUMMYFUNCTION("if(ISBLANK(C37),,QUERY(MD!$A$2:$D$1000,""Select B where C = '""&amp; C37 &amp;""'""))"),"2")</f>
        <v>2</v>
      </c>
      <c r="F37" s="5">
        <f t="shared" ca="1" si="0"/>
        <v>1</v>
      </c>
      <c r="G37" s="32" t="str">
        <f ca="1">IFERROR(__xludf.DUMMYFUNCTION("if($F37&gt;=1,QUERY(Loot!$A$2:$G$904,""Select G where A = '""&amp; $E37 &amp;""' AND D &gt;= ""&amp; Q37  &amp;"" LIMIT 1""),)"),"Greatclub")</f>
        <v>Greatclub</v>
      </c>
      <c r="H37" s="61"/>
      <c r="I37" s="32" t="str">
        <f ca="1">IFERROR(__xludf.DUMMYFUNCTION("if($F37&gt;=2,QUERY(Loot!$A$2:$G$904,""Select G where A = '""&amp; $E37 &amp;""' AND D &gt;= ""&amp; R37 &amp;"" LIMIT 1""),)"),"")</f>
        <v/>
      </c>
      <c r="J37" s="61"/>
      <c r="K37" s="32" t="str">
        <f ca="1">IFERROR(__xludf.DUMMYFUNCTION("if($F37&gt;=3,QUERY(Loot!$A$2:$G$904,""Select G where A = '""&amp; $E37 &amp;""' AND D &gt;= ""&amp; S37  &amp;"" LIMIT 1""),)"),"")</f>
        <v/>
      </c>
      <c r="L37" s="61"/>
      <c r="M37" s="32" t="str">
        <f ca="1">IFERROR(__xludf.DUMMYFUNCTION("if($F37&gt;=4,QUERY(Loot!$A$2:$G$904,""Select G where A = '""&amp; $E37 &amp;""' AND D &gt;= ""&amp;T37 &amp;"" LIMIT 1""),)"),"")</f>
        <v/>
      </c>
      <c r="N37" s="61"/>
      <c r="O37" s="32" t="str">
        <f ca="1">IFERROR(__xludf.DUMMYFUNCTION("if($F37&gt;=5,QUERY(Loot!$A$2:$G$904,""Select G where A = '""&amp; $E37 &amp;""' AND D &gt;= ""&amp; U37 &amp;"" LIMIT 1""),)"),"")</f>
        <v/>
      </c>
      <c r="P37" s="61"/>
      <c r="Q37" s="62">
        <v>0.54894633237357571</v>
      </c>
      <c r="R37" s="63">
        <v>0.18441076063397599</v>
      </c>
      <c r="S37" s="63">
        <v>0.98521557171822993</v>
      </c>
      <c r="T37" s="63">
        <v>0.11091193308036462</v>
      </c>
      <c r="U37" s="63">
        <v>0.20904758060771911</v>
      </c>
    </row>
    <row r="38" spans="1:21" ht="16.2">
      <c r="A38" s="5">
        <f t="shared" ca="1" si="1"/>
        <v>37</v>
      </c>
      <c r="B38" s="5">
        <f ca="1">IFERROR(__xludf.DUMMYFUNCTION("if(ISBLANK(C38),,QUERY(MD!A39:D1037,""Select A where C = '""&amp; C38 &amp;""'""))"),241)</f>
        <v>241</v>
      </c>
      <c r="C38" s="5" t="s">
        <v>260</v>
      </c>
      <c r="D38" s="5">
        <f ca="1">IFERROR(__xludf.DUMMYFUNCTION("if(ISBLANK(C38),,QUERY(MD!$A$2:$D$1000,""Select D where C = '""&amp; C38 &amp;""'""))"),450)</f>
        <v>450</v>
      </c>
      <c r="E38" s="59" t="str">
        <f ca="1">IFERROR(__xludf.DUMMYFUNCTION("if(ISBLANK(C38),,QUERY(MD!$A$2:$D$1000,""Select B where C = '""&amp; C38 &amp;""'""))"),"2")</f>
        <v>2</v>
      </c>
      <c r="F38" s="5">
        <f t="shared" ca="1" si="0"/>
        <v>3</v>
      </c>
      <c r="G38" s="32" t="str">
        <f ca="1">IFERROR(__xludf.DUMMYFUNCTION("if($F38&gt;=1,QUERY(Loot!$A$2:$G$904,""Select G where A = '""&amp; $E38 &amp;""' AND D &gt;= ""&amp; Q38  &amp;"" LIMIT 1""),)"),"Greatclub")</f>
        <v>Greatclub</v>
      </c>
      <c r="H38" s="61"/>
      <c r="I38" s="32" t="str">
        <f ca="1">IFERROR(__xludf.DUMMYFUNCTION("if($F38&gt;=2,QUERY(Loot!$A$2:$G$904,""Select G where A = '""&amp; $E38 &amp;""' AND D &gt;= ""&amp; R38 &amp;"" LIMIT 1""),)"),"Greatclub")</f>
        <v>Greatclub</v>
      </c>
      <c r="J38" s="61"/>
      <c r="K38" s="32" t="str">
        <f ca="1">IFERROR(__xludf.DUMMYFUNCTION("if($F38&gt;=3,QUERY(Loot!$A$2:$G$904,""Select G where A = '""&amp; $E38 &amp;""' AND D &gt;= ""&amp; S38  &amp;"" LIMIT 1""),)"),"Shield, light steel")</f>
        <v>Shield, light steel</v>
      </c>
      <c r="L38" s="61"/>
      <c r="M38" s="32" t="str">
        <f ca="1">IFERROR(__xludf.DUMMYFUNCTION("if($F38&gt;=4,QUERY(Loot!$A$2:$G$904,""Select G where A = '""&amp; $E38 &amp;""' AND D &gt;= ""&amp;T38 &amp;"" LIMIT 1""),)"),"")</f>
        <v/>
      </c>
      <c r="N38" s="61"/>
      <c r="O38" s="32" t="str">
        <f ca="1">IFERROR(__xludf.DUMMYFUNCTION("if($F38&gt;=5,QUERY(Loot!$A$2:$G$904,""Select G where A = '""&amp; $E38 &amp;""' AND D &gt;= ""&amp; U38 &amp;"" LIMIT 1""),)"),"")</f>
        <v/>
      </c>
      <c r="P38" s="61"/>
      <c r="Q38" s="62">
        <v>0.57348823027463458</v>
      </c>
      <c r="R38" s="63">
        <v>0.49489953590384583</v>
      </c>
      <c r="S38" s="63">
        <v>0.95212339890399866</v>
      </c>
      <c r="T38" s="63">
        <v>0.56507619061572956</v>
      </c>
      <c r="U38" s="63">
        <v>0.65378767317229036</v>
      </c>
    </row>
    <row r="39" spans="1:21" ht="16.2">
      <c r="A39" s="5">
        <f t="shared" ca="1" si="1"/>
        <v>38</v>
      </c>
      <c r="B39" s="5">
        <f ca="1">IFERROR(__xludf.DUMMYFUNCTION("if(ISBLANK(C39),,QUERY(MD!A40:D1038,""Select A where C = '""&amp; C39 &amp;""'""))"),242)</f>
        <v>242</v>
      </c>
      <c r="C39" s="5" t="s">
        <v>261</v>
      </c>
      <c r="D39" s="5">
        <f ca="1">IFERROR(__xludf.DUMMYFUNCTION("if(ISBLANK(C39),,QUERY(MD!$A$2:$D$1000,""Select D where C = '""&amp; C39 &amp;""'""))"),450)</f>
        <v>450</v>
      </c>
      <c r="E39" s="59" t="str">
        <f ca="1">IFERROR(__xludf.DUMMYFUNCTION("if(ISBLANK(C39),,QUERY(MD!$A$2:$D$1000,""Select B where C = '""&amp; C39 &amp;""'""))"),"2")</f>
        <v>2</v>
      </c>
      <c r="F39" s="5">
        <f t="shared" ca="1" si="0"/>
        <v>1</v>
      </c>
      <c r="G39" s="32" t="str">
        <f ca="1">IFERROR(__xludf.DUMMYFUNCTION("if($F39&gt;=1,QUERY(Loot!$A$2:$G$904,""Select G where A = '""&amp; $E39 &amp;""' AND D &gt;= ""&amp; Q39  &amp;"" LIMIT 1""),)"),"Pick, light")</f>
        <v>Pick, light</v>
      </c>
      <c r="H39" s="61"/>
      <c r="I39" s="32" t="str">
        <f ca="1">IFERROR(__xludf.DUMMYFUNCTION("if($F39&gt;=2,QUERY(Loot!$A$2:$G$904,""Select G where A = '""&amp; $E39 &amp;""' AND D &gt;= ""&amp; R39 &amp;"" LIMIT 1""),)"),"")</f>
        <v/>
      </c>
      <c r="J39" s="61"/>
      <c r="K39" s="32" t="str">
        <f ca="1">IFERROR(__xludf.DUMMYFUNCTION("if($F39&gt;=3,QUERY(Loot!$A$2:$G$904,""Select G where A = '""&amp; $E39 &amp;""' AND D &gt;= ""&amp; S39  &amp;"" LIMIT 1""),)"),"")</f>
        <v/>
      </c>
      <c r="L39" s="61"/>
      <c r="M39" s="32" t="str">
        <f ca="1">IFERROR(__xludf.DUMMYFUNCTION("if($F39&gt;=4,QUERY(Loot!$A$2:$G$904,""Select G where A = '""&amp; $E39 &amp;""' AND D &gt;= ""&amp;T39 &amp;"" LIMIT 1""),)"),"")</f>
        <v/>
      </c>
      <c r="N39" s="61"/>
      <c r="O39" s="32" t="str">
        <f ca="1">IFERROR(__xludf.DUMMYFUNCTION("if($F39&gt;=5,QUERY(Loot!$A$2:$G$904,""Select G where A = '""&amp; $E39 &amp;""' AND D &gt;= ""&amp; U39 &amp;"" LIMIT 1""),)"),"")</f>
        <v/>
      </c>
      <c r="P39" s="61"/>
      <c r="Q39" s="62">
        <v>0.76259510210421699</v>
      </c>
      <c r="R39" s="63">
        <v>0.9969896233860509</v>
      </c>
      <c r="S39" s="63">
        <v>0.78894127025591088</v>
      </c>
      <c r="T39" s="63">
        <v>0.15639246026839171</v>
      </c>
      <c r="U39" s="63">
        <v>0.25775794592276169</v>
      </c>
    </row>
    <row r="40" spans="1:21" ht="16.2">
      <c r="A40" s="5">
        <f t="shared" ca="1" si="1"/>
        <v>39</v>
      </c>
      <c r="B40" s="5">
        <f ca="1">IFERROR(__xludf.DUMMYFUNCTION("if(ISBLANK(C40),,QUERY(MD!A41:D1039,""Select A where C = '""&amp; C40 &amp;""'""))"),243)</f>
        <v>243</v>
      </c>
      <c r="C40" s="5" t="s">
        <v>264</v>
      </c>
      <c r="D40" s="5">
        <f ca="1">IFERROR(__xludf.DUMMYFUNCTION("if(ISBLANK(C40),,QUERY(MD!$A$2:$D$1000,""Select D where C = '""&amp; C40 &amp;""'""))"),450)</f>
        <v>450</v>
      </c>
      <c r="E40" s="59" t="str">
        <f ca="1">IFERROR(__xludf.DUMMYFUNCTION("if(ISBLANK(C40),,QUERY(MD!$A$2:$D$1000,""Select B where C = '""&amp; C40 &amp;""'""))"),"2")</f>
        <v>2</v>
      </c>
      <c r="F40" s="5">
        <f t="shared" ca="1" si="0"/>
        <v>3</v>
      </c>
      <c r="G40" s="32" t="str">
        <f ca="1">IFERROR(__xludf.DUMMYFUNCTION("if($F40&gt;=1,QUERY(Loot!$A$2:$G$904,""Select G where A = '""&amp; $E40 &amp;""' AND D &gt;= ""&amp; Q40  &amp;"" LIMIT 1""),)"),"Greatclub")</f>
        <v>Greatclub</v>
      </c>
      <c r="H40" s="61"/>
      <c r="I40" s="32" t="str">
        <f ca="1">IFERROR(__xludf.DUMMYFUNCTION("if($F40&gt;=2,QUERY(Loot!$A$2:$G$904,""Select G where A = '""&amp; $E40 &amp;""' AND D &gt;= ""&amp; R40 &amp;"" LIMIT 1""),)"),"Shield, light wooden")</f>
        <v>Shield, light wooden</v>
      </c>
      <c r="J40" s="61"/>
      <c r="K40" s="32" t="str">
        <f ca="1">IFERROR(__xludf.DUMMYFUNCTION("if($F40&gt;=3,QUERY(Loot!$A$2:$G$904,""Select G where A = '""&amp; $E40 &amp;""' AND D &gt;= ""&amp; S40  &amp;"" LIMIT 1""),)"),"Signal whistle")</f>
        <v>Signal whistle</v>
      </c>
      <c r="L40" s="61"/>
      <c r="M40" s="32" t="str">
        <f ca="1">IFERROR(__xludf.DUMMYFUNCTION("if($F40&gt;=4,QUERY(Loot!$A$2:$G$904,""Select G where A = '""&amp; $E40 &amp;""' AND D &gt;= ""&amp;T40 &amp;"" LIMIT 1""),)"),"")</f>
        <v/>
      </c>
      <c r="N40" s="61"/>
      <c r="O40" s="32" t="str">
        <f ca="1">IFERROR(__xludf.DUMMYFUNCTION("if($F40&gt;=5,QUERY(Loot!$A$2:$G$904,""Select G where A = '""&amp; $E40 &amp;""' AND D &gt;= ""&amp; U40 &amp;"" LIMIT 1""),)"),"")</f>
        <v/>
      </c>
      <c r="P40" s="61"/>
      <c r="Q40" s="62">
        <v>0.42589044618020633</v>
      </c>
      <c r="R40" s="63">
        <v>0.81775884171048696</v>
      </c>
      <c r="S40" s="63">
        <v>1.5672252929622821E-2</v>
      </c>
      <c r="T40" s="63">
        <v>0.50761335169505906</v>
      </c>
      <c r="U40" s="63">
        <v>0.78782663105770845</v>
      </c>
    </row>
    <row r="41" spans="1:21" ht="16.2">
      <c r="A41" s="5">
        <f t="shared" ca="1" si="1"/>
        <v>40</v>
      </c>
      <c r="B41" s="5">
        <f ca="1">IFERROR(__xludf.DUMMYFUNCTION("if(ISBLANK(C41),,QUERY(MD!A42:D1040,""Select A where C = '""&amp; C41 &amp;""'""))"),244)</f>
        <v>244</v>
      </c>
      <c r="C41" s="5" t="s">
        <v>265</v>
      </c>
      <c r="D41" s="5">
        <f ca="1">IFERROR(__xludf.DUMMYFUNCTION("if(ISBLANK(C41),,QUERY(MD!$A$2:$D$1000,""Select D where C = '""&amp; C41 &amp;""'""))"),450)</f>
        <v>450</v>
      </c>
      <c r="E41" s="59" t="str">
        <f ca="1">IFERROR(__xludf.DUMMYFUNCTION("if(ISBLANK(C41),,QUERY(MD!$A$2:$D$1000,""Select B where C = '""&amp; C41 &amp;""'""))"),"2")</f>
        <v>2</v>
      </c>
      <c r="F41" s="5">
        <f t="shared" ca="1" si="0"/>
        <v>1</v>
      </c>
      <c r="G41" s="32" t="str">
        <f ca="1">IFERROR(__xludf.DUMMYFUNCTION("if($F41&gt;=1,QUERY(Loot!$A$2:$G$904,""Select G where A = '""&amp; $E41 &amp;""' AND D &gt;= ""&amp; Q41  &amp;"" LIMIT 1""),)"),"Greatclub")</f>
        <v>Greatclub</v>
      </c>
      <c r="H41" s="61"/>
      <c r="I41" s="32" t="str">
        <f ca="1">IFERROR(__xludf.DUMMYFUNCTION("if($F41&gt;=2,QUERY(Loot!$A$2:$G$904,""Select G where A = '""&amp; $E41 &amp;""' AND D &gt;= ""&amp; R41 &amp;"" LIMIT 1""),)"),"")</f>
        <v/>
      </c>
      <c r="J41" s="61"/>
      <c r="K41" s="32" t="str">
        <f ca="1">IFERROR(__xludf.DUMMYFUNCTION("if($F41&gt;=3,QUERY(Loot!$A$2:$G$904,""Select G where A = '""&amp; $E41 &amp;""' AND D &gt;= ""&amp; S41  &amp;"" LIMIT 1""),)"),"")</f>
        <v/>
      </c>
      <c r="L41" s="61"/>
      <c r="M41" s="32" t="str">
        <f ca="1">IFERROR(__xludf.DUMMYFUNCTION("if($F41&gt;=4,QUERY(Loot!$A$2:$G$904,""Select G where A = '""&amp; $E41 &amp;""' AND D &gt;= ""&amp;T41 &amp;"" LIMIT 1""),)"),"")</f>
        <v/>
      </c>
      <c r="N41" s="61"/>
      <c r="O41" s="32" t="str">
        <f ca="1">IFERROR(__xludf.DUMMYFUNCTION("if($F41&gt;=5,QUERY(Loot!$A$2:$G$904,""Select G where A = '""&amp; $E41 &amp;""' AND D &gt;= ""&amp; U41 &amp;"" LIMIT 1""),)"),"")</f>
        <v/>
      </c>
      <c r="P41" s="61"/>
      <c r="Q41" s="62">
        <v>0.31477361531649295</v>
      </c>
      <c r="R41" s="63">
        <v>0.59085907673452287</v>
      </c>
      <c r="S41" s="63">
        <v>0.79699476259270896</v>
      </c>
      <c r="T41" s="63">
        <v>0.84878141150353659</v>
      </c>
      <c r="U41" s="63">
        <v>0.28480375840770522</v>
      </c>
    </row>
    <row r="42" spans="1:21" ht="16.2">
      <c r="A42" s="5">
        <f t="shared" ca="1" si="1"/>
        <v>41</v>
      </c>
      <c r="B42" s="5">
        <f ca="1">IFERROR(__xludf.DUMMYFUNCTION("if(ISBLANK(C42),,QUERY(MD!A43:D1041,""Select A where C = '""&amp; C42 &amp;""'""))"),245)</f>
        <v>245</v>
      </c>
      <c r="C42" s="5" t="s">
        <v>266</v>
      </c>
      <c r="D42" s="5">
        <f ca="1">IFERROR(__xludf.DUMMYFUNCTION("if(ISBLANK(C42),,QUERY(MD!$A$2:$D$1000,""Select D where C = '""&amp; C42 &amp;""'""))"),450)</f>
        <v>450</v>
      </c>
      <c r="E42" s="59" t="str">
        <f ca="1">IFERROR(__xludf.DUMMYFUNCTION("if(ISBLANK(C42),,QUERY(MD!$A$2:$D$1000,""Select B where C = '""&amp; C42 &amp;""'""))"),"2")</f>
        <v>2</v>
      </c>
      <c r="F42" s="5">
        <f t="shared" ca="1" si="0"/>
        <v>3</v>
      </c>
      <c r="G42" s="32" t="str">
        <f ca="1">IFERROR(__xludf.DUMMYFUNCTION("if($F42&gt;=1,QUERY(Loot!$A$2:$G$904,""Select G where A = '""&amp; $E42 &amp;""' AND D &gt;= ""&amp; Q42  &amp;"" LIMIT 1""),)"),"Greatclub")</f>
        <v>Greatclub</v>
      </c>
      <c r="H42" s="61"/>
      <c r="I42" s="32" t="str">
        <f ca="1">IFERROR(__xludf.DUMMYFUNCTION("if($F42&gt;=2,QUERY(Loot!$A$2:$G$904,""Select G where A = '""&amp; $E42 &amp;""' AND D &gt;= ""&amp; R42 &amp;"" LIMIT 1""),)"),"Lantern, hooded")</f>
        <v>Lantern, hooded</v>
      </c>
      <c r="J42" s="61"/>
      <c r="K42" s="32" t="str">
        <f ca="1">IFERROR(__xludf.DUMMYFUNCTION("if($F42&gt;=3,QUERY(Loot!$A$2:$G$904,""Select G where A = '""&amp; $E42 &amp;""' AND D &gt;= ""&amp; S42  &amp;"" LIMIT 1""),)"),"Greatclub")</f>
        <v>Greatclub</v>
      </c>
      <c r="L42" s="61"/>
      <c r="M42" s="32" t="str">
        <f ca="1">IFERROR(__xludf.DUMMYFUNCTION("if($F42&gt;=4,QUERY(Loot!$A$2:$G$904,""Select G where A = '""&amp; $E42 &amp;""' AND D &gt;= ""&amp;T42 &amp;"" LIMIT 1""),)"),"")</f>
        <v/>
      </c>
      <c r="N42" s="61"/>
      <c r="O42" s="32" t="str">
        <f ca="1">IFERROR(__xludf.DUMMYFUNCTION("if($F42&gt;=5,QUERY(Loot!$A$2:$G$904,""Select G where A = '""&amp; $E42 &amp;""' AND D &gt;= ""&amp; U42 &amp;"" LIMIT 1""),)"),"")</f>
        <v/>
      </c>
      <c r="P42" s="61"/>
      <c r="Q42" s="62">
        <v>0.47737476529484679</v>
      </c>
      <c r="R42" s="63">
        <v>0.16174016993296669</v>
      </c>
      <c r="S42" s="63">
        <v>0.47624211471782729</v>
      </c>
      <c r="T42" s="63">
        <v>0.17781937337209586</v>
      </c>
      <c r="U42" s="63">
        <v>0.21811192110773869</v>
      </c>
    </row>
    <row r="43" spans="1:21" ht="16.2">
      <c r="A43" s="5">
        <f t="shared" ca="1" si="1"/>
        <v>42</v>
      </c>
      <c r="B43" s="5">
        <f ca="1">IFERROR(__xludf.DUMMYFUNCTION("if(ISBLANK(C43),,QUERY(MD!A44:D1042,""Select A where C = '""&amp; C43 &amp;""'""))"),246)</f>
        <v>246</v>
      </c>
      <c r="C43" s="5" t="s">
        <v>267</v>
      </c>
      <c r="D43" s="5">
        <f ca="1">IFERROR(__xludf.DUMMYFUNCTION("if(ISBLANK(C43),,QUERY(MD!$A$2:$D$1000,""Select D where C = '""&amp; C43 &amp;""'""))"),450)</f>
        <v>450</v>
      </c>
      <c r="E43" s="59" t="str">
        <f ca="1">IFERROR(__xludf.DUMMYFUNCTION("if(ISBLANK(C43),,QUERY(MD!$A$2:$D$1000,""Select B where C = '""&amp; C43 &amp;""'""))"),"2")</f>
        <v>2</v>
      </c>
      <c r="F43" s="5">
        <f t="shared" ca="1" si="0"/>
        <v>1</v>
      </c>
      <c r="G43" s="32" t="str">
        <f ca="1">IFERROR(__xludf.DUMMYFUNCTION("if($F43&gt;=1,QUERY(Loot!$A$2:$G$904,""Select G where A = '""&amp; $E43 &amp;""' AND D &gt;= ""&amp; Q43  &amp;"" LIMIT 1""),)"),"Greatclub")</f>
        <v>Greatclub</v>
      </c>
      <c r="H43" s="61"/>
      <c r="I43" s="32" t="str">
        <f ca="1">IFERROR(__xludf.DUMMYFUNCTION("if($F43&gt;=2,QUERY(Loot!$A$2:$G$904,""Select G where A = '""&amp; $E43 &amp;""' AND D &gt;= ""&amp; R43 &amp;"" LIMIT 1""),)"),"")</f>
        <v/>
      </c>
      <c r="J43" s="61"/>
      <c r="K43" s="32" t="str">
        <f ca="1">IFERROR(__xludf.DUMMYFUNCTION("if($F43&gt;=3,QUERY(Loot!$A$2:$G$904,""Select G where A = '""&amp; $E43 &amp;""' AND D &gt;= ""&amp; S43  &amp;"" LIMIT 1""),)"),"")</f>
        <v/>
      </c>
      <c r="L43" s="61"/>
      <c r="M43" s="32" t="str">
        <f ca="1">IFERROR(__xludf.DUMMYFUNCTION("if($F43&gt;=4,QUERY(Loot!$A$2:$G$904,""Select G where A = '""&amp; $E43 &amp;""' AND D &gt;= ""&amp;T43 &amp;"" LIMIT 1""),)"),"")</f>
        <v/>
      </c>
      <c r="N43" s="61"/>
      <c r="O43" s="32" t="str">
        <f ca="1">IFERROR(__xludf.DUMMYFUNCTION("if($F43&gt;=5,QUERY(Loot!$A$2:$G$904,""Select G where A = '""&amp; $E43 &amp;""' AND D &gt;= ""&amp; U43 &amp;"" LIMIT 1""),)"),"")</f>
        <v/>
      </c>
      <c r="P43" s="61"/>
      <c r="Q43" s="62">
        <v>0.41122484394009862</v>
      </c>
      <c r="R43" s="63">
        <v>0.14691321346448694</v>
      </c>
      <c r="S43" s="63">
        <v>0.34885927518223625</v>
      </c>
      <c r="T43" s="63">
        <v>0.91091749869334593</v>
      </c>
      <c r="U43" s="63">
        <v>0.81794527947508511</v>
      </c>
    </row>
    <row r="44" spans="1:21" ht="16.2">
      <c r="A44" s="5">
        <f t="shared" ca="1" si="1"/>
        <v>43</v>
      </c>
      <c r="B44" s="5">
        <f ca="1">IFERROR(__xludf.DUMMYFUNCTION("if(ISBLANK(C44),,QUERY(MD!A45:D1043,""Select A where C = '""&amp; C44 &amp;""'""))"),247)</f>
        <v>247</v>
      </c>
      <c r="C44" s="5" t="s">
        <v>268</v>
      </c>
      <c r="D44" s="5">
        <f ca="1">IFERROR(__xludf.DUMMYFUNCTION("if(ISBLANK(C44),,QUERY(MD!$A$2:$D$1000,""Select D where C = '""&amp; C44 &amp;""'""))"),450)</f>
        <v>450</v>
      </c>
      <c r="E44" s="59" t="str">
        <f ca="1">IFERROR(__xludf.DUMMYFUNCTION("if(ISBLANK(C44),,QUERY(MD!$A$2:$D$1000,""Select B where C = '""&amp; C44 &amp;""'""))"),"2")</f>
        <v>2</v>
      </c>
      <c r="F44" s="5">
        <f t="shared" ca="1" si="0"/>
        <v>3</v>
      </c>
      <c r="G44" s="32" t="str">
        <f ca="1">IFERROR(__xludf.DUMMYFUNCTION("if($F44&gt;=1,QUERY(Loot!$A$2:$G$904,""Select G where A = '""&amp; $E44 &amp;""' AND D &gt;= ""&amp; Q44  &amp;"" LIMIT 1""),)"),"Greatclub")</f>
        <v>Greatclub</v>
      </c>
      <c r="H44" s="61"/>
      <c r="I44" s="32" t="str">
        <f ca="1">IFERROR(__xludf.DUMMYFUNCTION("if($F44&gt;=2,QUERY(Loot!$A$2:$G$904,""Select G where A = '""&amp; $E44 &amp;""' AND D &gt;= ""&amp; R44 &amp;"" LIMIT 1""),)"),"Lantern, hooded")</f>
        <v>Lantern, hooded</v>
      </c>
      <c r="J44" s="61"/>
      <c r="K44" s="32" t="str">
        <f ca="1">IFERROR(__xludf.DUMMYFUNCTION("if($F44&gt;=3,QUERY(Loot!$A$2:$G$904,""Select G where A = '""&amp; $E44 &amp;""' AND D &gt;= ""&amp; S44  &amp;"" LIMIT 1""),)"),"Pick, light")</f>
        <v>Pick, light</v>
      </c>
      <c r="L44" s="61"/>
      <c r="M44" s="32" t="str">
        <f ca="1">IFERROR(__xludf.DUMMYFUNCTION("if($F44&gt;=4,QUERY(Loot!$A$2:$G$904,""Select G where A = '""&amp; $E44 &amp;""' AND D &gt;= ""&amp;T44 &amp;"" LIMIT 1""),)"),"")</f>
        <v/>
      </c>
      <c r="N44" s="61"/>
      <c r="O44" s="32" t="str">
        <f ca="1">IFERROR(__xludf.DUMMYFUNCTION("if($F44&gt;=5,QUERY(Loot!$A$2:$G$904,""Select G where A = '""&amp; $E44 &amp;""' AND D &gt;= ""&amp; U44 &amp;"" LIMIT 1""),)"),"")</f>
        <v/>
      </c>
      <c r="P44" s="61"/>
      <c r="Q44" s="62">
        <v>0.62941163289619306</v>
      </c>
      <c r="R44" s="63">
        <v>0.23763000846443649</v>
      </c>
      <c r="S44" s="63">
        <v>0.73627395131504869</v>
      </c>
      <c r="T44" s="63">
        <v>0.15806587118390181</v>
      </c>
      <c r="U44" s="63">
        <v>0.96520786598623487</v>
      </c>
    </row>
    <row r="45" spans="1:21" ht="16.2">
      <c r="A45" s="5">
        <f t="shared" ca="1" si="1"/>
        <v>44</v>
      </c>
      <c r="B45" s="5">
        <f ca="1">IFERROR(__xludf.DUMMYFUNCTION("if(ISBLANK(C45),,QUERY(MD!A46:D1044,""Select A where C = '""&amp; C45 &amp;""'""))"),248)</f>
        <v>248</v>
      </c>
      <c r="C45" s="5" t="s">
        <v>269</v>
      </c>
      <c r="D45" s="5">
        <f ca="1">IFERROR(__xludf.DUMMYFUNCTION("if(ISBLANK(C45),,QUERY(MD!$A$2:$D$1000,""Select D where C = '""&amp; C45 &amp;""'""))"),450)</f>
        <v>450</v>
      </c>
      <c r="E45" s="59" t="str">
        <f ca="1">IFERROR(__xludf.DUMMYFUNCTION("if(ISBLANK(C45),,QUERY(MD!$A$2:$D$1000,""Select B where C = '""&amp; C45 &amp;""'""))"),"2")</f>
        <v>2</v>
      </c>
      <c r="F45" s="5">
        <f t="shared" ca="1" si="0"/>
        <v>1</v>
      </c>
      <c r="G45" s="32" t="str">
        <f ca="1">IFERROR(__xludf.DUMMYFUNCTION("if($F45&gt;=1,QUERY(Loot!$A$2:$G$904,""Select G where A = '""&amp; $E45 &amp;""' AND D &gt;= ""&amp; Q45  &amp;"" LIMIT 1""),)"),"Lantern, hooded")</f>
        <v>Lantern, hooded</v>
      </c>
      <c r="H45" s="61"/>
      <c r="I45" s="32" t="str">
        <f ca="1">IFERROR(__xludf.DUMMYFUNCTION("if($F45&gt;=2,QUERY(Loot!$A$2:$G$904,""Select G where A = '""&amp; $E45 &amp;""' AND D &gt;= ""&amp; R45 &amp;"" LIMIT 1""),)"),"")</f>
        <v/>
      </c>
      <c r="J45" s="61"/>
      <c r="K45" s="32" t="str">
        <f ca="1">IFERROR(__xludf.DUMMYFUNCTION("if($F45&gt;=3,QUERY(Loot!$A$2:$G$904,""Select G where A = '""&amp; $E45 &amp;""' AND D &gt;= ""&amp; S45  &amp;"" LIMIT 1""),)"),"")</f>
        <v/>
      </c>
      <c r="L45" s="61"/>
      <c r="M45" s="32" t="str">
        <f ca="1">IFERROR(__xludf.DUMMYFUNCTION("if($F45&gt;=4,QUERY(Loot!$A$2:$G$904,""Select G where A = '""&amp; $E45 &amp;""' AND D &gt;= ""&amp;T45 &amp;"" LIMIT 1""),)"),"")</f>
        <v/>
      </c>
      <c r="N45" s="61"/>
      <c r="O45" s="32" t="str">
        <f ca="1">IFERROR(__xludf.DUMMYFUNCTION("if($F45&gt;=5,QUERY(Loot!$A$2:$G$904,""Select G where A = '""&amp; $E45 &amp;""' AND D &gt;= ""&amp; U45 &amp;"" LIMIT 1""),)"),"")</f>
        <v/>
      </c>
      <c r="P45" s="61"/>
      <c r="Q45" s="62">
        <v>0.27639199065723619</v>
      </c>
      <c r="R45" s="63">
        <v>0.46914991696413633</v>
      </c>
      <c r="S45" s="63">
        <v>0.33149236592897657</v>
      </c>
      <c r="T45" s="63">
        <v>0.99747590183960766</v>
      </c>
      <c r="U45" s="63">
        <v>0.29959614235951215</v>
      </c>
    </row>
    <row r="46" spans="1:21" ht="16.2">
      <c r="A46" s="5">
        <f t="shared" ca="1" si="1"/>
        <v>45</v>
      </c>
      <c r="B46" s="5">
        <f ca="1">IFERROR(__xludf.DUMMYFUNCTION("if(ISBLANK(C46),,QUERY(MD!A47:D1045,""Select A where C = '""&amp; C46 &amp;""'""))"),249)</f>
        <v>249</v>
      </c>
      <c r="C46" s="5" t="s">
        <v>270</v>
      </c>
      <c r="D46" s="5">
        <f ca="1">IFERROR(__xludf.DUMMYFUNCTION("if(ISBLANK(C46),,QUERY(MD!$A$2:$D$1000,""Select D where C = '""&amp; C46 &amp;""'""))"),450)</f>
        <v>450</v>
      </c>
      <c r="E46" s="59" t="str">
        <f ca="1">IFERROR(__xludf.DUMMYFUNCTION("if(ISBLANK(C46),,QUERY(MD!$A$2:$D$1000,""Select B where C = '""&amp; C46 &amp;""'""))"),"2")</f>
        <v>2</v>
      </c>
      <c r="F46" s="5">
        <f t="shared" ca="1" si="0"/>
        <v>3</v>
      </c>
      <c r="G46" s="32" t="str">
        <f ca="1">IFERROR(__xludf.DUMMYFUNCTION("if($F46&gt;=1,QUERY(Loot!$A$2:$G$904,""Select G where A = '""&amp; $E46 &amp;""' AND D &gt;= ""&amp; Q46  &amp;"" LIMIT 1""),)"),"Lantern, hooded")</f>
        <v>Lantern, hooded</v>
      </c>
      <c r="H46" s="61"/>
      <c r="I46" s="32" t="str">
        <f ca="1">IFERROR(__xludf.DUMMYFUNCTION("if($F46&gt;=2,QUERY(Loot!$A$2:$G$904,""Select G where A = '""&amp; $E46 &amp;""' AND D &gt;= ""&amp; R46 &amp;"" LIMIT 1""),)"),"Shield, light wooden")</f>
        <v>Shield, light wooden</v>
      </c>
      <c r="J46" s="61"/>
      <c r="K46" s="32" t="str">
        <f ca="1">IFERROR(__xludf.DUMMYFUNCTION("if($F46&gt;=3,QUERY(Loot!$A$2:$G$904,""Select G where A = '""&amp; $E46 &amp;""' AND D &gt;= ""&amp; S46  &amp;"" LIMIT 1""),)"),"Greatclub")</f>
        <v>Greatclub</v>
      </c>
      <c r="L46" s="61"/>
      <c r="M46" s="32" t="str">
        <f ca="1">IFERROR(__xludf.DUMMYFUNCTION("if($F46&gt;=4,QUERY(Loot!$A$2:$G$904,""Select G where A = '""&amp; $E46 &amp;""' AND D &gt;= ""&amp;T46 &amp;"" LIMIT 1""),)"),"")</f>
        <v/>
      </c>
      <c r="N46" s="61"/>
      <c r="O46" s="32" t="str">
        <f ca="1">IFERROR(__xludf.DUMMYFUNCTION("if($F46&gt;=5,QUERY(Loot!$A$2:$G$904,""Select G where A = '""&amp; $E46 &amp;""' AND D &gt;= ""&amp; U46 &amp;"" LIMIT 1""),)"),"")</f>
        <v/>
      </c>
      <c r="P46" s="61"/>
      <c r="Q46" s="62">
        <v>0.26025674367087603</v>
      </c>
      <c r="R46" s="63">
        <v>0.84792975971506834</v>
      </c>
      <c r="S46" s="63">
        <v>0.53685158084437901</v>
      </c>
      <c r="T46" s="63">
        <v>0.87661825296693108</v>
      </c>
      <c r="U46" s="63">
        <v>0.6949670658864453</v>
      </c>
    </row>
    <row r="47" spans="1:21" ht="16.2">
      <c r="A47" s="5">
        <f t="shared" ca="1" si="1"/>
        <v>46</v>
      </c>
      <c r="B47" s="5">
        <f ca="1">IFERROR(__xludf.DUMMYFUNCTION("if(ISBLANK(C47),,QUERY(MD!A48:D1046,""Select A where C = '""&amp; C47 &amp;""'""))"),250)</f>
        <v>250</v>
      </c>
      <c r="C47" s="5" t="s">
        <v>271</v>
      </c>
      <c r="D47" s="5">
        <f ca="1">IFERROR(__xludf.DUMMYFUNCTION("if(ISBLANK(C47),,QUERY(MD!$A$2:$D$1000,""Select D where C = '""&amp; C47 &amp;""'""))"),450)</f>
        <v>450</v>
      </c>
      <c r="E47" s="59" t="str">
        <f ca="1">IFERROR(__xludf.DUMMYFUNCTION("if(ISBLANK(C47),,QUERY(MD!$A$2:$D$1000,""Select B where C = '""&amp; C47 &amp;""'""))"),"2")</f>
        <v>2</v>
      </c>
      <c r="F47" s="5">
        <f t="shared" ca="1" si="0"/>
        <v>1</v>
      </c>
      <c r="G47" s="32" t="str">
        <f ca="1">IFERROR(__xludf.DUMMYFUNCTION("if($F47&gt;=1,QUERY(Loot!$A$2:$G$904,""Select G where A = '""&amp; $E47 &amp;""' AND D &gt;= ""&amp; Q47  &amp;"" LIMIT 1""),)"),"Pick, light")</f>
        <v>Pick, light</v>
      </c>
      <c r="H47" s="61"/>
      <c r="I47" s="32" t="str">
        <f ca="1">IFERROR(__xludf.DUMMYFUNCTION("if($F47&gt;=2,QUERY(Loot!$A$2:$G$904,""Select G where A = '""&amp; $E47 &amp;""' AND D &gt;= ""&amp; R47 &amp;"" LIMIT 1""),)"),"")</f>
        <v/>
      </c>
      <c r="J47" s="61"/>
      <c r="K47" s="32" t="str">
        <f ca="1">IFERROR(__xludf.DUMMYFUNCTION("if($F47&gt;=3,QUERY(Loot!$A$2:$G$904,""Select G where A = '""&amp; $E47 &amp;""' AND D &gt;= ""&amp; S47  &amp;"" LIMIT 1""),)"),"")</f>
        <v/>
      </c>
      <c r="L47" s="61"/>
      <c r="M47" s="32" t="str">
        <f ca="1">IFERROR(__xludf.DUMMYFUNCTION("if($F47&gt;=4,QUERY(Loot!$A$2:$G$904,""Select G where A = '""&amp; $E47 &amp;""' AND D &gt;= ""&amp;T47 &amp;"" LIMIT 1""),)"),"")</f>
        <v/>
      </c>
      <c r="N47" s="61"/>
      <c r="O47" s="32" t="str">
        <f ca="1">IFERROR(__xludf.DUMMYFUNCTION("if($F47&gt;=5,QUERY(Loot!$A$2:$G$904,""Select G where A = '""&amp; $E47 &amp;""' AND D &gt;= ""&amp; U47 &amp;"" LIMIT 1""),)"),"")</f>
        <v/>
      </c>
      <c r="P47" s="61"/>
      <c r="Q47" s="62">
        <v>0.70773658785546267</v>
      </c>
      <c r="R47" s="63">
        <v>0.18634280436818862</v>
      </c>
      <c r="S47" s="63">
        <v>0.98086427359743744</v>
      </c>
      <c r="T47" s="63">
        <v>9.2906180669247496E-2</v>
      </c>
      <c r="U47" s="63">
        <v>0.68510303614183699</v>
      </c>
    </row>
    <row r="48" spans="1:21" ht="16.2">
      <c r="A48" s="5">
        <f t="shared" ca="1" si="1"/>
        <v>47</v>
      </c>
      <c r="B48" s="5">
        <f ca="1">IFERROR(__xludf.DUMMYFUNCTION("if(ISBLANK(C48),,QUERY(MD!A49:D1047,""Select A where C = '""&amp; C48 &amp;""'""))"),251)</f>
        <v>251</v>
      </c>
      <c r="C48" s="5" t="s">
        <v>273</v>
      </c>
      <c r="D48" s="5">
        <f ca="1">IFERROR(__xludf.DUMMYFUNCTION("if(ISBLANK(C48),,QUERY(MD!$A$2:$D$1000,""Select D where C = '""&amp; C48 &amp;""'""))"),450)</f>
        <v>450</v>
      </c>
      <c r="E48" s="59" t="str">
        <f ca="1">IFERROR(__xludf.DUMMYFUNCTION("if(ISBLANK(C48),,QUERY(MD!$A$2:$D$1000,""Select B where C = '""&amp; C48 &amp;""'""))"),"2")</f>
        <v>2</v>
      </c>
      <c r="F48" s="5">
        <f t="shared" ca="1" si="0"/>
        <v>3</v>
      </c>
      <c r="G48" s="32" t="str">
        <f ca="1">IFERROR(__xludf.DUMMYFUNCTION("if($F48&gt;=1,QUERY(Loot!$A$2:$G$904,""Select G where A = '""&amp; $E48 &amp;""' AND D &gt;= ""&amp; Q48  &amp;"" LIMIT 1""),)"),"Pick, light")</f>
        <v>Pick, light</v>
      </c>
      <c r="H48" s="61"/>
      <c r="I48" s="32" t="str">
        <f ca="1">IFERROR(__xludf.DUMMYFUNCTION("if($F48&gt;=2,QUERY(Loot!$A$2:$G$904,""Select G where A = '""&amp; $E48 &amp;""' AND D &gt;= ""&amp; R48 &amp;"" LIMIT 1""),)"),"Pick, light")</f>
        <v>Pick, light</v>
      </c>
      <c r="J48" s="61"/>
      <c r="K48" s="32" t="str">
        <f ca="1">IFERROR(__xludf.DUMMYFUNCTION("if($F48&gt;=3,QUERY(Loot!$A$2:$G$904,""Select G where A = '""&amp; $E48 &amp;""' AND D &gt;= ""&amp; S48  &amp;"" LIMIT 1""),)"),"Lantern, hooded")</f>
        <v>Lantern, hooded</v>
      </c>
      <c r="L48" s="61"/>
      <c r="M48" s="32" t="str">
        <f ca="1">IFERROR(__xludf.DUMMYFUNCTION("if($F48&gt;=4,QUERY(Loot!$A$2:$G$904,""Select G where A = '""&amp; $E48 &amp;""' AND D &gt;= ""&amp;T48 &amp;"" LIMIT 1""),)"),"")</f>
        <v/>
      </c>
      <c r="N48" s="61"/>
      <c r="O48" s="32" t="str">
        <f ca="1">IFERROR(__xludf.DUMMYFUNCTION("if($F48&gt;=5,QUERY(Loot!$A$2:$G$904,""Select G where A = '""&amp; $E48 &amp;""' AND D &gt;= ""&amp; U48 &amp;"" LIMIT 1""),)"),"")</f>
        <v/>
      </c>
      <c r="P48" s="61"/>
      <c r="Q48" s="62">
        <v>0.76167970533058116</v>
      </c>
      <c r="R48" s="63">
        <v>0.76816445992202909</v>
      </c>
      <c r="S48" s="63">
        <v>0.22556444570752721</v>
      </c>
      <c r="T48" s="63">
        <v>0.3701797780210534</v>
      </c>
      <c r="U48" s="63">
        <v>0.54612127206503025</v>
      </c>
    </row>
    <row r="49" spans="1:21" ht="16.2">
      <c r="A49" s="5">
        <f t="shared" ca="1" si="1"/>
        <v>48</v>
      </c>
      <c r="B49" s="5">
        <f ca="1">IFERROR(__xludf.DUMMYFUNCTION("if(ISBLANK(C49),,QUERY(MD!A50:D1048,""Select A where C = '""&amp; C49 &amp;""'""))"),252)</f>
        <v>252</v>
      </c>
      <c r="C49" s="5" t="s">
        <v>275</v>
      </c>
      <c r="D49" s="5">
        <f ca="1">IFERROR(__xludf.DUMMYFUNCTION("if(ISBLANK(C49),,QUERY(MD!$A$2:$D$1000,""Select D where C = '""&amp; C49 &amp;""'""))"),450)</f>
        <v>450</v>
      </c>
      <c r="E49" s="59" t="str">
        <f ca="1">IFERROR(__xludf.DUMMYFUNCTION("if(ISBLANK(C49),,QUERY(MD!$A$2:$D$1000,""Select B where C = '""&amp; C49 &amp;""'""))"),"2")</f>
        <v>2</v>
      </c>
      <c r="F49" s="5">
        <f t="shared" ca="1" si="0"/>
        <v>1</v>
      </c>
      <c r="G49" s="32" t="str">
        <f ca="1">IFERROR(__xludf.DUMMYFUNCTION("if($F49&gt;=1,QUERY(Loot!$A$2:$G$904,""Select G where A = '""&amp; $E49 &amp;""' AND D &gt;= ""&amp; Q49  &amp;"" LIMIT 1""),)"),"Pick, light")</f>
        <v>Pick, light</v>
      </c>
      <c r="H49" s="61"/>
      <c r="I49" s="32" t="str">
        <f ca="1">IFERROR(__xludf.DUMMYFUNCTION("if($F49&gt;=2,QUERY(Loot!$A$2:$G$904,""Select G where A = '""&amp; $E49 &amp;""' AND D &gt;= ""&amp; R49 &amp;"" LIMIT 1""),)"),"")</f>
        <v/>
      </c>
      <c r="J49" s="61"/>
      <c r="K49" s="32" t="str">
        <f ca="1">IFERROR(__xludf.DUMMYFUNCTION("if($F49&gt;=3,QUERY(Loot!$A$2:$G$904,""Select G where A = '""&amp; $E49 &amp;""' AND D &gt;= ""&amp; S49  &amp;"" LIMIT 1""),)"),"")</f>
        <v/>
      </c>
      <c r="L49" s="61"/>
      <c r="M49" s="32" t="str">
        <f ca="1">IFERROR(__xludf.DUMMYFUNCTION("if($F49&gt;=4,QUERY(Loot!$A$2:$G$904,""Select G where A = '""&amp; $E49 &amp;""' AND D &gt;= ""&amp;T49 &amp;"" LIMIT 1""),)"),"")</f>
        <v/>
      </c>
      <c r="N49" s="61"/>
      <c r="O49" s="32" t="str">
        <f ca="1">IFERROR(__xludf.DUMMYFUNCTION("if($F49&gt;=5,QUERY(Loot!$A$2:$G$904,""Select G where A = '""&amp; $E49 &amp;""' AND D &gt;= ""&amp; U49 &amp;"" LIMIT 1""),)"),"")</f>
        <v/>
      </c>
      <c r="P49" s="61"/>
      <c r="Q49" s="62">
        <v>0.78379568411344569</v>
      </c>
      <c r="R49" s="63">
        <v>0.29351048722589868</v>
      </c>
      <c r="S49" s="63">
        <v>0.83697915082824292</v>
      </c>
      <c r="T49" s="63">
        <v>0.28607860461215218</v>
      </c>
      <c r="U49" s="63">
        <v>0.24407417586913005</v>
      </c>
    </row>
    <row r="50" spans="1:21" ht="16.2">
      <c r="A50" s="5">
        <f t="shared" ca="1" si="1"/>
        <v>49</v>
      </c>
      <c r="B50" s="5">
        <f ca="1">IFERROR(__xludf.DUMMYFUNCTION("if(ISBLANK(C50),,QUERY(MD!A51:D1049,""Select A where C = '""&amp; C50 &amp;""'""))"),253)</f>
        <v>253</v>
      </c>
      <c r="C50" s="5" t="s">
        <v>276</v>
      </c>
      <c r="D50" s="5">
        <f ca="1">IFERROR(__xludf.DUMMYFUNCTION("if(ISBLANK(C50),,QUERY(MD!$A$2:$D$1000,""Select D where C = '""&amp; C50 &amp;""'""))"),450)</f>
        <v>450</v>
      </c>
      <c r="E50" s="59" t="str">
        <f ca="1">IFERROR(__xludf.DUMMYFUNCTION("if(ISBLANK(C50),,QUERY(MD!$A$2:$D$1000,""Select B where C = '""&amp; C50 &amp;""'""))"),"2")</f>
        <v>2</v>
      </c>
      <c r="F50" s="5">
        <f t="shared" ca="1" si="0"/>
        <v>3</v>
      </c>
      <c r="G50" s="32" t="str">
        <f ca="1">IFERROR(__xludf.DUMMYFUNCTION("if($F50&gt;=1,QUERY(Loot!$A$2:$G$904,""Select G where A = '""&amp; $E50 &amp;""' AND D &gt;= ""&amp; Q50  &amp;"" LIMIT 1""),)"),"Pick, light")</f>
        <v>Pick, light</v>
      </c>
      <c r="H50" s="61"/>
      <c r="I50" s="32" t="str">
        <f ca="1">IFERROR(__xludf.DUMMYFUNCTION("if($F50&gt;=2,QUERY(Loot!$A$2:$G$904,""Select G where A = '""&amp; $E50 &amp;""' AND D &gt;= ""&amp; R50 &amp;"" LIMIT 1""),)"),"Greatclub")</f>
        <v>Greatclub</v>
      </c>
      <c r="J50" s="61"/>
      <c r="K50" s="32" t="str">
        <f ca="1">IFERROR(__xludf.DUMMYFUNCTION("if($F50&gt;=3,QUERY(Loot!$A$2:$G$904,""Select G where A = '""&amp; $E50 &amp;""' AND D &gt;= ""&amp; S50  &amp;"" LIMIT 1""),)"),"Greatclub")</f>
        <v>Greatclub</v>
      </c>
      <c r="L50" s="61"/>
      <c r="M50" s="32" t="str">
        <f ca="1">IFERROR(__xludf.DUMMYFUNCTION("if($F50&gt;=4,QUERY(Loot!$A$2:$G$904,""Select G where A = '""&amp; $E50 &amp;""' AND D &gt;= ""&amp;T50 &amp;"" LIMIT 1""),)"),"")</f>
        <v/>
      </c>
      <c r="N50" s="61"/>
      <c r="O50" s="32" t="str">
        <f ca="1">IFERROR(__xludf.DUMMYFUNCTION("if($F50&gt;=5,QUERY(Loot!$A$2:$G$904,""Select G where A = '""&amp; $E50 &amp;""' AND D &gt;= ""&amp; U50 &amp;"" LIMIT 1""),)"),"")</f>
        <v/>
      </c>
      <c r="P50" s="61"/>
      <c r="Q50" s="62">
        <v>0.7596464595056357</v>
      </c>
      <c r="R50" s="63">
        <v>0.65015396020415139</v>
      </c>
      <c r="S50" s="63">
        <v>0.3976498294446088</v>
      </c>
      <c r="T50" s="63">
        <v>0.42964822484408838</v>
      </c>
      <c r="U50" s="63">
        <v>0.17646378927167783</v>
      </c>
    </row>
    <row r="51" spans="1:21" ht="16.2">
      <c r="A51" s="5">
        <f t="shared" ca="1" si="1"/>
        <v>50</v>
      </c>
      <c r="B51" s="5">
        <f ca="1">IFERROR(__xludf.DUMMYFUNCTION("if(ISBLANK(C51),,QUERY(MD!A52:D1050,""Select A where C = '""&amp; C51 &amp;""'""))"),254)</f>
        <v>254</v>
      </c>
      <c r="C51" s="5" t="s">
        <v>278</v>
      </c>
      <c r="D51" s="5">
        <f ca="1">IFERROR(__xludf.DUMMYFUNCTION("if(ISBLANK(C51),,QUERY(MD!$A$2:$D$1000,""Select D where C = '""&amp; C51 &amp;""'""))"),450)</f>
        <v>450</v>
      </c>
      <c r="E51" s="59" t="str">
        <f ca="1">IFERROR(__xludf.DUMMYFUNCTION("if(ISBLANK(C51),,QUERY(MD!$A$2:$D$1000,""Select B where C = '""&amp; C51 &amp;""'""))"),"2")</f>
        <v>2</v>
      </c>
      <c r="F51" s="5">
        <f t="shared" ca="1" si="0"/>
        <v>1</v>
      </c>
      <c r="G51" s="32" t="str">
        <f ca="1">IFERROR(__xludf.DUMMYFUNCTION("if($F51&gt;=1,QUERY(Loot!$A$2:$G$904,""Select G where A = '""&amp; $E51 &amp;""' AND D &gt;= ""&amp; Q51  &amp;"" LIMIT 1""),)"),"Signal whistle")</f>
        <v>Signal whistle</v>
      </c>
      <c r="H51" s="61"/>
      <c r="I51" s="32" t="str">
        <f ca="1">IFERROR(__xludf.DUMMYFUNCTION("if($F51&gt;=2,QUERY(Loot!$A$2:$G$904,""Select G where A = '""&amp; $E51 &amp;""' AND D &gt;= ""&amp; R51 &amp;"" LIMIT 1""),)"),"")</f>
        <v/>
      </c>
      <c r="J51" s="61"/>
      <c r="K51" s="32" t="str">
        <f ca="1">IFERROR(__xludf.DUMMYFUNCTION("if($F51&gt;=3,QUERY(Loot!$A$2:$G$904,""Select G where A = '""&amp; $E51 &amp;""' AND D &gt;= ""&amp; S51  &amp;"" LIMIT 1""),)"),"")</f>
        <v/>
      </c>
      <c r="L51" s="61"/>
      <c r="M51" s="32" t="str">
        <f ca="1">IFERROR(__xludf.DUMMYFUNCTION("if($F51&gt;=4,QUERY(Loot!$A$2:$G$904,""Select G where A = '""&amp; $E51 &amp;""' AND D &gt;= ""&amp;T51 &amp;"" LIMIT 1""),)"),"")</f>
        <v/>
      </c>
      <c r="N51" s="61"/>
      <c r="O51" s="32" t="str">
        <f ca="1">IFERROR(__xludf.DUMMYFUNCTION("if($F51&gt;=5,QUERY(Loot!$A$2:$G$904,""Select G where A = '""&amp; $E51 &amp;""' AND D &gt;= ""&amp; U51 &amp;"" LIMIT 1""),)"),"")</f>
        <v/>
      </c>
      <c r="P51" s="61"/>
      <c r="Q51" s="62">
        <v>2.7645875534335729E-2</v>
      </c>
      <c r="R51" s="63">
        <v>0.29834728404363897</v>
      </c>
      <c r="S51" s="63">
        <v>1.4804606993853553E-2</v>
      </c>
      <c r="T51" s="63">
        <v>0.28373845841455714</v>
      </c>
      <c r="U51" s="63">
        <v>0.75139840847306372</v>
      </c>
    </row>
    <row r="52" spans="1:21" ht="16.2">
      <c r="A52" s="5">
        <f t="shared" ca="1" si="1"/>
        <v>51</v>
      </c>
      <c r="B52" s="5">
        <f ca="1">IFERROR(__xludf.DUMMYFUNCTION("if(ISBLANK(C52),,QUERY(MD!A53:D1051,""Select A where C = '""&amp; C52 &amp;""'""))"),42)</f>
        <v>42</v>
      </c>
      <c r="C52" s="5" t="s">
        <v>192</v>
      </c>
      <c r="D52" s="5">
        <f ca="1">IFERROR(__xludf.DUMMYFUNCTION("if(ISBLANK(C52),,QUERY(MD!$A$2:$D$1000,""Select D where C = '""&amp; C52 &amp;""'""))"),200)</f>
        <v>200</v>
      </c>
      <c r="E52" s="59" t="str">
        <f ca="1">IFERROR(__xludf.DUMMYFUNCTION("if(ISBLANK(C52),,QUERY(MD!$A$2:$D$1000,""Select B where C = '""&amp; C52 &amp;""'""))"),"1")</f>
        <v>1</v>
      </c>
      <c r="F52" s="5">
        <f t="shared" ca="1" si="0"/>
        <v>3</v>
      </c>
      <c r="G52" s="32" t="str">
        <f ca="1">IFERROR(__xludf.DUMMYFUNCTION("if($F52&gt;=1,QUERY(Loot!$A$2:$G$904,""Select G where A = '""&amp; $E52 &amp;""' AND D &gt;= ""&amp; Q52  &amp;"" LIMIT 1""),)"),"Shield, light wooden")</f>
        <v>Shield, light wooden</v>
      </c>
      <c r="H52" s="61"/>
      <c r="I52" s="32" t="str">
        <f ca="1">IFERROR(__xludf.DUMMYFUNCTION("if($F52&gt;=2,QUERY(Loot!$A$2:$G$904,""Select G where A = '""&amp; $E52 &amp;""' AND D &gt;= ""&amp; R52 &amp;"" LIMIT 1""),)"),"Shield, light wooden")</f>
        <v>Shield, light wooden</v>
      </c>
      <c r="J52" s="61"/>
      <c r="K52" s="32" t="str">
        <f ca="1">IFERROR(__xludf.DUMMYFUNCTION("if($F52&gt;=3,QUERY(Loot!$A$2:$G$904,""Select G where A = '""&amp; $E52 &amp;""' AND D &gt;= ""&amp; S52  &amp;"" LIMIT 1""),)"),"Shield, light wooden")</f>
        <v>Shield, light wooden</v>
      </c>
      <c r="L52" s="61"/>
      <c r="M52" s="32" t="str">
        <f ca="1">IFERROR(__xludf.DUMMYFUNCTION("if($F52&gt;=4,QUERY(Loot!$A$2:$G$904,""Select G where A = '""&amp; $E52 &amp;""' AND D &gt;= ""&amp;T52 &amp;"" LIMIT 1""),)"),"")</f>
        <v/>
      </c>
      <c r="N52" s="61"/>
      <c r="O52" s="32" t="str">
        <f ca="1">IFERROR(__xludf.DUMMYFUNCTION("if($F52&gt;=5,QUERY(Loot!$A$2:$G$904,""Select G where A = '""&amp; $E52 &amp;""' AND D &gt;= ""&amp; U52 &amp;"" LIMIT 1""),)"),"")</f>
        <v/>
      </c>
      <c r="P52" s="61"/>
      <c r="Q52" s="62">
        <v>0.46271448181110342</v>
      </c>
      <c r="R52" s="63">
        <v>0.4421713338260117</v>
      </c>
      <c r="S52" s="63">
        <v>0.3862336306567411</v>
      </c>
      <c r="T52" s="63">
        <v>0.68765078111974831</v>
      </c>
      <c r="U52" s="63">
        <v>0.92837053317671092</v>
      </c>
    </row>
    <row r="53" spans="1:21" ht="16.2">
      <c r="A53" s="5">
        <f t="shared" ca="1" si="1"/>
        <v>52</v>
      </c>
      <c r="B53" s="5">
        <f ca="1">IFERROR(__xludf.DUMMYFUNCTION("if(ISBLANK(C53),,QUERY(MD!A54:D1052,""Select A where C = '""&amp; C53 &amp;""'""))"),42)</f>
        <v>42</v>
      </c>
      <c r="C53" s="5" t="s">
        <v>192</v>
      </c>
      <c r="D53" s="5">
        <f ca="1">IFERROR(__xludf.DUMMYFUNCTION("if(ISBLANK(C53),,QUERY(MD!$A$2:$D$1000,""Select D where C = '""&amp; C53 &amp;""'""))"),200)</f>
        <v>200</v>
      </c>
      <c r="E53" s="59" t="str">
        <f ca="1">IFERROR(__xludf.DUMMYFUNCTION("if(ISBLANK(C53),,QUERY(MD!$A$2:$D$1000,""Select B where C = '""&amp; C53 &amp;""'""))"),"1")</f>
        <v>1</v>
      </c>
      <c r="F53" s="5">
        <f t="shared" ca="1" si="0"/>
        <v>1</v>
      </c>
      <c r="G53" s="32" t="str">
        <f ca="1">IFERROR(__xludf.DUMMYFUNCTION("if($F53&gt;=1,QUERY(Loot!$A$2:$G$904,""Select G where A = '""&amp; $E53 &amp;""' AND D &gt;= ""&amp; Q53  &amp;"" LIMIT 1""),)"),"Pick, light")</f>
        <v>Pick, light</v>
      </c>
      <c r="H53" s="61"/>
      <c r="I53" s="32" t="str">
        <f ca="1">IFERROR(__xludf.DUMMYFUNCTION("if($F53&gt;=2,QUERY(Loot!$A$2:$G$904,""Select G where A = '""&amp; $E53 &amp;""' AND D &gt;= ""&amp; R53 &amp;"" LIMIT 1""),)"),"")</f>
        <v/>
      </c>
      <c r="J53" s="61"/>
      <c r="K53" s="32" t="str">
        <f ca="1">IFERROR(__xludf.DUMMYFUNCTION("if($F53&gt;=3,QUERY(Loot!$A$2:$G$904,""Select G where A = '""&amp; $E53 &amp;""' AND D &gt;= ""&amp; S53  &amp;"" LIMIT 1""),)"),"")</f>
        <v/>
      </c>
      <c r="L53" s="61"/>
      <c r="M53" s="32" t="str">
        <f ca="1">IFERROR(__xludf.DUMMYFUNCTION("if($F53&gt;=4,QUERY(Loot!$A$2:$G$904,""Select G where A = '""&amp; $E53 &amp;""' AND D &gt;= ""&amp;T53 &amp;"" LIMIT 1""),)"),"")</f>
        <v/>
      </c>
      <c r="N53" s="61"/>
      <c r="O53" s="32" t="str">
        <f ca="1">IFERROR(__xludf.DUMMYFUNCTION("if($F53&gt;=5,QUERY(Loot!$A$2:$G$904,""Select G where A = '""&amp; $E53 &amp;""' AND D &gt;= ""&amp; U53 &amp;"" LIMIT 1""),)"),"")</f>
        <v/>
      </c>
      <c r="P53" s="61"/>
      <c r="Q53" s="62">
        <v>0.14405003909866709</v>
      </c>
      <c r="R53" s="63">
        <v>5.0618857082560753E-2</v>
      </c>
      <c r="S53" s="63">
        <v>0.17082313343029532</v>
      </c>
      <c r="T53" s="63">
        <v>9.997520957897621E-2</v>
      </c>
      <c r="U53" s="63">
        <v>6.0142750274768564E-2</v>
      </c>
    </row>
    <row r="54" spans="1:21" ht="16.2">
      <c r="A54" s="5">
        <f t="shared" ca="1" si="1"/>
        <v>53</v>
      </c>
      <c r="B54" s="5">
        <f ca="1">IFERROR(__xludf.DUMMYFUNCTION("if(ISBLANK(C54),,QUERY(MD!A55:D1053,""Select A where C = '""&amp; C54 &amp;""'""))"),230)</f>
        <v>230</v>
      </c>
      <c r="C54" s="5" t="s">
        <v>243</v>
      </c>
      <c r="D54" s="5">
        <f ca="1">IFERROR(__xludf.DUMMYFUNCTION("if(ISBLANK(C54),,QUERY(MD!$A$2:$D$1000,""Select D where C = '""&amp; C54 &amp;""'""))"),450)</f>
        <v>450</v>
      </c>
      <c r="E54" s="59" t="str">
        <f ca="1">IFERROR(__xludf.DUMMYFUNCTION("if(ISBLANK(C54),,QUERY(MD!$A$2:$D$1000,""Select B where C = '""&amp; C54 &amp;""'""))"),"2")</f>
        <v>2</v>
      </c>
      <c r="F54" s="5">
        <f t="shared" ca="1" si="0"/>
        <v>3</v>
      </c>
      <c r="G54" s="32" t="str">
        <f ca="1">IFERROR(__xludf.DUMMYFUNCTION("if($F54&gt;=1,QUERY(Loot!$A$2:$G$904,""Select G where A = '""&amp; $E54 &amp;""' AND D &gt;= ""&amp; Q54  &amp;"" LIMIT 1""),)"),"Shield, light wooden")</f>
        <v>Shield, light wooden</v>
      </c>
      <c r="H54" s="61"/>
      <c r="I54" s="32" t="str">
        <f ca="1">IFERROR(__xludf.DUMMYFUNCTION("if($F54&gt;=2,QUERY(Loot!$A$2:$G$904,""Select G where A = '""&amp; $E54 &amp;""' AND D &gt;= ""&amp; R54 &amp;"" LIMIT 1""),)"),"Shield, light steel")</f>
        <v>Shield, light steel</v>
      </c>
      <c r="J54" s="61"/>
      <c r="K54" s="32" t="str">
        <f ca="1">IFERROR(__xludf.DUMMYFUNCTION("if($F54&gt;=3,QUERY(Loot!$A$2:$G$904,""Select G where A = '""&amp; $E54 &amp;""' AND D &gt;= ""&amp; S54  &amp;"" LIMIT 1""),)"),"Shield, light steel")</f>
        <v>Shield, light steel</v>
      </c>
      <c r="L54" s="61"/>
      <c r="M54" s="32" t="str">
        <f ca="1">IFERROR(__xludf.DUMMYFUNCTION("if($F54&gt;=4,QUERY(Loot!$A$2:$G$904,""Select G where A = '""&amp; $E54 &amp;""' AND D &gt;= ""&amp;T54 &amp;"" LIMIT 1""),)"),"")</f>
        <v/>
      </c>
      <c r="N54" s="61"/>
      <c r="O54" s="32" t="str">
        <f ca="1">IFERROR(__xludf.DUMMYFUNCTION("if($F54&gt;=5,QUERY(Loot!$A$2:$G$904,""Select G where A = '""&amp; $E54 &amp;""' AND D &gt;= ""&amp; U54 &amp;"" LIMIT 1""),)"),"")</f>
        <v/>
      </c>
      <c r="P54" s="61"/>
      <c r="Q54" s="62">
        <v>0.84336352122300529</v>
      </c>
      <c r="R54" s="63">
        <v>0.98260036054139033</v>
      </c>
      <c r="S54" s="63">
        <v>0.97052895063386424</v>
      </c>
      <c r="T54" s="63">
        <v>0.15723261050497495</v>
      </c>
      <c r="U54" s="63">
        <v>0.7939830120773782</v>
      </c>
    </row>
    <row r="55" spans="1:21" ht="16.2">
      <c r="A55" s="5">
        <f t="shared" ca="1" si="1"/>
        <v>54</v>
      </c>
      <c r="B55" s="5" t="str">
        <f ca="1">IFERROR(__xludf.DUMMYFUNCTION("if(ISBLANK(C55),,QUERY(MD!A56:D1054,""Select A where C = '""&amp; C55 &amp;""'""))"),"")</f>
        <v/>
      </c>
      <c r="C55" s="5"/>
      <c r="D55" s="5" t="str">
        <f ca="1">IFERROR(__xludf.DUMMYFUNCTION("if(ISBLANK(C55),,QUERY(MD!$A$2:$D$1000,""Select D where C = '""&amp; C55 &amp;""'""))"),"")</f>
        <v/>
      </c>
      <c r="E55" s="59" t="str">
        <f ca="1">IFERROR(__xludf.DUMMYFUNCTION("if(ISBLANK(C55),,QUERY(MD!$A$2:$D$1000,""Select B where C = '""&amp; C55 &amp;""'""))"),"")</f>
        <v/>
      </c>
      <c r="F55" s="5">
        <f t="shared" ca="1" si="0"/>
        <v>0</v>
      </c>
      <c r="G55" s="32" t="str">
        <f ca="1">IFERROR(__xludf.DUMMYFUNCTION("if($F55&gt;=1,QUERY(Loot!$A$2:$G$904,""Select G where A = '""&amp; $E55 &amp;""' AND D &gt;= ""&amp; Q55  &amp;"" LIMIT 1""),)"),"")</f>
        <v/>
      </c>
      <c r="H55" s="61"/>
      <c r="I55" s="32" t="str">
        <f ca="1">IFERROR(__xludf.DUMMYFUNCTION("if($F55&gt;=2,QUERY(Loot!$A$2:$G$904,""Select G where A = '""&amp; $E55 &amp;""' AND D &gt;= ""&amp; R55 &amp;"" LIMIT 1""),)"),"")</f>
        <v/>
      </c>
      <c r="J55" s="61"/>
      <c r="K55" s="32" t="str">
        <f ca="1">IFERROR(__xludf.DUMMYFUNCTION("if($F55&gt;=3,QUERY(Loot!$A$2:$G$904,""Select G where A = '""&amp; $E55 &amp;""' AND D &gt;= ""&amp; S55  &amp;"" LIMIT 1""),)"),"")</f>
        <v/>
      </c>
      <c r="L55" s="61"/>
      <c r="M55" s="32" t="str">
        <f ca="1">IFERROR(__xludf.DUMMYFUNCTION("if($F55&gt;=4,QUERY(Loot!$A$2:$G$904,""Select G where A = '""&amp; $E55 &amp;""' AND D &gt;= ""&amp;T55 &amp;"" LIMIT 1""),)"),"")</f>
        <v/>
      </c>
      <c r="N55" s="61"/>
      <c r="O55" s="32" t="str">
        <f ca="1">IFERROR(__xludf.DUMMYFUNCTION("if($F55&gt;=5,QUERY(Loot!$A$2:$G$904,""Select G where A = '""&amp; $E55 &amp;""' AND D &gt;= ""&amp; U55 &amp;"" LIMIT 1""),)"),"")</f>
        <v/>
      </c>
      <c r="P55" s="61"/>
      <c r="Q55" s="62">
        <v>0.24789780693095642</v>
      </c>
      <c r="R55" s="63">
        <v>0.23978757885392976</v>
      </c>
      <c r="S55" s="63">
        <v>0.39520362611193927</v>
      </c>
      <c r="T55" s="63">
        <v>0.36730987470501253</v>
      </c>
      <c r="U55" s="63">
        <v>0.61681806166551612</v>
      </c>
    </row>
    <row r="56" spans="1:21" ht="16.2">
      <c r="A56" s="5">
        <f t="shared" ca="1" si="1"/>
        <v>55</v>
      </c>
      <c r="B56" s="5" t="str">
        <f ca="1">IFERROR(__xludf.DUMMYFUNCTION("if(ISBLANK(C56),,QUERY(MD!A57:D1055,""Select A where C = '""&amp; C56 &amp;""'""))"),"")</f>
        <v/>
      </c>
      <c r="C56" s="5"/>
      <c r="D56" s="5" t="str">
        <f ca="1">IFERROR(__xludf.DUMMYFUNCTION("if(ISBLANK(C56),,QUERY(MD!$A$2:$D$1000,""Select D where C = '""&amp; C56 &amp;""'""))"),"")</f>
        <v/>
      </c>
      <c r="E56" s="59" t="str">
        <f ca="1">IFERROR(__xludf.DUMMYFUNCTION("if(ISBLANK(C56),,QUERY(MD!$A$2:$D$1000,""Select B where C = '""&amp; C56 &amp;""'""))"),"")</f>
        <v/>
      </c>
      <c r="F56" s="5">
        <f t="shared" ca="1" si="0"/>
        <v>0</v>
      </c>
      <c r="G56" s="32" t="str">
        <f ca="1">IFERROR(__xludf.DUMMYFUNCTION("if($F56&gt;=1,QUERY(Loot!$A$2:$G$904,""Select G where A = '""&amp; $E56 &amp;""' AND D &gt;= ""&amp; Q56  &amp;"" LIMIT 1""),)"),"")</f>
        <v/>
      </c>
      <c r="H56" s="61"/>
      <c r="I56" s="32" t="str">
        <f ca="1">IFERROR(__xludf.DUMMYFUNCTION("if($F56&gt;=2,QUERY(Loot!$A$2:$G$904,""Select G where A = '""&amp; $E56 &amp;""' AND D &gt;= ""&amp; R56 &amp;"" LIMIT 1""),)"),"")</f>
        <v/>
      </c>
      <c r="J56" s="61"/>
      <c r="K56" s="32" t="str">
        <f ca="1">IFERROR(__xludf.DUMMYFUNCTION("if($F56&gt;=3,QUERY(Loot!$A$2:$G$904,""Select G where A = '""&amp; $E56 &amp;""' AND D &gt;= ""&amp; S56  &amp;"" LIMIT 1""),)"),"")</f>
        <v/>
      </c>
      <c r="L56" s="61"/>
      <c r="M56" s="32" t="str">
        <f ca="1">IFERROR(__xludf.DUMMYFUNCTION("if($F56&gt;=4,QUERY(Loot!$A$2:$G$904,""Select G where A = '""&amp; $E56 &amp;""' AND D &gt;= ""&amp;T56 &amp;"" LIMIT 1""),)"),"")</f>
        <v/>
      </c>
      <c r="N56" s="61"/>
      <c r="O56" s="32" t="str">
        <f ca="1">IFERROR(__xludf.DUMMYFUNCTION("if($F56&gt;=5,QUERY(Loot!$A$2:$G$904,""Select G where A = '""&amp; $E56 &amp;""' AND D &gt;= ""&amp; U56 &amp;"" LIMIT 1""),)"),"")</f>
        <v/>
      </c>
      <c r="P56" s="61"/>
      <c r="Q56" s="62">
        <v>0.58653717712962272</v>
      </c>
      <c r="R56" s="63">
        <v>0.79943903261169691</v>
      </c>
      <c r="S56" s="63">
        <v>7.921984700050122E-3</v>
      </c>
      <c r="T56" s="63">
        <v>2.3863866305391057E-2</v>
      </c>
      <c r="U56" s="63">
        <v>0.38561776524907376</v>
      </c>
    </row>
    <row r="57" spans="1:21" ht="16.2">
      <c r="A57" s="5">
        <f t="shared" ca="1" si="1"/>
        <v>56</v>
      </c>
      <c r="B57" s="5" t="str">
        <f ca="1">IFERROR(__xludf.DUMMYFUNCTION("if(ISBLANK(C57),,QUERY(MD!A58:D1056,""Select A where C = '""&amp; C57 &amp;""'""))"),"")</f>
        <v/>
      </c>
      <c r="C57" s="5"/>
      <c r="D57" s="5" t="str">
        <f ca="1">IFERROR(__xludf.DUMMYFUNCTION("if(ISBLANK(C57),,QUERY(MD!$A$2:$D$1000,""Select D where C = '""&amp; C57 &amp;""'""))"),"")</f>
        <v/>
      </c>
      <c r="E57" s="59" t="str">
        <f ca="1">IFERROR(__xludf.DUMMYFUNCTION("if(ISBLANK(C57),,QUERY(MD!$A$2:$D$1000,""Select B where C = '""&amp; C57 &amp;""'""))"),"")</f>
        <v/>
      </c>
      <c r="F57" s="5">
        <f t="shared" ca="1" si="0"/>
        <v>0</v>
      </c>
      <c r="G57" s="32" t="str">
        <f ca="1">IFERROR(__xludf.DUMMYFUNCTION("if($F57&gt;=1,QUERY(Loot!$A$2:$G$904,""Select G where A = '""&amp; $E57 &amp;""' AND D &gt;= ""&amp; Q57  &amp;"" LIMIT 1""),)"),"")</f>
        <v/>
      </c>
      <c r="H57" s="61"/>
      <c r="I57" s="32" t="str">
        <f ca="1">IFERROR(__xludf.DUMMYFUNCTION("if($F57&gt;=2,QUERY(Loot!$A$2:$G$904,""Select G where A = '""&amp; $E57 &amp;""' AND D &gt;= ""&amp; R57 &amp;"" LIMIT 1""),)"),"")</f>
        <v/>
      </c>
      <c r="J57" s="61"/>
      <c r="K57" s="32" t="str">
        <f ca="1">IFERROR(__xludf.DUMMYFUNCTION("if($F57&gt;=3,QUERY(Loot!$A$2:$G$904,""Select G where A = '""&amp; $E57 &amp;""' AND D &gt;= ""&amp; S57  &amp;"" LIMIT 1""),)"),"")</f>
        <v/>
      </c>
      <c r="L57" s="61"/>
      <c r="M57" s="32" t="str">
        <f ca="1">IFERROR(__xludf.DUMMYFUNCTION("if($F57&gt;=4,QUERY(Loot!$A$2:$G$904,""Select G where A = '""&amp; $E57 &amp;""' AND D &gt;= ""&amp;T57 &amp;"" LIMIT 1""),)"),"")</f>
        <v/>
      </c>
      <c r="N57" s="61"/>
      <c r="O57" s="32" t="str">
        <f ca="1">IFERROR(__xludf.DUMMYFUNCTION("if($F57&gt;=5,QUERY(Loot!$A$2:$G$904,""Select G where A = '""&amp; $E57 &amp;""' AND D &gt;= ""&amp; U57 &amp;"" LIMIT 1""),)"),"")</f>
        <v/>
      </c>
      <c r="P57" s="61"/>
      <c r="Q57" s="62">
        <v>0.92912198216531694</v>
      </c>
      <c r="R57" s="63">
        <v>0.83004085304787034</v>
      </c>
      <c r="S57" s="63">
        <v>0.87666079748211356</v>
      </c>
      <c r="T57" s="63">
        <v>0.20453962987429386</v>
      </c>
      <c r="U57" s="63">
        <v>0.24903818214150575</v>
      </c>
    </row>
    <row r="58" spans="1:21" ht="16.2">
      <c r="A58" s="5">
        <f t="shared" ca="1" si="1"/>
        <v>57</v>
      </c>
      <c r="B58" s="5" t="str">
        <f ca="1">IFERROR(__xludf.DUMMYFUNCTION("if(ISBLANK(C58),,QUERY(MD!A59:D1057,""Select A where C = '""&amp; C58 &amp;""'""))"),"")</f>
        <v/>
      </c>
      <c r="C58" s="5"/>
      <c r="D58" s="5" t="str">
        <f ca="1">IFERROR(__xludf.DUMMYFUNCTION("if(ISBLANK(C58),,QUERY(MD!$A$2:$D$1000,""Select D where C = '""&amp; C58 &amp;""'""))"),"")</f>
        <v/>
      </c>
      <c r="E58" s="59" t="str">
        <f ca="1">IFERROR(__xludf.DUMMYFUNCTION("if(ISBLANK(C58),,QUERY(MD!$A$2:$D$1000,""Select B where C = '""&amp; C58 &amp;""'""))"),"")</f>
        <v/>
      </c>
      <c r="F58" s="5">
        <f t="shared" ca="1" si="0"/>
        <v>0</v>
      </c>
      <c r="G58" s="32" t="str">
        <f ca="1">IFERROR(__xludf.DUMMYFUNCTION("if($F58&gt;=1,QUERY(Loot!$A$2:$G$904,""Select G where A = '""&amp; $E58 &amp;""' AND D &gt;= ""&amp; Q58  &amp;"" LIMIT 1""),)"),"")</f>
        <v/>
      </c>
      <c r="H58" s="61"/>
      <c r="I58" s="32" t="str">
        <f ca="1">IFERROR(__xludf.DUMMYFUNCTION("if($F58&gt;=2,QUERY(Loot!$A$2:$G$904,""Select G where A = '""&amp; $E58 &amp;""' AND D &gt;= ""&amp; R58 &amp;"" LIMIT 1""),)"),"")</f>
        <v/>
      </c>
      <c r="J58" s="61"/>
      <c r="K58" s="32" t="str">
        <f ca="1">IFERROR(__xludf.DUMMYFUNCTION("if($F58&gt;=3,QUERY(Loot!$A$2:$G$904,""Select G where A = '""&amp; $E58 &amp;""' AND D &gt;= ""&amp; S58  &amp;"" LIMIT 1""),)"),"")</f>
        <v/>
      </c>
      <c r="L58" s="61"/>
      <c r="M58" s="32" t="str">
        <f ca="1">IFERROR(__xludf.DUMMYFUNCTION("if($F58&gt;=4,QUERY(Loot!$A$2:$G$904,""Select G where A = '""&amp; $E58 &amp;""' AND D &gt;= ""&amp;T58 &amp;"" LIMIT 1""),)"),"")</f>
        <v/>
      </c>
      <c r="N58" s="61"/>
      <c r="O58" s="32" t="str">
        <f ca="1">IFERROR(__xludf.DUMMYFUNCTION("if($F58&gt;=5,QUERY(Loot!$A$2:$G$904,""Select G where A = '""&amp; $E58 &amp;""' AND D &gt;= ""&amp; U58 &amp;"" LIMIT 1""),)"),"")</f>
        <v/>
      </c>
      <c r="P58" s="61"/>
      <c r="Q58" s="62">
        <v>0.21463595619267639</v>
      </c>
      <c r="R58" s="63">
        <v>0.76219743987290667</v>
      </c>
      <c r="S58" s="63">
        <v>0.54045241909744435</v>
      </c>
      <c r="T58" s="63">
        <v>0.29273851229737258</v>
      </c>
      <c r="U58" s="63">
        <v>0.92791453600720697</v>
      </c>
    </row>
    <row r="59" spans="1:21" ht="16.2">
      <c r="A59" s="5">
        <f t="shared" ca="1" si="1"/>
        <v>58</v>
      </c>
      <c r="B59" s="5" t="str">
        <f ca="1">IFERROR(__xludf.DUMMYFUNCTION("if(ISBLANK(C59),,QUERY(MD!A60:D1058,""Select A where C = '""&amp; C59 &amp;""'""))"),"")</f>
        <v/>
      </c>
      <c r="C59" s="5"/>
      <c r="D59" s="5" t="str">
        <f ca="1">IFERROR(__xludf.DUMMYFUNCTION("if(ISBLANK(C59),,QUERY(MD!$A$2:$D$1000,""Select D where C = '""&amp; C59 &amp;""'""))"),"")</f>
        <v/>
      </c>
      <c r="E59" s="59" t="str">
        <f ca="1">IFERROR(__xludf.DUMMYFUNCTION("if(ISBLANK(C59),,QUERY(MD!$A$2:$D$1000,""Select B where C = '""&amp; C59 &amp;""'""))"),"")</f>
        <v/>
      </c>
      <c r="F59" s="5">
        <f t="shared" ca="1" si="0"/>
        <v>0</v>
      </c>
      <c r="G59" s="32" t="str">
        <f ca="1">IFERROR(__xludf.DUMMYFUNCTION("if($F59&gt;=1,QUERY(Loot!$A$2:$G$904,""Select G where A = '""&amp; $E59 &amp;""' AND D &gt;= ""&amp; Q59  &amp;"" LIMIT 1""),)"),"")</f>
        <v/>
      </c>
      <c r="H59" s="61"/>
      <c r="I59" s="32" t="str">
        <f ca="1">IFERROR(__xludf.DUMMYFUNCTION("if($F59&gt;=2,QUERY(Loot!$A$2:$G$904,""Select G where A = '""&amp; $E59 &amp;""' AND D &gt;= ""&amp; R59 &amp;"" LIMIT 1""),)"),"")</f>
        <v/>
      </c>
      <c r="J59" s="61"/>
      <c r="K59" s="32" t="str">
        <f ca="1">IFERROR(__xludf.DUMMYFUNCTION("if($F59&gt;=3,QUERY(Loot!$A$2:$G$904,""Select G where A = '""&amp; $E59 &amp;""' AND D &gt;= ""&amp; S59  &amp;"" LIMIT 1""),)"),"")</f>
        <v/>
      </c>
      <c r="L59" s="61"/>
      <c r="M59" s="32" t="str">
        <f ca="1">IFERROR(__xludf.DUMMYFUNCTION("if($F59&gt;=4,QUERY(Loot!$A$2:$G$904,""Select G where A = '""&amp; $E59 &amp;""' AND D &gt;= ""&amp;T59 &amp;"" LIMIT 1""),)"),"")</f>
        <v/>
      </c>
      <c r="N59" s="61"/>
      <c r="O59" s="32" t="str">
        <f ca="1">IFERROR(__xludf.DUMMYFUNCTION("if($F59&gt;=5,QUERY(Loot!$A$2:$G$904,""Select G where A = '""&amp; $E59 &amp;""' AND D &gt;= ""&amp; U59 &amp;"" LIMIT 1""),)"),"")</f>
        <v/>
      </c>
      <c r="P59" s="61"/>
      <c r="Q59" s="62">
        <v>0.27871012152918295</v>
      </c>
      <c r="R59" s="63">
        <v>0.19155405165598272</v>
      </c>
      <c r="S59" s="63">
        <v>0.12658793444642602</v>
      </c>
      <c r="T59" s="63">
        <v>0.39188249662362351</v>
      </c>
      <c r="U59" s="63">
        <v>0.73046660211262127</v>
      </c>
    </row>
    <row r="60" spans="1:21" ht="16.2">
      <c r="A60" s="5">
        <f t="shared" ca="1" si="1"/>
        <v>59</v>
      </c>
      <c r="B60" s="5" t="str">
        <f ca="1">IFERROR(__xludf.DUMMYFUNCTION("if(ISBLANK(C60),,QUERY(MD!A61:D1059,""Select A where C = '""&amp; C60 &amp;""'""))"),"")</f>
        <v/>
      </c>
      <c r="C60" s="5"/>
      <c r="D60" s="5" t="str">
        <f ca="1">IFERROR(__xludf.DUMMYFUNCTION("if(ISBLANK(C60),,QUERY(MD!$A$2:$D$1000,""Select D where C = '""&amp; C60 &amp;""'""))"),"")</f>
        <v/>
      </c>
      <c r="E60" s="59" t="str">
        <f ca="1">IFERROR(__xludf.DUMMYFUNCTION("if(ISBLANK(C60),,QUERY(MD!$A$2:$D$1000,""Select B where C = '""&amp; C60 &amp;""'""))"),"")</f>
        <v/>
      </c>
      <c r="F60" s="5">
        <f t="shared" ca="1" si="0"/>
        <v>0</v>
      </c>
      <c r="G60" s="32" t="str">
        <f ca="1">IFERROR(__xludf.DUMMYFUNCTION("if($F60&gt;=1,QUERY(Loot!$A$2:$G$904,""Select G where A = '""&amp; $E60 &amp;""' AND D &gt;= ""&amp; Q60  &amp;"" LIMIT 1""),)"),"")</f>
        <v/>
      </c>
      <c r="H60" s="61"/>
      <c r="I60" s="32" t="str">
        <f ca="1">IFERROR(__xludf.DUMMYFUNCTION("if($F60&gt;=2,QUERY(Loot!$A$2:$G$904,""Select G where A = '""&amp; $E60 &amp;""' AND D &gt;= ""&amp; R60 &amp;"" LIMIT 1""),)"),"")</f>
        <v/>
      </c>
      <c r="J60" s="61"/>
      <c r="K60" s="32" t="str">
        <f ca="1">IFERROR(__xludf.DUMMYFUNCTION("if($F60&gt;=3,QUERY(Loot!$A$2:$G$904,""Select G where A = '""&amp; $E60 &amp;""' AND D &gt;= ""&amp; S60  &amp;"" LIMIT 1""),)"),"")</f>
        <v/>
      </c>
      <c r="L60" s="61"/>
      <c r="M60" s="32" t="str">
        <f ca="1">IFERROR(__xludf.DUMMYFUNCTION("if($F60&gt;=4,QUERY(Loot!$A$2:$G$904,""Select G where A = '""&amp; $E60 &amp;""' AND D &gt;= ""&amp;T60 &amp;"" LIMIT 1""),)"),"")</f>
        <v/>
      </c>
      <c r="N60" s="61"/>
      <c r="O60" s="32" t="str">
        <f ca="1">IFERROR(__xludf.DUMMYFUNCTION("if($F60&gt;=5,QUERY(Loot!$A$2:$G$904,""Select G where A = '""&amp; $E60 &amp;""' AND D &gt;= ""&amp; U60 &amp;"" LIMIT 1""),)"),"")</f>
        <v/>
      </c>
      <c r="P60" s="61"/>
      <c r="Q60" s="62">
        <v>5.213230731732077E-4</v>
      </c>
      <c r="R60" s="63">
        <v>0.28169175673072722</v>
      </c>
      <c r="S60" s="63">
        <v>0.38863242996094105</v>
      </c>
      <c r="T60" s="63">
        <v>0.2870796716150692</v>
      </c>
      <c r="U60" s="63">
        <v>0.3155521381748827</v>
      </c>
    </row>
    <row r="61" spans="1:21" ht="16.2">
      <c r="A61" s="5">
        <f t="shared" ca="1" si="1"/>
        <v>60</v>
      </c>
      <c r="B61" s="5" t="str">
        <f ca="1">IFERROR(__xludf.DUMMYFUNCTION("if(ISBLANK(C61),,QUERY(MD!A62:D1060,""Select A where C = '""&amp; C61 &amp;""'""))"),"")</f>
        <v/>
      </c>
      <c r="C61" s="5"/>
      <c r="D61" s="5" t="str">
        <f ca="1">IFERROR(__xludf.DUMMYFUNCTION("if(ISBLANK(C61),,QUERY(MD!$A$2:$D$1000,""Select D where C = '""&amp; C61 &amp;""'""))"),"")</f>
        <v/>
      </c>
      <c r="E61" s="59" t="str">
        <f ca="1">IFERROR(__xludf.DUMMYFUNCTION("if(ISBLANK(C61),,QUERY(MD!$A$2:$D$1000,""Select B where C = '""&amp; C61 &amp;""'""))"),"")</f>
        <v/>
      </c>
      <c r="F61" s="5">
        <f t="shared" ca="1" si="0"/>
        <v>0</v>
      </c>
      <c r="G61" s="32" t="str">
        <f ca="1">IFERROR(__xludf.DUMMYFUNCTION("if($F61&gt;=1,QUERY(Loot!$A$2:$G$904,""Select G where A = '""&amp; $E61 &amp;""' AND D &gt;= ""&amp; Q61  &amp;"" LIMIT 1""),)"),"")</f>
        <v/>
      </c>
      <c r="H61" s="61"/>
      <c r="I61" s="32" t="str">
        <f ca="1">IFERROR(__xludf.DUMMYFUNCTION("if($F61&gt;=2,QUERY(Loot!$A$2:$G$904,""Select G where A = '""&amp; $E61 &amp;""' AND D &gt;= ""&amp; R61 &amp;"" LIMIT 1""),)"),"")</f>
        <v/>
      </c>
      <c r="J61" s="61"/>
      <c r="K61" s="32" t="str">
        <f ca="1">IFERROR(__xludf.DUMMYFUNCTION("if($F61&gt;=3,QUERY(Loot!$A$2:$G$904,""Select G where A = '""&amp; $E61 &amp;""' AND D &gt;= ""&amp; S61  &amp;"" LIMIT 1""),)"),"")</f>
        <v/>
      </c>
      <c r="L61" s="61"/>
      <c r="M61" s="32" t="str">
        <f ca="1">IFERROR(__xludf.DUMMYFUNCTION("if($F61&gt;=4,QUERY(Loot!$A$2:$G$904,""Select G where A = '""&amp; $E61 &amp;""' AND D &gt;= ""&amp;T61 &amp;"" LIMIT 1""),)"),"")</f>
        <v/>
      </c>
      <c r="N61" s="61"/>
      <c r="O61" s="32" t="str">
        <f ca="1">IFERROR(__xludf.DUMMYFUNCTION("if($F61&gt;=5,QUERY(Loot!$A$2:$G$904,""Select G where A = '""&amp; $E61 &amp;""' AND D &gt;= ""&amp; U61 &amp;"" LIMIT 1""),)"),"")</f>
        <v/>
      </c>
      <c r="P61" s="61"/>
      <c r="Q61" s="62">
        <v>0.18349505595025528</v>
      </c>
      <c r="R61" s="63">
        <v>8.2044899830970852E-3</v>
      </c>
      <c r="S61" s="63">
        <v>3.8554368259413718E-2</v>
      </c>
      <c r="T61" s="63">
        <v>0.13683541460363491</v>
      </c>
      <c r="U61" s="63">
        <v>0.4278760819317966</v>
      </c>
    </row>
    <row r="62" spans="1:21" ht="16.2">
      <c r="A62" s="5">
        <f t="shared" ca="1" si="1"/>
        <v>61</v>
      </c>
      <c r="B62" s="5" t="str">
        <f ca="1">IFERROR(__xludf.DUMMYFUNCTION("if(ISBLANK(C62),,QUERY(MD!A63:D1061,""Select A where C = '""&amp; C62 &amp;""'""))"),"")</f>
        <v/>
      </c>
      <c r="C62" s="5"/>
      <c r="D62" s="5" t="str">
        <f ca="1">IFERROR(__xludf.DUMMYFUNCTION("if(ISBLANK(C62),,QUERY(MD!$A$2:$D$1000,""Select D where C = '""&amp; C62 &amp;""'""))"),"")</f>
        <v/>
      </c>
      <c r="E62" s="59" t="str">
        <f ca="1">IFERROR(__xludf.DUMMYFUNCTION("if(ISBLANK(C62),,QUERY(MD!$A$2:$D$1000,""Select B where C = '""&amp; C62 &amp;""'""))"),"")</f>
        <v/>
      </c>
      <c r="F62" s="5">
        <f t="shared" ca="1" si="0"/>
        <v>0</v>
      </c>
      <c r="G62" s="32" t="str">
        <f ca="1">IFERROR(__xludf.DUMMYFUNCTION("if($F62&gt;=1,QUERY(Loot!$A$2:$G$904,""Select G where A = '""&amp; $E62 &amp;""' AND D &gt;= ""&amp; Q62  &amp;"" LIMIT 1""),)"),"")</f>
        <v/>
      </c>
      <c r="H62" s="61"/>
      <c r="I62" s="32" t="str">
        <f ca="1">IFERROR(__xludf.DUMMYFUNCTION("if($F62&gt;=2,QUERY(Loot!$A$2:$G$904,""Select G where A = '""&amp; $E62 &amp;""' AND D &gt;= ""&amp; R62 &amp;"" LIMIT 1""),)"),"")</f>
        <v/>
      </c>
      <c r="J62" s="61"/>
      <c r="K62" s="32" t="str">
        <f ca="1">IFERROR(__xludf.DUMMYFUNCTION("if($F62&gt;=3,QUERY(Loot!$A$2:$G$904,""Select G where A = '""&amp; $E62 &amp;""' AND D &gt;= ""&amp; S62  &amp;"" LIMIT 1""),)"),"")</f>
        <v/>
      </c>
      <c r="L62" s="61"/>
      <c r="M62" s="32" t="str">
        <f ca="1">IFERROR(__xludf.DUMMYFUNCTION("if($F62&gt;=4,QUERY(Loot!$A$2:$G$904,""Select G where A = '""&amp; $E62 &amp;""' AND D &gt;= ""&amp;T62 &amp;"" LIMIT 1""),)"),"")</f>
        <v/>
      </c>
      <c r="N62" s="61"/>
      <c r="O62" s="32" t="str">
        <f ca="1">IFERROR(__xludf.DUMMYFUNCTION("if($F62&gt;=5,QUERY(Loot!$A$2:$G$904,""Select G where A = '""&amp; $E62 &amp;""' AND D &gt;= ""&amp; U62 &amp;"" LIMIT 1""),)"),"")</f>
        <v/>
      </c>
      <c r="P62" s="61"/>
      <c r="Q62" s="62">
        <v>0.14433767099872474</v>
      </c>
      <c r="R62" s="63">
        <v>0.8551081896230559</v>
      </c>
      <c r="S62" s="63">
        <v>0.73307031906067721</v>
      </c>
      <c r="T62" s="63">
        <v>0.23963027818686899</v>
      </c>
      <c r="U62" s="63">
        <v>9.533730332014978E-2</v>
      </c>
    </row>
    <row r="63" spans="1:21" ht="16.2">
      <c r="A63" s="5">
        <f t="shared" ca="1" si="1"/>
        <v>62</v>
      </c>
      <c r="B63" s="5" t="str">
        <f ca="1">IFERROR(__xludf.DUMMYFUNCTION("if(ISBLANK(C63),,QUERY(MD!A64:D1062,""Select A where C = '""&amp; C63 &amp;""'""))"),"")</f>
        <v/>
      </c>
      <c r="C63" s="5"/>
      <c r="D63" s="5" t="str">
        <f ca="1">IFERROR(__xludf.DUMMYFUNCTION("if(ISBLANK(C63),,QUERY(MD!$A$2:$D$1000,""Select D where C = '""&amp; C63 &amp;""'""))"),"")</f>
        <v/>
      </c>
      <c r="E63" s="59" t="str">
        <f ca="1">IFERROR(__xludf.DUMMYFUNCTION("if(ISBLANK(C63),,QUERY(MD!$A$2:$D$1000,""Select B where C = '""&amp; C63 &amp;""'""))"),"")</f>
        <v/>
      </c>
      <c r="F63" s="5">
        <f t="shared" ca="1" si="0"/>
        <v>0</v>
      </c>
      <c r="G63" s="32" t="str">
        <f ca="1">IFERROR(__xludf.DUMMYFUNCTION("if($F63&gt;=1,QUERY(Loot!$A$2:$G$904,""Select G where A = '""&amp; $E63 &amp;""' AND D &gt;= ""&amp; Q63  &amp;"" LIMIT 1""),)"),"")</f>
        <v/>
      </c>
      <c r="H63" s="61"/>
      <c r="I63" s="32" t="str">
        <f ca="1">IFERROR(__xludf.DUMMYFUNCTION("if($F63&gt;=2,QUERY(Loot!$A$2:$G$904,""Select G where A = '""&amp; $E63 &amp;""' AND D &gt;= ""&amp; R63 &amp;"" LIMIT 1""),)"),"")</f>
        <v/>
      </c>
      <c r="J63" s="61"/>
      <c r="K63" s="32" t="str">
        <f ca="1">IFERROR(__xludf.DUMMYFUNCTION("if($F63&gt;=3,QUERY(Loot!$A$2:$G$904,""Select G where A = '""&amp; $E63 &amp;""' AND D &gt;= ""&amp; S63  &amp;"" LIMIT 1""),)"),"")</f>
        <v/>
      </c>
      <c r="L63" s="61"/>
      <c r="M63" s="32" t="str">
        <f ca="1">IFERROR(__xludf.DUMMYFUNCTION("if($F63&gt;=4,QUERY(Loot!$A$2:$G$904,""Select G where A = '""&amp; $E63 &amp;""' AND D &gt;= ""&amp;T63 &amp;"" LIMIT 1""),)"),"")</f>
        <v/>
      </c>
      <c r="N63" s="61"/>
      <c r="O63" s="32" t="str">
        <f ca="1">IFERROR(__xludf.DUMMYFUNCTION("if($F63&gt;=5,QUERY(Loot!$A$2:$G$904,""Select G where A = '""&amp; $E63 &amp;""' AND D &gt;= ""&amp; U63 &amp;"" LIMIT 1""),)"),"")</f>
        <v/>
      </c>
      <c r="P63" s="61"/>
      <c r="Q63" s="62">
        <v>0.4139787266396342</v>
      </c>
      <c r="R63" s="63">
        <v>0.8679144313327376</v>
      </c>
      <c r="S63" s="63">
        <v>0.24816660765289555</v>
      </c>
      <c r="T63" s="63">
        <v>0.15297553439775846</v>
      </c>
      <c r="U63" s="63">
        <v>0.24548919128596225</v>
      </c>
    </row>
    <row r="64" spans="1:21" ht="16.2">
      <c r="A64" s="5">
        <f t="shared" ca="1" si="1"/>
        <v>63</v>
      </c>
      <c r="B64" s="5" t="str">
        <f ca="1">IFERROR(__xludf.DUMMYFUNCTION("if(ISBLANK(C64),,QUERY(MD!A65:D1063,""Select A where C = '""&amp; C64 &amp;""'""))"),"")</f>
        <v/>
      </c>
      <c r="C64" s="5"/>
      <c r="D64" s="5" t="str">
        <f ca="1">IFERROR(__xludf.DUMMYFUNCTION("if(ISBLANK(C64),,QUERY(MD!$A$2:$D$1000,""Select D where C = '""&amp; C64 &amp;""'""))"),"")</f>
        <v/>
      </c>
      <c r="E64" s="59" t="str">
        <f ca="1">IFERROR(__xludf.DUMMYFUNCTION("if(ISBLANK(C64),,QUERY(MD!$A$2:$D$1000,""Select B where C = '""&amp; C64 &amp;""'""))"),"")</f>
        <v/>
      </c>
      <c r="F64" s="5">
        <f t="shared" ca="1" si="0"/>
        <v>0</v>
      </c>
      <c r="G64" s="32" t="str">
        <f ca="1">IFERROR(__xludf.DUMMYFUNCTION("if($F64&gt;=1,QUERY(Loot!$A$2:$G$904,""Select G where A = '""&amp; $E64 &amp;""' AND D &gt;= ""&amp; Q64  &amp;"" LIMIT 1""),)"),"")</f>
        <v/>
      </c>
      <c r="H64" s="61"/>
      <c r="I64" s="32" t="str">
        <f ca="1">IFERROR(__xludf.DUMMYFUNCTION("if($F64&gt;=2,QUERY(Loot!$A$2:$G$904,""Select G where A = '""&amp; $E64 &amp;""' AND D &gt;= ""&amp; R64 &amp;"" LIMIT 1""),)"),"")</f>
        <v/>
      </c>
      <c r="J64" s="61"/>
      <c r="K64" s="32" t="str">
        <f ca="1">IFERROR(__xludf.DUMMYFUNCTION("if($F64&gt;=3,QUERY(Loot!$A$2:$G$904,""Select G where A = '""&amp; $E64 &amp;""' AND D &gt;= ""&amp; S64  &amp;"" LIMIT 1""),)"),"")</f>
        <v/>
      </c>
      <c r="L64" s="61"/>
      <c r="M64" s="32" t="str">
        <f ca="1">IFERROR(__xludf.DUMMYFUNCTION("if($F64&gt;=4,QUERY(Loot!$A$2:$G$904,""Select G where A = '""&amp; $E64 &amp;""' AND D &gt;= ""&amp;T64 &amp;"" LIMIT 1""),)"),"")</f>
        <v/>
      </c>
      <c r="N64" s="61"/>
      <c r="O64" s="32" t="str">
        <f ca="1">IFERROR(__xludf.DUMMYFUNCTION("if($F64&gt;=5,QUERY(Loot!$A$2:$G$904,""Select G where A = '""&amp; $E64 &amp;""' AND D &gt;= ""&amp; U64 &amp;"" LIMIT 1""),)"),"")</f>
        <v/>
      </c>
      <c r="P64" s="61"/>
      <c r="Q64" s="62">
        <v>0.85382640919292119</v>
      </c>
      <c r="R64" s="63">
        <v>0.19853831441689418</v>
      </c>
      <c r="S64" s="63">
        <v>0.65107413237459022</v>
      </c>
      <c r="T64" s="63">
        <v>0.9993579092399012</v>
      </c>
      <c r="U64" s="63">
        <v>0.29601973201503817</v>
      </c>
    </row>
    <row r="65" spans="1:21" ht="16.2">
      <c r="A65" s="5">
        <f t="shared" ca="1" si="1"/>
        <v>64</v>
      </c>
      <c r="B65" s="5" t="str">
        <f ca="1">IFERROR(__xludf.DUMMYFUNCTION("if(ISBLANK(C65),,QUERY(MD!A66:D1064,""Select A where C = '""&amp; C65 &amp;""'""))"),"")</f>
        <v/>
      </c>
      <c r="C65" s="5"/>
      <c r="D65" s="5" t="str">
        <f ca="1">IFERROR(__xludf.DUMMYFUNCTION("if(ISBLANK(C65),,QUERY(MD!$A$2:$D$1000,""Select D where C = '""&amp; C65 &amp;""'""))"),"")</f>
        <v/>
      </c>
      <c r="E65" s="59" t="str">
        <f ca="1">IFERROR(__xludf.DUMMYFUNCTION("if(ISBLANK(C65),,QUERY(MD!$A$2:$D$1000,""Select B where C = '""&amp; C65 &amp;""'""))"),"")</f>
        <v/>
      </c>
      <c r="F65" s="5">
        <f t="shared" ca="1" si="0"/>
        <v>0</v>
      </c>
      <c r="G65" s="32" t="str">
        <f ca="1">IFERROR(__xludf.DUMMYFUNCTION("if($F65&gt;=1,QUERY(Loot!$A$2:$G$904,""Select G where A = '""&amp; $E65 &amp;""' AND D &gt;= ""&amp; Q65  &amp;"" LIMIT 1""),)"),"")</f>
        <v/>
      </c>
      <c r="H65" s="61"/>
      <c r="I65" s="32" t="str">
        <f ca="1">IFERROR(__xludf.DUMMYFUNCTION("if($F65&gt;=2,QUERY(Loot!$A$2:$G$904,""Select G where A = '""&amp; $E65 &amp;""' AND D &gt;= ""&amp; R65 &amp;"" LIMIT 1""),)"),"")</f>
        <v/>
      </c>
      <c r="J65" s="61"/>
      <c r="K65" s="32" t="str">
        <f ca="1">IFERROR(__xludf.DUMMYFUNCTION("if($F65&gt;=3,QUERY(Loot!$A$2:$G$904,""Select G where A = '""&amp; $E65 &amp;""' AND D &gt;= ""&amp; S65  &amp;"" LIMIT 1""),)"),"")</f>
        <v/>
      </c>
      <c r="L65" s="61"/>
      <c r="M65" s="32" t="str">
        <f ca="1">IFERROR(__xludf.DUMMYFUNCTION("if($F65&gt;=4,QUERY(Loot!$A$2:$G$904,""Select G where A = '""&amp; $E65 &amp;""' AND D &gt;= ""&amp;T65 &amp;"" LIMIT 1""),)"),"")</f>
        <v/>
      </c>
      <c r="N65" s="61"/>
      <c r="O65" s="32" t="str">
        <f ca="1">IFERROR(__xludf.DUMMYFUNCTION("if($F65&gt;=5,QUERY(Loot!$A$2:$G$904,""Select G where A = '""&amp; $E65 &amp;""' AND D &gt;= ""&amp; U65 &amp;"" LIMIT 1""),)"),"")</f>
        <v/>
      </c>
      <c r="P65" s="61"/>
      <c r="Q65" s="62">
        <v>0.73753305679332559</v>
      </c>
      <c r="R65" s="63">
        <v>0.7420676831043862</v>
      </c>
      <c r="S65" s="63">
        <v>0.46789076204904534</v>
      </c>
      <c r="T65" s="63">
        <v>0.35404705483507926</v>
      </c>
      <c r="U65" s="63">
        <v>0.10350060838322639</v>
      </c>
    </row>
    <row r="66" spans="1:21" ht="16.2">
      <c r="A66" s="5">
        <f t="shared" ca="1" si="1"/>
        <v>65</v>
      </c>
      <c r="B66" s="5" t="str">
        <f ca="1">IFERROR(__xludf.DUMMYFUNCTION("if(ISBLANK(C66),,QUERY(MD!A67:D1065,""Select A where C = '""&amp; C66 &amp;""'""))"),"")</f>
        <v/>
      </c>
      <c r="C66" s="5"/>
      <c r="D66" s="5" t="str">
        <f ca="1">IFERROR(__xludf.DUMMYFUNCTION("if(ISBLANK(C66),,QUERY(MD!$A$2:$D$1000,""Select D where C = '""&amp; C66 &amp;""'""))"),"")</f>
        <v/>
      </c>
      <c r="E66" s="59" t="str">
        <f ca="1">IFERROR(__xludf.DUMMYFUNCTION("if(ISBLANK(C66),,QUERY(MD!$A$2:$D$1000,""Select B where C = '""&amp; C66 &amp;""'""))"),"")</f>
        <v/>
      </c>
      <c r="F66" s="5">
        <f t="shared" ca="1" si="0"/>
        <v>0</v>
      </c>
      <c r="G66" s="32" t="str">
        <f ca="1">IFERROR(__xludf.DUMMYFUNCTION("if($F66&gt;=1,QUERY(Loot!$A$2:$G$904,""Select G where A = '""&amp; $E66 &amp;""' AND D &gt;= ""&amp; Q66  &amp;"" LIMIT 1""),)"),"")</f>
        <v/>
      </c>
      <c r="H66" s="61"/>
      <c r="I66" s="32" t="str">
        <f ca="1">IFERROR(__xludf.DUMMYFUNCTION("if($F66&gt;=2,QUERY(Loot!$A$2:$G$904,""Select G where A = '""&amp; $E66 &amp;""' AND D &gt;= ""&amp; R66 &amp;"" LIMIT 1""),)"),"")</f>
        <v/>
      </c>
      <c r="J66" s="61"/>
      <c r="K66" s="32" t="str">
        <f ca="1">IFERROR(__xludf.DUMMYFUNCTION("if($F66&gt;=3,QUERY(Loot!$A$2:$G$904,""Select G where A = '""&amp; $E66 &amp;""' AND D &gt;= ""&amp; S66  &amp;"" LIMIT 1""),)"),"")</f>
        <v/>
      </c>
      <c r="L66" s="61"/>
      <c r="M66" s="32" t="str">
        <f ca="1">IFERROR(__xludf.DUMMYFUNCTION("if($F66&gt;=4,QUERY(Loot!$A$2:$G$904,""Select G where A = '""&amp; $E66 &amp;""' AND D &gt;= ""&amp;T66 &amp;"" LIMIT 1""),)"),"")</f>
        <v/>
      </c>
      <c r="N66" s="61"/>
      <c r="O66" s="32" t="str">
        <f ca="1">IFERROR(__xludf.DUMMYFUNCTION("if($F66&gt;=5,QUERY(Loot!$A$2:$G$904,""Select G where A = '""&amp; $E66 &amp;""' AND D &gt;= ""&amp; U66 &amp;"" LIMIT 1""),)"),"")</f>
        <v/>
      </c>
      <c r="P66" s="61"/>
      <c r="Q66" s="62">
        <v>2.2116472661914743E-2</v>
      </c>
      <c r="R66" s="63">
        <v>0.20888580094022247</v>
      </c>
      <c r="S66" s="63">
        <v>0.77228304044620033</v>
      </c>
      <c r="T66" s="63">
        <v>0.54117750587160762</v>
      </c>
      <c r="U66" s="63">
        <v>0.94584696875019947</v>
      </c>
    </row>
    <row r="67" spans="1:21" ht="16.2">
      <c r="A67" s="5">
        <f t="shared" ca="1" si="1"/>
        <v>66</v>
      </c>
      <c r="B67" s="5" t="str">
        <f ca="1">IFERROR(__xludf.DUMMYFUNCTION("if(ISBLANK(C67),,QUERY(MD!A68:D1066,""Select A where C = '""&amp; C67 &amp;""'""))"),"")</f>
        <v/>
      </c>
      <c r="C67" s="5"/>
      <c r="D67" s="5" t="str">
        <f ca="1">IFERROR(__xludf.DUMMYFUNCTION("if(ISBLANK(C67),,QUERY(MD!$A$2:$D$1000,""Select D where C = '""&amp; C67 &amp;""'""))"),"")</f>
        <v/>
      </c>
      <c r="E67" s="59" t="str">
        <f ca="1">IFERROR(__xludf.DUMMYFUNCTION("if(ISBLANK(C67),,QUERY(MD!$A$2:$D$1000,""Select B where C = '""&amp; C67 &amp;""'""))"),"")</f>
        <v/>
      </c>
      <c r="F67" s="5">
        <f t="shared" ca="1" si="0"/>
        <v>0</v>
      </c>
      <c r="G67" s="32" t="str">
        <f ca="1">IFERROR(__xludf.DUMMYFUNCTION("if($F67&gt;=1,QUERY(Loot!$A$2:$G$904,""Select G where A = '""&amp; $E67 &amp;""' AND D &gt;= ""&amp; Q67  &amp;"" LIMIT 1""),)"),"")</f>
        <v/>
      </c>
      <c r="H67" s="61"/>
      <c r="I67" s="32" t="str">
        <f ca="1">IFERROR(__xludf.DUMMYFUNCTION("if($F67&gt;=2,QUERY(Loot!$A$2:$G$904,""Select G where A = '""&amp; $E67 &amp;""' AND D &gt;= ""&amp; R67 &amp;"" LIMIT 1""),)"),"")</f>
        <v/>
      </c>
      <c r="J67" s="61"/>
      <c r="K67" s="32" t="str">
        <f ca="1">IFERROR(__xludf.DUMMYFUNCTION("if($F67&gt;=3,QUERY(Loot!$A$2:$G$904,""Select G where A = '""&amp; $E67 &amp;""' AND D &gt;= ""&amp; S67  &amp;"" LIMIT 1""),)"),"")</f>
        <v/>
      </c>
      <c r="L67" s="61"/>
      <c r="M67" s="32" t="str">
        <f ca="1">IFERROR(__xludf.DUMMYFUNCTION("if($F67&gt;=4,QUERY(Loot!$A$2:$G$904,""Select G where A = '""&amp; $E67 &amp;""' AND D &gt;= ""&amp;T67 &amp;"" LIMIT 1""),)"),"")</f>
        <v/>
      </c>
      <c r="N67" s="61"/>
      <c r="O67" s="32" t="str">
        <f ca="1">IFERROR(__xludf.DUMMYFUNCTION("if($F67&gt;=5,QUERY(Loot!$A$2:$G$904,""Select G where A = '""&amp; $E67 &amp;""' AND D &gt;= ""&amp; U67 &amp;"" LIMIT 1""),)"),"")</f>
        <v/>
      </c>
      <c r="P67" s="61"/>
      <c r="Q67" s="62">
        <v>2.5056777624544613E-2</v>
      </c>
      <c r="R67" s="63">
        <v>0.85161649204411383</v>
      </c>
      <c r="S67" s="63">
        <v>0.44488695713686588</v>
      </c>
      <c r="T67" s="63">
        <v>0.71931094370926429</v>
      </c>
      <c r="U67" s="63">
        <v>8.7404486675169424E-2</v>
      </c>
    </row>
    <row r="68" spans="1:21" ht="16.2">
      <c r="A68" s="5">
        <f t="shared" ca="1" si="1"/>
        <v>67</v>
      </c>
      <c r="B68" s="5" t="str">
        <f ca="1">IFERROR(__xludf.DUMMYFUNCTION("if(ISBLANK(C68),,QUERY(MD!A69:D1067,""Select A where C = '""&amp; C68 &amp;""'""))"),"")</f>
        <v/>
      </c>
      <c r="C68" s="5"/>
      <c r="D68" s="5" t="str">
        <f ca="1">IFERROR(__xludf.DUMMYFUNCTION("if(ISBLANK(C68),,QUERY(MD!$A$2:$D$1000,""Select D where C = '""&amp; C68 &amp;""'""))"),"")</f>
        <v/>
      </c>
      <c r="E68" s="59" t="str">
        <f ca="1">IFERROR(__xludf.DUMMYFUNCTION("if(ISBLANK(C68),,QUERY(MD!$A$2:$D$1000,""Select B where C = '""&amp; C68 &amp;""'""))"),"")</f>
        <v/>
      </c>
      <c r="F68" s="5">
        <f t="shared" ca="1" si="0"/>
        <v>0</v>
      </c>
      <c r="G68" s="32" t="str">
        <f ca="1">IFERROR(__xludf.DUMMYFUNCTION("if($F68&gt;=1,QUERY(Loot!$A$2:$G$904,""Select G where A = '""&amp; $E68 &amp;""' AND D &gt;= ""&amp; Q68  &amp;"" LIMIT 1""),)"),"")</f>
        <v/>
      </c>
      <c r="H68" s="61"/>
      <c r="I68" s="32" t="str">
        <f ca="1">IFERROR(__xludf.DUMMYFUNCTION("if($F68&gt;=2,QUERY(Loot!$A$2:$G$904,""Select G where A = '""&amp; $E68 &amp;""' AND D &gt;= ""&amp; R68 &amp;"" LIMIT 1""),)"),"")</f>
        <v/>
      </c>
      <c r="J68" s="61"/>
      <c r="K68" s="32" t="str">
        <f ca="1">IFERROR(__xludf.DUMMYFUNCTION("if($F68&gt;=3,QUERY(Loot!$A$2:$G$904,""Select G where A = '""&amp; $E68 &amp;""' AND D &gt;= ""&amp; S68  &amp;"" LIMIT 1""),)"),"")</f>
        <v/>
      </c>
      <c r="L68" s="61"/>
      <c r="M68" s="32" t="str">
        <f ca="1">IFERROR(__xludf.DUMMYFUNCTION("if($F68&gt;=4,QUERY(Loot!$A$2:$G$904,""Select G where A = '""&amp; $E68 &amp;""' AND D &gt;= ""&amp;T68 &amp;"" LIMIT 1""),)"),"")</f>
        <v/>
      </c>
      <c r="N68" s="61"/>
      <c r="O68" s="32" t="str">
        <f ca="1">IFERROR(__xludf.DUMMYFUNCTION("if($F68&gt;=5,QUERY(Loot!$A$2:$G$904,""Select G where A = '""&amp; $E68 &amp;""' AND D &gt;= ""&amp; U68 &amp;"" LIMIT 1""),)"),"")</f>
        <v/>
      </c>
      <c r="P68" s="61"/>
      <c r="Q68" s="62">
        <v>0.93567259694012572</v>
      </c>
      <c r="R68" s="63">
        <v>0.93540352637912327</v>
      </c>
      <c r="S68" s="63">
        <v>0.9422624711094868</v>
      </c>
      <c r="T68" s="63">
        <v>0.79261057683924818</v>
      </c>
      <c r="U68" s="63">
        <v>0.8798095166518457</v>
      </c>
    </row>
    <row r="69" spans="1:21" ht="16.2">
      <c r="A69" s="5">
        <f t="shared" ca="1" si="1"/>
        <v>68</v>
      </c>
      <c r="B69" s="5" t="str">
        <f ca="1">IFERROR(__xludf.DUMMYFUNCTION("if(ISBLANK(C69),,QUERY(MD!A70:D1068,""Select A where C = '""&amp; C69 &amp;""'""))"),"")</f>
        <v/>
      </c>
      <c r="C69" s="5"/>
      <c r="D69" s="5" t="str">
        <f ca="1">IFERROR(__xludf.DUMMYFUNCTION("if(ISBLANK(C69),,QUERY(MD!$A$2:$D$1000,""Select D where C = '""&amp; C69 &amp;""'""))"),"")</f>
        <v/>
      </c>
      <c r="E69" s="59" t="str">
        <f ca="1">IFERROR(__xludf.DUMMYFUNCTION("if(ISBLANK(C69),,QUERY(MD!$A$2:$D$1000,""Select B where C = '""&amp; C69 &amp;""'""))"),"")</f>
        <v/>
      </c>
      <c r="F69" s="5">
        <f t="shared" ca="1" si="0"/>
        <v>0</v>
      </c>
      <c r="G69" s="32" t="str">
        <f ca="1">IFERROR(__xludf.DUMMYFUNCTION("if($F69&gt;=1,QUERY(Loot!$A$2:$G$904,""Select G where A = '""&amp; $E69 &amp;""' AND D &gt;= ""&amp; Q69  &amp;"" LIMIT 1""),)"),"")</f>
        <v/>
      </c>
      <c r="H69" s="61"/>
      <c r="I69" s="32" t="str">
        <f ca="1">IFERROR(__xludf.DUMMYFUNCTION("if($F69&gt;=2,QUERY(Loot!$A$2:$G$904,""Select G where A = '""&amp; $E69 &amp;""' AND D &gt;= ""&amp; R69 &amp;"" LIMIT 1""),)"),"")</f>
        <v/>
      </c>
      <c r="J69" s="61"/>
      <c r="K69" s="32" t="str">
        <f ca="1">IFERROR(__xludf.DUMMYFUNCTION("if($F69&gt;=3,QUERY(Loot!$A$2:$G$904,""Select G where A = '""&amp; $E69 &amp;""' AND D &gt;= ""&amp; S69  &amp;"" LIMIT 1""),)"),"")</f>
        <v/>
      </c>
      <c r="L69" s="61"/>
      <c r="M69" s="32" t="str">
        <f ca="1">IFERROR(__xludf.DUMMYFUNCTION("if($F69&gt;=4,QUERY(Loot!$A$2:$G$904,""Select G where A = '""&amp; $E69 &amp;""' AND D &gt;= ""&amp;T69 &amp;"" LIMIT 1""),)"),"")</f>
        <v/>
      </c>
      <c r="N69" s="61"/>
      <c r="O69" s="32" t="str">
        <f ca="1">IFERROR(__xludf.DUMMYFUNCTION("if($F69&gt;=5,QUERY(Loot!$A$2:$G$904,""Select G where A = '""&amp; $E69 &amp;""' AND D &gt;= ""&amp; U69 &amp;"" LIMIT 1""),)"),"")</f>
        <v/>
      </c>
      <c r="P69" s="61"/>
      <c r="Q69" s="62">
        <v>0.94681256139335956</v>
      </c>
      <c r="R69" s="63">
        <v>1.304927897564212E-2</v>
      </c>
      <c r="S69" s="63">
        <v>0.34225472251790534</v>
      </c>
      <c r="T69" s="63">
        <v>0.89239517552607617</v>
      </c>
      <c r="U69" s="63">
        <v>0.96469110600942343</v>
      </c>
    </row>
    <row r="70" spans="1:21" ht="16.2">
      <c r="A70" s="5">
        <f t="shared" ca="1" si="1"/>
        <v>69</v>
      </c>
      <c r="B70" s="5" t="str">
        <f ca="1">IFERROR(__xludf.DUMMYFUNCTION("if(ISBLANK(C70),,QUERY(MD!A71:D1069,""Select A where C = '""&amp; C70 &amp;""'""))"),"")</f>
        <v/>
      </c>
      <c r="C70" s="5"/>
      <c r="D70" s="5" t="str">
        <f ca="1">IFERROR(__xludf.DUMMYFUNCTION("if(ISBLANK(C70),,QUERY(MD!$A$2:$D$1000,""Select D where C = '""&amp; C70 &amp;""'""))"),"")</f>
        <v/>
      </c>
      <c r="E70" s="59" t="str">
        <f ca="1">IFERROR(__xludf.DUMMYFUNCTION("if(ISBLANK(C70),,QUERY(MD!$A$2:$D$1000,""Select B where C = '""&amp; C70 &amp;""'""))"),"")</f>
        <v/>
      </c>
      <c r="F70" s="5">
        <f t="shared" ca="1" si="0"/>
        <v>0</v>
      </c>
      <c r="G70" s="32" t="str">
        <f ca="1">IFERROR(__xludf.DUMMYFUNCTION("if($F70&gt;=1,QUERY(Loot!$A$2:$G$904,""Select G where A = '""&amp; $E70 &amp;""' AND D &gt;= ""&amp; Q70  &amp;"" LIMIT 1""),)"),"")</f>
        <v/>
      </c>
      <c r="H70" s="61"/>
      <c r="I70" s="32" t="str">
        <f ca="1">IFERROR(__xludf.DUMMYFUNCTION("if($F70&gt;=2,QUERY(Loot!$A$2:$G$904,""Select G where A = '""&amp; $E70 &amp;""' AND D &gt;= ""&amp; R70 &amp;"" LIMIT 1""),)"),"")</f>
        <v/>
      </c>
      <c r="J70" s="61"/>
      <c r="K70" s="32" t="str">
        <f ca="1">IFERROR(__xludf.DUMMYFUNCTION("if($F70&gt;=3,QUERY(Loot!$A$2:$G$904,""Select G where A = '""&amp; $E70 &amp;""' AND D &gt;= ""&amp; S70  &amp;"" LIMIT 1""),)"),"")</f>
        <v/>
      </c>
      <c r="L70" s="61"/>
      <c r="M70" s="32" t="str">
        <f ca="1">IFERROR(__xludf.DUMMYFUNCTION("if($F70&gt;=4,QUERY(Loot!$A$2:$G$904,""Select G where A = '""&amp; $E70 &amp;""' AND D &gt;= ""&amp;T70 &amp;"" LIMIT 1""),)"),"")</f>
        <v/>
      </c>
      <c r="N70" s="61"/>
      <c r="O70" s="32" t="str">
        <f ca="1">IFERROR(__xludf.DUMMYFUNCTION("if($F70&gt;=5,QUERY(Loot!$A$2:$G$904,""Select G where A = '""&amp; $E70 &amp;""' AND D &gt;= ""&amp; U70 &amp;"" LIMIT 1""),)"),"")</f>
        <v/>
      </c>
      <c r="P70" s="61"/>
      <c r="Q70" s="62">
        <v>0.11523722347191334</v>
      </c>
      <c r="R70" s="63">
        <v>0.42380114403561731</v>
      </c>
      <c r="S70" s="63">
        <v>0.13062822411623831</v>
      </c>
      <c r="T70" s="63">
        <v>0.72404300147135703</v>
      </c>
      <c r="U70" s="63">
        <v>0.67952661100285605</v>
      </c>
    </row>
    <row r="71" spans="1:21" ht="16.2">
      <c r="A71" s="5">
        <f t="shared" ca="1" si="1"/>
        <v>70</v>
      </c>
      <c r="B71" s="5" t="str">
        <f ca="1">IFERROR(__xludf.DUMMYFUNCTION("if(ISBLANK(C71),,QUERY(MD!A72:D1070,""Select A where C = '""&amp; C71 &amp;""'""))"),"")</f>
        <v/>
      </c>
      <c r="C71" s="5"/>
      <c r="D71" s="5" t="str">
        <f ca="1">IFERROR(__xludf.DUMMYFUNCTION("if(ISBLANK(C71),,QUERY(MD!$A$2:$D$1000,""Select D where C = '""&amp; C71 &amp;""'""))"),"")</f>
        <v/>
      </c>
      <c r="E71" s="59" t="str">
        <f ca="1">IFERROR(__xludf.DUMMYFUNCTION("if(ISBLANK(C71),,QUERY(MD!$A$2:$D$1000,""Select B where C = '""&amp; C71 &amp;""'""))"),"")</f>
        <v/>
      </c>
      <c r="F71" s="5">
        <f t="shared" ca="1" si="0"/>
        <v>0</v>
      </c>
      <c r="G71" s="32" t="str">
        <f ca="1">IFERROR(__xludf.DUMMYFUNCTION("if($F71&gt;=1,QUERY(Loot!$A$2:$G$904,""Select G where A = '""&amp; $E71 &amp;""' AND D &gt;= ""&amp; Q71  &amp;"" LIMIT 1""),)"),"")</f>
        <v/>
      </c>
      <c r="H71" s="61"/>
      <c r="I71" s="32" t="str">
        <f ca="1">IFERROR(__xludf.DUMMYFUNCTION("if($F71&gt;=2,QUERY(Loot!$A$2:$G$904,""Select G where A = '""&amp; $E71 &amp;""' AND D &gt;= ""&amp; R71 &amp;"" LIMIT 1""),)"),"")</f>
        <v/>
      </c>
      <c r="J71" s="61"/>
      <c r="K71" s="32" t="str">
        <f ca="1">IFERROR(__xludf.DUMMYFUNCTION("if($F71&gt;=3,QUERY(Loot!$A$2:$G$904,""Select G where A = '""&amp; $E71 &amp;""' AND D &gt;= ""&amp; S71  &amp;"" LIMIT 1""),)"),"")</f>
        <v/>
      </c>
      <c r="L71" s="61"/>
      <c r="M71" s="32" t="str">
        <f ca="1">IFERROR(__xludf.DUMMYFUNCTION("if($F71&gt;=4,QUERY(Loot!$A$2:$G$904,""Select G where A = '""&amp; $E71 &amp;""' AND D &gt;= ""&amp;T71 &amp;"" LIMIT 1""),)"),"")</f>
        <v/>
      </c>
      <c r="N71" s="61"/>
      <c r="O71" s="32" t="str">
        <f ca="1">IFERROR(__xludf.DUMMYFUNCTION("if($F71&gt;=5,QUERY(Loot!$A$2:$G$904,""Select G where A = '""&amp; $E71 &amp;""' AND D &gt;= ""&amp; U71 &amp;"" LIMIT 1""),)"),"")</f>
        <v/>
      </c>
      <c r="P71" s="61"/>
      <c r="Q71" s="62">
        <v>0.81510022861139764</v>
      </c>
      <c r="R71" s="63">
        <v>0.81767872415059739</v>
      </c>
      <c r="S71" s="63">
        <v>1.2243313378396681E-2</v>
      </c>
      <c r="T71" s="63">
        <v>0.71074397546768608</v>
      </c>
      <c r="U71" s="63">
        <v>3.3485877021229293E-2</v>
      </c>
    </row>
    <row r="72" spans="1:21" ht="16.2">
      <c r="A72" s="5">
        <f t="shared" ca="1" si="1"/>
        <v>71</v>
      </c>
      <c r="B72" s="5" t="str">
        <f ca="1">IFERROR(__xludf.DUMMYFUNCTION("if(ISBLANK(C72),,QUERY(MD!A73:D1071,""Select A where C = '""&amp; C72 &amp;""'""))"),"")</f>
        <v/>
      </c>
      <c r="C72" s="5"/>
      <c r="D72" s="5" t="str">
        <f ca="1">IFERROR(__xludf.DUMMYFUNCTION("if(ISBLANK(C72),,QUERY(MD!$A$2:$D$1000,""Select D where C = '""&amp; C72 &amp;""'""))"),"")</f>
        <v/>
      </c>
      <c r="E72" s="59" t="str">
        <f ca="1">IFERROR(__xludf.DUMMYFUNCTION("if(ISBLANK(C72),,QUERY(MD!$A$2:$D$1000,""Select B where C = '""&amp; C72 &amp;""'""))"),"")</f>
        <v/>
      </c>
      <c r="F72" s="5">
        <f t="shared" ca="1" si="0"/>
        <v>0</v>
      </c>
      <c r="G72" s="32" t="str">
        <f ca="1">IFERROR(__xludf.DUMMYFUNCTION("if($F72&gt;=1,QUERY(Loot!$A$2:$G$904,""Select G where A = '""&amp; $E72 &amp;""' AND D &gt;= ""&amp; Q72  &amp;"" LIMIT 1""),)"),"")</f>
        <v/>
      </c>
      <c r="H72" s="61"/>
      <c r="I72" s="32" t="str">
        <f ca="1">IFERROR(__xludf.DUMMYFUNCTION("if($F72&gt;=2,QUERY(Loot!$A$2:$G$904,""Select G where A = '""&amp; $E72 &amp;""' AND D &gt;= ""&amp; R72 &amp;"" LIMIT 1""),)"),"")</f>
        <v/>
      </c>
      <c r="J72" s="61"/>
      <c r="K72" s="32" t="str">
        <f ca="1">IFERROR(__xludf.DUMMYFUNCTION("if($F72&gt;=3,QUERY(Loot!$A$2:$G$904,""Select G where A = '""&amp; $E72 &amp;""' AND D &gt;= ""&amp; S72  &amp;"" LIMIT 1""),)"),"")</f>
        <v/>
      </c>
      <c r="L72" s="61"/>
      <c r="M72" s="32" t="str">
        <f ca="1">IFERROR(__xludf.DUMMYFUNCTION("if($F72&gt;=4,QUERY(Loot!$A$2:$G$904,""Select G where A = '""&amp; $E72 &amp;""' AND D &gt;= ""&amp;T72 &amp;"" LIMIT 1""),)"),"")</f>
        <v/>
      </c>
      <c r="N72" s="61"/>
      <c r="O72" s="32" t="str">
        <f ca="1">IFERROR(__xludf.DUMMYFUNCTION("if($F72&gt;=5,QUERY(Loot!$A$2:$G$904,""Select G where A = '""&amp; $E72 &amp;""' AND D &gt;= ""&amp; U72 &amp;"" LIMIT 1""),)"),"")</f>
        <v/>
      </c>
      <c r="P72" s="61"/>
      <c r="Q72" s="62">
        <v>0.94440947723117541</v>
      </c>
      <c r="R72" s="63">
        <v>0.20040867772186333</v>
      </c>
      <c r="S72" s="63">
        <v>0.43223777984660527</v>
      </c>
      <c r="T72" s="63">
        <v>0.5567782901800723</v>
      </c>
      <c r="U72" s="63">
        <v>0.83320421151977964</v>
      </c>
    </row>
    <row r="73" spans="1:21" ht="16.2">
      <c r="A73" s="5">
        <f t="shared" ca="1" si="1"/>
        <v>72</v>
      </c>
      <c r="B73" s="5" t="str">
        <f ca="1">IFERROR(__xludf.DUMMYFUNCTION("if(ISBLANK(C73),,QUERY(MD!A74:D1072,""Select A where C = '""&amp; C73 &amp;""'""))"),"")</f>
        <v/>
      </c>
      <c r="C73" s="5"/>
      <c r="D73" s="5" t="str">
        <f ca="1">IFERROR(__xludf.DUMMYFUNCTION("if(ISBLANK(C73),,QUERY(MD!$A$2:$D$1000,""Select D where C = '""&amp; C73 &amp;""'""))"),"")</f>
        <v/>
      </c>
      <c r="E73" s="59" t="str">
        <f ca="1">IFERROR(__xludf.DUMMYFUNCTION("if(ISBLANK(C73),,QUERY(MD!$A$2:$D$1000,""Select B where C = '""&amp; C73 &amp;""'""))"),"")</f>
        <v/>
      </c>
      <c r="F73" s="5">
        <f t="shared" ca="1" si="0"/>
        <v>0</v>
      </c>
      <c r="G73" s="32" t="str">
        <f ca="1">IFERROR(__xludf.DUMMYFUNCTION("if($F73&gt;=1,QUERY(Loot!$A$2:$G$904,""Select G where A = '""&amp; $E73 &amp;""' AND D &gt;= ""&amp; Q73  &amp;"" LIMIT 1""),)"),"")</f>
        <v/>
      </c>
      <c r="H73" s="61"/>
      <c r="I73" s="32" t="str">
        <f ca="1">IFERROR(__xludf.DUMMYFUNCTION("if($F73&gt;=2,QUERY(Loot!$A$2:$G$904,""Select G where A = '""&amp; $E73 &amp;""' AND D &gt;= ""&amp; R73 &amp;"" LIMIT 1""),)"),"")</f>
        <v/>
      </c>
      <c r="J73" s="61"/>
      <c r="K73" s="32" t="str">
        <f ca="1">IFERROR(__xludf.DUMMYFUNCTION("if($F73&gt;=3,QUERY(Loot!$A$2:$G$904,""Select G where A = '""&amp; $E73 &amp;""' AND D &gt;= ""&amp; S73  &amp;"" LIMIT 1""),)"),"")</f>
        <v/>
      </c>
      <c r="L73" s="61"/>
      <c r="M73" s="32" t="str">
        <f ca="1">IFERROR(__xludf.DUMMYFUNCTION("if($F73&gt;=4,QUERY(Loot!$A$2:$G$904,""Select G where A = '""&amp; $E73 &amp;""' AND D &gt;= ""&amp;T73 &amp;"" LIMIT 1""),)"),"")</f>
        <v/>
      </c>
      <c r="N73" s="61"/>
      <c r="O73" s="32" t="str">
        <f ca="1">IFERROR(__xludf.DUMMYFUNCTION("if($F73&gt;=5,QUERY(Loot!$A$2:$G$904,""Select G where A = '""&amp; $E73 &amp;""' AND D &gt;= ""&amp; U73 &amp;"" LIMIT 1""),)"),"")</f>
        <v/>
      </c>
      <c r="P73" s="61"/>
      <c r="Q73" s="62">
        <v>0.69815339654746678</v>
      </c>
      <c r="R73" s="63">
        <v>0.57995770573742955</v>
      </c>
      <c r="S73" s="63">
        <v>0.32273424009450402</v>
      </c>
      <c r="T73" s="63">
        <v>4.9078120181701879E-2</v>
      </c>
      <c r="U73" s="63">
        <v>0.80725831562849926</v>
      </c>
    </row>
    <row r="74" spans="1:21" ht="16.2">
      <c r="A74" s="5">
        <f t="shared" ca="1" si="1"/>
        <v>73</v>
      </c>
      <c r="B74" s="5" t="str">
        <f ca="1">IFERROR(__xludf.DUMMYFUNCTION("if(ISBLANK(C74),,QUERY(MD!A75:D1073,""Select A where C = '""&amp; C74 &amp;""'""))"),"")</f>
        <v/>
      </c>
      <c r="C74" s="5"/>
      <c r="D74" s="5" t="str">
        <f ca="1">IFERROR(__xludf.DUMMYFUNCTION("if(ISBLANK(C74),,QUERY(MD!$A$2:$D$1000,""Select D where C = '""&amp; C74 &amp;""'""))"),"")</f>
        <v/>
      </c>
      <c r="E74" s="59" t="str">
        <f ca="1">IFERROR(__xludf.DUMMYFUNCTION("if(ISBLANK(C74),,QUERY(MD!$A$2:$D$1000,""Select B where C = '""&amp; C74 &amp;""'""))"),"")</f>
        <v/>
      </c>
      <c r="F74" s="5">
        <f t="shared" ca="1" si="0"/>
        <v>0</v>
      </c>
      <c r="G74" s="32" t="str">
        <f ca="1">IFERROR(__xludf.DUMMYFUNCTION("if($F74&gt;=1,QUERY(Loot!$A$2:$G$904,""Select G where A = '""&amp; $E74 &amp;""' AND D &gt;= ""&amp; Q74  &amp;"" LIMIT 1""),)"),"")</f>
        <v/>
      </c>
      <c r="H74" s="61"/>
      <c r="I74" s="32" t="str">
        <f ca="1">IFERROR(__xludf.DUMMYFUNCTION("if($F74&gt;=2,QUERY(Loot!$A$2:$G$904,""Select G where A = '""&amp; $E74 &amp;""' AND D &gt;= ""&amp; R74 &amp;"" LIMIT 1""),)"),"")</f>
        <v/>
      </c>
      <c r="J74" s="61"/>
      <c r="K74" s="32" t="str">
        <f ca="1">IFERROR(__xludf.DUMMYFUNCTION("if($F74&gt;=3,QUERY(Loot!$A$2:$G$904,""Select G where A = '""&amp; $E74 &amp;""' AND D &gt;= ""&amp; S74  &amp;"" LIMIT 1""),)"),"")</f>
        <v/>
      </c>
      <c r="L74" s="61"/>
      <c r="M74" s="32" t="str">
        <f ca="1">IFERROR(__xludf.DUMMYFUNCTION("if($F74&gt;=4,QUERY(Loot!$A$2:$G$904,""Select G where A = '""&amp; $E74 &amp;""' AND D &gt;= ""&amp;T74 &amp;"" LIMIT 1""),)"),"")</f>
        <v/>
      </c>
      <c r="N74" s="61"/>
      <c r="O74" s="32" t="str">
        <f ca="1">IFERROR(__xludf.DUMMYFUNCTION("if($F74&gt;=5,QUERY(Loot!$A$2:$G$904,""Select G where A = '""&amp; $E74 &amp;""' AND D &gt;= ""&amp; U74 &amp;"" LIMIT 1""),)"),"")</f>
        <v/>
      </c>
      <c r="P74" s="61"/>
      <c r="Q74" s="62">
        <v>7.7284719720131179E-2</v>
      </c>
      <c r="R74" s="63">
        <v>0.68970331881303026</v>
      </c>
      <c r="S74" s="63">
        <v>0.32477960714629028</v>
      </c>
      <c r="T74" s="63">
        <v>0.8654507414763658</v>
      </c>
      <c r="U74" s="63">
        <v>0.11609480666415151</v>
      </c>
    </row>
    <row r="75" spans="1:21" ht="16.2">
      <c r="A75" s="5">
        <f t="shared" ca="1" si="1"/>
        <v>74</v>
      </c>
      <c r="B75" s="5" t="str">
        <f ca="1">IFERROR(__xludf.DUMMYFUNCTION("if(ISBLANK(C75),,QUERY(MD!A76:D1074,""Select A where C = '""&amp; C75 &amp;""'""))"),"")</f>
        <v/>
      </c>
      <c r="C75" s="5"/>
      <c r="D75" s="5" t="str">
        <f ca="1">IFERROR(__xludf.DUMMYFUNCTION("if(ISBLANK(C75),,QUERY(MD!$A$2:$D$1000,""Select D where C = '""&amp; C75 &amp;""'""))"),"")</f>
        <v/>
      </c>
      <c r="E75" s="59" t="str">
        <f ca="1">IFERROR(__xludf.DUMMYFUNCTION("if(ISBLANK(C75),,QUERY(MD!$A$2:$D$1000,""Select B where C = '""&amp; C75 &amp;""'""))"),"")</f>
        <v/>
      </c>
      <c r="F75" s="5">
        <f t="shared" ca="1" si="0"/>
        <v>0</v>
      </c>
      <c r="G75" s="32" t="str">
        <f ca="1">IFERROR(__xludf.DUMMYFUNCTION("if($F75&gt;=1,QUERY(Loot!$A$2:$G$904,""Select G where A = '""&amp; $E75 &amp;""' AND D &gt;= ""&amp; Q75  &amp;"" LIMIT 1""),)"),"")</f>
        <v/>
      </c>
      <c r="H75" s="61"/>
      <c r="I75" s="32" t="str">
        <f ca="1">IFERROR(__xludf.DUMMYFUNCTION("if($F75&gt;=2,QUERY(Loot!$A$2:$G$904,""Select G where A = '""&amp; $E75 &amp;""' AND D &gt;= ""&amp; R75 &amp;"" LIMIT 1""),)"),"")</f>
        <v/>
      </c>
      <c r="J75" s="61"/>
      <c r="K75" s="32" t="str">
        <f ca="1">IFERROR(__xludf.DUMMYFUNCTION("if($F75&gt;=3,QUERY(Loot!$A$2:$G$904,""Select G where A = '""&amp; $E75 &amp;""' AND D &gt;= ""&amp; S75  &amp;"" LIMIT 1""),)"),"")</f>
        <v/>
      </c>
      <c r="L75" s="61"/>
      <c r="M75" s="32" t="str">
        <f ca="1">IFERROR(__xludf.DUMMYFUNCTION("if($F75&gt;=4,QUERY(Loot!$A$2:$G$904,""Select G where A = '""&amp; $E75 &amp;""' AND D &gt;= ""&amp;T75 &amp;"" LIMIT 1""),)"),"")</f>
        <v/>
      </c>
      <c r="N75" s="61"/>
      <c r="O75" s="32" t="str">
        <f ca="1">IFERROR(__xludf.DUMMYFUNCTION("if($F75&gt;=5,QUERY(Loot!$A$2:$G$904,""Select G where A = '""&amp; $E75 &amp;""' AND D &gt;= ""&amp; U75 &amp;"" LIMIT 1""),)"),"")</f>
        <v/>
      </c>
      <c r="P75" s="61"/>
      <c r="Q75" s="62">
        <v>0.44980722017340091</v>
      </c>
      <c r="R75" s="63">
        <v>9.8841653143168395E-2</v>
      </c>
      <c r="S75" s="63">
        <v>0.3463171352224732</v>
      </c>
      <c r="T75" s="63">
        <v>0.31777142090351895</v>
      </c>
      <c r="U75" s="63">
        <v>0.17993056574894573</v>
      </c>
    </row>
    <row r="76" spans="1:21" ht="16.2">
      <c r="A76" s="5">
        <f t="shared" ca="1" si="1"/>
        <v>75</v>
      </c>
      <c r="B76" s="5" t="str">
        <f ca="1">IFERROR(__xludf.DUMMYFUNCTION("if(ISBLANK(C76),,QUERY(MD!A77:D1075,""Select A where C = '""&amp; C76 &amp;""'""))"),"")</f>
        <v/>
      </c>
      <c r="C76" s="5"/>
      <c r="D76" s="5" t="str">
        <f ca="1">IFERROR(__xludf.DUMMYFUNCTION("if(ISBLANK(C76),,QUERY(MD!$A$2:$D$1000,""Select D where C = '""&amp; C76 &amp;""'""))"),"")</f>
        <v/>
      </c>
      <c r="E76" s="59" t="str">
        <f ca="1">IFERROR(__xludf.DUMMYFUNCTION("if(ISBLANK(C76),,QUERY(MD!$A$2:$D$1000,""Select B where C = '""&amp; C76 &amp;""'""))"),"")</f>
        <v/>
      </c>
      <c r="F76" s="5">
        <f t="shared" ca="1" si="0"/>
        <v>0</v>
      </c>
      <c r="G76" s="32" t="str">
        <f ca="1">IFERROR(__xludf.DUMMYFUNCTION("if($F76&gt;=1,QUERY(Loot!$A$2:$G$904,""Select G where A = '""&amp; $E76 &amp;""' AND D &gt;= ""&amp; Q76  &amp;"" LIMIT 1""),)"),"")</f>
        <v/>
      </c>
      <c r="H76" s="61"/>
      <c r="I76" s="32" t="str">
        <f ca="1">IFERROR(__xludf.DUMMYFUNCTION("if($F76&gt;=2,QUERY(Loot!$A$2:$G$904,""Select G where A = '""&amp; $E76 &amp;""' AND D &gt;= ""&amp; R76 &amp;"" LIMIT 1""),)"),"")</f>
        <v/>
      </c>
      <c r="J76" s="61"/>
      <c r="K76" s="32" t="str">
        <f ca="1">IFERROR(__xludf.DUMMYFUNCTION("if($F76&gt;=3,QUERY(Loot!$A$2:$G$904,""Select G where A = '""&amp; $E76 &amp;""' AND D &gt;= ""&amp; S76  &amp;"" LIMIT 1""),)"),"")</f>
        <v/>
      </c>
      <c r="L76" s="61"/>
      <c r="M76" s="32" t="str">
        <f ca="1">IFERROR(__xludf.DUMMYFUNCTION("if($F76&gt;=4,QUERY(Loot!$A$2:$G$904,""Select G where A = '""&amp; $E76 &amp;""' AND D &gt;= ""&amp;T76 &amp;"" LIMIT 1""),)"),"")</f>
        <v/>
      </c>
      <c r="N76" s="61"/>
      <c r="O76" s="32" t="str">
        <f ca="1">IFERROR(__xludf.DUMMYFUNCTION("if($F76&gt;=5,QUERY(Loot!$A$2:$G$904,""Select G where A = '""&amp; $E76 &amp;""' AND D &gt;= ""&amp; U76 &amp;"" LIMIT 1""),)"),"")</f>
        <v/>
      </c>
      <c r="P76" s="61"/>
      <c r="Q76" s="62">
        <v>0.84477796391973126</v>
      </c>
      <c r="R76" s="63">
        <v>0.57689390821639286</v>
      </c>
      <c r="S76" s="63">
        <v>0.84905525554010897</v>
      </c>
      <c r="T76" s="63">
        <v>0.75047586318517445</v>
      </c>
      <c r="U76" s="63">
        <v>0.82906815636651465</v>
      </c>
    </row>
    <row r="77" spans="1:21" ht="16.2">
      <c r="A77" s="5">
        <f t="shared" ca="1" si="1"/>
        <v>76</v>
      </c>
      <c r="B77" s="5" t="str">
        <f ca="1">IFERROR(__xludf.DUMMYFUNCTION("if(ISBLANK(C77),,QUERY(MD!A78:D1076,""Select A where C = '""&amp; C77 &amp;""'""))"),"")</f>
        <v/>
      </c>
      <c r="C77" s="5"/>
      <c r="D77" s="5" t="str">
        <f ca="1">IFERROR(__xludf.DUMMYFUNCTION("if(ISBLANK(C77),,QUERY(MD!$A$2:$D$1000,""Select D where C = '""&amp; C77 &amp;""'""))"),"")</f>
        <v/>
      </c>
      <c r="E77" s="59" t="str">
        <f ca="1">IFERROR(__xludf.DUMMYFUNCTION("if(ISBLANK(C77),,QUERY(MD!$A$2:$D$1000,""Select B where C = '""&amp; C77 &amp;""'""))"),"")</f>
        <v/>
      </c>
      <c r="F77" s="5">
        <f t="shared" ca="1" si="0"/>
        <v>0</v>
      </c>
      <c r="G77" s="32" t="str">
        <f ca="1">IFERROR(__xludf.DUMMYFUNCTION("if($F77&gt;=1,QUERY(Loot!$A$2:$G$904,""Select G where A = '""&amp; $E77 &amp;""' AND D &gt;= ""&amp; Q77  &amp;"" LIMIT 1""),)"),"")</f>
        <v/>
      </c>
      <c r="H77" s="61"/>
      <c r="I77" s="32" t="str">
        <f ca="1">IFERROR(__xludf.DUMMYFUNCTION("if($F77&gt;=2,QUERY(Loot!$A$2:$G$904,""Select G where A = '""&amp; $E77 &amp;""' AND D &gt;= ""&amp; R77 &amp;"" LIMIT 1""),)"),"")</f>
        <v/>
      </c>
      <c r="J77" s="61"/>
      <c r="K77" s="32" t="str">
        <f ca="1">IFERROR(__xludf.DUMMYFUNCTION("if($F77&gt;=3,QUERY(Loot!$A$2:$G$904,""Select G where A = '""&amp; $E77 &amp;""' AND D &gt;= ""&amp; S77  &amp;"" LIMIT 1""),)"),"")</f>
        <v/>
      </c>
      <c r="L77" s="61"/>
      <c r="M77" s="32" t="str">
        <f ca="1">IFERROR(__xludf.DUMMYFUNCTION("if($F77&gt;=4,QUERY(Loot!$A$2:$G$904,""Select G where A = '""&amp; $E77 &amp;""' AND D &gt;= ""&amp;T77 &amp;"" LIMIT 1""),)"),"")</f>
        <v/>
      </c>
      <c r="N77" s="61"/>
      <c r="O77" s="32" t="str">
        <f ca="1">IFERROR(__xludf.DUMMYFUNCTION("if($F77&gt;=5,QUERY(Loot!$A$2:$G$904,""Select G where A = '""&amp; $E77 &amp;""' AND D &gt;= ""&amp; U77 &amp;"" LIMIT 1""),)"),"")</f>
        <v/>
      </c>
      <c r="P77" s="61"/>
      <c r="Q77" s="62">
        <v>0.44983358349069169</v>
      </c>
      <c r="R77" s="63">
        <v>0.91156535347238576</v>
      </c>
      <c r="S77" s="63">
        <v>0.42709426685585306</v>
      </c>
      <c r="T77" s="63">
        <v>0.45232174231797406</v>
      </c>
      <c r="U77" s="63">
        <v>0.80128951121561598</v>
      </c>
    </row>
    <row r="78" spans="1:21" ht="16.2">
      <c r="A78" s="5">
        <f t="shared" ca="1" si="1"/>
        <v>77</v>
      </c>
      <c r="B78" s="5" t="str">
        <f ca="1">IFERROR(__xludf.DUMMYFUNCTION("if(ISBLANK(C78),,QUERY(MD!A79:D1077,""Select A where C = '""&amp; C78 &amp;""'""))"),"")</f>
        <v/>
      </c>
      <c r="C78" s="5"/>
      <c r="D78" s="5" t="str">
        <f ca="1">IFERROR(__xludf.DUMMYFUNCTION("if(ISBLANK(C78),,QUERY(MD!$A$2:$D$1000,""Select D where C = '""&amp; C78 &amp;""'""))"),"")</f>
        <v/>
      </c>
      <c r="E78" s="59" t="str">
        <f ca="1">IFERROR(__xludf.DUMMYFUNCTION("if(ISBLANK(C78),,QUERY(MD!$A$2:$D$1000,""Select B where C = '""&amp; C78 &amp;""'""))"),"")</f>
        <v/>
      </c>
      <c r="F78" s="5">
        <f t="shared" ca="1" si="0"/>
        <v>0</v>
      </c>
      <c r="G78" s="32" t="str">
        <f ca="1">IFERROR(__xludf.DUMMYFUNCTION("if($F78&gt;=1,QUERY(Loot!$A$2:$G$904,""Select G where A = '""&amp; $E78 &amp;""' AND D &gt;= ""&amp; Q78  &amp;"" LIMIT 1""),)"),"")</f>
        <v/>
      </c>
      <c r="H78" s="61"/>
      <c r="I78" s="32" t="str">
        <f ca="1">IFERROR(__xludf.DUMMYFUNCTION("if($F78&gt;=2,QUERY(Loot!$A$2:$G$904,""Select G where A = '""&amp; $E78 &amp;""' AND D &gt;= ""&amp; R78 &amp;"" LIMIT 1""),)"),"")</f>
        <v/>
      </c>
      <c r="J78" s="61"/>
      <c r="K78" s="32" t="str">
        <f ca="1">IFERROR(__xludf.DUMMYFUNCTION("if($F78&gt;=3,QUERY(Loot!$A$2:$G$904,""Select G where A = '""&amp; $E78 &amp;""' AND D &gt;= ""&amp; S78  &amp;"" LIMIT 1""),)"),"")</f>
        <v/>
      </c>
      <c r="L78" s="61"/>
      <c r="M78" s="32" t="str">
        <f ca="1">IFERROR(__xludf.DUMMYFUNCTION("if($F78&gt;=4,QUERY(Loot!$A$2:$G$904,""Select G where A = '""&amp; $E78 &amp;""' AND D &gt;= ""&amp;T78 &amp;"" LIMIT 1""),)"),"")</f>
        <v/>
      </c>
      <c r="N78" s="61"/>
      <c r="O78" s="32" t="str">
        <f ca="1">IFERROR(__xludf.DUMMYFUNCTION("if($F78&gt;=5,QUERY(Loot!$A$2:$G$904,""Select G where A = '""&amp; $E78 &amp;""' AND D &gt;= ""&amp; U78 &amp;"" LIMIT 1""),)"),"")</f>
        <v/>
      </c>
      <c r="P78" s="61"/>
      <c r="Q78" s="62">
        <v>0.55844146151765683</v>
      </c>
      <c r="R78" s="63">
        <v>3.1375467649353284E-2</v>
      </c>
      <c r="S78" s="63">
        <v>0.85161095848655566</v>
      </c>
      <c r="T78" s="63">
        <v>0.76586187984211196</v>
      </c>
      <c r="U78" s="63">
        <v>0.59055474890691584</v>
      </c>
    </row>
    <row r="79" spans="1:21" ht="16.2">
      <c r="A79" s="5">
        <f t="shared" ca="1" si="1"/>
        <v>78</v>
      </c>
      <c r="B79" s="5" t="str">
        <f ca="1">IFERROR(__xludf.DUMMYFUNCTION("if(ISBLANK(C79),,QUERY(MD!A80:D1078,""Select A where C = '""&amp; C79 &amp;""'""))"),"")</f>
        <v/>
      </c>
      <c r="C79" s="5"/>
      <c r="D79" s="5" t="str">
        <f ca="1">IFERROR(__xludf.DUMMYFUNCTION("if(ISBLANK(C79),,QUERY(MD!$A$2:$D$1000,""Select D where C = '""&amp; C79 &amp;""'""))"),"")</f>
        <v/>
      </c>
      <c r="E79" s="59" t="str">
        <f ca="1">IFERROR(__xludf.DUMMYFUNCTION("if(ISBLANK(C79),,QUERY(MD!$A$2:$D$1000,""Select B where C = '""&amp; C79 &amp;""'""))"),"")</f>
        <v/>
      </c>
      <c r="F79" s="5">
        <f t="shared" ca="1" si="0"/>
        <v>0</v>
      </c>
      <c r="G79" s="32" t="str">
        <f ca="1">IFERROR(__xludf.DUMMYFUNCTION("if($F79&gt;=1,QUERY(Loot!$A$2:$G$904,""Select G where A = '""&amp; $E79 &amp;""' AND D &gt;= ""&amp; Q79  &amp;"" LIMIT 1""),)"),"")</f>
        <v/>
      </c>
      <c r="H79" s="61"/>
      <c r="I79" s="32" t="str">
        <f ca="1">IFERROR(__xludf.DUMMYFUNCTION("if($F79&gt;=2,QUERY(Loot!$A$2:$G$904,""Select G where A = '""&amp; $E79 &amp;""' AND D &gt;= ""&amp; R79 &amp;"" LIMIT 1""),)"),"")</f>
        <v/>
      </c>
      <c r="J79" s="61"/>
      <c r="K79" s="32" t="str">
        <f ca="1">IFERROR(__xludf.DUMMYFUNCTION("if($F79&gt;=3,QUERY(Loot!$A$2:$G$904,""Select G where A = '""&amp; $E79 &amp;""' AND D &gt;= ""&amp; S79  &amp;"" LIMIT 1""),)"),"")</f>
        <v/>
      </c>
      <c r="L79" s="61"/>
      <c r="M79" s="32" t="str">
        <f ca="1">IFERROR(__xludf.DUMMYFUNCTION("if($F79&gt;=4,QUERY(Loot!$A$2:$G$904,""Select G where A = '""&amp; $E79 &amp;""' AND D &gt;= ""&amp;T79 &amp;"" LIMIT 1""),)"),"")</f>
        <v/>
      </c>
      <c r="N79" s="61"/>
      <c r="O79" s="32" t="str">
        <f ca="1">IFERROR(__xludf.DUMMYFUNCTION("if($F79&gt;=5,QUERY(Loot!$A$2:$G$904,""Select G where A = '""&amp; $E79 &amp;""' AND D &gt;= ""&amp; U79 &amp;"" LIMIT 1""),)"),"")</f>
        <v/>
      </c>
      <c r="P79" s="61"/>
      <c r="Q79" s="62">
        <v>0.88525955373470178</v>
      </c>
      <c r="R79" s="63">
        <v>0.92944098648310003</v>
      </c>
      <c r="S79" s="63">
        <v>0.42837841766423235</v>
      </c>
      <c r="T79" s="63">
        <v>0.82662595543844808</v>
      </c>
      <c r="U79" s="63">
        <v>3.390751884345844E-2</v>
      </c>
    </row>
    <row r="80" spans="1:21" ht="16.2">
      <c r="A80" s="5">
        <f t="shared" ca="1" si="1"/>
        <v>79</v>
      </c>
      <c r="B80" s="5" t="str">
        <f ca="1">IFERROR(__xludf.DUMMYFUNCTION("if(ISBLANK(C80),,QUERY(MD!A81:D1079,""Select A where C = '""&amp; C80 &amp;""'""))"),"")</f>
        <v/>
      </c>
      <c r="C80" s="5"/>
      <c r="D80" s="5" t="str">
        <f ca="1">IFERROR(__xludf.DUMMYFUNCTION("if(ISBLANK(C80),,QUERY(MD!$A$2:$D$1000,""Select D where C = '""&amp; C80 &amp;""'""))"),"")</f>
        <v/>
      </c>
      <c r="E80" s="59" t="str">
        <f ca="1">IFERROR(__xludf.DUMMYFUNCTION("if(ISBLANK(C80),,QUERY(MD!$A$2:$D$1000,""Select B where C = '""&amp; C80 &amp;""'""))"),"")</f>
        <v/>
      </c>
      <c r="F80" s="5">
        <f t="shared" ca="1" si="0"/>
        <v>0</v>
      </c>
      <c r="G80" s="32" t="str">
        <f ca="1">IFERROR(__xludf.DUMMYFUNCTION("if($F80&gt;=1,QUERY(Loot!$A$2:$G$904,""Select G where A = '""&amp; $E80 &amp;""' AND D &gt;= ""&amp; Q80  &amp;"" LIMIT 1""),)"),"")</f>
        <v/>
      </c>
      <c r="H80" s="61"/>
      <c r="I80" s="32" t="str">
        <f ca="1">IFERROR(__xludf.DUMMYFUNCTION("if($F80&gt;=2,QUERY(Loot!$A$2:$G$904,""Select G where A = '""&amp; $E80 &amp;""' AND D &gt;= ""&amp; R80 &amp;"" LIMIT 1""),)"),"")</f>
        <v/>
      </c>
      <c r="J80" s="61"/>
      <c r="K80" s="32" t="str">
        <f ca="1">IFERROR(__xludf.DUMMYFUNCTION("if($F80&gt;=3,QUERY(Loot!$A$2:$G$904,""Select G where A = '""&amp; $E80 &amp;""' AND D &gt;= ""&amp; S80  &amp;"" LIMIT 1""),)"),"")</f>
        <v/>
      </c>
      <c r="L80" s="61"/>
      <c r="M80" s="32" t="str">
        <f ca="1">IFERROR(__xludf.DUMMYFUNCTION("if($F80&gt;=4,QUERY(Loot!$A$2:$G$904,""Select G where A = '""&amp; $E80 &amp;""' AND D &gt;= ""&amp;T80 &amp;"" LIMIT 1""),)"),"")</f>
        <v/>
      </c>
      <c r="N80" s="61"/>
      <c r="O80" s="32" t="str">
        <f ca="1">IFERROR(__xludf.DUMMYFUNCTION("if($F80&gt;=5,QUERY(Loot!$A$2:$G$904,""Select G where A = '""&amp; $E80 &amp;""' AND D &gt;= ""&amp; U80 &amp;"" LIMIT 1""),)"),"")</f>
        <v/>
      </c>
      <c r="P80" s="61"/>
      <c r="Q80" s="62">
        <v>3.4590037160038278E-3</v>
      </c>
      <c r="R80" s="63">
        <v>0.46175262291280572</v>
      </c>
      <c r="S80" s="63">
        <v>0.20223716852323537</v>
      </c>
      <c r="T80" s="63">
        <v>0.96355361134839501</v>
      </c>
      <c r="U80" s="63">
        <v>0.44215972348331489</v>
      </c>
    </row>
    <row r="81" spans="1:21" ht="16.2">
      <c r="A81" s="5">
        <f t="shared" ca="1" si="1"/>
        <v>80</v>
      </c>
      <c r="B81" s="5" t="str">
        <f ca="1">IFERROR(__xludf.DUMMYFUNCTION("if(ISBLANK(C81),,QUERY(MD!A82:D1080,""Select A where C = '""&amp; C81 &amp;""'""))"),"")</f>
        <v/>
      </c>
      <c r="C81" s="5"/>
      <c r="D81" s="5" t="str">
        <f ca="1">IFERROR(__xludf.DUMMYFUNCTION("if(ISBLANK(C81),,QUERY(MD!$A$2:$D$1000,""Select D where C = '""&amp; C81 &amp;""'""))"),"")</f>
        <v/>
      </c>
      <c r="E81" s="59" t="str">
        <f ca="1">IFERROR(__xludf.DUMMYFUNCTION("if(ISBLANK(C81),,QUERY(MD!$A$2:$D$1000,""Select B where C = '""&amp; C81 &amp;""'""))"),"")</f>
        <v/>
      </c>
      <c r="F81" s="5">
        <f t="shared" ca="1" si="0"/>
        <v>0</v>
      </c>
      <c r="G81" s="32" t="str">
        <f ca="1">IFERROR(__xludf.DUMMYFUNCTION("if($F81&gt;=1,QUERY(Loot!$A$2:$G$904,""Select G where A = '""&amp; $E81 &amp;""' AND D &gt;= ""&amp; Q81  &amp;"" LIMIT 1""),)"),"")</f>
        <v/>
      </c>
      <c r="H81" s="61"/>
      <c r="I81" s="32" t="str">
        <f ca="1">IFERROR(__xludf.DUMMYFUNCTION("if($F81&gt;=2,QUERY(Loot!$A$2:$G$904,""Select G where A = '""&amp; $E81 &amp;""' AND D &gt;= ""&amp; R81 &amp;"" LIMIT 1""),)"),"")</f>
        <v/>
      </c>
      <c r="J81" s="61"/>
      <c r="K81" s="32" t="str">
        <f ca="1">IFERROR(__xludf.DUMMYFUNCTION("if($F81&gt;=3,QUERY(Loot!$A$2:$G$904,""Select G where A = '""&amp; $E81 &amp;""' AND D &gt;= ""&amp; S81  &amp;"" LIMIT 1""),)"),"")</f>
        <v/>
      </c>
      <c r="L81" s="61"/>
      <c r="M81" s="32" t="str">
        <f ca="1">IFERROR(__xludf.DUMMYFUNCTION("if($F81&gt;=4,QUERY(Loot!$A$2:$G$904,""Select G where A = '""&amp; $E81 &amp;""' AND D &gt;= ""&amp;T81 &amp;"" LIMIT 1""),)"),"")</f>
        <v/>
      </c>
      <c r="N81" s="61"/>
      <c r="O81" s="32" t="str">
        <f ca="1">IFERROR(__xludf.DUMMYFUNCTION("if($F81&gt;=5,QUERY(Loot!$A$2:$G$904,""Select G where A = '""&amp; $E81 &amp;""' AND D &gt;= ""&amp; U81 &amp;"" LIMIT 1""),)"),"")</f>
        <v/>
      </c>
      <c r="P81" s="61"/>
      <c r="Q81" s="62">
        <v>0.40648305313738464</v>
      </c>
      <c r="R81" s="63">
        <v>0.47514095969455672</v>
      </c>
      <c r="S81" s="63">
        <v>0.5309799656536287</v>
      </c>
      <c r="T81" s="63">
        <v>0.83090846873659407</v>
      </c>
      <c r="U81" s="63">
        <v>0.18577791980625369</v>
      </c>
    </row>
    <row r="82" spans="1:21" ht="16.2">
      <c r="A82" s="5">
        <f t="shared" ca="1" si="1"/>
        <v>81</v>
      </c>
      <c r="B82" s="5" t="str">
        <f ca="1">IFERROR(__xludf.DUMMYFUNCTION("if(ISBLANK(C82),,QUERY(MD!A83:D1081,""Select A where C = '""&amp; C82 &amp;""'""))"),"")</f>
        <v/>
      </c>
      <c r="C82" s="5"/>
      <c r="D82" s="5" t="str">
        <f ca="1">IFERROR(__xludf.DUMMYFUNCTION("if(ISBLANK(C82),,QUERY(MD!$A$2:$D$1000,""Select D where C = '""&amp; C82 &amp;""'""))"),"")</f>
        <v/>
      </c>
      <c r="E82" s="59" t="str">
        <f ca="1">IFERROR(__xludf.DUMMYFUNCTION("if(ISBLANK(C82),,QUERY(MD!$A$2:$D$1000,""Select B where C = '""&amp; C82 &amp;""'""))"),"")</f>
        <v/>
      </c>
      <c r="F82" s="5">
        <f t="shared" ca="1" si="0"/>
        <v>0</v>
      </c>
      <c r="G82" s="32" t="str">
        <f ca="1">IFERROR(__xludf.DUMMYFUNCTION("if($F82&gt;=1,QUERY(Loot!$A$2:$G$904,""Select G where A = '""&amp; $E82 &amp;""' AND D &gt;= ""&amp; Q82  &amp;"" LIMIT 1""),)"),"")</f>
        <v/>
      </c>
      <c r="H82" s="61"/>
      <c r="I82" s="32" t="str">
        <f ca="1">IFERROR(__xludf.DUMMYFUNCTION("if($F82&gt;=2,QUERY(Loot!$A$2:$G$904,""Select G where A = '""&amp; $E82 &amp;""' AND D &gt;= ""&amp; R82 &amp;"" LIMIT 1""),)"),"")</f>
        <v/>
      </c>
      <c r="J82" s="61"/>
      <c r="K82" s="32" t="str">
        <f ca="1">IFERROR(__xludf.DUMMYFUNCTION("if($F82&gt;=3,QUERY(Loot!$A$2:$G$904,""Select G where A = '""&amp; $E82 &amp;""' AND D &gt;= ""&amp; S82  &amp;"" LIMIT 1""),)"),"")</f>
        <v/>
      </c>
      <c r="L82" s="61"/>
      <c r="M82" s="32" t="str">
        <f ca="1">IFERROR(__xludf.DUMMYFUNCTION("if($F82&gt;=4,QUERY(Loot!$A$2:$G$904,""Select G where A = '""&amp; $E82 &amp;""' AND D &gt;= ""&amp;T82 &amp;"" LIMIT 1""),)"),"")</f>
        <v/>
      </c>
      <c r="N82" s="61"/>
      <c r="O82" s="32" t="str">
        <f ca="1">IFERROR(__xludf.DUMMYFUNCTION("if($F82&gt;=5,QUERY(Loot!$A$2:$G$904,""Select G where A = '""&amp; $E82 &amp;""' AND D &gt;= ""&amp; U82 &amp;"" LIMIT 1""),)"),"")</f>
        <v/>
      </c>
      <c r="P82" s="61"/>
      <c r="Q82" s="62">
        <v>0.73487581237299937</v>
      </c>
      <c r="R82" s="63">
        <v>0.66570050190265884</v>
      </c>
      <c r="S82" s="63">
        <v>9.7191727900466374E-2</v>
      </c>
      <c r="T82" s="63">
        <v>0.98506248791816264</v>
      </c>
      <c r="U82" s="63">
        <v>0.82820648609799485</v>
      </c>
    </row>
    <row r="83" spans="1:21" ht="16.2">
      <c r="A83" s="5">
        <f t="shared" ca="1" si="1"/>
        <v>82</v>
      </c>
      <c r="B83" s="5" t="str">
        <f ca="1">IFERROR(__xludf.DUMMYFUNCTION("if(ISBLANK(C83),,QUERY(MD!A84:D1082,""Select A where C = '""&amp; C83 &amp;""'""))"),"")</f>
        <v/>
      </c>
      <c r="C83" s="5"/>
      <c r="D83" s="5" t="str">
        <f ca="1">IFERROR(__xludf.DUMMYFUNCTION("if(ISBLANK(C83),,QUERY(MD!$A$2:$D$1000,""Select D where C = '""&amp; C83 &amp;""'""))"),"")</f>
        <v/>
      </c>
      <c r="E83" s="59" t="str">
        <f ca="1">IFERROR(__xludf.DUMMYFUNCTION("if(ISBLANK(C83),,QUERY(MD!$A$2:$D$1000,""Select B where C = '""&amp; C83 &amp;""'""))"),"")</f>
        <v/>
      </c>
      <c r="F83" s="5">
        <f t="shared" ca="1" si="0"/>
        <v>0</v>
      </c>
      <c r="G83" s="32" t="str">
        <f ca="1">IFERROR(__xludf.DUMMYFUNCTION("if($F83&gt;=1,QUERY(Loot!$A$2:$G$904,""Select G where A = '""&amp; $E83 &amp;""' AND D &gt;= ""&amp; Q83  &amp;"" LIMIT 1""),)"),"")</f>
        <v/>
      </c>
      <c r="H83" s="61"/>
      <c r="I83" s="32" t="str">
        <f ca="1">IFERROR(__xludf.DUMMYFUNCTION("if($F83&gt;=2,QUERY(Loot!$A$2:$G$904,""Select G where A = '""&amp; $E83 &amp;""' AND D &gt;= ""&amp; R83 &amp;"" LIMIT 1""),)"),"")</f>
        <v/>
      </c>
      <c r="J83" s="61"/>
      <c r="K83" s="32" t="str">
        <f ca="1">IFERROR(__xludf.DUMMYFUNCTION("if($F83&gt;=3,QUERY(Loot!$A$2:$G$904,""Select G where A = '""&amp; $E83 &amp;""' AND D &gt;= ""&amp; S83  &amp;"" LIMIT 1""),)"),"")</f>
        <v/>
      </c>
      <c r="L83" s="61"/>
      <c r="M83" s="32" t="str">
        <f ca="1">IFERROR(__xludf.DUMMYFUNCTION("if($F83&gt;=4,QUERY(Loot!$A$2:$G$904,""Select G where A = '""&amp; $E83 &amp;""' AND D &gt;= ""&amp;T83 &amp;"" LIMIT 1""),)"),"")</f>
        <v/>
      </c>
      <c r="N83" s="61"/>
      <c r="O83" s="32" t="str">
        <f ca="1">IFERROR(__xludf.DUMMYFUNCTION("if($F83&gt;=5,QUERY(Loot!$A$2:$G$904,""Select G where A = '""&amp; $E83 &amp;""' AND D &gt;= ""&amp; U83 &amp;"" LIMIT 1""),)"),"")</f>
        <v/>
      </c>
      <c r="P83" s="61"/>
      <c r="Q83" s="62">
        <v>0.12470903326294447</v>
      </c>
      <c r="R83" s="63">
        <v>0.6820033083635727</v>
      </c>
      <c r="S83" s="63">
        <v>0.91497958945641555</v>
      </c>
      <c r="T83" s="63">
        <v>0.78212734304197895</v>
      </c>
      <c r="U83" s="63">
        <v>0.60917698905119355</v>
      </c>
    </row>
    <row r="84" spans="1:21" ht="16.2">
      <c r="A84" s="5">
        <f t="shared" ca="1" si="1"/>
        <v>83</v>
      </c>
      <c r="B84" s="5" t="str">
        <f ca="1">IFERROR(__xludf.DUMMYFUNCTION("if(ISBLANK(C84),,QUERY(MD!A85:D1083,""Select A where C = '""&amp; C84 &amp;""'""))"),"")</f>
        <v/>
      </c>
      <c r="C84" s="5"/>
      <c r="D84" s="5" t="str">
        <f ca="1">IFERROR(__xludf.DUMMYFUNCTION("if(ISBLANK(C84),,QUERY(MD!$A$2:$D$1000,""Select D where C = '""&amp; C84 &amp;""'""))"),"")</f>
        <v/>
      </c>
      <c r="E84" s="59" t="str">
        <f ca="1">IFERROR(__xludf.DUMMYFUNCTION("if(ISBLANK(C84),,QUERY(MD!$A$2:$D$1000,""Select B where C = '""&amp; C84 &amp;""'""))"),"")</f>
        <v/>
      </c>
      <c r="F84" s="5">
        <f t="shared" ca="1" si="0"/>
        <v>0</v>
      </c>
      <c r="G84" s="32" t="str">
        <f ca="1">IFERROR(__xludf.DUMMYFUNCTION("if($F84&gt;=1,QUERY(Loot!$A$2:$G$904,""Select G where A = '""&amp; $E84 &amp;""' AND D &gt;= ""&amp; Q84  &amp;"" LIMIT 1""),)"),"")</f>
        <v/>
      </c>
      <c r="H84" s="61"/>
      <c r="I84" s="32" t="str">
        <f ca="1">IFERROR(__xludf.DUMMYFUNCTION("if($F84&gt;=2,QUERY(Loot!$A$2:$G$904,""Select G where A = '""&amp; $E84 &amp;""' AND D &gt;= ""&amp; R84 &amp;"" LIMIT 1""),)"),"")</f>
        <v/>
      </c>
      <c r="J84" s="61"/>
      <c r="K84" s="32" t="str">
        <f ca="1">IFERROR(__xludf.DUMMYFUNCTION("if($F84&gt;=3,QUERY(Loot!$A$2:$G$904,""Select G where A = '""&amp; $E84 &amp;""' AND D &gt;= ""&amp; S84  &amp;"" LIMIT 1""),)"),"")</f>
        <v/>
      </c>
      <c r="L84" s="61"/>
      <c r="M84" s="32" t="str">
        <f ca="1">IFERROR(__xludf.DUMMYFUNCTION("if($F84&gt;=4,QUERY(Loot!$A$2:$G$904,""Select G where A = '""&amp; $E84 &amp;""' AND D &gt;= ""&amp;T84 &amp;"" LIMIT 1""),)"),"")</f>
        <v/>
      </c>
      <c r="N84" s="61"/>
      <c r="O84" s="32" t="str">
        <f ca="1">IFERROR(__xludf.DUMMYFUNCTION("if($F84&gt;=5,QUERY(Loot!$A$2:$G$904,""Select G where A = '""&amp; $E84 &amp;""' AND D &gt;= ""&amp; U84 &amp;"" LIMIT 1""),)"),"")</f>
        <v/>
      </c>
      <c r="P84" s="61"/>
      <c r="Q84" s="62">
        <v>0.46194851901027467</v>
      </c>
      <c r="R84" s="63">
        <v>0.62697377242213659</v>
      </c>
      <c r="S84" s="63">
        <v>0.35566757714786701</v>
      </c>
      <c r="T84" s="63">
        <v>0.24387324534263588</v>
      </c>
      <c r="U84" s="63">
        <v>0.66251842831721885</v>
      </c>
    </row>
    <row r="85" spans="1:21" ht="16.2">
      <c r="A85" s="5">
        <f t="shared" ca="1" si="1"/>
        <v>84</v>
      </c>
      <c r="B85" s="5" t="str">
        <f ca="1">IFERROR(__xludf.DUMMYFUNCTION("if(ISBLANK(C85),,QUERY(MD!A86:D1084,""Select A where C = '""&amp; C85 &amp;""'""))"),"")</f>
        <v/>
      </c>
      <c r="C85" s="5"/>
      <c r="D85" s="5" t="str">
        <f ca="1">IFERROR(__xludf.DUMMYFUNCTION("if(ISBLANK(C85),,QUERY(MD!$A$2:$D$1000,""Select D where C = '""&amp; C85 &amp;""'""))"),"")</f>
        <v/>
      </c>
      <c r="E85" s="59" t="str">
        <f ca="1">IFERROR(__xludf.DUMMYFUNCTION("if(ISBLANK(C85),,QUERY(MD!$A$2:$D$1000,""Select B where C = '""&amp; C85 &amp;""'""))"),"")</f>
        <v/>
      </c>
      <c r="F85" s="5">
        <f t="shared" ca="1" si="0"/>
        <v>0</v>
      </c>
      <c r="G85" s="32" t="str">
        <f ca="1">IFERROR(__xludf.DUMMYFUNCTION("if($F85&gt;=1,QUERY(Loot!$A$2:$G$904,""Select G where A = '""&amp; $E85 &amp;""' AND D &gt;= ""&amp; Q85  &amp;"" LIMIT 1""),)"),"")</f>
        <v/>
      </c>
      <c r="H85" s="61"/>
      <c r="I85" s="32" t="str">
        <f ca="1">IFERROR(__xludf.DUMMYFUNCTION("if($F85&gt;=2,QUERY(Loot!$A$2:$G$904,""Select G where A = '""&amp; $E85 &amp;""' AND D &gt;= ""&amp; R85 &amp;"" LIMIT 1""),)"),"")</f>
        <v/>
      </c>
      <c r="J85" s="61"/>
      <c r="K85" s="32" t="str">
        <f ca="1">IFERROR(__xludf.DUMMYFUNCTION("if($F85&gt;=3,QUERY(Loot!$A$2:$G$904,""Select G where A = '""&amp; $E85 &amp;""' AND D &gt;= ""&amp; S85  &amp;"" LIMIT 1""),)"),"")</f>
        <v/>
      </c>
      <c r="L85" s="61"/>
      <c r="M85" s="32" t="str">
        <f ca="1">IFERROR(__xludf.DUMMYFUNCTION("if($F85&gt;=4,QUERY(Loot!$A$2:$G$904,""Select G where A = '""&amp; $E85 &amp;""' AND D &gt;= ""&amp;T85 &amp;"" LIMIT 1""),)"),"")</f>
        <v/>
      </c>
      <c r="N85" s="61"/>
      <c r="O85" s="32" t="str">
        <f ca="1">IFERROR(__xludf.DUMMYFUNCTION("if($F85&gt;=5,QUERY(Loot!$A$2:$G$904,""Select G where A = '""&amp; $E85 &amp;""' AND D &gt;= ""&amp; U85 &amp;"" LIMIT 1""),)"),"")</f>
        <v/>
      </c>
      <c r="P85" s="61"/>
      <c r="Q85" s="62">
        <v>0.6684085253264056</v>
      </c>
      <c r="R85" s="63">
        <v>0.65666615172397558</v>
      </c>
      <c r="S85" s="63">
        <v>0.30778845393368037</v>
      </c>
      <c r="T85" s="63">
        <v>0.83459516404832101</v>
      </c>
      <c r="U85" s="63">
        <v>0.63309878531282304</v>
      </c>
    </row>
    <row r="86" spans="1:21" ht="16.2">
      <c r="A86" s="5">
        <f t="shared" ca="1" si="1"/>
        <v>85</v>
      </c>
      <c r="B86" s="5" t="str">
        <f ca="1">IFERROR(__xludf.DUMMYFUNCTION("if(ISBLANK(C86),,QUERY(MD!A87:D1085,""Select A where C = '""&amp; C86 &amp;""'""))"),"")</f>
        <v/>
      </c>
      <c r="C86" s="5"/>
      <c r="D86" s="5" t="str">
        <f ca="1">IFERROR(__xludf.DUMMYFUNCTION("if(ISBLANK(C86),,QUERY(MD!$A$2:$D$1000,""Select D where C = '""&amp; C86 &amp;""'""))"),"")</f>
        <v/>
      </c>
      <c r="E86" s="59" t="str">
        <f ca="1">IFERROR(__xludf.DUMMYFUNCTION("if(ISBLANK(C86),,QUERY(MD!$A$2:$D$1000,""Select B where C = '""&amp; C86 &amp;""'""))"),"")</f>
        <v/>
      </c>
      <c r="F86" s="5">
        <f t="shared" ca="1" si="0"/>
        <v>0</v>
      </c>
      <c r="G86" s="32" t="str">
        <f ca="1">IFERROR(__xludf.DUMMYFUNCTION("if($F86&gt;=1,QUERY(Loot!$A$2:$G$904,""Select G where A = '""&amp; $E86 &amp;""' AND D &gt;= ""&amp; Q86  &amp;"" LIMIT 1""),)"),"")</f>
        <v/>
      </c>
      <c r="H86" s="61"/>
      <c r="I86" s="32" t="str">
        <f ca="1">IFERROR(__xludf.DUMMYFUNCTION("if($F86&gt;=2,QUERY(Loot!$A$2:$G$904,""Select G where A = '""&amp; $E86 &amp;""' AND D &gt;= ""&amp; R86 &amp;"" LIMIT 1""),)"),"")</f>
        <v/>
      </c>
      <c r="J86" s="61"/>
      <c r="K86" s="32" t="str">
        <f ca="1">IFERROR(__xludf.DUMMYFUNCTION("if($F86&gt;=3,QUERY(Loot!$A$2:$G$904,""Select G where A = '""&amp; $E86 &amp;""' AND D &gt;= ""&amp; S86  &amp;"" LIMIT 1""),)"),"")</f>
        <v/>
      </c>
      <c r="L86" s="61"/>
      <c r="M86" s="32" t="str">
        <f ca="1">IFERROR(__xludf.DUMMYFUNCTION("if($F86&gt;=4,QUERY(Loot!$A$2:$G$904,""Select G where A = '""&amp; $E86 &amp;""' AND D &gt;= ""&amp;T86 &amp;"" LIMIT 1""),)"),"")</f>
        <v/>
      </c>
      <c r="N86" s="61"/>
      <c r="O86" s="32" t="str">
        <f ca="1">IFERROR(__xludf.DUMMYFUNCTION("if($F86&gt;=5,QUERY(Loot!$A$2:$G$904,""Select G where A = '""&amp; $E86 &amp;""' AND D &gt;= ""&amp; U86 &amp;"" LIMIT 1""),)"),"")</f>
        <v/>
      </c>
      <c r="P86" s="61"/>
      <c r="Q86" s="62">
        <v>0.69684605878529959</v>
      </c>
      <c r="R86" s="63">
        <v>0.97805222974935324</v>
      </c>
      <c r="S86" s="63">
        <v>0.48174572601047894</v>
      </c>
      <c r="T86" s="63">
        <v>0.71929403661642832</v>
      </c>
      <c r="U86" s="63">
        <v>0.96067451251974789</v>
      </c>
    </row>
    <row r="87" spans="1:21" ht="16.2">
      <c r="A87" s="5">
        <f t="shared" ca="1" si="1"/>
        <v>86</v>
      </c>
      <c r="B87" s="5" t="str">
        <f ca="1">IFERROR(__xludf.DUMMYFUNCTION("if(ISBLANK(C87),,QUERY(MD!A88:D1086,""Select A where C = '""&amp; C87 &amp;""'""))"),"")</f>
        <v/>
      </c>
      <c r="C87" s="5"/>
      <c r="D87" s="5" t="str">
        <f ca="1">IFERROR(__xludf.DUMMYFUNCTION("if(ISBLANK(C87),,QUERY(MD!$A$2:$D$1000,""Select D where C = '""&amp; C87 &amp;""'""))"),"")</f>
        <v/>
      </c>
      <c r="E87" s="59" t="str">
        <f ca="1">IFERROR(__xludf.DUMMYFUNCTION("if(ISBLANK(C87),,QUERY(MD!$A$2:$D$1000,""Select B where C = '""&amp; C87 &amp;""'""))"),"")</f>
        <v/>
      </c>
      <c r="F87" s="5">
        <f t="shared" ca="1" si="0"/>
        <v>0</v>
      </c>
      <c r="G87" s="32" t="str">
        <f ca="1">IFERROR(__xludf.DUMMYFUNCTION("if($F87&gt;=1,QUERY(Loot!$A$2:$G$904,""Select G where A = '""&amp; $E87 &amp;""' AND D &gt;= ""&amp; Q87  &amp;"" LIMIT 1""),)"),"")</f>
        <v/>
      </c>
      <c r="H87" s="61"/>
      <c r="I87" s="32" t="str">
        <f ca="1">IFERROR(__xludf.DUMMYFUNCTION("if($F87&gt;=2,QUERY(Loot!$A$2:$G$904,""Select G where A = '""&amp; $E87 &amp;""' AND D &gt;= ""&amp; R87 &amp;"" LIMIT 1""),)"),"")</f>
        <v/>
      </c>
      <c r="J87" s="61"/>
      <c r="K87" s="32" t="str">
        <f ca="1">IFERROR(__xludf.DUMMYFUNCTION("if($F87&gt;=3,QUERY(Loot!$A$2:$G$904,""Select G where A = '""&amp; $E87 &amp;""' AND D &gt;= ""&amp; S87  &amp;"" LIMIT 1""),)"),"")</f>
        <v/>
      </c>
      <c r="L87" s="61"/>
      <c r="M87" s="32" t="str">
        <f ca="1">IFERROR(__xludf.DUMMYFUNCTION("if($F87&gt;=4,QUERY(Loot!$A$2:$G$904,""Select G where A = '""&amp; $E87 &amp;""' AND D &gt;= ""&amp;T87 &amp;"" LIMIT 1""),)"),"")</f>
        <v/>
      </c>
      <c r="N87" s="61"/>
      <c r="O87" s="32" t="str">
        <f ca="1">IFERROR(__xludf.DUMMYFUNCTION("if($F87&gt;=5,QUERY(Loot!$A$2:$G$904,""Select G where A = '""&amp; $E87 &amp;""' AND D &gt;= ""&amp; U87 &amp;"" LIMIT 1""),)"),"")</f>
        <v/>
      </c>
      <c r="P87" s="61"/>
      <c r="Q87" s="62">
        <v>0.45353316603737825</v>
      </c>
      <c r="R87" s="63">
        <v>0.48215401952895998</v>
      </c>
      <c r="S87" s="63">
        <v>0.42982502545481793</v>
      </c>
      <c r="T87" s="63">
        <v>0.88237699940894998</v>
      </c>
      <c r="U87" s="63">
        <v>0.3268256015663078</v>
      </c>
    </row>
    <row r="88" spans="1:21" ht="16.2">
      <c r="A88" s="5">
        <f t="shared" ca="1" si="1"/>
        <v>87</v>
      </c>
      <c r="B88" s="5" t="str">
        <f ca="1">IFERROR(__xludf.DUMMYFUNCTION("if(ISBLANK(C88),,QUERY(MD!A89:D1087,""Select A where C = '""&amp; C88 &amp;""'""))"),"")</f>
        <v/>
      </c>
      <c r="C88" s="5"/>
      <c r="D88" s="5" t="str">
        <f ca="1">IFERROR(__xludf.DUMMYFUNCTION("if(ISBLANK(C88),,QUERY(MD!$A$2:$D$1000,""Select D where C = '""&amp; C88 &amp;""'""))"),"")</f>
        <v/>
      </c>
      <c r="E88" s="59" t="str">
        <f ca="1">IFERROR(__xludf.DUMMYFUNCTION("if(ISBLANK(C88),,QUERY(MD!$A$2:$D$1000,""Select B where C = '""&amp; C88 &amp;""'""))"),"")</f>
        <v/>
      </c>
      <c r="F88" s="5">
        <f t="shared" ca="1" si="0"/>
        <v>0</v>
      </c>
      <c r="G88" s="32" t="str">
        <f ca="1">IFERROR(__xludf.DUMMYFUNCTION("if($F88&gt;=1,QUERY(Loot!$A$2:$G$904,""Select G where A = '""&amp; $E88 &amp;""' AND D &gt;= ""&amp; Q88  &amp;"" LIMIT 1""),)"),"")</f>
        <v/>
      </c>
      <c r="H88" s="61"/>
      <c r="I88" s="32" t="str">
        <f ca="1">IFERROR(__xludf.DUMMYFUNCTION("if($F88&gt;=2,QUERY(Loot!$A$2:$G$904,""Select G where A = '""&amp; $E88 &amp;""' AND D &gt;= ""&amp; R88 &amp;"" LIMIT 1""),)"),"")</f>
        <v/>
      </c>
      <c r="J88" s="61"/>
      <c r="K88" s="32" t="str">
        <f ca="1">IFERROR(__xludf.DUMMYFUNCTION("if($F88&gt;=3,QUERY(Loot!$A$2:$G$904,""Select G where A = '""&amp; $E88 &amp;""' AND D &gt;= ""&amp; S88  &amp;"" LIMIT 1""),)"),"")</f>
        <v/>
      </c>
      <c r="L88" s="61"/>
      <c r="M88" s="32" t="str">
        <f ca="1">IFERROR(__xludf.DUMMYFUNCTION("if($F88&gt;=4,QUERY(Loot!$A$2:$G$904,""Select G where A = '""&amp; $E88 &amp;""' AND D &gt;= ""&amp;T88 &amp;"" LIMIT 1""),)"),"")</f>
        <v/>
      </c>
      <c r="N88" s="61"/>
      <c r="O88" s="32" t="str">
        <f ca="1">IFERROR(__xludf.DUMMYFUNCTION("if($F88&gt;=5,QUERY(Loot!$A$2:$G$904,""Select G where A = '""&amp; $E88 &amp;""' AND D &gt;= ""&amp; U88 &amp;"" LIMIT 1""),)"),"")</f>
        <v/>
      </c>
      <c r="P88" s="61"/>
      <c r="Q88" s="62">
        <v>0.53099331920799309</v>
      </c>
      <c r="R88" s="63">
        <v>0.14276519114462594</v>
      </c>
      <c r="S88" s="63">
        <v>0.21344865881798958</v>
      </c>
      <c r="T88" s="63">
        <v>0.9671984050546194</v>
      </c>
      <c r="U88" s="63">
        <v>4.2192187761677102E-2</v>
      </c>
    </row>
    <row r="89" spans="1:21" ht="16.2">
      <c r="A89" s="5">
        <f t="shared" ca="1" si="1"/>
        <v>88</v>
      </c>
      <c r="B89" s="5" t="str">
        <f ca="1">IFERROR(__xludf.DUMMYFUNCTION("if(ISBLANK(C89),,QUERY(MD!A90:D1088,""Select A where C = '""&amp; C89 &amp;""'""))"),"")</f>
        <v/>
      </c>
      <c r="C89" s="5"/>
      <c r="D89" s="5" t="str">
        <f ca="1">IFERROR(__xludf.DUMMYFUNCTION("if(ISBLANK(C89),,QUERY(MD!$A$2:$D$1000,""Select D where C = '""&amp; C89 &amp;""'""))"),"")</f>
        <v/>
      </c>
      <c r="E89" s="59" t="str">
        <f ca="1">IFERROR(__xludf.DUMMYFUNCTION("if(ISBLANK(C89),,QUERY(MD!$A$2:$D$1000,""Select B where C = '""&amp; C89 &amp;""'""))"),"")</f>
        <v/>
      </c>
      <c r="F89" s="5">
        <f t="shared" ca="1" si="0"/>
        <v>0</v>
      </c>
      <c r="G89" s="32" t="str">
        <f ca="1">IFERROR(__xludf.DUMMYFUNCTION("if($F89&gt;=1,QUERY(Loot!$A$2:$G$904,""Select G where A = '""&amp; $E89 &amp;""' AND D &gt;= ""&amp; Q89  &amp;"" LIMIT 1""),)"),"")</f>
        <v/>
      </c>
      <c r="H89" s="61"/>
      <c r="I89" s="32" t="str">
        <f ca="1">IFERROR(__xludf.DUMMYFUNCTION("if($F89&gt;=2,QUERY(Loot!$A$2:$G$904,""Select G where A = '""&amp; $E89 &amp;""' AND D &gt;= ""&amp; R89 &amp;"" LIMIT 1""),)"),"")</f>
        <v/>
      </c>
      <c r="J89" s="61"/>
      <c r="K89" s="32" t="str">
        <f ca="1">IFERROR(__xludf.DUMMYFUNCTION("if($F89&gt;=3,QUERY(Loot!$A$2:$G$904,""Select G where A = '""&amp; $E89 &amp;""' AND D &gt;= ""&amp; S89  &amp;"" LIMIT 1""),)"),"")</f>
        <v/>
      </c>
      <c r="L89" s="61"/>
      <c r="M89" s="32" t="str">
        <f ca="1">IFERROR(__xludf.DUMMYFUNCTION("if($F89&gt;=4,QUERY(Loot!$A$2:$G$904,""Select G where A = '""&amp; $E89 &amp;""' AND D &gt;= ""&amp;T89 &amp;"" LIMIT 1""),)"),"")</f>
        <v/>
      </c>
      <c r="N89" s="61"/>
      <c r="O89" s="32" t="str">
        <f ca="1">IFERROR(__xludf.DUMMYFUNCTION("if($F89&gt;=5,QUERY(Loot!$A$2:$G$904,""Select G where A = '""&amp; $E89 &amp;""' AND D &gt;= ""&amp; U89 &amp;"" LIMIT 1""),)"),"")</f>
        <v/>
      </c>
      <c r="P89" s="61"/>
      <c r="Q89" s="62">
        <v>0.34060928620477449</v>
      </c>
      <c r="R89" s="63">
        <v>8.1626885546493888E-2</v>
      </c>
      <c r="S89" s="63">
        <v>0.70007366014658889</v>
      </c>
      <c r="T89" s="63">
        <v>0.39061919428180103</v>
      </c>
      <c r="U89" s="63">
        <v>0.46427056441314096</v>
      </c>
    </row>
    <row r="90" spans="1:21" ht="16.2">
      <c r="A90" s="5">
        <f t="shared" ca="1" si="1"/>
        <v>89</v>
      </c>
      <c r="B90" s="5" t="str">
        <f ca="1">IFERROR(__xludf.DUMMYFUNCTION("if(ISBLANK(C90),,QUERY(MD!A91:D1089,""Select A where C = '""&amp; C90 &amp;""'""))"),"")</f>
        <v/>
      </c>
      <c r="C90" s="5"/>
      <c r="D90" s="5" t="str">
        <f ca="1">IFERROR(__xludf.DUMMYFUNCTION("if(ISBLANK(C90),,QUERY(MD!$A$2:$D$1000,""Select D where C = '""&amp; C90 &amp;""'""))"),"")</f>
        <v/>
      </c>
      <c r="E90" s="59" t="str">
        <f ca="1">IFERROR(__xludf.DUMMYFUNCTION("if(ISBLANK(C90),,QUERY(MD!$A$2:$D$1000,""Select B where C = '""&amp; C90 &amp;""'""))"),"")</f>
        <v/>
      </c>
      <c r="F90" s="5">
        <f t="shared" ca="1" si="0"/>
        <v>0</v>
      </c>
      <c r="G90" s="32" t="str">
        <f ca="1">IFERROR(__xludf.DUMMYFUNCTION("if($F90&gt;=1,QUERY(Loot!$A$2:$G$904,""Select G where A = '""&amp; $E90 &amp;""' AND D &gt;= ""&amp; Q90  &amp;"" LIMIT 1""),)"),"")</f>
        <v/>
      </c>
      <c r="H90" s="61"/>
      <c r="I90" s="32" t="str">
        <f ca="1">IFERROR(__xludf.DUMMYFUNCTION("if($F90&gt;=2,QUERY(Loot!$A$2:$G$904,""Select G where A = '""&amp; $E90 &amp;""' AND D &gt;= ""&amp; R90 &amp;"" LIMIT 1""),)"),"")</f>
        <v/>
      </c>
      <c r="J90" s="61"/>
      <c r="K90" s="32" t="str">
        <f ca="1">IFERROR(__xludf.DUMMYFUNCTION("if($F90&gt;=3,QUERY(Loot!$A$2:$G$904,""Select G where A = '""&amp; $E90 &amp;""' AND D &gt;= ""&amp; S90  &amp;"" LIMIT 1""),)"),"")</f>
        <v/>
      </c>
      <c r="L90" s="61"/>
      <c r="M90" s="32" t="str">
        <f ca="1">IFERROR(__xludf.DUMMYFUNCTION("if($F90&gt;=4,QUERY(Loot!$A$2:$G$904,""Select G where A = '""&amp; $E90 &amp;""' AND D &gt;= ""&amp;T90 &amp;"" LIMIT 1""),)"),"")</f>
        <v/>
      </c>
      <c r="N90" s="61"/>
      <c r="O90" s="32" t="str">
        <f ca="1">IFERROR(__xludf.DUMMYFUNCTION("if($F90&gt;=5,QUERY(Loot!$A$2:$G$904,""Select G where A = '""&amp; $E90 &amp;""' AND D &gt;= ""&amp; U90 &amp;"" LIMIT 1""),)"),"")</f>
        <v/>
      </c>
      <c r="P90" s="61"/>
      <c r="Q90" s="62">
        <v>0.41344661486159351</v>
      </c>
      <c r="R90" s="63">
        <v>0.17317943040621742</v>
      </c>
      <c r="S90" s="63">
        <v>0.12801754763009499</v>
      </c>
      <c r="T90" s="63">
        <v>0.56053337940300441</v>
      </c>
      <c r="U90" s="63">
        <v>0.88464100551863822</v>
      </c>
    </row>
    <row r="91" spans="1:21" ht="16.2">
      <c r="A91" s="5">
        <f t="shared" ca="1" si="1"/>
        <v>90</v>
      </c>
      <c r="B91" s="5" t="str">
        <f ca="1">IFERROR(__xludf.DUMMYFUNCTION("if(ISBLANK(C91),,QUERY(MD!A92:D1090,""Select A where C = '""&amp; C91 &amp;""'""))"),"")</f>
        <v/>
      </c>
      <c r="C91" s="5"/>
      <c r="D91" s="5" t="str">
        <f ca="1">IFERROR(__xludf.DUMMYFUNCTION("if(ISBLANK(C91),,QUERY(MD!$A$2:$D$1000,""Select D where C = '""&amp; C91 &amp;""'""))"),"")</f>
        <v/>
      </c>
      <c r="E91" s="59" t="str">
        <f ca="1">IFERROR(__xludf.DUMMYFUNCTION("if(ISBLANK(C91),,QUERY(MD!$A$2:$D$1000,""Select B where C = '""&amp; C91 &amp;""'""))"),"")</f>
        <v/>
      </c>
      <c r="F91" s="5">
        <f t="shared" ca="1" si="0"/>
        <v>0</v>
      </c>
      <c r="G91" s="32" t="str">
        <f ca="1">IFERROR(__xludf.DUMMYFUNCTION("if($F91&gt;=1,QUERY(Loot!$A$2:$G$904,""Select G where A = '""&amp; $E91 &amp;""' AND D &gt;= ""&amp; Q91  &amp;"" LIMIT 1""),)"),"")</f>
        <v/>
      </c>
      <c r="H91" s="61"/>
      <c r="I91" s="32" t="str">
        <f ca="1">IFERROR(__xludf.DUMMYFUNCTION("if($F91&gt;=2,QUERY(Loot!$A$2:$G$904,""Select G where A = '""&amp; $E91 &amp;""' AND D &gt;= ""&amp; R91 &amp;"" LIMIT 1""),)"),"")</f>
        <v/>
      </c>
      <c r="J91" s="61"/>
      <c r="K91" s="32" t="str">
        <f ca="1">IFERROR(__xludf.DUMMYFUNCTION("if($F91&gt;=3,QUERY(Loot!$A$2:$G$904,""Select G where A = '""&amp; $E91 &amp;""' AND D &gt;= ""&amp; S91  &amp;"" LIMIT 1""),)"),"")</f>
        <v/>
      </c>
      <c r="L91" s="61"/>
      <c r="M91" s="32" t="str">
        <f ca="1">IFERROR(__xludf.DUMMYFUNCTION("if($F91&gt;=4,QUERY(Loot!$A$2:$G$904,""Select G where A = '""&amp; $E91 &amp;""' AND D &gt;= ""&amp;T91 &amp;"" LIMIT 1""),)"),"")</f>
        <v/>
      </c>
      <c r="N91" s="61"/>
      <c r="O91" s="32" t="str">
        <f ca="1">IFERROR(__xludf.DUMMYFUNCTION("if($F91&gt;=5,QUERY(Loot!$A$2:$G$904,""Select G where A = '""&amp; $E91 &amp;""' AND D &gt;= ""&amp; U91 &amp;"" LIMIT 1""),)"),"")</f>
        <v/>
      </c>
      <c r="P91" s="61"/>
      <c r="Q91" s="62">
        <v>0.42521792726398489</v>
      </c>
      <c r="R91" s="63">
        <v>0.7524658420433149</v>
      </c>
      <c r="S91" s="63">
        <v>0.48280062079262653</v>
      </c>
      <c r="T91" s="63">
        <v>0.25504513469199219</v>
      </c>
      <c r="U91" s="63">
        <v>0.22676304428364136</v>
      </c>
    </row>
    <row r="92" spans="1:21" ht="16.2">
      <c r="A92" s="5">
        <f t="shared" ca="1" si="1"/>
        <v>91</v>
      </c>
      <c r="B92" s="5" t="str">
        <f ca="1">IFERROR(__xludf.DUMMYFUNCTION("if(ISBLANK(C92),,QUERY(MD!A93:D1091,""Select A where C = '""&amp; C92 &amp;""'""))"),"")</f>
        <v/>
      </c>
      <c r="C92" s="5"/>
      <c r="D92" s="5" t="str">
        <f ca="1">IFERROR(__xludf.DUMMYFUNCTION("if(ISBLANK(C92),,QUERY(MD!$A$2:$D$1000,""Select D where C = '""&amp; C92 &amp;""'""))"),"")</f>
        <v/>
      </c>
      <c r="E92" s="59" t="str">
        <f ca="1">IFERROR(__xludf.DUMMYFUNCTION("if(ISBLANK(C92),,QUERY(MD!$A$2:$D$1000,""Select B where C = '""&amp; C92 &amp;""'""))"),"")</f>
        <v/>
      </c>
      <c r="F92" s="5">
        <f t="shared" ca="1" si="0"/>
        <v>0</v>
      </c>
      <c r="G92" s="32" t="str">
        <f ca="1">IFERROR(__xludf.DUMMYFUNCTION("if($F92&gt;=1,QUERY(Loot!$A$2:$G$904,""Select G where A = '""&amp; $E92 &amp;""' AND D &gt;= ""&amp; Q92  &amp;"" LIMIT 1""),)"),"")</f>
        <v/>
      </c>
      <c r="H92" s="61"/>
      <c r="I92" s="32" t="str">
        <f ca="1">IFERROR(__xludf.DUMMYFUNCTION("if($F92&gt;=2,QUERY(Loot!$A$2:$G$904,""Select G where A = '""&amp; $E92 &amp;""' AND D &gt;= ""&amp; R92 &amp;"" LIMIT 1""),)"),"")</f>
        <v/>
      </c>
      <c r="J92" s="61"/>
      <c r="K92" s="32" t="str">
        <f ca="1">IFERROR(__xludf.DUMMYFUNCTION("if($F92&gt;=3,QUERY(Loot!$A$2:$G$904,""Select G where A = '""&amp; $E92 &amp;""' AND D &gt;= ""&amp; S92  &amp;"" LIMIT 1""),)"),"")</f>
        <v/>
      </c>
      <c r="L92" s="61"/>
      <c r="M92" s="32" t="str">
        <f ca="1">IFERROR(__xludf.DUMMYFUNCTION("if($F92&gt;=4,QUERY(Loot!$A$2:$G$904,""Select G where A = '""&amp; $E92 &amp;""' AND D &gt;= ""&amp;T92 &amp;"" LIMIT 1""),)"),"")</f>
        <v/>
      </c>
      <c r="N92" s="61"/>
      <c r="O92" s="32" t="str">
        <f ca="1">IFERROR(__xludf.DUMMYFUNCTION("if($F92&gt;=5,QUERY(Loot!$A$2:$G$904,""Select G where A = '""&amp; $E92 &amp;""' AND D &gt;= ""&amp; U92 &amp;"" LIMIT 1""),)"),"")</f>
        <v/>
      </c>
      <c r="P92" s="61"/>
      <c r="Q92" s="62">
        <v>0.87226770797412434</v>
      </c>
      <c r="R92" s="63">
        <v>0.24535684382036971</v>
      </c>
      <c r="S92" s="63">
        <v>0.47852735176083305</v>
      </c>
      <c r="T92" s="63">
        <v>0.13945155896101347</v>
      </c>
      <c r="U92" s="63">
        <v>2.1233067322583121E-2</v>
      </c>
    </row>
    <row r="93" spans="1:21" ht="16.2">
      <c r="A93" s="5">
        <f t="shared" ca="1" si="1"/>
        <v>92</v>
      </c>
      <c r="B93" s="5" t="str">
        <f ca="1">IFERROR(__xludf.DUMMYFUNCTION("if(ISBLANK(C93),,QUERY(MD!A94:D1092,""Select A where C = '""&amp; C93 &amp;""'""))"),"")</f>
        <v/>
      </c>
      <c r="C93" s="5"/>
      <c r="D93" s="5" t="str">
        <f ca="1">IFERROR(__xludf.DUMMYFUNCTION("if(ISBLANK(C93),,QUERY(MD!$A$2:$D$1000,""Select D where C = '""&amp; C93 &amp;""'""))"),"")</f>
        <v/>
      </c>
      <c r="E93" s="59" t="str">
        <f ca="1">IFERROR(__xludf.DUMMYFUNCTION("if(ISBLANK(C93),,QUERY(MD!$A$2:$D$1000,""Select B where C = '""&amp; C93 &amp;""'""))"),"")</f>
        <v/>
      </c>
      <c r="F93" s="5">
        <f t="shared" ca="1" si="0"/>
        <v>0</v>
      </c>
      <c r="G93" s="32" t="str">
        <f ca="1">IFERROR(__xludf.DUMMYFUNCTION("if($F93&gt;=1,QUERY(Loot!$A$2:$G$904,""Select G where A = '""&amp; $E93 &amp;""' AND D &gt;= ""&amp; Q93  &amp;"" LIMIT 1""),)"),"")</f>
        <v/>
      </c>
      <c r="H93" s="61"/>
      <c r="I93" s="32" t="str">
        <f ca="1">IFERROR(__xludf.DUMMYFUNCTION("if($F93&gt;=2,QUERY(Loot!$A$2:$G$904,""Select G where A = '""&amp; $E93 &amp;""' AND D &gt;= ""&amp; R93 &amp;"" LIMIT 1""),)"),"")</f>
        <v/>
      </c>
      <c r="J93" s="61"/>
      <c r="K93" s="32" t="str">
        <f ca="1">IFERROR(__xludf.DUMMYFUNCTION("if($F93&gt;=3,QUERY(Loot!$A$2:$G$904,""Select G where A = '""&amp; $E93 &amp;""' AND D &gt;= ""&amp; S93  &amp;"" LIMIT 1""),)"),"")</f>
        <v/>
      </c>
      <c r="L93" s="61"/>
      <c r="M93" s="32" t="str">
        <f ca="1">IFERROR(__xludf.DUMMYFUNCTION("if($F93&gt;=4,QUERY(Loot!$A$2:$G$904,""Select G where A = '""&amp; $E93 &amp;""' AND D &gt;= ""&amp;T93 &amp;"" LIMIT 1""),)"),"")</f>
        <v/>
      </c>
      <c r="N93" s="61"/>
      <c r="O93" s="32" t="str">
        <f ca="1">IFERROR(__xludf.DUMMYFUNCTION("if($F93&gt;=5,QUERY(Loot!$A$2:$G$904,""Select G where A = '""&amp; $E93 &amp;""' AND D &gt;= ""&amp; U93 &amp;"" LIMIT 1""),)"),"")</f>
        <v/>
      </c>
      <c r="P93" s="61"/>
      <c r="Q93" s="62">
        <v>0.13850201599144096</v>
      </c>
      <c r="R93" s="63">
        <v>0.19218382290675418</v>
      </c>
      <c r="S93" s="63">
        <v>0.64132597578467954</v>
      </c>
      <c r="T93" s="63">
        <v>0.30903031994618912</v>
      </c>
      <c r="U93" s="63">
        <v>0.61566670675849111</v>
      </c>
    </row>
    <row r="94" spans="1:21" ht="16.2">
      <c r="A94" s="5">
        <f t="shared" ca="1" si="1"/>
        <v>93</v>
      </c>
      <c r="B94" s="5" t="str">
        <f ca="1">IFERROR(__xludf.DUMMYFUNCTION("if(ISBLANK(C94),,QUERY(MD!A95:D1093,""Select A where C = '""&amp; C94 &amp;""'""))"),"")</f>
        <v/>
      </c>
      <c r="C94" s="5"/>
      <c r="D94" s="5" t="str">
        <f ca="1">IFERROR(__xludf.DUMMYFUNCTION("if(ISBLANK(C94),,QUERY(MD!$A$2:$D$1000,""Select D where C = '""&amp; C94 &amp;""'""))"),"")</f>
        <v/>
      </c>
      <c r="E94" s="59" t="str">
        <f ca="1">IFERROR(__xludf.DUMMYFUNCTION("if(ISBLANK(C94),,QUERY(MD!$A$2:$D$1000,""Select B where C = '""&amp; C94 &amp;""'""))"),"")</f>
        <v/>
      </c>
      <c r="F94" s="5">
        <f t="shared" ca="1" si="0"/>
        <v>0</v>
      </c>
      <c r="G94" s="32" t="str">
        <f ca="1">IFERROR(__xludf.DUMMYFUNCTION("if($F94&gt;=1,QUERY(Loot!$A$2:$G$904,""Select G where A = '""&amp; $E94 &amp;""' AND D &gt;= ""&amp; Q94  &amp;"" LIMIT 1""),)"),"")</f>
        <v/>
      </c>
      <c r="H94" s="61"/>
      <c r="I94" s="32" t="str">
        <f ca="1">IFERROR(__xludf.DUMMYFUNCTION("if($F94&gt;=2,QUERY(Loot!$A$2:$G$904,""Select G where A = '""&amp; $E94 &amp;""' AND D &gt;= ""&amp; R94 &amp;"" LIMIT 1""),)"),"")</f>
        <v/>
      </c>
      <c r="J94" s="61"/>
      <c r="K94" s="32" t="str">
        <f ca="1">IFERROR(__xludf.DUMMYFUNCTION("if($F94&gt;=3,QUERY(Loot!$A$2:$G$904,""Select G where A = '""&amp; $E94 &amp;""' AND D &gt;= ""&amp; S94  &amp;"" LIMIT 1""),)"),"")</f>
        <v/>
      </c>
      <c r="L94" s="61"/>
      <c r="M94" s="32" t="str">
        <f ca="1">IFERROR(__xludf.DUMMYFUNCTION("if($F94&gt;=4,QUERY(Loot!$A$2:$G$904,""Select G where A = '""&amp; $E94 &amp;""' AND D &gt;= ""&amp;T94 &amp;"" LIMIT 1""),)"),"")</f>
        <v/>
      </c>
      <c r="N94" s="61"/>
      <c r="O94" s="32" t="str">
        <f ca="1">IFERROR(__xludf.DUMMYFUNCTION("if($F94&gt;=5,QUERY(Loot!$A$2:$G$904,""Select G where A = '""&amp; $E94 &amp;""' AND D &gt;= ""&amp; U94 &amp;"" LIMIT 1""),)"),"")</f>
        <v/>
      </c>
      <c r="P94" s="61"/>
      <c r="Q94" s="62">
        <v>0.42649248046736932</v>
      </c>
      <c r="R94" s="63">
        <v>4.7451448601657731E-2</v>
      </c>
      <c r="S94" s="63">
        <v>0.95865622652692839</v>
      </c>
      <c r="T94" s="63">
        <v>0.58625625587889751</v>
      </c>
      <c r="U94" s="63">
        <v>0.23626435304667004</v>
      </c>
    </row>
    <row r="95" spans="1:21" ht="16.2">
      <c r="A95" s="5">
        <f t="shared" ca="1" si="1"/>
        <v>94</v>
      </c>
      <c r="B95" s="5" t="str">
        <f ca="1">IFERROR(__xludf.DUMMYFUNCTION("if(ISBLANK(C95),,QUERY(MD!A96:D1094,""Select A where C = '""&amp; C95 &amp;""'""))"),"")</f>
        <v/>
      </c>
      <c r="C95" s="5"/>
      <c r="D95" s="5" t="str">
        <f ca="1">IFERROR(__xludf.DUMMYFUNCTION("if(ISBLANK(C95),,QUERY(MD!$A$2:$D$1000,""Select D where C = '""&amp; C95 &amp;""'""))"),"")</f>
        <v/>
      </c>
      <c r="E95" s="59" t="str">
        <f ca="1">IFERROR(__xludf.DUMMYFUNCTION("if(ISBLANK(C95),,QUERY(MD!$A$2:$D$1000,""Select B where C = '""&amp; C95 &amp;""'""))"),"")</f>
        <v/>
      </c>
      <c r="F95" s="5">
        <f t="shared" ca="1" si="0"/>
        <v>0</v>
      </c>
      <c r="G95" s="32" t="str">
        <f ca="1">IFERROR(__xludf.DUMMYFUNCTION("if($F95&gt;=1,QUERY(Loot!$A$2:$G$904,""Select G where A = '""&amp; $E95 &amp;""' AND D &gt;= ""&amp; Q95  &amp;"" LIMIT 1""),)"),"")</f>
        <v/>
      </c>
      <c r="H95" s="61"/>
      <c r="I95" s="32" t="str">
        <f ca="1">IFERROR(__xludf.DUMMYFUNCTION("if($F95&gt;=2,QUERY(Loot!$A$2:$G$904,""Select G where A = '""&amp; $E95 &amp;""' AND D &gt;= ""&amp; R95 &amp;"" LIMIT 1""),)"),"")</f>
        <v/>
      </c>
      <c r="J95" s="61"/>
      <c r="K95" s="32" t="str">
        <f ca="1">IFERROR(__xludf.DUMMYFUNCTION("if($F95&gt;=3,QUERY(Loot!$A$2:$G$904,""Select G where A = '""&amp; $E95 &amp;""' AND D &gt;= ""&amp; S95  &amp;"" LIMIT 1""),)"),"")</f>
        <v/>
      </c>
      <c r="L95" s="61"/>
      <c r="M95" s="32" t="str">
        <f ca="1">IFERROR(__xludf.DUMMYFUNCTION("if($F95&gt;=4,QUERY(Loot!$A$2:$G$904,""Select G where A = '""&amp; $E95 &amp;""' AND D &gt;= ""&amp;T95 &amp;"" LIMIT 1""),)"),"")</f>
        <v/>
      </c>
      <c r="N95" s="61"/>
      <c r="O95" s="32" t="str">
        <f ca="1">IFERROR(__xludf.DUMMYFUNCTION("if($F95&gt;=5,QUERY(Loot!$A$2:$G$904,""Select G where A = '""&amp; $E95 &amp;""' AND D &gt;= ""&amp; U95 &amp;"" LIMIT 1""),)"),"")</f>
        <v/>
      </c>
      <c r="P95" s="61"/>
      <c r="Q95" s="62">
        <v>1.1081901083371815E-3</v>
      </c>
      <c r="R95" s="63">
        <v>0.49466593760081912</v>
      </c>
      <c r="S95" s="63">
        <v>0.11439947880605916</v>
      </c>
      <c r="T95" s="63">
        <v>0.91441444128954852</v>
      </c>
      <c r="U95" s="63">
        <v>0.98097744521791153</v>
      </c>
    </row>
    <row r="96" spans="1:21" ht="16.2">
      <c r="A96" s="5">
        <f t="shared" ca="1" si="1"/>
        <v>95</v>
      </c>
      <c r="B96" s="5" t="str">
        <f ca="1">IFERROR(__xludf.DUMMYFUNCTION("if(ISBLANK(C96),,QUERY(MD!A97:D1095,""Select A where C = '""&amp; C96 &amp;""'""))"),"")</f>
        <v/>
      </c>
      <c r="C96" s="5"/>
      <c r="D96" s="5" t="str">
        <f ca="1">IFERROR(__xludf.DUMMYFUNCTION("if(ISBLANK(C96),,QUERY(MD!$A$2:$D$1000,""Select D where C = '""&amp; C96 &amp;""'""))"),"")</f>
        <v/>
      </c>
      <c r="E96" s="59" t="str">
        <f ca="1">IFERROR(__xludf.DUMMYFUNCTION("if(ISBLANK(C96),,QUERY(MD!$A$2:$D$1000,""Select B where C = '""&amp; C96 &amp;""'""))"),"")</f>
        <v/>
      </c>
      <c r="F96" s="5">
        <f t="shared" ca="1" si="0"/>
        <v>0</v>
      </c>
      <c r="G96" s="32" t="str">
        <f ca="1">IFERROR(__xludf.DUMMYFUNCTION("if($F96&gt;=1,QUERY(Loot!$A$2:$G$904,""Select G where A = '""&amp; $E96 &amp;""' AND D &gt;= ""&amp; Q96  &amp;"" LIMIT 1""),)"),"")</f>
        <v/>
      </c>
      <c r="H96" s="61"/>
      <c r="I96" s="32" t="str">
        <f ca="1">IFERROR(__xludf.DUMMYFUNCTION("if($F96&gt;=2,QUERY(Loot!$A$2:$G$904,""Select G where A = '""&amp; $E96 &amp;""' AND D &gt;= ""&amp; R96 &amp;"" LIMIT 1""),)"),"")</f>
        <v/>
      </c>
      <c r="J96" s="61"/>
      <c r="K96" s="32" t="str">
        <f ca="1">IFERROR(__xludf.DUMMYFUNCTION("if($F96&gt;=3,QUERY(Loot!$A$2:$G$904,""Select G where A = '""&amp; $E96 &amp;""' AND D &gt;= ""&amp; S96  &amp;"" LIMIT 1""),)"),"")</f>
        <v/>
      </c>
      <c r="L96" s="61"/>
      <c r="M96" s="32" t="str">
        <f ca="1">IFERROR(__xludf.DUMMYFUNCTION("if($F96&gt;=4,QUERY(Loot!$A$2:$G$904,""Select G where A = '""&amp; $E96 &amp;""' AND D &gt;= ""&amp;T96 &amp;"" LIMIT 1""),)"),"")</f>
        <v/>
      </c>
      <c r="N96" s="61"/>
      <c r="O96" s="32" t="str">
        <f ca="1">IFERROR(__xludf.DUMMYFUNCTION("if($F96&gt;=5,QUERY(Loot!$A$2:$G$904,""Select G where A = '""&amp; $E96 &amp;""' AND D &gt;= ""&amp; U96 &amp;"" LIMIT 1""),)"),"")</f>
        <v/>
      </c>
      <c r="P96" s="61"/>
      <c r="Q96" s="62">
        <v>0.37066605738338609</v>
      </c>
      <c r="R96" s="63">
        <v>0.9210605711251707</v>
      </c>
      <c r="S96" s="63">
        <v>0.23393930612283786</v>
      </c>
      <c r="T96" s="63">
        <v>0.97469060837096044</v>
      </c>
      <c r="U96" s="63">
        <v>0.94080532676082618</v>
      </c>
    </row>
    <row r="97" spans="1:21" ht="16.2">
      <c r="A97" s="5">
        <f t="shared" ca="1" si="1"/>
        <v>96</v>
      </c>
      <c r="B97" s="5" t="str">
        <f ca="1">IFERROR(__xludf.DUMMYFUNCTION("if(ISBLANK(C97),,QUERY(MD!A98:D1096,""Select A where C = '""&amp; C97 &amp;""'""))"),"")</f>
        <v/>
      </c>
      <c r="C97" s="5"/>
      <c r="D97" s="5" t="str">
        <f ca="1">IFERROR(__xludf.DUMMYFUNCTION("if(ISBLANK(C97),,QUERY(MD!$A$2:$D$1000,""Select D where C = '""&amp; C97 &amp;""'""))"),"")</f>
        <v/>
      </c>
      <c r="E97" s="59" t="str">
        <f ca="1">IFERROR(__xludf.DUMMYFUNCTION("if(ISBLANK(C97),,QUERY(MD!$A$2:$D$1000,""Select B where C = '""&amp; C97 &amp;""'""))"),"")</f>
        <v/>
      </c>
      <c r="F97" s="5">
        <f t="shared" ca="1" si="0"/>
        <v>0</v>
      </c>
      <c r="G97" s="32" t="str">
        <f ca="1">IFERROR(__xludf.DUMMYFUNCTION("if($F97&gt;=1,QUERY(Loot!$A$2:$G$904,""Select G where A = '""&amp; $E97 &amp;""' AND D &gt;= ""&amp; Q97  &amp;"" LIMIT 1""),)"),"")</f>
        <v/>
      </c>
      <c r="H97" s="61"/>
      <c r="I97" s="32" t="str">
        <f ca="1">IFERROR(__xludf.DUMMYFUNCTION("if($F97&gt;=2,QUERY(Loot!$A$2:$G$904,""Select G where A = '""&amp; $E97 &amp;""' AND D &gt;= ""&amp; R97 &amp;"" LIMIT 1""),)"),"")</f>
        <v/>
      </c>
      <c r="J97" s="61"/>
      <c r="K97" s="32" t="str">
        <f ca="1">IFERROR(__xludf.DUMMYFUNCTION("if($F97&gt;=3,QUERY(Loot!$A$2:$G$904,""Select G where A = '""&amp; $E97 &amp;""' AND D &gt;= ""&amp; S97  &amp;"" LIMIT 1""),)"),"")</f>
        <v/>
      </c>
      <c r="L97" s="61"/>
      <c r="M97" s="32" t="str">
        <f ca="1">IFERROR(__xludf.DUMMYFUNCTION("if($F97&gt;=4,QUERY(Loot!$A$2:$G$904,""Select G where A = '""&amp; $E97 &amp;""' AND D &gt;= ""&amp;T97 &amp;"" LIMIT 1""),)"),"")</f>
        <v/>
      </c>
      <c r="N97" s="61"/>
      <c r="O97" s="32" t="str">
        <f ca="1">IFERROR(__xludf.DUMMYFUNCTION("if($F97&gt;=5,QUERY(Loot!$A$2:$G$904,""Select G where A = '""&amp; $E97 &amp;""' AND D &gt;= ""&amp; U97 &amp;"" LIMIT 1""),)"),"")</f>
        <v/>
      </c>
      <c r="P97" s="61"/>
      <c r="Q97" s="62">
        <v>0.98537985585286025</v>
      </c>
      <c r="R97" s="63">
        <v>0.61719053605988028</v>
      </c>
      <c r="S97" s="63">
        <v>0.7166948025524309</v>
      </c>
      <c r="T97" s="63">
        <v>0.17087583442781062</v>
      </c>
      <c r="U97" s="63">
        <v>0.75881990172469926</v>
      </c>
    </row>
    <row r="98" spans="1:21" ht="16.2">
      <c r="A98" s="5">
        <f t="shared" ca="1" si="1"/>
        <v>97</v>
      </c>
      <c r="B98" s="5" t="str">
        <f ca="1">IFERROR(__xludf.DUMMYFUNCTION("if(ISBLANK(C98),,QUERY(MD!A99:D1097,""Select A where C = '""&amp; C98 &amp;""'""))"),"")</f>
        <v/>
      </c>
      <c r="C98" s="5"/>
      <c r="D98" s="5" t="str">
        <f ca="1">IFERROR(__xludf.DUMMYFUNCTION("if(ISBLANK(C98),,QUERY(MD!$A$2:$D$1000,""Select D where C = '""&amp; C98 &amp;""'""))"),"")</f>
        <v/>
      </c>
      <c r="E98" s="59" t="str">
        <f ca="1">IFERROR(__xludf.DUMMYFUNCTION("if(ISBLANK(C98),,QUERY(MD!$A$2:$D$1000,""Select B where C = '""&amp; C98 &amp;""'""))"),"")</f>
        <v/>
      </c>
      <c r="F98" s="5">
        <f t="shared" ca="1" si="0"/>
        <v>0</v>
      </c>
      <c r="G98" s="32" t="str">
        <f ca="1">IFERROR(__xludf.DUMMYFUNCTION("if($F98&gt;=1,QUERY(Loot!$A$2:$G$904,""Select G where A = '""&amp; $E98 &amp;""' AND D &gt;= ""&amp; Q98  &amp;"" LIMIT 1""),)"),"")</f>
        <v/>
      </c>
      <c r="H98" s="61"/>
      <c r="I98" s="32" t="str">
        <f ca="1">IFERROR(__xludf.DUMMYFUNCTION("if($F98&gt;=2,QUERY(Loot!$A$2:$G$904,""Select G where A = '""&amp; $E98 &amp;""' AND D &gt;= ""&amp; R98 &amp;"" LIMIT 1""),)"),"")</f>
        <v/>
      </c>
      <c r="J98" s="61"/>
      <c r="K98" s="32" t="str">
        <f ca="1">IFERROR(__xludf.DUMMYFUNCTION("if($F98&gt;=3,QUERY(Loot!$A$2:$G$904,""Select G where A = '""&amp; $E98 &amp;""' AND D &gt;= ""&amp; S98  &amp;"" LIMIT 1""),)"),"")</f>
        <v/>
      </c>
      <c r="L98" s="61"/>
      <c r="M98" s="32" t="str">
        <f ca="1">IFERROR(__xludf.DUMMYFUNCTION("if($F98&gt;=4,QUERY(Loot!$A$2:$G$904,""Select G where A = '""&amp; $E98 &amp;""' AND D &gt;= ""&amp;T98 &amp;"" LIMIT 1""),)"),"")</f>
        <v/>
      </c>
      <c r="N98" s="61"/>
      <c r="O98" s="32" t="str">
        <f ca="1">IFERROR(__xludf.DUMMYFUNCTION("if($F98&gt;=5,QUERY(Loot!$A$2:$G$904,""Select G where A = '""&amp; $E98 &amp;""' AND D &gt;= ""&amp; U98 &amp;"" LIMIT 1""),)"),"")</f>
        <v/>
      </c>
      <c r="P98" s="61"/>
      <c r="Q98" s="62">
        <v>0.51685881200506512</v>
      </c>
      <c r="R98" s="63">
        <v>0.56468629731132536</v>
      </c>
      <c r="S98" s="63">
        <v>0.3401390255308695</v>
      </c>
      <c r="T98" s="63">
        <v>0.97899454589851564</v>
      </c>
      <c r="U98" s="63">
        <v>0.35680225439002866</v>
      </c>
    </row>
    <row r="99" spans="1:21" ht="16.2">
      <c r="A99" s="5">
        <f t="shared" ca="1" si="1"/>
        <v>98</v>
      </c>
      <c r="B99" s="5" t="str">
        <f ca="1">IFERROR(__xludf.DUMMYFUNCTION("if(ISBLANK(C99),,QUERY(MD!A100:D1098,""Select A where C = '""&amp; C99 &amp;""'""))"),"")</f>
        <v/>
      </c>
      <c r="C99" s="5"/>
      <c r="D99" s="5" t="str">
        <f ca="1">IFERROR(__xludf.DUMMYFUNCTION("if(ISBLANK(C99),,QUERY(MD!$A$2:$D$1000,""Select D where C = '""&amp; C99 &amp;""'""))"),"")</f>
        <v/>
      </c>
      <c r="E99" s="59" t="str">
        <f ca="1">IFERROR(__xludf.DUMMYFUNCTION("if(ISBLANK(C99),,QUERY(MD!$A$2:$D$1000,""Select B where C = '""&amp; C99 &amp;""'""))"),"")</f>
        <v/>
      </c>
      <c r="F99" s="5">
        <f t="shared" ca="1" si="0"/>
        <v>0</v>
      </c>
      <c r="G99" s="32" t="str">
        <f ca="1">IFERROR(__xludf.DUMMYFUNCTION("if($F99&gt;=1,QUERY(Loot!$A$2:$G$904,""Select G where A = '""&amp; $E99 &amp;""' AND D &gt;= ""&amp; Q99  &amp;"" LIMIT 1""),)"),"")</f>
        <v/>
      </c>
      <c r="H99" s="61"/>
      <c r="I99" s="32" t="str">
        <f ca="1">IFERROR(__xludf.DUMMYFUNCTION("if($F99&gt;=2,QUERY(Loot!$A$2:$G$904,""Select G where A = '""&amp; $E99 &amp;""' AND D &gt;= ""&amp; R99 &amp;"" LIMIT 1""),)"),"")</f>
        <v/>
      </c>
      <c r="J99" s="61"/>
      <c r="K99" s="32" t="str">
        <f ca="1">IFERROR(__xludf.DUMMYFUNCTION("if($F99&gt;=3,QUERY(Loot!$A$2:$G$904,""Select G where A = '""&amp; $E99 &amp;""' AND D &gt;= ""&amp; S99  &amp;"" LIMIT 1""),)"),"")</f>
        <v/>
      </c>
      <c r="L99" s="61"/>
      <c r="M99" s="32" t="str">
        <f ca="1">IFERROR(__xludf.DUMMYFUNCTION("if($F99&gt;=4,QUERY(Loot!$A$2:$G$904,""Select G where A = '""&amp; $E99 &amp;""' AND D &gt;= ""&amp;T99 &amp;"" LIMIT 1""),)"),"")</f>
        <v/>
      </c>
      <c r="N99" s="61"/>
      <c r="O99" s="32" t="str">
        <f ca="1">IFERROR(__xludf.DUMMYFUNCTION("if($F99&gt;=5,QUERY(Loot!$A$2:$G$904,""Select G where A = '""&amp; $E99 &amp;""' AND D &gt;= ""&amp; U99 &amp;"" LIMIT 1""),)"),"")</f>
        <v/>
      </c>
      <c r="P99" s="61"/>
      <c r="Q99" s="62">
        <v>0.2827989884309724</v>
      </c>
      <c r="R99" s="63">
        <v>0.47215834704820803</v>
      </c>
      <c r="S99" s="63">
        <v>0.88038142860422464</v>
      </c>
      <c r="T99" s="63">
        <v>0.94150831750991826</v>
      </c>
      <c r="U99" s="63">
        <v>0.46614834384686965</v>
      </c>
    </row>
    <row r="100" spans="1:21" ht="16.2">
      <c r="A100" s="5">
        <f t="shared" ca="1" si="1"/>
        <v>99</v>
      </c>
      <c r="B100" s="5" t="str">
        <f ca="1">IFERROR(__xludf.DUMMYFUNCTION("if(ISBLANK(C100),,QUERY(MD!A101:D1099,""Select A where C = '""&amp; C100 &amp;""'""))"),"")</f>
        <v/>
      </c>
      <c r="C100" s="5"/>
      <c r="D100" s="5" t="str">
        <f ca="1">IFERROR(__xludf.DUMMYFUNCTION("if(ISBLANK(C100),,QUERY(MD!$A$2:$D$1000,""Select D where C = '""&amp; C100 &amp;""'""))"),"")</f>
        <v/>
      </c>
      <c r="E100" s="59" t="str">
        <f ca="1">IFERROR(__xludf.DUMMYFUNCTION("if(ISBLANK(C100),,QUERY(MD!$A$2:$D$1000,""Select B where C = '""&amp; C100 &amp;""'""))"),"")</f>
        <v/>
      </c>
      <c r="F100" s="5">
        <f t="shared" ca="1" si="0"/>
        <v>0</v>
      </c>
      <c r="G100" s="32" t="str">
        <f ca="1">IFERROR(__xludf.DUMMYFUNCTION("if($F100&gt;=1,QUERY(Loot!$A$2:$G$904,""Select G where A = '""&amp; $E100 &amp;""' AND D &gt;= ""&amp; Q100  &amp;"" LIMIT 1""),)"),"")</f>
        <v/>
      </c>
      <c r="H100" s="61"/>
      <c r="I100" s="32" t="str">
        <f ca="1">IFERROR(__xludf.DUMMYFUNCTION("if($F100&gt;=2,QUERY(Loot!$A$2:$G$904,""Select G where A = '""&amp; $E100 &amp;""' AND D &gt;= ""&amp; R100 &amp;"" LIMIT 1""),)"),"")</f>
        <v/>
      </c>
      <c r="J100" s="61"/>
      <c r="K100" s="32" t="str">
        <f ca="1">IFERROR(__xludf.DUMMYFUNCTION("if($F100&gt;=3,QUERY(Loot!$A$2:$G$904,""Select G where A = '""&amp; $E100 &amp;""' AND D &gt;= ""&amp; S100  &amp;"" LIMIT 1""),)"),"")</f>
        <v/>
      </c>
      <c r="L100" s="61"/>
      <c r="M100" s="32" t="str">
        <f ca="1">IFERROR(__xludf.DUMMYFUNCTION("if($F100&gt;=4,QUERY(Loot!$A$2:$G$904,""Select G where A = '""&amp; $E100 &amp;""' AND D &gt;= ""&amp;T100 &amp;"" LIMIT 1""),)"),"")</f>
        <v/>
      </c>
      <c r="N100" s="61"/>
      <c r="O100" s="32" t="str">
        <f ca="1">IFERROR(__xludf.DUMMYFUNCTION("if($F100&gt;=5,QUERY(Loot!$A$2:$G$904,""Select G where A = '""&amp; $E100 &amp;""' AND D &gt;= ""&amp; U100 &amp;"" LIMIT 1""),)"),"")</f>
        <v/>
      </c>
      <c r="P100" s="61"/>
      <c r="Q100" s="62">
        <v>0.39453229814809232</v>
      </c>
      <c r="R100" s="63">
        <v>0.51038815406965499</v>
      </c>
      <c r="S100" s="63">
        <v>0.98030716411411256</v>
      </c>
      <c r="T100" s="63">
        <v>0.39000982237924875</v>
      </c>
      <c r="U100" s="63">
        <v>0.7444119413781648</v>
      </c>
    </row>
    <row r="101" spans="1:21" ht="16.2">
      <c r="A101" s="5">
        <f t="shared" ca="1" si="1"/>
        <v>100</v>
      </c>
      <c r="B101" s="5" t="str">
        <f ca="1">IFERROR(__xludf.DUMMYFUNCTION("if(ISBLANK(C101),,QUERY(MD!A102:D1100,""Select A where C = '""&amp; C101 &amp;""'""))"),"")</f>
        <v/>
      </c>
      <c r="C101" s="5"/>
      <c r="D101" s="5" t="str">
        <f ca="1">IFERROR(__xludf.DUMMYFUNCTION("if(ISBLANK(C101),,QUERY(MD!$A$2:$D$1000,""Select D where C = '""&amp; C101 &amp;""'""))"),"")</f>
        <v/>
      </c>
      <c r="E101" s="59" t="str">
        <f ca="1">IFERROR(__xludf.DUMMYFUNCTION("if(ISBLANK(C101),,QUERY(MD!$A$2:$D$1000,""Select B where C = '""&amp; C101 &amp;""'""))"),"")</f>
        <v/>
      </c>
      <c r="F101" s="5">
        <f t="shared" ca="1" si="0"/>
        <v>0</v>
      </c>
      <c r="G101" s="32" t="str">
        <f ca="1">IFERROR(__xludf.DUMMYFUNCTION("if($F101&gt;=1,QUERY(Loot!$A$2:$G$904,""Select G where A = '""&amp; $E101 &amp;""' AND D &gt;= ""&amp; Q101  &amp;"" LIMIT 1""),)"),"")</f>
        <v/>
      </c>
      <c r="H101" s="61"/>
      <c r="I101" s="32" t="str">
        <f ca="1">IFERROR(__xludf.DUMMYFUNCTION("if($F101&gt;=2,QUERY(Loot!$A$2:$G$904,""Select G where A = '""&amp; $E101 &amp;""' AND D &gt;= ""&amp; R101 &amp;"" LIMIT 1""),)"),"")</f>
        <v/>
      </c>
      <c r="J101" s="61"/>
      <c r="K101" s="32" t="str">
        <f ca="1">IFERROR(__xludf.DUMMYFUNCTION("if($F101&gt;=3,QUERY(Loot!$A$2:$G$904,""Select G where A = '""&amp; $E101 &amp;""' AND D &gt;= ""&amp; S101  &amp;"" LIMIT 1""),)"),"")</f>
        <v/>
      </c>
      <c r="L101" s="61"/>
      <c r="M101" s="32" t="str">
        <f ca="1">IFERROR(__xludf.DUMMYFUNCTION("if($F101&gt;=4,QUERY(Loot!$A$2:$G$904,""Select G where A = '""&amp; $E101 &amp;""' AND D &gt;= ""&amp;T101 &amp;"" LIMIT 1""),)"),"")</f>
        <v/>
      </c>
      <c r="N101" s="61"/>
      <c r="O101" s="32" t="str">
        <f ca="1">IFERROR(__xludf.DUMMYFUNCTION("if($F101&gt;=5,QUERY(Loot!$A$2:$G$904,""Select G where A = '""&amp; $E101 &amp;""' AND D &gt;= ""&amp; U101 &amp;"" LIMIT 1""),)"),"")</f>
        <v/>
      </c>
      <c r="P101" s="61"/>
      <c r="Q101" s="62">
        <v>0.46088973144237666</v>
      </c>
      <c r="R101" s="63">
        <v>0.14594164886763239</v>
      </c>
      <c r="S101" s="63">
        <v>0.76469887526153257</v>
      </c>
      <c r="T101" s="63">
        <v>0.94830504968671459</v>
      </c>
      <c r="U101" s="63">
        <v>0.25718692741973348</v>
      </c>
    </row>
    <row r="102" spans="1:21" ht="16.2">
      <c r="A102" s="5">
        <f t="shared" ca="1" si="1"/>
        <v>101</v>
      </c>
      <c r="B102" s="5" t="str">
        <f ca="1">IFERROR(__xludf.DUMMYFUNCTION("if(ISBLANK(C102),,QUERY(MD!A103:D1101,""Select A where C = '""&amp; C102 &amp;""'""))"),"")</f>
        <v/>
      </c>
      <c r="C102" s="5"/>
      <c r="D102" s="5" t="str">
        <f ca="1">IFERROR(__xludf.DUMMYFUNCTION("if(ISBLANK(C102),,QUERY(MD!$A$2:$D$1000,""Select D where C = '""&amp; C102 &amp;""'""))"),"")</f>
        <v/>
      </c>
      <c r="E102" s="59" t="str">
        <f ca="1">IFERROR(__xludf.DUMMYFUNCTION("if(ISBLANK(C102),,QUERY(MD!$A$2:$D$1000,""Select B where C = '""&amp; C102 &amp;""'""))"),"")</f>
        <v/>
      </c>
      <c r="F102" s="5">
        <f t="shared" ca="1" si="0"/>
        <v>0</v>
      </c>
      <c r="G102" s="32" t="str">
        <f ca="1">IFERROR(__xludf.DUMMYFUNCTION("if($F102&gt;=1,QUERY(Loot!$A$2:$G$904,""Select G where A = '""&amp; $E102 &amp;""' AND D &gt;= ""&amp; Q102  &amp;"" LIMIT 1""),)"),"")</f>
        <v/>
      </c>
      <c r="H102" s="61"/>
      <c r="I102" s="32" t="str">
        <f ca="1">IFERROR(__xludf.DUMMYFUNCTION("if($F102&gt;=2,QUERY(Loot!$A$2:$G$904,""Select G where A = '""&amp; $E102 &amp;""' AND D &gt;= ""&amp; R102 &amp;"" LIMIT 1""),)"),"")</f>
        <v/>
      </c>
      <c r="J102" s="61"/>
      <c r="K102" s="32" t="str">
        <f ca="1">IFERROR(__xludf.DUMMYFUNCTION("if($F102&gt;=3,QUERY(Loot!$A$2:$G$904,""Select G where A = '""&amp; $E102 &amp;""' AND D &gt;= ""&amp; S102  &amp;"" LIMIT 1""),)"),"")</f>
        <v/>
      </c>
      <c r="L102" s="61"/>
      <c r="M102" s="32" t="str">
        <f ca="1">IFERROR(__xludf.DUMMYFUNCTION("if($F102&gt;=4,QUERY(Loot!$A$2:$G$904,""Select G where A = '""&amp; $E102 &amp;""' AND D &gt;= ""&amp;T102 &amp;"" LIMIT 1""),)"),"")</f>
        <v/>
      </c>
      <c r="N102" s="61"/>
      <c r="O102" s="32" t="str">
        <f ca="1">IFERROR(__xludf.DUMMYFUNCTION("if($F102&gt;=5,QUERY(Loot!$A$2:$G$904,""Select G where A = '""&amp; $E102 &amp;""' AND D &gt;= ""&amp; U102 &amp;"" LIMIT 1""),)"),"")</f>
        <v/>
      </c>
      <c r="P102" s="61"/>
      <c r="Q102" s="62">
        <v>0.33366247835874541</v>
      </c>
      <c r="R102" s="63">
        <v>0.99688267370284411</v>
      </c>
      <c r="S102" s="63">
        <v>0.19642286957257216</v>
      </c>
      <c r="T102" s="63">
        <v>0.46972404916884503</v>
      </c>
      <c r="U102" s="63">
        <v>0.75874665283142928</v>
      </c>
    </row>
    <row r="103" spans="1:21" ht="16.2">
      <c r="A103" s="5">
        <f t="shared" ca="1" si="1"/>
        <v>102</v>
      </c>
      <c r="B103" s="5" t="str">
        <f ca="1">IFERROR(__xludf.DUMMYFUNCTION("if(ISBLANK(C103),,QUERY(MD!A104:D1102,""Select A where C = '""&amp; C103 &amp;""'""))"),"")</f>
        <v/>
      </c>
      <c r="C103" s="5"/>
      <c r="D103" s="5" t="str">
        <f ca="1">IFERROR(__xludf.DUMMYFUNCTION("if(ISBLANK(C103),,QUERY(MD!$A$2:$D$1000,""Select D where C = '""&amp; C103 &amp;""'""))"),"")</f>
        <v/>
      </c>
      <c r="E103" s="59" t="str">
        <f ca="1">IFERROR(__xludf.DUMMYFUNCTION("if(ISBLANK(C103),,QUERY(MD!$A$2:$D$1000,""Select B where C = '""&amp; C103 &amp;""'""))"),"")</f>
        <v/>
      </c>
      <c r="F103" s="5">
        <f t="shared" ca="1" si="0"/>
        <v>0</v>
      </c>
      <c r="G103" s="32" t="str">
        <f ca="1">IFERROR(__xludf.DUMMYFUNCTION("if($F103&gt;=1,QUERY(Loot!$A$2:$G$904,""Select G where A = '""&amp; $E103 &amp;""' AND D &gt;= ""&amp; Q103  &amp;"" LIMIT 1""),)"),"")</f>
        <v/>
      </c>
      <c r="H103" s="61"/>
      <c r="I103" s="32" t="str">
        <f ca="1">IFERROR(__xludf.DUMMYFUNCTION("if($F103&gt;=2,QUERY(Loot!$A$2:$G$904,""Select G where A = '""&amp; $E103 &amp;""' AND D &gt;= ""&amp; R103 &amp;"" LIMIT 1""),)"),"")</f>
        <v/>
      </c>
      <c r="J103" s="61"/>
      <c r="K103" s="32" t="str">
        <f ca="1">IFERROR(__xludf.DUMMYFUNCTION("if($F103&gt;=3,QUERY(Loot!$A$2:$G$904,""Select G where A = '""&amp; $E103 &amp;""' AND D &gt;= ""&amp; S103  &amp;"" LIMIT 1""),)"),"")</f>
        <v/>
      </c>
      <c r="L103" s="61"/>
      <c r="M103" s="32" t="str">
        <f ca="1">IFERROR(__xludf.DUMMYFUNCTION("if($F103&gt;=4,QUERY(Loot!$A$2:$G$904,""Select G where A = '""&amp; $E103 &amp;""' AND D &gt;= ""&amp;T103 &amp;"" LIMIT 1""),)"),"")</f>
        <v/>
      </c>
      <c r="N103" s="61"/>
      <c r="O103" s="32" t="str">
        <f ca="1">IFERROR(__xludf.DUMMYFUNCTION("if($F103&gt;=5,QUERY(Loot!$A$2:$G$904,""Select G where A = '""&amp; $E103 &amp;""' AND D &gt;= ""&amp; U103 &amp;"" LIMIT 1""),)"),"")</f>
        <v/>
      </c>
      <c r="P103" s="61"/>
      <c r="Q103" s="62">
        <v>0.21842371449353293</v>
      </c>
      <c r="R103" s="63">
        <v>0.90110744895161798</v>
      </c>
      <c r="S103" s="63">
        <v>0.15185563247167244</v>
      </c>
      <c r="T103" s="63">
        <v>0.26654541554328282</v>
      </c>
      <c r="U103" s="63">
        <v>0.2010678778637276</v>
      </c>
    </row>
    <row r="104" spans="1:21" ht="16.2">
      <c r="A104" s="5">
        <f t="shared" ca="1" si="1"/>
        <v>103</v>
      </c>
      <c r="B104" s="5" t="str">
        <f ca="1">IFERROR(__xludf.DUMMYFUNCTION("if(ISBLANK(C104),,QUERY(MD!A105:D1103,""Select A where C = '""&amp; C104 &amp;""'""))"),"")</f>
        <v/>
      </c>
      <c r="C104" s="5"/>
      <c r="D104" s="5" t="str">
        <f ca="1">IFERROR(__xludf.DUMMYFUNCTION("if(ISBLANK(C104),,QUERY(MD!$A$2:$D$1000,""Select D where C = '""&amp; C104 &amp;""'""))"),"")</f>
        <v/>
      </c>
      <c r="E104" s="59" t="str">
        <f ca="1">IFERROR(__xludf.DUMMYFUNCTION("if(ISBLANK(C104),,QUERY(MD!$A$2:$D$1000,""Select B where C = '""&amp; C104 &amp;""'""))"),"")</f>
        <v/>
      </c>
      <c r="F104" s="5">
        <f t="shared" ca="1" si="0"/>
        <v>0</v>
      </c>
      <c r="G104" s="32" t="str">
        <f ca="1">IFERROR(__xludf.DUMMYFUNCTION("if($F104&gt;=1,QUERY(Loot!$A$2:$G$904,""Select G where A = '""&amp; $E104 &amp;""' AND D &gt;= ""&amp; Q104  &amp;"" LIMIT 1""),)"),"")</f>
        <v/>
      </c>
      <c r="H104" s="61"/>
      <c r="I104" s="32" t="str">
        <f ca="1">IFERROR(__xludf.DUMMYFUNCTION("if($F104&gt;=2,QUERY(Loot!$A$2:$G$904,""Select G where A = '""&amp; $E104 &amp;""' AND D &gt;= ""&amp; R104 &amp;"" LIMIT 1""),)"),"")</f>
        <v/>
      </c>
      <c r="J104" s="61"/>
      <c r="K104" s="32" t="str">
        <f ca="1">IFERROR(__xludf.DUMMYFUNCTION("if($F104&gt;=3,QUERY(Loot!$A$2:$G$904,""Select G where A = '""&amp; $E104 &amp;""' AND D &gt;= ""&amp; S104  &amp;"" LIMIT 1""),)"),"")</f>
        <v/>
      </c>
      <c r="L104" s="61"/>
      <c r="M104" s="32" t="str">
        <f ca="1">IFERROR(__xludf.DUMMYFUNCTION("if($F104&gt;=4,QUERY(Loot!$A$2:$G$904,""Select G where A = '""&amp; $E104 &amp;""' AND D &gt;= ""&amp;T104 &amp;"" LIMIT 1""),)"),"")</f>
        <v/>
      </c>
      <c r="N104" s="61"/>
      <c r="O104" s="32" t="str">
        <f ca="1">IFERROR(__xludf.DUMMYFUNCTION("if($F104&gt;=5,QUERY(Loot!$A$2:$G$904,""Select G where A = '""&amp; $E104 &amp;""' AND D &gt;= ""&amp; U104 &amp;"" LIMIT 1""),)"),"")</f>
        <v/>
      </c>
      <c r="P104" s="61"/>
      <c r="Q104" s="62">
        <v>0.49134134441064992</v>
      </c>
      <c r="R104" s="63">
        <v>0.51200727127612677</v>
      </c>
      <c r="S104" s="63">
        <v>0.24076803775166156</v>
      </c>
      <c r="T104" s="63">
        <v>0.70017186459409364</v>
      </c>
      <c r="U104" s="63">
        <v>0.39266158445014854</v>
      </c>
    </row>
    <row r="105" spans="1:21" ht="16.2">
      <c r="A105" s="5">
        <f t="shared" ca="1" si="1"/>
        <v>104</v>
      </c>
      <c r="B105" s="5" t="str">
        <f ca="1">IFERROR(__xludf.DUMMYFUNCTION("if(ISBLANK(C105),,QUERY(MD!A106:D1104,""Select A where C = '""&amp; C105 &amp;""'""))"),"")</f>
        <v/>
      </c>
      <c r="C105" s="5"/>
      <c r="D105" s="5" t="str">
        <f ca="1">IFERROR(__xludf.DUMMYFUNCTION("if(ISBLANK(C105),,QUERY(MD!$A$2:$D$1000,""Select D where C = '""&amp; C105 &amp;""'""))"),"")</f>
        <v/>
      </c>
      <c r="E105" s="59" t="str">
        <f ca="1">IFERROR(__xludf.DUMMYFUNCTION("if(ISBLANK(C105),,QUERY(MD!$A$2:$D$1000,""Select B where C = '""&amp; C105 &amp;""'""))"),"")</f>
        <v/>
      </c>
      <c r="F105" s="5">
        <f t="shared" ca="1" si="0"/>
        <v>0</v>
      </c>
      <c r="G105" s="32" t="str">
        <f ca="1">IFERROR(__xludf.DUMMYFUNCTION("if($F105&gt;=1,QUERY(Loot!$A$2:$G$904,""Select G where A = '""&amp; $E105 &amp;""' AND D &gt;= ""&amp; Q105  &amp;"" LIMIT 1""),)"),"")</f>
        <v/>
      </c>
      <c r="H105" s="61"/>
      <c r="I105" s="32" t="str">
        <f ca="1">IFERROR(__xludf.DUMMYFUNCTION("if($F105&gt;=2,QUERY(Loot!$A$2:$G$904,""Select G where A = '""&amp; $E105 &amp;""' AND D &gt;= ""&amp; R105 &amp;"" LIMIT 1""),)"),"")</f>
        <v/>
      </c>
      <c r="J105" s="61"/>
      <c r="K105" s="32" t="str">
        <f ca="1">IFERROR(__xludf.DUMMYFUNCTION("if($F105&gt;=3,QUERY(Loot!$A$2:$G$904,""Select G where A = '""&amp; $E105 &amp;""' AND D &gt;= ""&amp; S105  &amp;"" LIMIT 1""),)"),"")</f>
        <v/>
      </c>
      <c r="L105" s="61"/>
      <c r="M105" s="32" t="str">
        <f ca="1">IFERROR(__xludf.DUMMYFUNCTION("if($F105&gt;=4,QUERY(Loot!$A$2:$G$904,""Select G where A = '""&amp; $E105 &amp;""' AND D &gt;= ""&amp;T105 &amp;"" LIMIT 1""),)"),"")</f>
        <v/>
      </c>
      <c r="N105" s="61"/>
      <c r="O105" s="32" t="str">
        <f ca="1">IFERROR(__xludf.DUMMYFUNCTION("if($F105&gt;=5,QUERY(Loot!$A$2:$G$904,""Select G where A = '""&amp; $E105 &amp;""' AND D &gt;= ""&amp; U105 &amp;"" LIMIT 1""),)"),"")</f>
        <v/>
      </c>
      <c r="P105" s="61"/>
      <c r="Q105" s="62">
        <v>0.73031872730643022</v>
      </c>
      <c r="R105" s="63">
        <v>0.98469814534262323</v>
      </c>
      <c r="S105" s="63">
        <v>7.9195045634450123E-2</v>
      </c>
      <c r="T105" s="63">
        <v>0.31444806957582594</v>
      </c>
      <c r="U105" s="63">
        <v>0.70721949185752653</v>
      </c>
    </row>
    <row r="106" spans="1:21" ht="16.2">
      <c r="A106" s="5">
        <f t="shared" ca="1" si="1"/>
        <v>105</v>
      </c>
      <c r="B106" s="5" t="str">
        <f ca="1">IFERROR(__xludf.DUMMYFUNCTION("if(ISBLANK(C106),,QUERY(MD!A107:D1105,""Select A where C = '""&amp; C106 &amp;""'""))"),"")</f>
        <v/>
      </c>
      <c r="C106" s="5"/>
      <c r="D106" s="5" t="str">
        <f ca="1">IFERROR(__xludf.DUMMYFUNCTION("if(ISBLANK(C106),,QUERY(MD!$A$2:$D$1000,""Select D where C = '""&amp; C106 &amp;""'""))"),"")</f>
        <v/>
      </c>
      <c r="E106" s="59" t="str">
        <f ca="1">IFERROR(__xludf.DUMMYFUNCTION("if(ISBLANK(C106),,QUERY(MD!$A$2:$D$1000,""Select B where C = '""&amp; C106 &amp;""'""))"),"")</f>
        <v/>
      </c>
      <c r="F106" s="5">
        <f t="shared" ca="1" si="0"/>
        <v>0</v>
      </c>
      <c r="G106" s="32" t="str">
        <f ca="1">IFERROR(__xludf.DUMMYFUNCTION("if($F106&gt;=1,QUERY(Loot!$A$2:$G$904,""Select G where A = '""&amp; $E106 &amp;""' AND D &gt;= ""&amp; Q106  &amp;"" LIMIT 1""),)"),"")</f>
        <v/>
      </c>
      <c r="H106" s="61"/>
      <c r="I106" s="32" t="str">
        <f ca="1">IFERROR(__xludf.DUMMYFUNCTION("if($F106&gt;=2,QUERY(Loot!$A$2:$G$904,""Select G where A = '""&amp; $E106 &amp;""' AND D &gt;= ""&amp; R106 &amp;"" LIMIT 1""),)"),"")</f>
        <v/>
      </c>
      <c r="J106" s="61"/>
      <c r="K106" s="32" t="str">
        <f ca="1">IFERROR(__xludf.DUMMYFUNCTION("if($F106&gt;=3,QUERY(Loot!$A$2:$G$904,""Select G where A = '""&amp; $E106 &amp;""' AND D &gt;= ""&amp; S106  &amp;"" LIMIT 1""),)"),"")</f>
        <v/>
      </c>
      <c r="L106" s="61"/>
      <c r="M106" s="32" t="str">
        <f ca="1">IFERROR(__xludf.DUMMYFUNCTION("if($F106&gt;=4,QUERY(Loot!$A$2:$G$904,""Select G where A = '""&amp; $E106 &amp;""' AND D &gt;= ""&amp;T106 &amp;"" LIMIT 1""),)"),"")</f>
        <v/>
      </c>
      <c r="N106" s="61"/>
      <c r="O106" s="32" t="str">
        <f ca="1">IFERROR(__xludf.DUMMYFUNCTION("if($F106&gt;=5,QUERY(Loot!$A$2:$G$904,""Select G where A = '""&amp; $E106 &amp;""' AND D &gt;= ""&amp; U106 &amp;"" LIMIT 1""),)"),"")</f>
        <v/>
      </c>
      <c r="P106" s="61"/>
      <c r="Q106" s="62">
        <v>0.37999282372857268</v>
      </c>
      <c r="R106" s="63">
        <v>0.31402992997131784</v>
      </c>
      <c r="S106" s="63">
        <v>0.91492450053759145</v>
      </c>
      <c r="T106" s="63">
        <v>0.33759644507675057</v>
      </c>
      <c r="U106" s="63">
        <v>0.76681790166679042</v>
      </c>
    </row>
    <row r="107" spans="1:21" ht="16.2">
      <c r="A107" s="5">
        <f t="shared" ca="1" si="1"/>
        <v>106</v>
      </c>
      <c r="B107" s="5" t="str">
        <f ca="1">IFERROR(__xludf.DUMMYFUNCTION("if(ISBLANK(C107),,QUERY(MD!A108:D1106,""Select A where C = '""&amp; C107 &amp;""'""))"),"")</f>
        <v/>
      </c>
      <c r="C107" s="5"/>
      <c r="D107" s="5" t="str">
        <f ca="1">IFERROR(__xludf.DUMMYFUNCTION("if(ISBLANK(C107),,QUERY(MD!$A$2:$D$1000,""Select D where C = '""&amp; C107 &amp;""'""))"),"")</f>
        <v/>
      </c>
      <c r="E107" s="59" t="str">
        <f ca="1">IFERROR(__xludf.DUMMYFUNCTION("if(ISBLANK(C107),,QUERY(MD!$A$2:$D$1000,""Select B where C = '""&amp; C107 &amp;""'""))"),"")</f>
        <v/>
      </c>
      <c r="F107" s="5">
        <f t="shared" ca="1" si="0"/>
        <v>0</v>
      </c>
      <c r="G107" s="32" t="str">
        <f ca="1">IFERROR(__xludf.DUMMYFUNCTION("if($F107&gt;=1,QUERY(Loot!$A$2:$G$904,""Select G where A = '""&amp; $E107 &amp;""' AND D &gt;= ""&amp; Q107  &amp;"" LIMIT 1""),)"),"")</f>
        <v/>
      </c>
      <c r="H107" s="61"/>
      <c r="I107" s="32" t="str">
        <f ca="1">IFERROR(__xludf.DUMMYFUNCTION("if($F107&gt;=2,QUERY(Loot!$A$2:$G$904,""Select G where A = '""&amp; $E107 &amp;""' AND D &gt;= ""&amp; R107 &amp;"" LIMIT 1""),)"),"")</f>
        <v/>
      </c>
      <c r="J107" s="61"/>
      <c r="K107" s="32" t="str">
        <f ca="1">IFERROR(__xludf.DUMMYFUNCTION("if($F107&gt;=3,QUERY(Loot!$A$2:$G$904,""Select G where A = '""&amp; $E107 &amp;""' AND D &gt;= ""&amp; S107  &amp;"" LIMIT 1""),)"),"")</f>
        <v/>
      </c>
      <c r="L107" s="61"/>
      <c r="M107" s="32" t="str">
        <f ca="1">IFERROR(__xludf.DUMMYFUNCTION("if($F107&gt;=4,QUERY(Loot!$A$2:$G$904,""Select G where A = '""&amp; $E107 &amp;""' AND D &gt;= ""&amp;T107 &amp;"" LIMIT 1""),)"),"")</f>
        <v/>
      </c>
      <c r="N107" s="61"/>
      <c r="O107" s="32" t="str">
        <f ca="1">IFERROR(__xludf.DUMMYFUNCTION("if($F107&gt;=5,QUERY(Loot!$A$2:$G$904,""Select G where A = '""&amp; $E107 &amp;""' AND D &gt;= ""&amp; U107 &amp;"" LIMIT 1""),)"),"")</f>
        <v/>
      </c>
      <c r="P107" s="61"/>
      <c r="Q107" s="62">
        <v>0.51272836013357437</v>
      </c>
      <c r="R107" s="63">
        <v>0.79836754569487123</v>
      </c>
      <c r="S107" s="63">
        <v>0.9100768039999374</v>
      </c>
      <c r="T107" s="63">
        <v>0.863626736344135</v>
      </c>
      <c r="U107" s="63">
        <v>0.78342192038302216</v>
      </c>
    </row>
    <row r="108" spans="1:21" ht="16.2">
      <c r="A108" s="5">
        <f t="shared" ca="1" si="1"/>
        <v>107</v>
      </c>
      <c r="B108" s="5" t="str">
        <f ca="1">IFERROR(__xludf.DUMMYFUNCTION("if(ISBLANK(C108),,QUERY(MD!A109:D1107,""Select A where C = '""&amp; C108 &amp;""'""))"),"")</f>
        <v/>
      </c>
      <c r="C108" s="5"/>
      <c r="D108" s="5" t="str">
        <f ca="1">IFERROR(__xludf.DUMMYFUNCTION("if(ISBLANK(C108),,QUERY(MD!$A$2:$D$1000,""Select D where C = '""&amp; C108 &amp;""'""))"),"")</f>
        <v/>
      </c>
      <c r="E108" s="59" t="str">
        <f ca="1">IFERROR(__xludf.DUMMYFUNCTION("if(ISBLANK(C108),,QUERY(MD!$A$2:$D$1000,""Select B where C = '""&amp; C108 &amp;""'""))"),"")</f>
        <v/>
      </c>
      <c r="F108" s="5">
        <f t="shared" ca="1" si="0"/>
        <v>0</v>
      </c>
      <c r="G108" s="32" t="str">
        <f ca="1">IFERROR(__xludf.DUMMYFUNCTION("if($F108&gt;=1,QUERY(Loot!$A$2:$G$904,""Select G where A = '""&amp; $E108 &amp;""' AND D &gt;= ""&amp; Q108  &amp;"" LIMIT 1""),)"),"")</f>
        <v/>
      </c>
      <c r="H108" s="61"/>
      <c r="I108" s="32" t="str">
        <f ca="1">IFERROR(__xludf.DUMMYFUNCTION("if($F108&gt;=2,QUERY(Loot!$A$2:$G$904,""Select G where A = '""&amp; $E108 &amp;""' AND D &gt;= ""&amp; R108 &amp;"" LIMIT 1""),)"),"")</f>
        <v/>
      </c>
      <c r="J108" s="61"/>
      <c r="K108" s="32" t="str">
        <f ca="1">IFERROR(__xludf.DUMMYFUNCTION("if($F108&gt;=3,QUERY(Loot!$A$2:$G$904,""Select G where A = '""&amp; $E108 &amp;""' AND D &gt;= ""&amp; S108  &amp;"" LIMIT 1""),)"),"")</f>
        <v/>
      </c>
      <c r="L108" s="61"/>
      <c r="M108" s="32" t="str">
        <f ca="1">IFERROR(__xludf.DUMMYFUNCTION("if($F108&gt;=4,QUERY(Loot!$A$2:$G$904,""Select G where A = '""&amp; $E108 &amp;""' AND D &gt;= ""&amp;T108 &amp;"" LIMIT 1""),)"),"")</f>
        <v/>
      </c>
      <c r="N108" s="61"/>
      <c r="O108" s="32" t="str">
        <f ca="1">IFERROR(__xludf.DUMMYFUNCTION("if($F108&gt;=5,QUERY(Loot!$A$2:$G$904,""Select G where A = '""&amp; $E108 &amp;""' AND D &gt;= ""&amp; U108 &amp;"" LIMIT 1""),)"),"")</f>
        <v/>
      </c>
      <c r="P108" s="61"/>
      <c r="Q108" s="62">
        <v>0.17279468551376098</v>
      </c>
      <c r="R108" s="63">
        <v>0.98604064304987971</v>
      </c>
      <c r="S108" s="63">
        <v>0.41579531882601806</v>
      </c>
      <c r="T108" s="63">
        <v>0.28012843655073039</v>
      </c>
      <c r="U108" s="63">
        <v>0.57266061479661445</v>
      </c>
    </row>
    <row r="109" spans="1:21" ht="16.2">
      <c r="A109" s="5">
        <f t="shared" ca="1" si="1"/>
        <v>108</v>
      </c>
      <c r="B109" s="5" t="str">
        <f ca="1">IFERROR(__xludf.DUMMYFUNCTION("if(ISBLANK(C109),,QUERY(MD!A110:D1108,""Select A where C = '""&amp; C109 &amp;""'""))"),"")</f>
        <v/>
      </c>
      <c r="C109" s="5"/>
      <c r="D109" s="5" t="str">
        <f ca="1">IFERROR(__xludf.DUMMYFUNCTION("if(ISBLANK(C109),,QUERY(MD!$A$2:$D$1000,""Select D where C = '""&amp; C109 &amp;""'""))"),"")</f>
        <v/>
      </c>
      <c r="E109" s="59" t="str">
        <f ca="1">IFERROR(__xludf.DUMMYFUNCTION("if(ISBLANK(C109),,QUERY(MD!$A$2:$D$1000,""Select B where C = '""&amp; C109 &amp;""'""))"),"")</f>
        <v/>
      </c>
      <c r="F109" s="5">
        <f t="shared" ca="1" si="0"/>
        <v>0</v>
      </c>
      <c r="G109" s="32" t="str">
        <f ca="1">IFERROR(__xludf.DUMMYFUNCTION("if($F109&gt;=1,QUERY(Loot!$A$2:$G$904,""Select G where A = '""&amp; $E109 &amp;""' AND D &gt;= ""&amp; Q109  &amp;"" LIMIT 1""),)"),"")</f>
        <v/>
      </c>
      <c r="H109" s="61"/>
      <c r="I109" s="32" t="str">
        <f ca="1">IFERROR(__xludf.DUMMYFUNCTION("if($F109&gt;=2,QUERY(Loot!$A$2:$G$904,""Select G where A = '""&amp; $E109 &amp;""' AND D &gt;= ""&amp; R109 &amp;"" LIMIT 1""),)"),"")</f>
        <v/>
      </c>
      <c r="J109" s="61"/>
      <c r="K109" s="32" t="str">
        <f ca="1">IFERROR(__xludf.DUMMYFUNCTION("if($F109&gt;=3,QUERY(Loot!$A$2:$G$904,""Select G where A = '""&amp; $E109 &amp;""' AND D &gt;= ""&amp; S109  &amp;"" LIMIT 1""),)"),"")</f>
        <v/>
      </c>
      <c r="L109" s="61"/>
      <c r="M109" s="32" t="str">
        <f ca="1">IFERROR(__xludf.DUMMYFUNCTION("if($F109&gt;=4,QUERY(Loot!$A$2:$G$904,""Select G where A = '""&amp; $E109 &amp;""' AND D &gt;= ""&amp;T109 &amp;"" LIMIT 1""),)"),"")</f>
        <v/>
      </c>
      <c r="N109" s="61"/>
      <c r="O109" s="32" t="str">
        <f ca="1">IFERROR(__xludf.DUMMYFUNCTION("if($F109&gt;=5,QUERY(Loot!$A$2:$G$904,""Select G where A = '""&amp; $E109 &amp;""' AND D &gt;= ""&amp; U109 &amp;"" LIMIT 1""),)"),"")</f>
        <v/>
      </c>
      <c r="P109" s="61"/>
      <c r="Q109" s="62">
        <v>0.76123863692334059</v>
      </c>
      <c r="R109" s="63">
        <v>0.43694984058761765</v>
      </c>
      <c r="S109" s="63">
        <v>0.87185409503927613</v>
      </c>
      <c r="T109" s="63">
        <v>0.20346358639619411</v>
      </c>
      <c r="U109" s="63">
        <v>0.65581220771492854</v>
      </c>
    </row>
    <row r="110" spans="1:21" ht="16.2">
      <c r="A110" s="5">
        <f t="shared" ca="1" si="1"/>
        <v>109</v>
      </c>
      <c r="B110" s="5" t="str">
        <f ca="1">IFERROR(__xludf.DUMMYFUNCTION("if(ISBLANK(C110),,QUERY(MD!A111:D1109,""Select A where C = '""&amp; C110 &amp;""'""))"),"")</f>
        <v/>
      </c>
      <c r="C110" s="5"/>
      <c r="D110" s="5" t="str">
        <f ca="1">IFERROR(__xludf.DUMMYFUNCTION("if(ISBLANK(C110),,QUERY(MD!$A$2:$D$1000,""Select D where C = '""&amp; C110 &amp;""'""))"),"")</f>
        <v/>
      </c>
      <c r="E110" s="59" t="str">
        <f ca="1">IFERROR(__xludf.DUMMYFUNCTION("if(ISBLANK(C110),,QUERY(MD!$A$2:$D$1000,""Select B where C = '""&amp; C110 &amp;""'""))"),"")</f>
        <v/>
      </c>
      <c r="F110" s="5">
        <f t="shared" ca="1" si="0"/>
        <v>0</v>
      </c>
      <c r="G110" s="32" t="str">
        <f ca="1">IFERROR(__xludf.DUMMYFUNCTION("if($F110&gt;=1,QUERY(Loot!$A$2:$G$904,""Select G where A = '""&amp; $E110 &amp;""' AND D &gt;= ""&amp; Q110  &amp;"" LIMIT 1""),)"),"")</f>
        <v/>
      </c>
      <c r="H110" s="61"/>
      <c r="I110" s="32" t="str">
        <f ca="1">IFERROR(__xludf.DUMMYFUNCTION("if($F110&gt;=2,QUERY(Loot!$A$2:$G$904,""Select G where A = '""&amp; $E110 &amp;""' AND D &gt;= ""&amp; R110 &amp;"" LIMIT 1""),)"),"")</f>
        <v/>
      </c>
      <c r="J110" s="61"/>
      <c r="K110" s="32" t="str">
        <f ca="1">IFERROR(__xludf.DUMMYFUNCTION("if($F110&gt;=3,QUERY(Loot!$A$2:$G$904,""Select G where A = '""&amp; $E110 &amp;""' AND D &gt;= ""&amp; S110  &amp;"" LIMIT 1""),)"),"")</f>
        <v/>
      </c>
      <c r="L110" s="61"/>
      <c r="M110" s="32" t="str">
        <f ca="1">IFERROR(__xludf.DUMMYFUNCTION("if($F110&gt;=4,QUERY(Loot!$A$2:$G$904,""Select G where A = '""&amp; $E110 &amp;""' AND D &gt;= ""&amp;T110 &amp;"" LIMIT 1""),)"),"")</f>
        <v/>
      </c>
      <c r="N110" s="61"/>
      <c r="O110" s="32" t="str">
        <f ca="1">IFERROR(__xludf.DUMMYFUNCTION("if($F110&gt;=5,QUERY(Loot!$A$2:$G$904,""Select G where A = '""&amp; $E110 &amp;""' AND D &gt;= ""&amp; U110 &amp;"" LIMIT 1""),)"),"")</f>
        <v/>
      </c>
      <c r="P110" s="61"/>
      <c r="Q110" s="62">
        <v>0.80846935029076183</v>
      </c>
      <c r="R110" s="63">
        <v>0.2737709335827021</v>
      </c>
      <c r="S110" s="63">
        <v>0.36059490890148171</v>
      </c>
      <c r="T110" s="63">
        <v>0.48075508021159463</v>
      </c>
      <c r="U110" s="63">
        <v>0.20445389578289885</v>
      </c>
    </row>
    <row r="111" spans="1:21" ht="16.2">
      <c r="A111" s="5">
        <f t="shared" ca="1" si="1"/>
        <v>110</v>
      </c>
      <c r="B111" s="5" t="str">
        <f ca="1">IFERROR(__xludf.DUMMYFUNCTION("if(ISBLANK(C111),,QUERY(MD!A112:D1110,""Select A where C = '""&amp; C111 &amp;""'""))"),"")</f>
        <v/>
      </c>
      <c r="C111" s="5"/>
      <c r="D111" s="5" t="str">
        <f ca="1">IFERROR(__xludf.DUMMYFUNCTION("if(ISBLANK(C111),,QUERY(MD!$A$2:$D$1000,""Select D where C = '""&amp; C111 &amp;""'""))"),"")</f>
        <v/>
      </c>
      <c r="E111" s="59" t="str">
        <f ca="1">IFERROR(__xludf.DUMMYFUNCTION("if(ISBLANK(C111),,QUERY(MD!$A$2:$D$1000,""Select B where C = '""&amp; C111 &amp;""'""))"),"")</f>
        <v/>
      </c>
      <c r="F111" s="5">
        <f t="shared" ca="1" si="0"/>
        <v>0</v>
      </c>
      <c r="G111" s="32" t="str">
        <f ca="1">IFERROR(__xludf.DUMMYFUNCTION("if($F111&gt;=1,QUERY(Loot!$A$2:$G$904,""Select G where A = '""&amp; $E111 &amp;""' AND D &gt;= ""&amp; Q111  &amp;"" LIMIT 1""),)"),"")</f>
        <v/>
      </c>
      <c r="H111" s="61"/>
      <c r="I111" s="32" t="str">
        <f ca="1">IFERROR(__xludf.DUMMYFUNCTION("if($F111&gt;=2,QUERY(Loot!$A$2:$G$904,""Select G where A = '""&amp; $E111 &amp;""' AND D &gt;= ""&amp; R111 &amp;"" LIMIT 1""),)"),"")</f>
        <v/>
      </c>
      <c r="J111" s="61"/>
      <c r="K111" s="32" t="str">
        <f ca="1">IFERROR(__xludf.DUMMYFUNCTION("if($F111&gt;=3,QUERY(Loot!$A$2:$G$904,""Select G where A = '""&amp; $E111 &amp;""' AND D &gt;= ""&amp; S111  &amp;"" LIMIT 1""),)"),"")</f>
        <v/>
      </c>
      <c r="L111" s="61"/>
      <c r="M111" s="32" t="str">
        <f ca="1">IFERROR(__xludf.DUMMYFUNCTION("if($F111&gt;=4,QUERY(Loot!$A$2:$G$904,""Select G where A = '""&amp; $E111 &amp;""' AND D &gt;= ""&amp;T111 &amp;"" LIMIT 1""),)"),"")</f>
        <v/>
      </c>
      <c r="N111" s="61"/>
      <c r="O111" s="32" t="str">
        <f ca="1">IFERROR(__xludf.DUMMYFUNCTION("if($F111&gt;=5,QUERY(Loot!$A$2:$G$904,""Select G where A = '""&amp; $E111 &amp;""' AND D &gt;= ""&amp; U111 &amp;"" LIMIT 1""),)"),"")</f>
        <v/>
      </c>
      <c r="P111" s="61"/>
      <c r="Q111" s="62">
        <v>0.72570316781790156</v>
      </c>
      <c r="R111" s="63">
        <v>0.76833247366164514</v>
      </c>
      <c r="S111" s="63">
        <v>0.26309771215622002</v>
      </c>
      <c r="T111" s="63">
        <v>0.691974880924763</v>
      </c>
      <c r="U111" s="63">
        <v>0.57083502435963862</v>
      </c>
    </row>
    <row r="112" spans="1:21" ht="16.2">
      <c r="A112" s="5">
        <f t="shared" ca="1" si="1"/>
        <v>111</v>
      </c>
      <c r="B112" s="5" t="str">
        <f ca="1">IFERROR(__xludf.DUMMYFUNCTION("if(ISBLANK(C112),,QUERY(MD!A113:D1111,""Select A where C = '""&amp; C112 &amp;""'""))"),"")</f>
        <v/>
      </c>
      <c r="C112" s="5"/>
      <c r="D112" s="5" t="str">
        <f ca="1">IFERROR(__xludf.DUMMYFUNCTION("if(ISBLANK(C112),,QUERY(MD!$A$2:$D$1000,""Select D where C = '""&amp; C112 &amp;""'""))"),"")</f>
        <v/>
      </c>
      <c r="E112" s="59" t="str">
        <f ca="1">IFERROR(__xludf.DUMMYFUNCTION("if(ISBLANK(C112),,QUERY(MD!$A$2:$D$1000,""Select B where C = '""&amp; C112 &amp;""'""))"),"")</f>
        <v/>
      </c>
      <c r="F112" s="5">
        <f t="shared" ca="1" si="0"/>
        <v>0</v>
      </c>
      <c r="G112" s="32" t="str">
        <f ca="1">IFERROR(__xludf.DUMMYFUNCTION("if($F112&gt;=1,QUERY(Loot!$A$2:$G$904,""Select G where A = '""&amp; $E112 &amp;""' AND D &gt;= ""&amp; Q112  &amp;"" LIMIT 1""),)"),"")</f>
        <v/>
      </c>
      <c r="H112" s="61"/>
      <c r="I112" s="32" t="str">
        <f ca="1">IFERROR(__xludf.DUMMYFUNCTION("if($F112&gt;=2,QUERY(Loot!$A$2:$G$904,""Select G where A = '""&amp; $E112 &amp;""' AND D &gt;= ""&amp; R112 &amp;"" LIMIT 1""),)"),"")</f>
        <v/>
      </c>
      <c r="J112" s="61"/>
      <c r="K112" s="32" t="str">
        <f ca="1">IFERROR(__xludf.DUMMYFUNCTION("if($F112&gt;=3,QUERY(Loot!$A$2:$G$904,""Select G where A = '""&amp; $E112 &amp;""' AND D &gt;= ""&amp; S112  &amp;"" LIMIT 1""),)"),"")</f>
        <v/>
      </c>
      <c r="L112" s="61"/>
      <c r="M112" s="32" t="str">
        <f ca="1">IFERROR(__xludf.DUMMYFUNCTION("if($F112&gt;=4,QUERY(Loot!$A$2:$G$904,""Select G where A = '""&amp; $E112 &amp;""' AND D &gt;= ""&amp;T112 &amp;"" LIMIT 1""),)"),"")</f>
        <v/>
      </c>
      <c r="N112" s="61"/>
      <c r="O112" s="32" t="str">
        <f ca="1">IFERROR(__xludf.DUMMYFUNCTION("if($F112&gt;=5,QUERY(Loot!$A$2:$G$904,""Select G where A = '""&amp; $E112 &amp;""' AND D &gt;= ""&amp; U112 &amp;"" LIMIT 1""),)"),"")</f>
        <v/>
      </c>
      <c r="P112" s="61"/>
      <c r="Q112" s="62">
        <v>0.20598580665809918</v>
      </c>
      <c r="R112" s="63">
        <v>0.51969072409335448</v>
      </c>
      <c r="S112" s="63">
        <v>0.23541827299778795</v>
      </c>
      <c r="T112" s="63">
        <v>0.29268942052784463</v>
      </c>
      <c r="U112" s="63">
        <v>0.37002982297679832</v>
      </c>
    </row>
    <row r="113" spans="1:21" ht="16.2">
      <c r="A113" s="5">
        <f t="shared" ca="1" si="1"/>
        <v>112</v>
      </c>
      <c r="B113" s="5" t="str">
        <f ca="1">IFERROR(__xludf.DUMMYFUNCTION("if(ISBLANK(C113),,QUERY(MD!A114:D1112,""Select A where C = '""&amp; C113 &amp;""'""))"),"")</f>
        <v/>
      </c>
      <c r="C113" s="5"/>
      <c r="D113" s="5" t="str">
        <f ca="1">IFERROR(__xludf.DUMMYFUNCTION("if(ISBLANK(C113),,QUERY(MD!$A$2:$D$1000,""Select D where C = '""&amp; C113 &amp;""'""))"),"")</f>
        <v/>
      </c>
      <c r="E113" s="59" t="str">
        <f ca="1">IFERROR(__xludf.DUMMYFUNCTION("if(ISBLANK(C113),,QUERY(MD!$A$2:$D$1000,""Select B where C = '""&amp; C113 &amp;""'""))"),"")</f>
        <v/>
      </c>
      <c r="F113" s="5">
        <f t="shared" ca="1" si="0"/>
        <v>0</v>
      </c>
      <c r="G113" s="32" t="str">
        <f ca="1">IFERROR(__xludf.DUMMYFUNCTION("if($F113&gt;=1,QUERY(Loot!$A$2:$G$904,""Select G where A = '""&amp; $E113 &amp;""' AND D &gt;= ""&amp; Q113  &amp;"" LIMIT 1""),)"),"")</f>
        <v/>
      </c>
      <c r="H113" s="61"/>
      <c r="I113" s="32" t="str">
        <f ca="1">IFERROR(__xludf.DUMMYFUNCTION("if($F113&gt;=2,QUERY(Loot!$A$2:$G$904,""Select G where A = '""&amp; $E113 &amp;""' AND D &gt;= ""&amp; R113 &amp;"" LIMIT 1""),)"),"")</f>
        <v/>
      </c>
      <c r="J113" s="61"/>
      <c r="K113" s="32" t="str">
        <f ca="1">IFERROR(__xludf.DUMMYFUNCTION("if($F113&gt;=3,QUERY(Loot!$A$2:$G$904,""Select G where A = '""&amp; $E113 &amp;""' AND D &gt;= ""&amp; S113  &amp;"" LIMIT 1""),)"),"")</f>
        <v/>
      </c>
      <c r="L113" s="61"/>
      <c r="M113" s="32" t="str">
        <f ca="1">IFERROR(__xludf.DUMMYFUNCTION("if($F113&gt;=4,QUERY(Loot!$A$2:$G$904,""Select G where A = '""&amp; $E113 &amp;""' AND D &gt;= ""&amp;T113 &amp;"" LIMIT 1""),)"),"")</f>
        <v/>
      </c>
      <c r="N113" s="61"/>
      <c r="O113" s="32" t="str">
        <f ca="1">IFERROR(__xludf.DUMMYFUNCTION("if($F113&gt;=5,QUERY(Loot!$A$2:$G$904,""Select G where A = '""&amp; $E113 &amp;""' AND D &gt;= ""&amp; U113 &amp;"" LIMIT 1""),)"),"")</f>
        <v/>
      </c>
      <c r="P113" s="61"/>
      <c r="Q113" s="62">
        <v>0.21706596908016962</v>
      </c>
      <c r="R113" s="63">
        <v>0.20404049564191917</v>
      </c>
      <c r="S113" s="63">
        <v>1.172325841863886E-4</v>
      </c>
      <c r="T113" s="63">
        <v>0.87743880434078825</v>
      </c>
      <c r="U113" s="63">
        <v>0.71217602643569333</v>
      </c>
    </row>
    <row r="114" spans="1:21" ht="16.2">
      <c r="A114" s="5">
        <f t="shared" ca="1" si="1"/>
        <v>113</v>
      </c>
      <c r="B114" s="5" t="str">
        <f ca="1">IFERROR(__xludf.DUMMYFUNCTION("if(ISBLANK(C114),,QUERY(MD!A115:D1113,""Select A where C = '""&amp; C114 &amp;""'""))"),"")</f>
        <v/>
      </c>
      <c r="C114" s="5"/>
      <c r="D114" s="5" t="str">
        <f ca="1">IFERROR(__xludf.DUMMYFUNCTION("if(ISBLANK(C114),,QUERY(MD!$A$2:$D$1000,""Select D where C = '""&amp; C114 &amp;""'""))"),"")</f>
        <v/>
      </c>
      <c r="E114" s="59" t="str">
        <f ca="1">IFERROR(__xludf.DUMMYFUNCTION("if(ISBLANK(C114),,QUERY(MD!$A$2:$D$1000,""Select B where C = '""&amp; C114 &amp;""'""))"),"")</f>
        <v/>
      </c>
      <c r="F114" s="5">
        <f t="shared" ca="1" si="0"/>
        <v>0</v>
      </c>
      <c r="G114" s="32" t="str">
        <f ca="1">IFERROR(__xludf.DUMMYFUNCTION("if($F114&gt;=1,QUERY(Loot!$A$2:$G$904,""Select G where A = '""&amp; $E114 &amp;""' AND D &gt;= ""&amp; Q114  &amp;"" LIMIT 1""),)"),"")</f>
        <v/>
      </c>
      <c r="H114" s="61"/>
      <c r="I114" s="32" t="str">
        <f ca="1">IFERROR(__xludf.DUMMYFUNCTION("if($F114&gt;=2,QUERY(Loot!$A$2:$G$904,""Select G where A = '""&amp; $E114 &amp;""' AND D &gt;= ""&amp; R114 &amp;"" LIMIT 1""),)"),"")</f>
        <v/>
      </c>
      <c r="J114" s="61"/>
      <c r="K114" s="32" t="str">
        <f ca="1">IFERROR(__xludf.DUMMYFUNCTION("if($F114&gt;=3,QUERY(Loot!$A$2:$G$904,""Select G where A = '""&amp; $E114 &amp;""' AND D &gt;= ""&amp; S114  &amp;"" LIMIT 1""),)"),"")</f>
        <v/>
      </c>
      <c r="L114" s="61"/>
      <c r="M114" s="32" t="str">
        <f ca="1">IFERROR(__xludf.DUMMYFUNCTION("if($F114&gt;=4,QUERY(Loot!$A$2:$G$904,""Select G where A = '""&amp; $E114 &amp;""' AND D &gt;= ""&amp;T114 &amp;"" LIMIT 1""),)"),"")</f>
        <v/>
      </c>
      <c r="N114" s="61"/>
      <c r="O114" s="32" t="str">
        <f ca="1">IFERROR(__xludf.DUMMYFUNCTION("if($F114&gt;=5,QUERY(Loot!$A$2:$G$904,""Select G where A = '""&amp; $E114 &amp;""' AND D &gt;= ""&amp; U114 &amp;"" LIMIT 1""),)"),"")</f>
        <v/>
      </c>
      <c r="P114" s="61"/>
      <c r="Q114" s="62">
        <v>0.195724100613343</v>
      </c>
      <c r="R114" s="63">
        <v>0.27204468689316097</v>
      </c>
      <c r="S114" s="63">
        <v>0.90076736864561913</v>
      </c>
      <c r="T114" s="63">
        <v>0.19895155695839406</v>
      </c>
      <c r="U114" s="63">
        <v>0.22396922131901187</v>
      </c>
    </row>
    <row r="115" spans="1:21" ht="16.2">
      <c r="A115" s="5">
        <f t="shared" ca="1" si="1"/>
        <v>114</v>
      </c>
      <c r="B115" s="5" t="str">
        <f ca="1">IFERROR(__xludf.DUMMYFUNCTION("if(ISBLANK(C115),,QUERY(MD!A116:D1114,""Select A where C = '""&amp; C115 &amp;""'""))"),"")</f>
        <v/>
      </c>
      <c r="C115" s="5"/>
      <c r="D115" s="5" t="str">
        <f ca="1">IFERROR(__xludf.DUMMYFUNCTION("if(ISBLANK(C115),,QUERY(MD!$A$2:$D$1000,""Select D where C = '""&amp; C115 &amp;""'""))"),"")</f>
        <v/>
      </c>
      <c r="E115" s="59" t="str">
        <f ca="1">IFERROR(__xludf.DUMMYFUNCTION("if(ISBLANK(C115),,QUERY(MD!$A$2:$D$1000,""Select B where C = '""&amp; C115 &amp;""'""))"),"")</f>
        <v/>
      </c>
      <c r="F115" s="5">
        <f t="shared" ca="1" si="0"/>
        <v>0</v>
      </c>
      <c r="G115" s="32" t="str">
        <f ca="1">IFERROR(__xludf.DUMMYFUNCTION("if($F115&gt;=1,QUERY(Loot!$A$2:$G$904,""Select G where A = '""&amp; $E115 &amp;""' AND D &gt;= ""&amp; Q115  &amp;"" LIMIT 1""),)"),"")</f>
        <v/>
      </c>
      <c r="H115" s="61"/>
      <c r="I115" s="32" t="str">
        <f ca="1">IFERROR(__xludf.DUMMYFUNCTION("if($F115&gt;=2,QUERY(Loot!$A$2:$G$904,""Select G where A = '""&amp; $E115 &amp;""' AND D &gt;= ""&amp; R115 &amp;"" LIMIT 1""),)"),"")</f>
        <v/>
      </c>
      <c r="J115" s="61"/>
      <c r="K115" s="32" t="str">
        <f ca="1">IFERROR(__xludf.DUMMYFUNCTION("if($F115&gt;=3,QUERY(Loot!$A$2:$G$904,""Select G where A = '""&amp; $E115 &amp;""' AND D &gt;= ""&amp; S115  &amp;"" LIMIT 1""),)"),"")</f>
        <v/>
      </c>
      <c r="L115" s="61"/>
      <c r="M115" s="32" t="str">
        <f ca="1">IFERROR(__xludf.DUMMYFUNCTION("if($F115&gt;=4,QUERY(Loot!$A$2:$G$904,""Select G where A = '""&amp; $E115 &amp;""' AND D &gt;= ""&amp;T115 &amp;"" LIMIT 1""),)"),"")</f>
        <v/>
      </c>
      <c r="N115" s="61"/>
      <c r="O115" s="32" t="str">
        <f ca="1">IFERROR(__xludf.DUMMYFUNCTION("if($F115&gt;=5,QUERY(Loot!$A$2:$G$904,""Select G where A = '""&amp; $E115 &amp;""' AND D &gt;= ""&amp; U115 &amp;"" LIMIT 1""),)"),"")</f>
        <v/>
      </c>
      <c r="P115" s="61"/>
      <c r="Q115" s="62">
        <v>0.20567669844461001</v>
      </c>
      <c r="R115" s="63">
        <v>0.73831822340225661</v>
      </c>
      <c r="S115" s="63">
        <v>0.80302162315178982</v>
      </c>
      <c r="T115" s="63">
        <v>0.83621025330822929</v>
      </c>
      <c r="U115" s="63">
        <v>0.24268394057993192</v>
      </c>
    </row>
    <row r="116" spans="1:21" ht="16.2">
      <c r="A116" s="5">
        <f t="shared" ca="1" si="1"/>
        <v>115</v>
      </c>
      <c r="B116" s="5" t="str">
        <f ca="1">IFERROR(__xludf.DUMMYFUNCTION("if(ISBLANK(C116),,QUERY(MD!A117:D1115,""Select A where C = '""&amp; C116 &amp;""'""))"),"")</f>
        <v/>
      </c>
      <c r="C116" s="5"/>
      <c r="D116" s="5" t="str">
        <f ca="1">IFERROR(__xludf.DUMMYFUNCTION("if(ISBLANK(C116),,QUERY(MD!$A$2:$D$1000,""Select D where C = '""&amp; C116 &amp;""'""))"),"")</f>
        <v/>
      </c>
      <c r="E116" s="59" t="str">
        <f ca="1">IFERROR(__xludf.DUMMYFUNCTION("if(ISBLANK(C116),,QUERY(MD!$A$2:$D$1000,""Select B where C = '""&amp; C116 &amp;""'""))"),"")</f>
        <v/>
      </c>
      <c r="F116" s="5">
        <f t="shared" ca="1" si="0"/>
        <v>0</v>
      </c>
      <c r="G116" s="32" t="str">
        <f ca="1">IFERROR(__xludf.DUMMYFUNCTION("if($F116&gt;=1,QUERY(Loot!$A$2:$G$904,""Select G where A = '""&amp; $E116 &amp;""' AND D &gt;= ""&amp; Q116  &amp;"" LIMIT 1""),)"),"")</f>
        <v/>
      </c>
      <c r="H116" s="61"/>
      <c r="I116" s="32" t="str">
        <f ca="1">IFERROR(__xludf.DUMMYFUNCTION("if($F116&gt;=2,QUERY(Loot!$A$2:$G$904,""Select G where A = '""&amp; $E116 &amp;""' AND D &gt;= ""&amp; R116 &amp;"" LIMIT 1""),)"),"")</f>
        <v/>
      </c>
      <c r="J116" s="61"/>
      <c r="K116" s="32" t="str">
        <f ca="1">IFERROR(__xludf.DUMMYFUNCTION("if($F116&gt;=3,QUERY(Loot!$A$2:$G$904,""Select G where A = '""&amp; $E116 &amp;""' AND D &gt;= ""&amp; S116  &amp;"" LIMIT 1""),)"),"")</f>
        <v/>
      </c>
      <c r="L116" s="61"/>
      <c r="M116" s="32" t="str">
        <f ca="1">IFERROR(__xludf.DUMMYFUNCTION("if($F116&gt;=4,QUERY(Loot!$A$2:$G$904,""Select G where A = '""&amp; $E116 &amp;""' AND D &gt;= ""&amp;T116 &amp;"" LIMIT 1""),)"),"")</f>
        <v/>
      </c>
      <c r="N116" s="61"/>
      <c r="O116" s="32" t="str">
        <f ca="1">IFERROR(__xludf.DUMMYFUNCTION("if($F116&gt;=5,QUERY(Loot!$A$2:$G$904,""Select G where A = '""&amp; $E116 &amp;""' AND D &gt;= ""&amp; U116 &amp;"" LIMIT 1""),)"),"")</f>
        <v/>
      </c>
      <c r="P116" s="61"/>
      <c r="Q116" s="62">
        <v>0.74623761485998585</v>
      </c>
      <c r="R116" s="63">
        <v>0.62539854716309673</v>
      </c>
      <c r="S116" s="63">
        <v>0.91513209944293905</v>
      </c>
      <c r="T116" s="63">
        <v>0.75145133131255415</v>
      </c>
      <c r="U116" s="63">
        <v>0.18970888603886216</v>
      </c>
    </row>
    <row r="117" spans="1:21" ht="16.2">
      <c r="A117" s="5">
        <f t="shared" ca="1" si="1"/>
        <v>116</v>
      </c>
      <c r="B117" s="5" t="str">
        <f ca="1">IFERROR(__xludf.DUMMYFUNCTION("if(ISBLANK(C117),,QUERY(MD!A118:D1116,""Select A where C = '""&amp; C117 &amp;""'""))"),"")</f>
        <v/>
      </c>
      <c r="C117" s="5"/>
      <c r="D117" s="5" t="str">
        <f ca="1">IFERROR(__xludf.DUMMYFUNCTION("if(ISBLANK(C117),,QUERY(MD!$A$2:$D$1000,""Select D where C = '""&amp; C117 &amp;""'""))"),"")</f>
        <v/>
      </c>
      <c r="E117" s="59" t="str">
        <f ca="1">IFERROR(__xludf.DUMMYFUNCTION("if(ISBLANK(C117),,QUERY(MD!$A$2:$D$1000,""Select B where C = '""&amp; C117 &amp;""'""))"),"")</f>
        <v/>
      </c>
      <c r="F117" s="5">
        <f t="shared" ca="1" si="0"/>
        <v>0</v>
      </c>
      <c r="G117" s="32" t="str">
        <f ca="1">IFERROR(__xludf.DUMMYFUNCTION("if($F117&gt;=1,QUERY(Loot!$A$2:$G$904,""Select G where A = '""&amp; $E117 &amp;""' AND D &gt;= ""&amp; Q117  &amp;"" LIMIT 1""),)"),"")</f>
        <v/>
      </c>
      <c r="H117" s="61"/>
      <c r="I117" s="32" t="str">
        <f ca="1">IFERROR(__xludf.DUMMYFUNCTION("if($F117&gt;=2,QUERY(Loot!$A$2:$G$904,""Select G where A = '""&amp; $E117 &amp;""' AND D &gt;= ""&amp; R117 &amp;"" LIMIT 1""),)"),"")</f>
        <v/>
      </c>
      <c r="J117" s="61"/>
      <c r="K117" s="32" t="str">
        <f ca="1">IFERROR(__xludf.DUMMYFUNCTION("if($F117&gt;=3,QUERY(Loot!$A$2:$G$904,""Select G where A = '""&amp; $E117 &amp;""' AND D &gt;= ""&amp; S117  &amp;"" LIMIT 1""),)"),"")</f>
        <v/>
      </c>
      <c r="L117" s="61"/>
      <c r="M117" s="32" t="str">
        <f ca="1">IFERROR(__xludf.DUMMYFUNCTION("if($F117&gt;=4,QUERY(Loot!$A$2:$G$904,""Select G where A = '""&amp; $E117 &amp;""' AND D &gt;= ""&amp;T117 &amp;"" LIMIT 1""),)"),"")</f>
        <v/>
      </c>
      <c r="N117" s="61"/>
      <c r="O117" s="32" t="str">
        <f ca="1">IFERROR(__xludf.DUMMYFUNCTION("if($F117&gt;=5,QUERY(Loot!$A$2:$G$904,""Select G where A = '""&amp; $E117 &amp;""' AND D &gt;= ""&amp; U117 &amp;"" LIMIT 1""),)"),"")</f>
        <v/>
      </c>
      <c r="P117" s="61"/>
      <c r="Q117" s="62">
        <v>0.40635152522052409</v>
      </c>
      <c r="R117" s="63">
        <v>0.15219369399908</v>
      </c>
      <c r="S117" s="63">
        <v>0.65408471259929568</v>
      </c>
      <c r="T117" s="63">
        <v>0.54686373963824786</v>
      </c>
      <c r="U117" s="63">
        <v>0.67941166064406144</v>
      </c>
    </row>
    <row r="118" spans="1:21" ht="16.2">
      <c r="A118" s="5">
        <f t="shared" ca="1" si="1"/>
        <v>117</v>
      </c>
      <c r="B118" s="5" t="str">
        <f ca="1">IFERROR(__xludf.DUMMYFUNCTION("if(ISBLANK(C118),,QUERY(MD!A119:D1117,""Select A where C = '""&amp; C118 &amp;""'""))"),"")</f>
        <v/>
      </c>
      <c r="C118" s="5"/>
      <c r="D118" s="5" t="str">
        <f ca="1">IFERROR(__xludf.DUMMYFUNCTION("if(ISBLANK(C118),,QUERY(MD!$A$2:$D$1000,""Select D where C = '""&amp; C118 &amp;""'""))"),"")</f>
        <v/>
      </c>
      <c r="E118" s="59" t="str">
        <f ca="1">IFERROR(__xludf.DUMMYFUNCTION("if(ISBLANK(C118),,QUERY(MD!$A$2:$D$1000,""Select B where C = '""&amp; C118 &amp;""'""))"),"")</f>
        <v/>
      </c>
      <c r="F118" s="5">
        <f t="shared" ca="1" si="0"/>
        <v>0</v>
      </c>
      <c r="G118" s="32" t="str">
        <f ca="1">IFERROR(__xludf.DUMMYFUNCTION("if($F118&gt;=1,QUERY(Loot!$A$2:$G$904,""Select G where A = '""&amp; $E118 &amp;""' AND D &gt;= ""&amp; Q118  &amp;"" LIMIT 1""),)"),"")</f>
        <v/>
      </c>
      <c r="H118" s="61"/>
      <c r="I118" s="32" t="str">
        <f ca="1">IFERROR(__xludf.DUMMYFUNCTION("if($F118&gt;=2,QUERY(Loot!$A$2:$G$904,""Select G where A = '""&amp; $E118 &amp;""' AND D &gt;= ""&amp; R118 &amp;"" LIMIT 1""),)"),"")</f>
        <v/>
      </c>
      <c r="J118" s="61"/>
      <c r="K118" s="32" t="str">
        <f ca="1">IFERROR(__xludf.DUMMYFUNCTION("if($F118&gt;=3,QUERY(Loot!$A$2:$G$904,""Select G where A = '""&amp; $E118 &amp;""' AND D &gt;= ""&amp; S118  &amp;"" LIMIT 1""),)"),"")</f>
        <v/>
      </c>
      <c r="L118" s="61"/>
      <c r="M118" s="32" t="str">
        <f ca="1">IFERROR(__xludf.DUMMYFUNCTION("if($F118&gt;=4,QUERY(Loot!$A$2:$G$904,""Select G where A = '""&amp; $E118 &amp;""' AND D &gt;= ""&amp;T118 &amp;"" LIMIT 1""),)"),"")</f>
        <v/>
      </c>
      <c r="N118" s="61"/>
      <c r="O118" s="32" t="str">
        <f ca="1">IFERROR(__xludf.DUMMYFUNCTION("if($F118&gt;=5,QUERY(Loot!$A$2:$G$904,""Select G where A = '""&amp; $E118 &amp;""' AND D &gt;= ""&amp; U118 &amp;"" LIMIT 1""),)"),"")</f>
        <v/>
      </c>
      <c r="P118" s="61"/>
      <c r="Q118" s="62">
        <v>0.83697699700028971</v>
      </c>
      <c r="R118" s="63">
        <v>0.46993664683055381</v>
      </c>
      <c r="S118" s="63">
        <v>0.5241227504423055</v>
      </c>
      <c r="T118" s="63">
        <v>0.79840571579614161</v>
      </c>
      <c r="U118" s="63">
        <v>0.63734867250290228</v>
      </c>
    </row>
    <row r="119" spans="1:21" ht="16.2">
      <c r="A119" s="5">
        <f t="shared" ca="1" si="1"/>
        <v>118</v>
      </c>
      <c r="B119" s="5" t="str">
        <f ca="1">IFERROR(__xludf.DUMMYFUNCTION("if(ISBLANK(C119),,QUERY(MD!A120:D1118,""Select A where C = '""&amp; C119 &amp;""'""))"),"")</f>
        <v/>
      </c>
      <c r="C119" s="5"/>
      <c r="D119" s="5" t="str">
        <f ca="1">IFERROR(__xludf.DUMMYFUNCTION("if(ISBLANK(C119),,QUERY(MD!$A$2:$D$1000,""Select D where C = '""&amp; C119 &amp;""'""))"),"")</f>
        <v/>
      </c>
      <c r="E119" s="59" t="str">
        <f ca="1">IFERROR(__xludf.DUMMYFUNCTION("if(ISBLANK(C119),,QUERY(MD!$A$2:$D$1000,""Select B where C = '""&amp; C119 &amp;""'""))"),"")</f>
        <v/>
      </c>
      <c r="F119" s="5">
        <f t="shared" ca="1" si="0"/>
        <v>0</v>
      </c>
      <c r="G119" s="32" t="str">
        <f ca="1">IFERROR(__xludf.DUMMYFUNCTION("if($F119&gt;=1,QUERY(Loot!$A$2:$G$904,""Select G where A = '""&amp; $E119 &amp;""' AND D &gt;= ""&amp; Q119  &amp;"" LIMIT 1""),)"),"")</f>
        <v/>
      </c>
      <c r="H119" s="61"/>
      <c r="I119" s="32" t="str">
        <f ca="1">IFERROR(__xludf.DUMMYFUNCTION("if($F119&gt;=2,QUERY(Loot!$A$2:$G$904,""Select G where A = '""&amp; $E119 &amp;""' AND D &gt;= ""&amp; R119 &amp;"" LIMIT 1""),)"),"")</f>
        <v/>
      </c>
      <c r="J119" s="61"/>
      <c r="K119" s="32" t="str">
        <f ca="1">IFERROR(__xludf.DUMMYFUNCTION("if($F119&gt;=3,QUERY(Loot!$A$2:$G$904,""Select G where A = '""&amp; $E119 &amp;""' AND D &gt;= ""&amp; S119  &amp;"" LIMIT 1""),)"),"")</f>
        <v/>
      </c>
      <c r="L119" s="61"/>
      <c r="M119" s="32" t="str">
        <f ca="1">IFERROR(__xludf.DUMMYFUNCTION("if($F119&gt;=4,QUERY(Loot!$A$2:$G$904,""Select G where A = '""&amp; $E119 &amp;""' AND D &gt;= ""&amp;T119 &amp;"" LIMIT 1""),)"),"")</f>
        <v/>
      </c>
      <c r="N119" s="61"/>
      <c r="O119" s="32" t="str">
        <f ca="1">IFERROR(__xludf.DUMMYFUNCTION("if($F119&gt;=5,QUERY(Loot!$A$2:$G$904,""Select G where A = '""&amp; $E119 &amp;""' AND D &gt;= ""&amp; U119 &amp;"" LIMIT 1""),)"),"")</f>
        <v/>
      </c>
      <c r="P119" s="61"/>
      <c r="Q119" s="62">
        <v>7.0159156924202937E-2</v>
      </c>
      <c r="R119" s="63">
        <v>0.97338075260183365</v>
      </c>
      <c r="S119" s="63">
        <v>0.65795017242883236</v>
      </c>
      <c r="T119" s="63">
        <v>1.0061852463806309E-2</v>
      </c>
      <c r="U119" s="63">
        <v>0.55203669136301636</v>
      </c>
    </row>
    <row r="120" spans="1:21" ht="16.2">
      <c r="A120" s="5">
        <f t="shared" ca="1" si="1"/>
        <v>119</v>
      </c>
      <c r="B120" s="5" t="str">
        <f ca="1">IFERROR(__xludf.DUMMYFUNCTION("if(ISBLANK(C120),,QUERY(MD!A121:D1119,""Select A where C = '""&amp; C120 &amp;""'""))"),"")</f>
        <v/>
      </c>
      <c r="C120" s="5"/>
      <c r="D120" s="5" t="str">
        <f ca="1">IFERROR(__xludf.DUMMYFUNCTION("if(ISBLANK(C120),,QUERY(MD!$A$2:$D$1000,""Select D where C = '""&amp; C120 &amp;""'""))"),"")</f>
        <v/>
      </c>
      <c r="E120" s="59" t="str">
        <f ca="1">IFERROR(__xludf.DUMMYFUNCTION("if(ISBLANK(C120),,QUERY(MD!$A$2:$D$1000,""Select B where C = '""&amp; C120 &amp;""'""))"),"")</f>
        <v/>
      </c>
      <c r="F120" s="5">
        <f t="shared" ca="1" si="0"/>
        <v>0</v>
      </c>
      <c r="G120" s="32" t="str">
        <f ca="1">IFERROR(__xludf.DUMMYFUNCTION("if($F120&gt;=1,QUERY(Loot!$A$2:$G$904,""Select G where A = '""&amp; $E120 &amp;""' AND D &gt;= ""&amp; Q120  &amp;"" LIMIT 1""),)"),"")</f>
        <v/>
      </c>
      <c r="H120" s="61"/>
      <c r="I120" s="32" t="str">
        <f ca="1">IFERROR(__xludf.DUMMYFUNCTION("if($F120&gt;=2,QUERY(Loot!$A$2:$G$904,""Select G where A = '""&amp; $E120 &amp;""' AND D &gt;= ""&amp; R120 &amp;"" LIMIT 1""),)"),"")</f>
        <v/>
      </c>
      <c r="J120" s="61"/>
      <c r="K120" s="32" t="str">
        <f ca="1">IFERROR(__xludf.DUMMYFUNCTION("if($F120&gt;=3,QUERY(Loot!$A$2:$G$904,""Select G where A = '""&amp; $E120 &amp;""' AND D &gt;= ""&amp; S120  &amp;"" LIMIT 1""),)"),"")</f>
        <v/>
      </c>
      <c r="L120" s="61"/>
      <c r="M120" s="32" t="str">
        <f ca="1">IFERROR(__xludf.DUMMYFUNCTION("if($F120&gt;=4,QUERY(Loot!$A$2:$G$904,""Select G where A = '""&amp; $E120 &amp;""' AND D &gt;= ""&amp;T120 &amp;"" LIMIT 1""),)"),"")</f>
        <v/>
      </c>
      <c r="N120" s="61"/>
      <c r="O120" s="32" t="str">
        <f ca="1">IFERROR(__xludf.DUMMYFUNCTION("if($F120&gt;=5,QUERY(Loot!$A$2:$G$904,""Select G where A = '""&amp; $E120 &amp;""' AND D &gt;= ""&amp; U120 &amp;"" LIMIT 1""),)"),"")</f>
        <v/>
      </c>
      <c r="P120" s="61"/>
      <c r="Q120" s="62">
        <v>0.72240896716574765</v>
      </c>
      <c r="R120" s="63">
        <v>0.69272216345239923</v>
      </c>
      <c r="S120" s="63">
        <v>0.97433045964459997</v>
      </c>
      <c r="T120" s="63">
        <v>0.20569804961906002</v>
      </c>
      <c r="U120" s="63">
        <v>0.36112619571786542</v>
      </c>
    </row>
    <row r="121" spans="1:21" ht="16.2">
      <c r="A121" s="5">
        <f t="shared" ca="1" si="1"/>
        <v>120</v>
      </c>
      <c r="B121" s="5" t="str">
        <f ca="1">IFERROR(__xludf.DUMMYFUNCTION("if(ISBLANK(C121),,QUERY(MD!A122:D1120,""Select A where C = '""&amp; C121 &amp;""'""))"),"")</f>
        <v/>
      </c>
      <c r="C121" s="5"/>
      <c r="D121" s="5" t="str">
        <f ca="1">IFERROR(__xludf.DUMMYFUNCTION("if(ISBLANK(C121),,QUERY(MD!$A$2:$D$1000,""Select D where C = '""&amp; C121 &amp;""'""))"),"")</f>
        <v/>
      </c>
      <c r="E121" s="59" t="str">
        <f ca="1">IFERROR(__xludf.DUMMYFUNCTION("if(ISBLANK(C121),,QUERY(MD!$A$2:$D$1000,""Select B where C = '""&amp; C121 &amp;""'""))"),"")</f>
        <v/>
      </c>
      <c r="F121" s="5">
        <f t="shared" ca="1" si="0"/>
        <v>0</v>
      </c>
      <c r="G121" s="32" t="str">
        <f ca="1">IFERROR(__xludf.DUMMYFUNCTION("if($F121&gt;=1,QUERY(Loot!$A$2:$G$904,""Select G where A = '""&amp; $E121 &amp;""' AND D &gt;= ""&amp; Q121  &amp;"" LIMIT 1""),)"),"")</f>
        <v/>
      </c>
      <c r="H121" s="61"/>
      <c r="I121" s="32" t="str">
        <f ca="1">IFERROR(__xludf.DUMMYFUNCTION("if($F121&gt;=2,QUERY(Loot!$A$2:$G$904,""Select G where A = '""&amp; $E121 &amp;""' AND D &gt;= ""&amp; R121 &amp;"" LIMIT 1""),)"),"")</f>
        <v/>
      </c>
      <c r="J121" s="61"/>
      <c r="K121" s="32" t="str">
        <f ca="1">IFERROR(__xludf.DUMMYFUNCTION("if($F121&gt;=3,QUERY(Loot!$A$2:$G$904,""Select G where A = '""&amp; $E121 &amp;""' AND D &gt;= ""&amp; S121  &amp;"" LIMIT 1""),)"),"")</f>
        <v/>
      </c>
      <c r="L121" s="61"/>
      <c r="M121" s="32" t="str">
        <f ca="1">IFERROR(__xludf.DUMMYFUNCTION("if($F121&gt;=4,QUERY(Loot!$A$2:$G$904,""Select G where A = '""&amp; $E121 &amp;""' AND D &gt;= ""&amp;T121 &amp;"" LIMIT 1""),)"),"")</f>
        <v/>
      </c>
      <c r="N121" s="61"/>
      <c r="O121" s="32" t="str">
        <f ca="1">IFERROR(__xludf.DUMMYFUNCTION("if($F121&gt;=5,QUERY(Loot!$A$2:$G$904,""Select G where A = '""&amp; $E121 &amp;""' AND D &gt;= ""&amp; U121 &amp;"" LIMIT 1""),)"),"")</f>
        <v/>
      </c>
      <c r="P121" s="61"/>
      <c r="Q121" s="62">
        <v>6.2122586677032077E-2</v>
      </c>
      <c r="R121" s="63">
        <v>0.63514297143511633</v>
      </c>
      <c r="S121" s="63">
        <v>0.72801377846133519</v>
      </c>
      <c r="T121" s="63">
        <v>0.47519177346374741</v>
      </c>
      <c r="U121" s="63">
        <v>0.51953439990972528</v>
      </c>
    </row>
    <row r="122" spans="1:21" ht="16.2">
      <c r="A122" s="5">
        <f t="shared" ca="1" si="1"/>
        <v>121</v>
      </c>
      <c r="B122" s="5" t="str">
        <f ca="1">IFERROR(__xludf.DUMMYFUNCTION("if(ISBLANK(C122),,QUERY(MD!A123:D1121,""Select A where C = '""&amp; C122 &amp;""'""))"),"")</f>
        <v/>
      </c>
      <c r="C122" s="5"/>
      <c r="D122" s="5" t="str">
        <f ca="1">IFERROR(__xludf.DUMMYFUNCTION("if(ISBLANK(C122),,QUERY(MD!$A$2:$D$1000,""Select D where C = '""&amp; C122 &amp;""'""))"),"")</f>
        <v/>
      </c>
      <c r="E122" s="59" t="str">
        <f ca="1">IFERROR(__xludf.DUMMYFUNCTION("if(ISBLANK(C122),,QUERY(MD!$A$2:$D$1000,""Select B where C = '""&amp; C122 &amp;""'""))"),"")</f>
        <v/>
      </c>
      <c r="F122" s="5">
        <f t="shared" ca="1" si="0"/>
        <v>0</v>
      </c>
      <c r="G122" s="32" t="str">
        <f ca="1">IFERROR(__xludf.DUMMYFUNCTION("if($F122&gt;=1,QUERY(Loot!$A$2:$G$904,""Select G where A = '""&amp; $E122 &amp;""' AND D &gt;= ""&amp; Q122  &amp;"" LIMIT 1""),)"),"")</f>
        <v/>
      </c>
      <c r="H122" s="61"/>
      <c r="I122" s="32" t="str">
        <f ca="1">IFERROR(__xludf.DUMMYFUNCTION("if($F122&gt;=2,QUERY(Loot!$A$2:$G$904,""Select G where A = '""&amp; $E122 &amp;""' AND D &gt;= ""&amp; R122 &amp;"" LIMIT 1""),)"),"")</f>
        <v/>
      </c>
      <c r="J122" s="61"/>
      <c r="K122" s="32" t="str">
        <f ca="1">IFERROR(__xludf.DUMMYFUNCTION("if($F122&gt;=3,QUERY(Loot!$A$2:$G$904,""Select G where A = '""&amp; $E122 &amp;""' AND D &gt;= ""&amp; S122  &amp;"" LIMIT 1""),)"),"")</f>
        <v/>
      </c>
      <c r="L122" s="61"/>
      <c r="M122" s="32" t="str">
        <f ca="1">IFERROR(__xludf.DUMMYFUNCTION("if($F122&gt;=4,QUERY(Loot!$A$2:$G$904,""Select G where A = '""&amp; $E122 &amp;""' AND D &gt;= ""&amp;T122 &amp;"" LIMIT 1""),)"),"")</f>
        <v/>
      </c>
      <c r="N122" s="61"/>
      <c r="O122" s="32" t="str">
        <f ca="1">IFERROR(__xludf.DUMMYFUNCTION("if($F122&gt;=5,QUERY(Loot!$A$2:$G$904,""Select G where A = '""&amp; $E122 &amp;""' AND D &gt;= ""&amp; U122 &amp;"" LIMIT 1""),)"),"")</f>
        <v/>
      </c>
      <c r="P122" s="61"/>
      <c r="Q122" s="62">
        <v>0.1301927310834331</v>
      </c>
      <c r="R122" s="63">
        <v>9.8170519775865328E-3</v>
      </c>
      <c r="S122" s="63">
        <v>0.91152944694213012</v>
      </c>
      <c r="T122" s="63">
        <v>0.94282936104629589</v>
      </c>
      <c r="U122" s="63">
        <v>0.394677908204491</v>
      </c>
    </row>
    <row r="123" spans="1:21" ht="16.2">
      <c r="A123" s="5">
        <f t="shared" ca="1" si="1"/>
        <v>122</v>
      </c>
      <c r="B123" s="5" t="str">
        <f ca="1">IFERROR(__xludf.DUMMYFUNCTION("if(ISBLANK(C123),,QUERY(MD!A124:D1122,""Select A where C = '""&amp; C123 &amp;""'""))"),"")</f>
        <v/>
      </c>
      <c r="C123" s="5"/>
      <c r="D123" s="5" t="str">
        <f ca="1">IFERROR(__xludf.DUMMYFUNCTION("if(ISBLANK(C123),,QUERY(MD!$A$2:$D$1000,""Select D where C = '""&amp; C123 &amp;""'""))"),"")</f>
        <v/>
      </c>
      <c r="E123" s="59" t="str">
        <f ca="1">IFERROR(__xludf.DUMMYFUNCTION("if(ISBLANK(C123),,QUERY(MD!$A$2:$D$1000,""Select B where C = '""&amp; C123 &amp;""'""))"),"")</f>
        <v/>
      </c>
      <c r="F123" s="5">
        <f t="shared" ca="1" si="0"/>
        <v>0</v>
      </c>
      <c r="G123" s="32" t="str">
        <f ca="1">IFERROR(__xludf.DUMMYFUNCTION("if($F123&gt;=1,QUERY(Loot!$A$2:$G$904,""Select G where A = '""&amp; $E123 &amp;""' AND D &gt;= ""&amp; Q123  &amp;"" LIMIT 1""),)"),"")</f>
        <v/>
      </c>
      <c r="H123" s="61"/>
      <c r="I123" s="32" t="str">
        <f ca="1">IFERROR(__xludf.DUMMYFUNCTION("if($F123&gt;=2,QUERY(Loot!$A$2:$G$904,""Select G where A = '""&amp; $E123 &amp;""' AND D &gt;= ""&amp; R123 &amp;"" LIMIT 1""),)"),"")</f>
        <v/>
      </c>
      <c r="J123" s="61"/>
      <c r="K123" s="32" t="str">
        <f ca="1">IFERROR(__xludf.DUMMYFUNCTION("if($F123&gt;=3,QUERY(Loot!$A$2:$G$904,""Select G where A = '""&amp; $E123 &amp;""' AND D &gt;= ""&amp; S123  &amp;"" LIMIT 1""),)"),"")</f>
        <v/>
      </c>
      <c r="L123" s="61"/>
      <c r="M123" s="32" t="str">
        <f ca="1">IFERROR(__xludf.DUMMYFUNCTION("if($F123&gt;=4,QUERY(Loot!$A$2:$G$904,""Select G where A = '""&amp; $E123 &amp;""' AND D &gt;= ""&amp;T123 &amp;"" LIMIT 1""),)"),"")</f>
        <v/>
      </c>
      <c r="N123" s="61"/>
      <c r="O123" s="32" t="str">
        <f ca="1">IFERROR(__xludf.DUMMYFUNCTION("if($F123&gt;=5,QUERY(Loot!$A$2:$G$904,""Select G where A = '""&amp; $E123 &amp;""' AND D &gt;= ""&amp; U123 &amp;"" LIMIT 1""),)"),"")</f>
        <v/>
      </c>
      <c r="P123" s="61"/>
      <c r="Q123" s="62">
        <v>0.92135562932514603</v>
      </c>
      <c r="R123" s="63">
        <v>0.61651012152257434</v>
      </c>
      <c r="S123" s="63">
        <v>0.6718238351621576</v>
      </c>
      <c r="T123" s="63">
        <v>0.89357512518700677</v>
      </c>
      <c r="U123" s="63">
        <v>0.53117552849979877</v>
      </c>
    </row>
    <row r="124" spans="1:21" ht="16.2">
      <c r="A124" s="5">
        <f t="shared" ca="1" si="1"/>
        <v>123</v>
      </c>
      <c r="B124" s="5" t="str">
        <f ca="1">IFERROR(__xludf.DUMMYFUNCTION("if(ISBLANK(C124),,QUERY(MD!A125:D1123,""Select A where C = '""&amp; C124 &amp;""'""))"),"")</f>
        <v/>
      </c>
      <c r="C124" s="5"/>
      <c r="D124" s="5" t="str">
        <f ca="1">IFERROR(__xludf.DUMMYFUNCTION("if(ISBLANK(C124),,QUERY(MD!$A$2:$D$1000,""Select D where C = '""&amp; C124 &amp;""'""))"),"")</f>
        <v/>
      </c>
      <c r="E124" s="59" t="str">
        <f ca="1">IFERROR(__xludf.DUMMYFUNCTION("if(ISBLANK(C124),,QUERY(MD!$A$2:$D$1000,""Select B where C = '""&amp; C124 &amp;""'""))"),"")</f>
        <v/>
      </c>
      <c r="F124" s="5">
        <f t="shared" ca="1" si="0"/>
        <v>0</v>
      </c>
      <c r="G124" s="32" t="str">
        <f ca="1">IFERROR(__xludf.DUMMYFUNCTION("if($F124&gt;=1,QUERY(Loot!$A$2:$G$904,""Select G where A = '""&amp; $E124 &amp;""' AND D &gt;= ""&amp; Q124  &amp;"" LIMIT 1""),)"),"")</f>
        <v/>
      </c>
      <c r="H124" s="61"/>
      <c r="I124" s="32" t="str">
        <f ca="1">IFERROR(__xludf.DUMMYFUNCTION("if($F124&gt;=2,QUERY(Loot!$A$2:$G$904,""Select G where A = '""&amp; $E124 &amp;""' AND D &gt;= ""&amp; R124 &amp;"" LIMIT 1""),)"),"")</f>
        <v/>
      </c>
      <c r="J124" s="61"/>
      <c r="K124" s="32" t="str">
        <f ca="1">IFERROR(__xludf.DUMMYFUNCTION("if($F124&gt;=3,QUERY(Loot!$A$2:$G$904,""Select G where A = '""&amp; $E124 &amp;""' AND D &gt;= ""&amp; S124  &amp;"" LIMIT 1""),)"),"")</f>
        <v/>
      </c>
      <c r="L124" s="61"/>
      <c r="M124" s="32" t="str">
        <f ca="1">IFERROR(__xludf.DUMMYFUNCTION("if($F124&gt;=4,QUERY(Loot!$A$2:$G$904,""Select G where A = '""&amp; $E124 &amp;""' AND D &gt;= ""&amp;T124 &amp;"" LIMIT 1""),)"),"")</f>
        <v/>
      </c>
      <c r="N124" s="61"/>
      <c r="O124" s="32" t="str">
        <f ca="1">IFERROR(__xludf.DUMMYFUNCTION("if($F124&gt;=5,QUERY(Loot!$A$2:$G$904,""Select G where A = '""&amp; $E124 &amp;""' AND D &gt;= ""&amp; U124 &amp;"" LIMIT 1""),)"),"")</f>
        <v/>
      </c>
      <c r="P124" s="61"/>
      <c r="Q124" s="62">
        <v>0.11691269161829665</v>
      </c>
      <c r="R124" s="63">
        <v>0.20984637990391752</v>
      </c>
      <c r="S124" s="63">
        <v>0.62238092519917732</v>
      </c>
      <c r="T124" s="63">
        <v>0.19433763145531902</v>
      </c>
      <c r="U124" s="63">
        <v>0.54397538056100059</v>
      </c>
    </row>
    <row r="125" spans="1:21" ht="16.2">
      <c r="A125" s="5">
        <f t="shared" ca="1" si="1"/>
        <v>124</v>
      </c>
      <c r="B125" s="5" t="str">
        <f ca="1">IFERROR(__xludf.DUMMYFUNCTION("if(ISBLANK(C125),,QUERY(MD!A126:D1124,""Select A where C = '""&amp; C125 &amp;""'""))"),"")</f>
        <v/>
      </c>
      <c r="C125" s="5"/>
      <c r="D125" s="5" t="str">
        <f ca="1">IFERROR(__xludf.DUMMYFUNCTION("if(ISBLANK(C125),,QUERY(MD!$A$2:$D$1000,""Select D where C = '""&amp; C125 &amp;""'""))"),"")</f>
        <v/>
      </c>
      <c r="E125" s="59" t="str">
        <f ca="1">IFERROR(__xludf.DUMMYFUNCTION("if(ISBLANK(C125),,QUERY(MD!$A$2:$D$1000,""Select B where C = '""&amp; C125 &amp;""'""))"),"")</f>
        <v/>
      </c>
      <c r="F125" s="5">
        <f t="shared" ca="1" si="0"/>
        <v>0</v>
      </c>
      <c r="G125" s="32" t="str">
        <f ca="1">IFERROR(__xludf.DUMMYFUNCTION("if($F125&gt;=1,QUERY(Loot!$A$2:$G$904,""Select G where A = '""&amp; $E125 &amp;""' AND D &gt;= ""&amp; Q125  &amp;"" LIMIT 1""),)"),"")</f>
        <v/>
      </c>
      <c r="H125" s="61"/>
      <c r="I125" s="32" t="str">
        <f ca="1">IFERROR(__xludf.DUMMYFUNCTION("if($F125&gt;=2,QUERY(Loot!$A$2:$G$904,""Select G where A = '""&amp; $E125 &amp;""' AND D &gt;= ""&amp; R125 &amp;"" LIMIT 1""),)"),"")</f>
        <v/>
      </c>
      <c r="J125" s="61"/>
      <c r="K125" s="32" t="str">
        <f ca="1">IFERROR(__xludf.DUMMYFUNCTION("if($F125&gt;=3,QUERY(Loot!$A$2:$G$904,""Select G where A = '""&amp; $E125 &amp;""' AND D &gt;= ""&amp; S125  &amp;"" LIMIT 1""),)"),"")</f>
        <v/>
      </c>
      <c r="L125" s="61"/>
      <c r="M125" s="32" t="str">
        <f ca="1">IFERROR(__xludf.DUMMYFUNCTION("if($F125&gt;=4,QUERY(Loot!$A$2:$G$904,""Select G where A = '""&amp; $E125 &amp;""' AND D &gt;= ""&amp;T125 &amp;"" LIMIT 1""),)"),"")</f>
        <v/>
      </c>
      <c r="N125" s="61"/>
      <c r="O125" s="32" t="str">
        <f ca="1">IFERROR(__xludf.DUMMYFUNCTION("if($F125&gt;=5,QUERY(Loot!$A$2:$G$904,""Select G where A = '""&amp; $E125 &amp;""' AND D &gt;= ""&amp; U125 &amp;"" LIMIT 1""),)"),"")</f>
        <v/>
      </c>
      <c r="P125" s="61"/>
      <c r="Q125" s="62">
        <v>0.52735763771497313</v>
      </c>
      <c r="R125" s="63">
        <v>0.29848273588925855</v>
      </c>
      <c r="S125" s="63">
        <v>0.97808003721621939</v>
      </c>
      <c r="T125" s="63">
        <v>0.47553665189732353</v>
      </c>
      <c r="U125" s="63">
        <v>0.93542784335426776</v>
      </c>
    </row>
    <row r="126" spans="1:21" ht="16.2">
      <c r="A126" s="5">
        <f t="shared" ca="1" si="1"/>
        <v>125</v>
      </c>
      <c r="B126" s="5" t="str">
        <f ca="1">IFERROR(__xludf.DUMMYFUNCTION("if(ISBLANK(C126),,QUERY(MD!A127:D1125,""Select A where C = '""&amp; C126 &amp;""'""))"),"")</f>
        <v/>
      </c>
      <c r="C126" s="5"/>
      <c r="D126" s="5" t="str">
        <f ca="1">IFERROR(__xludf.DUMMYFUNCTION("if(ISBLANK(C126),,QUERY(MD!$A$2:$D$1000,""Select D where C = '""&amp; C126 &amp;""'""))"),"")</f>
        <v/>
      </c>
      <c r="E126" s="59" t="str">
        <f ca="1">IFERROR(__xludf.DUMMYFUNCTION("if(ISBLANK(C126),,QUERY(MD!$A$2:$D$1000,""Select B where C = '""&amp; C126 &amp;""'""))"),"")</f>
        <v/>
      </c>
      <c r="F126" s="5">
        <f t="shared" ca="1" si="0"/>
        <v>0</v>
      </c>
      <c r="G126" s="32" t="str">
        <f ca="1">IFERROR(__xludf.DUMMYFUNCTION("if($F126&gt;=1,QUERY(Loot!$A$2:$G$904,""Select G where A = '""&amp; $E126 &amp;""' AND D &gt;= ""&amp; Q126  &amp;"" LIMIT 1""),)"),"")</f>
        <v/>
      </c>
      <c r="H126" s="61"/>
      <c r="I126" s="32" t="str">
        <f ca="1">IFERROR(__xludf.DUMMYFUNCTION("if($F126&gt;=2,QUERY(Loot!$A$2:$G$904,""Select G where A = '""&amp; $E126 &amp;""' AND D &gt;= ""&amp; R126 &amp;"" LIMIT 1""),)"),"")</f>
        <v/>
      </c>
      <c r="J126" s="61"/>
      <c r="K126" s="32" t="str">
        <f ca="1">IFERROR(__xludf.DUMMYFUNCTION("if($F126&gt;=3,QUERY(Loot!$A$2:$G$904,""Select G where A = '""&amp; $E126 &amp;""' AND D &gt;= ""&amp; S126  &amp;"" LIMIT 1""),)"),"")</f>
        <v/>
      </c>
      <c r="L126" s="61"/>
      <c r="M126" s="32" t="str">
        <f ca="1">IFERROR(__xludf.DUMMYFUNCTION("if($F126&gt;=4,QUERY(Loot!$A$2:$G$904,""Select G where A = '""&amp; $E126 &amp;""' AND D &gt;= ""&amp;T126 &amp;"" LIMIT 1""),)"),"")</f>
        <v/>
      </c>
      <c r="N126" s="61"/>
      <c r="O126" s="32" t="str">
        <f ca="1">IFERROR(__xludf.DUMMYFUNCTION("if($F126&gt;=5,QUERY(Loot!$A$2:$G$904,""Select G where A = '""&amp; $E126 &amp;""' AND D &gt;= ""&amp; U126 &amp;"" LIMIT 1""),)"),"")</f>
        <v/>
      </c>
      <c r="P126" s="61"/>
      <c r="Q126" s="62">
        <v>0.30387793242842975</v>
      </c>
      <c r="R126" s="63">
        <v>0.27544823185150669</v>
      </c>
      <c r="S126" s="63">
        <v>0.68467968841158477</v>
      </c>
      <c r="T126" s="63">
        <v>0.83175925110969118</v>
      </c>
      <c r="U126" s="63">
        <v>0.178503999977218</v>
      </c>
    </row>
    <row r="127" spans="1:21" ht="16.2">
      <c r="A127" s="5">
        <f t="shared" ca="1" si="1"/>
        <v>126</v>
      </c>
      <c r="B127" s="5" t="str">
        <f ca="1">IFERROR(__xludf.DUMMYFUNCTION("if(ISBLANK(C127),,QUERY(MD!A128:D1126,""Select A where C = '""&amp; C127 &amp;""'""))"),"")</f>
        <v/>
      </c>
      <c r="C127" s="5"/>
      <c r="D127" s="5" t="str">
        <f ca="1">IFERROR(__xludf.DUMMYFUNCTION("if(ISBLANK(C127),,QUERY(MD!$A$2:$D$1000,""Select D where C = '""&amp; C127 &amp;""'""))"),"")</f>
        <v/>
      </c>
      <c r="E127" s="59" t="str">
        <f ca="1">IFERROR(__xludf.DUMMYFUNCTION("if(ISBLANK(C127),,QUERY(MD!$A$2:$D$1000,""Select B where C = '""&amp; C127 &amp;""'""))"),"")</f>
        <v/>
      </c>
      <c r="F127" s="5">
        <f t="shared" ca="1" si="0"/>
        <v>0</v>
      </c>
      <c r="G127" s="32" t="str">
        <f ca="1">IFERROR(__xludf.DUMMYFUNCTION("if($F127&gt;=1,QUERY(Loot!$A$2:$G$904,""Select G where A = '""&amp; $E127 &amp;""' AND D &gt;= ""&amp; Q127  &amp;"" LIMIT 1""),)"),"")</f>
        <v/>
      </c>
      <c r="H127" s="61"/>
      <c r="I127" s="32" t="str">
        <f ca="1">IFERROR(__xludf.DUMMYFUNCTION("if($F127&gt;=2,QUERY(Loot!$A$2:$G$904,""Select G where A = '""&amp; $E127 &amp;""' AND D &gt;= ""&amp; R127 &amp;"" LIMIT 1""),)"),"")</f>
        <v/>
      </c>
      <c r="J127" s="61"/>
      <c r="K127" s="32" t="str">
        <f ca="1">IFERROR(__xludf.DUMMYFUNCTION("if($F127&gt;=3,QUERY(Loot!$A$2:$G$904,""Select G where A = '""&amp; $E127 &amp;""' AND D &gt;= ""&amp; S127  &amp;"" LIMIT 1""),)"),"")</f>
        <v/>
      </c>
      <c r="L127" s="61"/>
      <c r="M127" s="32" t="str">
        <f ca="1">IFERROR(__xludf.DUMMYFUNCTION("if($F127&gt;=4,QUERY(Loot!$A$2:$G$904,""Select G where A = '""&amp; $E127 &amp;""' AND D &gt;= ""&amp;T127 &amp;"" LIMIT 1""),)"),"")</f>
        <v/>
      </c>
      <c r="N127" s="61"/>
      <c r="O127" s="32" t="str">
        <f ca="1">IFERROR(__xludf.DUMMYFUNCTION("if($F127&gt;=5,QUERY(Loot!$A$2:$G$904,""Select G where A = '""&amp; $E127 &amp;""' AND D &gt;= ""&amp; U127 &amp;"" LIMIT 1""),)"),"")</f>
        <v/>
      </c>
      <c r="P127" s="61"/>
      <c r="Q127" s="62">
        <v>0.36315183221944336</v>
      </c>
      <c r="R127" s="63">
        <v>8.9311201153214892E-3</v>
      </c>
      <c r="S127" s="63">
        <v>0.56820343695287445</v>
      </c>
      <c r="T127" s="63">
        <v>0.67329322866025199</v>
      </c>
      <c r="U127" s="63">
        <v>0.64951310249785876</v>
      </c>
    </row>
    <row r="128" spans="1:21" ht="16.2">
      <c r="A128" s="5">
        <f t="shared" ca="1" si="1"/>
        <v>127</v>
      </c>
      <c r="B128" s="5" t="str">
        <f ca="1">IFERROR(__xludf.DUMMYFUNCTION("if(ISBLANK(C128),,QUERY(MD!A129:D1127,""Select A where C = '""&amp; C128 &amp;""'""))"),"")</f>
        <v/>
      </c>
      <c r="C128" s="5"/>
      <c r="D128" s="5" t="str">
        <f ca="1">IFERROR(__xludf.DUMMYFUNCTION("if(ISBLANK(C128),,QUERY(MD!$A$2:$D$1000,""Select D where C = '""&amp; C128 &amp;""'""))"),"")</f>
        <v/>
      </c>
      <c r="E128" s="59" t="str">
        <f ca="1">IFERROR(__xludf.DUMMYFUNCTION("if(ISBLANK(C128),,QUERY(MD!$A$2:$D$1000,""Select B where C = '""&amp; C128 &amp;""'""))"),"")</f>
        <v/>
      </c>
      <c r="F128" s="5">
        <f t="shared" ca="1" si="0"/>
        <v>0</v>
      </c>
      <c r="G128" s="32" t="str">
        <f ca="1">IFERROR(__xludf.DUMMYFUNCTION("if($F128&gt;=1,QUERY(Loot!$A$2:$G$904,""Select G where A = '""&amp; $E128 &amp;""' AND D &gt;= ""&amp; Q128  &amp;"" LIMIT 1""),)"),"")</f>
        <v/>
      </c>
      <c r="H128" s="61"/>
      <c r="I128" s="32" t="str">
        <f ca="1">IFERROR(__xludf.DUMMYFUNCTION("if($F128&gt;=2,QUERY(Loot!$A$2:$G$904,""Select G where A = '""&amp; $E128 &amp;""' AND D &gt;= ""&amp; R128 &amp;"" LIMIT 1""),)"),"")</f>
        <v/>
      </c>
      <c r="J128" s="61"/>
      <c r="K128" s="32" t="str">
        <f ca="1">IFERROR(__xludf.DUMMYFUNCTION("if($F128&gt;=3,QUERY(Loot!$A$2:$G$904,""Select G where A = '""&amp; $E128 &amp;""' AND D &gt;= ""&amp; S128  &amp;"" LIMIT 1""),)"),"")</f>
        <v/>
      </c>
      <c r="L128" s="61"/>
      <c r="M128" s="32" t="str">
        <f ca="1">IFERROR(__xludf.DUMMYFUNCTION("if($F128&gt;=4,QUERY(Loot!$A$2:$G$904,""Select G where A = '""&amp; $E128 &amp;""' AND D &gt;= ""&amp;T128 &amp;"" LIMIT 1""),)"),"")</f>
        <v/>
      </c>
      <c r="N128" s="61"/>
      <c r="O128" s="32" t="str">
        <f ca="1">IFERROR(__xludf.DUMMYFUNCTION("if($F128&gt;=5,QUERY(Loot!$A$2:$G$904,""Select G where A = '""&amp; $E128 &amp;""' AND D &gt;= ""&amp; U128 &amp;"" LIMIT 1""),)"),"")</f>
        <v/>
      </c>
      <c r="P128" s="61"/>
      <c r="Q128" s="62">
        <v>0.17038275567366534</v>
      </c>
      <c r="R128" s="63">
        <v>0.90911236601047563</v>
      </c>
      <c r="S128" s="63">
        <v>0.65750370434807115</v>
      </c>
      <c r="T128" s="63">
        <v>0.32004128407062771</v>
      </c>
      <c r="U128" s="63">
        <v>0.26275410759433315</v>
      </c>
    </row>
    <row r="129" spans="1:21" ht="16.2">
      <c r="A129" s="5">
        <f t="shared" ca="1" si="1"/>
        <v>128</v>
      </c>
      <c r="B129" s="5" t="str">
        <f ca="1">IFERROR(__xludf.DUMMYFUNCTION("if(ISBLANK(C129),,QUERY(MD!A130:D1128,""Select A where C = '""&amp; C129 &amp;""'""))"),"")</f>
        <v/>
      </c>
      <c r="C129" s="5"/>
      <c r="D129" s="5" t="str">
        <f ca="1">IFERROR(__xludf.DUMMYFUNCTION("if(ISBLANK(C129),,QUERY(MD!$A$2:$D$1000,""Select D where C = '""&amp; C129 &amp;""'""))"),"")</f>
        <v/>
      </c>
      <c r="E129" s="59" t="str">
        <f ca="1">IFERROR(__xludf.DUMMYFUNCTION("if(ISBLANK(C129),,QUERY(MD!$A$2:$D$1000,""Select B where C = '""&amp; C129 &amp;""'""))"),"")</f>
        <v/>
      </c>
      <c r="F129" s="5">
        <f t="shared" ca="1" si="0"/>
        <v>0</v>
      </c>
      <c r="G129" s="32" t="str">
        <f ca="1">IFERROR(__xludf.DUMMYFUNCTION("if($F129&gt;=1,QUERY(Loot!$A$2:$G$904,""Select G where A = '""&amp; $E129 &amp;""' AND D &gt;= ""&amp; Q129  &amp;"" LIMIT 1""),)"),"")</f>
        <v/>
      </c>
      <c r="H129" s="61"/>
      <c r="I129" s="32" t="str">
        <f ca="1">IFERROR(__xludf.DUMMYFUNCTION("if($F129&gt;=2,QUERY(Loot!$A$2:$G$904,""Select G where A = '""&amp; $E129 &amp;""' AND D &gt;= ""&amp; R129 &amp;"" LIMIT 1""),)"),"")</f>
        <v/>
      </c>
      <c r="J129" s="61"/>
      <c r="K129" s="32" t="str">
        <f ca="1">IFERROR(__xludf.DUMMYFUNCTION("if($F129&gt;=3,QUERY(Loot!$A$2:$G$904,""Select G where A = '""&amp; $E129 &amp;""' AND D &gt;= ""&amp; S129  &amp;"" LIMIT 1""),)"),"")</f>
        <v/>
      </c>
      <c r="L129" s="61"/>
      <c r="M129" s="32" t="str">
        <f ca="1">IFERROR(__xludf.DUMMYFUNCTION("if($F129&gt;=4,QUERY(Loot!$A$2:$G$904,""Select G where A = '""&amp; $E129 &amp;""' AND D &gt;= ""&amp;T129 &amp;"" LIMIT 1""),)"),"")</f>
        <v/>
      </c>
      <c r="N129" s="61"/>
      <c r="O129" s="32" t="str">
        <f ca="1">IFERROR(__xludf.DUMMYFUNCTION("if($F129&gt;=5,QUERY(Loot!$A$2:$G$904,""Select G where A = '""&amp; $E129 &amp;""' AND D &gt;= ""&amp; U129 &amp;"" LIMIT 1""),)"),"")</f>
        <v/>
      </c>
      <c r="P129" s="61"/>
      <c r="Q129" s="62">
        <v>0.13068196143567679</v>
      </c>
      <c r="R129" s="63">
        <v>0.72252108987076336</v>
      </c>
      <c r="S129" s="63">
        <v>0.78778308022402865</v>
      </c>
      <c r="T129" s="63">
        <v>0.77884573018269831</v>
      </c>
      <c r="U129" s="63">
        <v>0.10418111723777312</v>
      </c>
    </row>
    <row r="130" spans="1:21" ht="16.2">
      <c r="A130" s="5">
        <f t="shared" ca="1" si="1"/>
        <v>129</v>
      </c>
      <c r="B130" s="5" t="str">
        <f ca="1">IFERROR(__xludf.DUMMYFUNCTION("if(ISBLANK(C130),,QUERY(MD!A131:D1129,""Select A where C = '""&amp; C130 &amp;""'""))"),"")</f>
        <v/>
      </c>
      <c r="C130" s="5"/>
      <c r="D130" s="5" t="str">
        <f ca="1">IFERROR(__xludf.DUMMYFUNCTION("if(ISBLANK(C130),,QUERY(MD!$A$2:$D$1000,""Select D where C = '""&amp; C130 &amp;""'""))"),"")</f>
        <v/>
      </c>
      <c r="E130" s="59" t="str">
        <f ca="1">IFERROR(__xludf.DUMMYFUNCTION("if(ISBLANK(C130),,QUERY(MD!$A$2:$D$1000,""Select B where C = '""&amp; C130 &amp;""'""))"),"")</f>
        <v/>
      </c>
      <c r="F130" s="5">
        <f t="shared" ca="1" si="0"/>
        <v>0</v>
      </c>
      <c r="G130" s="32" t="str">
        <f ca="1">IFERROR(__xludf.DUMMYFUNCTION("if($F130&gt;=1,QUERY(Loot!$A$2:$G$904,""Select G where A = '""&amp; $E130 &amp;""' AND D &gt;= ""&amp; Q130  &amp;"" LIMIT 1""),)"),"")</f>
        <v/>
      </c>
      <c r="H130" s="61"/>
      <c r="I130" s="32" t="str">
        <f ca="1">IFERROR(__xludf.DUMMYFUNCTION("if($F130&gt;=2,QUERY(Loot!$A$2:$G$904,""Select G where A = '""&amp; $E130 &amp;""' AND D &gt;= ""&amp; R130 &amp;"" LIMIT 1""),)"),"")</f>
        <v/>
      </c>
      <c r="J130" s="61"/>
      <c r="K130" s="32" t="str">
        <f ca="1">IFERROR(__xludf.DUMMYFUNCTION("if($F130&gt;=3,QUERY(Loot!$A$2:$G$904,""Select G where A = '""&amp; $E130 &amp;""' AND D &gt;= ""&amp; S130  &amp;"" LIMIT 1""),)"),"")</f>
        <v/>
      </c>
      <c r="L130" s="61"/>
      <c r="M130" s="32" t="str">
        <f ca="1">IFERROR(__xludf.DUMMYFUNCTION("if($F130&gt;=4,QUERY(Loot!$A$2:$G$904,""Select G where A = '""&amp; $E130 &amp;""' AND D &gt;= ""&amp;T130 &amp;"" LIMIT 1""),)"),"")</f>
        <v/>
      </c>
      <c r="N130" s="61"/>
      <c r="O130" s="32" t="str">
        <f ca="1">IFERROR(__xludf.DUMMYFUNCTION("if($F130&gt;=5,QUERY(Loot!$A$2:$G$904,""Select G where A = '""&amp; $E130 &amp;""' AND D &gt;= ""&amp; U130 &amp;"" LIMIT 1""),)"),"")</f>
        <v/>
      </c>
      <c r="P130" s="61"/>
      <c r="Q130" s="62">
        <v>8.3397816109685663E-2</v>
      </c>
      <c r="R130" s="63">
        <v>0.13609410478684314</v>
      </c>
      <c r="S130" s="63">
        <v>2.0357975454667998E-2</v>
      </c>
      <c r="T130" s="63">
        <v>0.78832269001381861</v>
      </c>
      <c r="U130" s="63">
        <v>0.43495649267301217</v>
      </c>
    </row>
    <row r="131" spans="1:21" ht="16.2">
      <c r="A131" s="5">
        <f t="shared" ca="1" si="1"/>
        <v>130</v>
      </c>
      <c r="B131" s="5" t="str">
        <f ca="1">IFERROR(__xludf.DUMMYFUNCTION("if(ISBLANK(C131),,QUERY(MD!A132:D1130,""Select A where C = '""&amp; C131 &amp;""'""))"),"")</f>
        <v/>
      </c>
      <c r="C131" s="5"/>
      <c r="D131" s="5" t="str">
        <f ca="1">IFERROR(__xludf.DUMMYFUNCTION("if(ISBLANK(C131),,QUERY(MD!$A$2:$D$1000,""Select D where C = '""&amp; C131 &amp;""'""))"),"")</f>
        <v/>
      </c>
      <c r="E131" s="59" t="str">
        <f ca="1">IFERROR(__xludf.DUMMYFUNCTION("if(ISBLANK(C131),,QUERY(MD!$A$2:$D$1000,""Select B where C = '""&amp; C131 &amp;""'""))"),"")</f>
        <v/>
      </c>
      <c r="F131" s="5">
        <f t="shared" ca="1" si="0"/>
        <v>0</v>
      </c>
      <c r="G131" s="32" t="str">
        <f ca="1">IFERROR(__xludf.DUMMYFUNCTION("if($F131&gt;=1,QUERY(Loot!$A$2:$G$904,""Select G where A = '""&amp; $E131 &amp;""' AND D &gt;= ""&amp; Q131  &amp;"" LIMIT 1""),)"),"")</f>
        <v/>
      </c>
      <c r="H131" s="61"/>
      <c r="I131" s="32" t="str">
        <f ca="1">IFERROR(__xludf.DUMMYFUNCTION("if($F131&gt;=2,QUERY(Loot!$A$2:$G$904,""Select G where A = '""&amp; $E131 &amp;""' AND D &gt;= ""&amp; R131 &amp;"" LIMIT 1""),)"),"")</f>
        <v/>
      </c>
      <c r="J131" s="61"/>
      <c r="K131" s="32" t="str">
        <f ca="1">IFERROR(__xludf.DUMMYFUNCTION("if($F131&gt;=3,QUERY(Loot!$A$2:$G$904,""Select G where A = '""&amp; $E131 &amp;""' AND D &gt;= ""&amp; S131  &amp;"" LIMIT 1""),)"),"")</f>
        <v/>
      </c>
      <c r="L131" s="61"/>
      <c r="M131" s="32" t="str">
        <f ca="1">IFERROR(__xludf.DUMMYFUNCTION("if($F131&gt;=4,QUERY(Loot!$A$2:$G$904,""Select G where A = '""&amp; $E131 &amp;""' AND D &gt;= ""&amp;T131 &amp;"" LIMIT 1""),)"),"")</f>
        <v/>
      </c>
      <c r="N131" s="61"/>
      <c r="O131" s="32" t="str">
        <f ca="1">IFERROR(__xludf.DUMMYFUNCTION("if($F131&gt;=5,QUERY(Loot!$A$2:$G$904,""Select G where A = '""&amp; $E131 &amp;""' AND D &gt;= ""&amp; U131 &amp;"" LIMIT 1""),)"),"")</f>
        <v/>
      </c>
      <c r="P131" s="61"/>
      <c r="Q131" s="62">
        <v>0.67250837876820546</v>
      </c>
      <c r="R131" s="63">
        <v>0.14777986699873491</v>
      </c>
      <c r="S131" s="63">
        <v>0.22064277683402422</v>
      </c>
      <c r="T131" s="63">
        <v>0.64805205812362665</v>
      </c>
      <c r="U131" s="63">
        <v>0.93931378784509845</v>
      </c>
    </row>
    <row r="132" spans="1:21" ht="16.2">
      <c r="A132" s="5">
        <f t="shared" ca="1" si="1"/>
        <v>131</v>
      </c>
      <c r="B132" s="5" t="str">
        <f ca="1">IFERROR(__xludf.DUMMYFUNCTION("if(ISBLANK(C132),,QUERY(MD!A133:D1131,""Select A where C = '""&amp; C132 &amp;""'""))"),"")</f>
        <v/>
      </c>
      <c r="C132" s="5"/>
      <c r="D132" s="5" t="str">
        <f ca="1">IFERROR(__xludf.DUMMYFUNCTION("if(ISBLANK(C132),,QUERY(MD!$A$2:$D$1000,""Select D where C = '""&amp; C132 &amp;""'""))"),"")</f>
        <v/>
      </c>
      <c r="E132" s="59" t="str">
        <f ca="1">IFERROR(__xludf.DUMMYFUNCTION("if(ISBLANK(C132),,QUERY(MD!$A$2:$D$1000,""Select B where C = '""&amp; C132 &amp;""'""))"),"")</f>
        <v/>
      </c>
      <c r="F132" s="5">
        <f t="shared" ca="1" si="0"/>
        <v>0</v>
      </c>
      <c r="G132" s="32" t="str">
        <f ca="1">IFERROR(__xludf.DUMMYFUNCTION("if($F132&gt;=1,QUERY(Loot!$A$2:$G$904,""Select G where A = '""&amp; $E132 &amp;""' AND D &gt;= ""&amp; Q132  &amp;"" LIMIT 1""),)"),"")</f>
        <v/>
      </c>
      <c r="H132" s="61"/>
      <c r="I132" s="32" t="str">
        <f ca="1">IFERROR(__xludf.DUMMYFUNCTION("if($F132&gt;=2,QUERY(Loot!$A$2:$G$904,""Select G where A = '""&amp; $E132 &amp;""' AND D &gt;= ""&amp; R132 &amp;"" LIMIT 1""),)"),"")</f>
        <v/>
      </c>
      <c r="J132" s="61"/>
      <c r="K132" s="32" t="str">
        <f ca="1">IFERROR(__xludf.DUMMYFUNCTION("if($F132&gt;=3,QUERY(Loot!$A$2:$G$904,""Select G where A = '""&amp; $E132 &amp;""' AND D &gt;= ""&amp; S132  &amp;"" LIMIT 1""),)"),"")</f>
        <v/>
      </c>
      <c r="L132" s="61"/>
      <c r="M132" s="32" t="str">
        <f ca="1">IFERROR(__xludf.DUMMYFUNCTION("if($F132&gt;=4,QUERY(Loot!$A$2:$G$904,""Select G where A = '""&amp; $E132 &amp;""' AND D &gt;= ""&amp;T132 &amp;"" LIMIT 1""),)"),"")</f>
        <v/>
      </c>
      <c r="N132" s="61"/>
      <c r="O132" s="32" t="str">
        <f ca="1">IFERROR(__xludf.DUMMYFUNCTION("if($F132&gt;=5,QUERY(Loot!$A$2:$G$904,""Select G where A = '""&amp; $E132 &amp;""' AND D &gt;= ""&amp; U132 &amp;"" LIMIT 1""),)"),"")</f>
        <v/>
      </c>
      <c r="P132" s="61"/>
      <c r="Q132" s="62">
        <v>8.4873948467920179E-2</v>
      </c>
      <c r="R132" s="63">
        <v>0.77318213496629706</v>
      </c>
      <c r="S132" s="63">
        <v>0.9574024001309307</v>
      </c>
      <c r="T132" s="63">
        <v>0.34260180720510669</v>
      </c>
      <c r="U132" s="63">
        <v>0.641384699959337</v>
      </c>
    </row>
    <row r="133" spans="1:21" ht="16.2">
      <c r="A133" s="5">
        <f t="shared" ca="1" si="1"/>
        <v>132</v>
      </c>
      <c r="B133" s="5" t="str">
        <f ca="1">IFERROR(__xludf.DUMMYFUNCTION("if(ISBLANK(C133),,QUERY(MD!A134:D1132,""Select A where C = '""&amp; C133 &amp;""'""))"),"")</f>
        <v/>
      </c>
      <c r="C133" s="5"/>
      <c r="D133" s="5" t="str">
        <f ca="1">IFERROR(__xludf.DUMMYFUNCTION("if(ISBLANK(C133),,QUERY(MD!$A$2:$D$1000,""Select D where C = '""&amp; C133 &amp;""'""))"),"")</f>
        <v/>
      </c>
      <c r="E133" s="59" t="str">
        <f ca="1">IFERROR(__xludf.DUMMYFUNCTION("if(ISBLANK(C133),,QUERY(MD!$A$2:$D$1000,""Select B where C = '""&amp; C133 &amp;""'""))"),"")</f>
        <v/>
      </c>
      <c r="F133" s="5">
        <f t="shared" ca="1" si="0"/>
        <v>0</v>
      </c>
      <c r="G133" s="32" t="str">
        <f ca="1">IFERROR(__xludf.DUMMYFUNCTION("if($F133&gt;=1,QUERY(Loot!$A$2:$G$904,""Select G where A = '""&amp; $E133 &amp;""' AND D &gt;= ""&amp; Q133  &amp;"" LIMIT 1""),)"),"")</f>
        <v/>
      </c>
      <c r="H133" s="61"/>
      <c r="I133" s="32" t="str">
        <f ca="1">IFERROR(__xludf.DUMMYFUNCTION("if($F133&gt;=2,QUERY(Loot!$A$2:$G$904,""Select G where A = '""&amp; $E133 &amp;""' AND D &gt;= ""&amp; R133 &amp;"" LIMIT 1""),)"),"")</f>
        <v/>
      </c>
      <c r="J133" s="61"/>
      <c r="K133" s="32" t="str">
        <f ca="1">IFERROR(__xludf.DUMMYFUNCTION("if($F133&gt;=3,QUERY(Loot!$A$2:$G$904,""Select G where A = '""&amp; $E133 &amp;""' AND D &gt;= ""&amp; S133  &amp;"" LIMIT 1""),)"),"")</f>
        <v/>
      </c>
      <c r="L133" s="61"/>
      <c r="M133" s="32" t="str">
        <f ca="1">IFERROR(__xludf.DUMMYFUNCTION("if($F133&gt;=4,QUERY(Loot!$A$2:$G$904,""Select G where A = '""&amp; $E133 &amp;""' AND D &gt;= ""&amp;T133 &amp;"" LIMIT 1""),)"),"")</f>
        <v/>
      </c>
      <c r="N133" s="61"/>
      <c r="O133" s="32" t="str">
        <f ca="1">IFERROR(__xludf.DUMMYFUNCTION("if($F133&gt;=5,QUERY(Loot!$A$2:$G$904,""Select G where A = '""&amp; $E133 &amp;""' AND D &gt;= ""&amp; U133 &amp;"" LIMIT 1""),)"),"")</f>
        <v/>
      </c>
      <c r="P133" s="61"/>
      <c r="Q133" s="62">
        <v>0.15063013074449516</v>
      </c>
      <c r="R133" s="63">
        <v>0.28482974766754132</v>
      </c>
      <c r="S133" s="63">
        <v>0.42585310794494102</v>
      </c>
      <c r="T133" s="63">
        <v>0.41792797070227139</v>
      </c>
      <c r="U133" s="63">
        <v>0.62849038797851864</v>
      </c>
    </row>
    <row r="134" spans="1:21" ht="16.2">
      <c r="A134" s="5">
        <f t="shared" ca="1" si="1"/>
        <v>133</v>
      </c>
      <c r="B134" s="5" t="str">
        <f ca="1">IFERROR(__xludf.DUMMYFUNCTION("if(ISBLANK(C134),,QUERY(MD!A135:D1133,""Select A where C = '""&amp; C134 &amp;""'""))"),"")</f>
        <v/>
      </c>
      <c r="C134" s="5"/>
      <c r="D134" s="5" t="str">
        <f ca="1">IFERROR(__xludf.DUMMYFUNCTION("if(ISBLANK(C134),,QUERY(MD!$A$2:$D$1000,""Select D where C = '""&amp; C134 &amp;""'""))"),"")</f>
        <v/>
      </c>
      <c r="E134" s="59" t="str">
        <f ca="1">IFERROR(__xludf.DUMMYFUNCTION("if(ISBLANK(C134),,QUERY(MD!$A$2:$D$1000,""Select B where C = '""&amp; C134 &amp;""'""))"),"")</f>
        <v/>
      </c>
      <c r="F134" s="5">
        <f t="shared" ca="1" si="0"/>
        <v>0</v>
      </c>
      <c r="G134" s="32" t="str">
        <f ca="1">IFERROR(__xludf.DUMMYFUNCTION("if($F134&gt;=1,QUERY(Loot!$A$2:$G$904,""Select G where A = '""&amp; $E134 &amp;""' AND D &gt;= ""&amp; Q134  &amp;"" LIMIT 1""),)"),"")</f>
        <v/>
      </c>
      <c r="H134" s="61"/>
      <c r="I134" s="32" t="str">
        <f ca="1">IFERROR(__xludf.DUMMYFUNCTION("if($F134&gt;=2,QUERY(Loot!$A$2:$G$904,""Select G where A = '""&amp; $E134 &amp;""' AND D &gt;= ""&amp; R134 &amp;"" LIMIT 1""),)"),"")</f>
        <v/>
      </c>
      <c r="J134" s="61"/>
      <c r="K134" s="32" t="str">
        <f ca="1">IFERROR(__xludf.DUMMYFUNCTION("if($F134&gt;=3,QUERY(Loot!$A$2:$G$904,""Select G where A = '""&amp; $E134 &amp;""' AND D &gt;= ""&amp; S134  &amp;"" LIMIT 1""),)"),"")</f>
        <v/>
      </c>
      <c r="L134" s="61"/>
      <c r="M134" s="32" t="str">
        <f ca="1">IFERROR(__xludf.DUMMYFUNCTION("if($F134&gt;=4,QUERY(Loot!$A$2:$G$904,""Select G where A = '""&amp; $E134 &amp;""' AND D &gt;= ""&amp;T134 &amp;"" LIMIT 1""),)"),"")</f>
        <v/>
      </c>
      <c r="N134" s="61"/>
      <c r="O134" s="32" t="str">
        <f ca="1">IFERROR(__xludf.DUMMYFUNCTION("if($F134&gt;=5,QUERY(Loot!$A$2:$G$904,""Select G where A = '""&amp; $E134 &amp;""' AND D &gt;= ""&amp; U134 &amp;"" LIMIT 1""),)"),"")</f>
        <v/>
      </c>
      <c r="P134" s="61"/>
      <c r="Q134" s="62">
        <v>0.88776177969776049</v>
      </c>
      <c r="R134" s="63">
        <v>0.94376627379351496</v>
      </c>
      <c r="S134" s="63">
        <v>0.37384127004468881</v>
      </c>
      <c r="T134" s="63">
        <v>0.68328486820428636</v>
      </c>
      <c r="U134" s="63">
        <v>0.54625018609736664</v>
      </c>
    </row>
    <row r="135" spans="1:21" ht="16.2">
      <c r="A135" s="5">
        <f t="shared" ca="1" si="1"/>
        <v>134</v>
      </c>
      <c r="B135" s="5" t="str">
        <f ca="1">IFERROR(__xludf.DUMMYFUNCTION("if(ISBLANK(C135),,QUERY(MD!A136:D1134,""Select A where C = '""&amp; C135 &amp;""'""))"),"")</f>
        <v/>
      </c>
      <c r="C135" s="5"/>
      <c r="D135" s="5" t="str">
        <f ca="1">IFERROR(__xludf.DUMMYFUNCTION("if(ISBLANK(C135),,QUERY(MD!$A$2:$D$1000,""Select D where C = '""&amp; C135 &amp;""'""))"),"")</f>
        <v/>
      </c>
      <c r="E135" s="59" t="str">
        <f ca="1">IFERROR(__xludf.DUMMYFUNCTION("if(ISBLANK(C135),,QUERY(MD!$A$2:$D$1000,""Select B where C = '""&amp; C135 &amp;""'""))"),"")</f>
        <v/>
      </c>
      <c r="F135" s="5">
        <f t="shared" ca="1" si="0"/>
        <v>0</v>
      </c>
      <c r="G135" s="32" t="str">
        <f ca="1">IFERROR(__xludf.DUMMYFUNCTION("if($F135&gt;=1,QUERY(Loot!$A$2:$G$904,""Select G where A = '""&amp; $E135 &amp;""' AND D &gt;= ""&amp; Q135  &amp;"" LIMIT 1""),)"),"")</f>
        <v/>
      </c>
      <c r="H135" s="61"/>
      <c r="I135" s="32" t="str">
        <f ca="1">IFERROR(__xludf.DUMMYFUNCTION("if($F135&gt;=2,QUERY(Loot!$A$2:$G$904,""Select G where A = '""&amp; $E135 &amp;""' AND D &gt;= ""&amp; R135 &amp;"" LIMIT 1""),)"),"")</f>
        <v/>
      </c>
      <c r="J135" s="61"/>
      <c r="K135" s="32" t="str">
        <f ca="1">IFERROR(__xludf.DUMMYFUNCTION("if($F135&gt;=3,QUERY(Loot!$A$2:$G$904,""Select G where A = '""&amp; $E135 &amp;""' AND D &gt;= ""&amp; S135  &amp;"" LIMIT 1""),)"),"")</f>
        <v/>
      </c>
      <c r="L135" s="61"/>
      <c r="M135" s="32" t="str">
        <f ca="1">IFERROR(__xludf.DUMMYFUNCTION("if($F135&gt;=4,QUERY(Loot!$A$2:$G$904,""Select G where A = '""&amp; $E135 &amp;""' AND D &gt;= ""&amp;T135 &amp;"" LIMIT 1""),)"),"")</f>
        <v/>
      </c>
      <c r="N135" s="61"/>
      <c r="O135" s="32" t="str">
        <f ca="1">IFERROR(__xludf.DUMMYFUNCTION("if($F135&gt;=5,QUERY(Loot!$A$2:$G$904,""Select G where A = '""&amp; $E135 &amp;""' AND D &gt;= ""&amp; U135 &amp;"" LIMIT 1""),)"),"")</f>
        <v/>
      </c>
      <c r="P135" s="61"/>
      <c r="Q135" s="62">
        <v>0.17058213226690888</v>
      </c>
      <c r="R135" s="63">
        <v>0.83471431049968214</v>
      </c>
      <c r="S135" s="63">
        <v>0.26265437760978705</v>
      </c>
      <c r="T135" s="63">
        <v>0.84994342738994422</v>
      </c>
      <c r="U135" s="63">
        <v>0.90248278437667728</v>
      </c>
    </row>
    <row r="136" spans="1:21" ht="16.2">
      <c r="A136" s="5">
        <f t="shared" ca="1" si="1"/>
        <v>135</v>
      </c>
      <c r="B136" s="5" t="str">
        <f ca="1">IFERROR(__xludf.DUMMYFUNCTION("if(ISBLANK(C136),,QUERY(MD!A137:D1135,""Select A where C = '""&amp; C136 &amp;""'""))"),"")</f>
        <v/>
      </c>
      <c r="C136" s="5"/>
      <c r="D136" s="5" t="str">
        <f ca="1">IFERROR(__xludf.DUMMYFUNCTION("if(ISBLANK(C136),,QUERY(MD!$A$2:$D$1000,""Select D where C = '""&amp; C136 &amp;""'""))"),"")</f>
        <v/>
      </c>
      <c r="E136" s="59" t="str">
        <f ca="1">IFERROR(__xludf.DUMMYFUNCTION("if(ISBLANK(C136),,QUERY(MD!$A$2:$D$1000,""Select B where C = '""&amp; C136 &amp;""'""))"),"")</f>
        <v/>
      </c>
      <c r="F136" s="5">
        <f t="shared" ca="1" si="0"/>
        <v>0</v>
      </c>
      <c r="G136" s="32" t="str">
        <f ca="1">IFERROR(__xludf.DUMMYFUNCTION("if($F136&gt;=1,QUERY(Loot!$A$2:$G$904,""Select G where A = '""&amp; $E136 &amp;""' AND D &gt;= ""&amp; Q136  &amp;"" LIMIT 1""),)"),"")</f>
        <v/>
      </c>
      <c r="H136" s="61"/>
      <c r="I136" s="32" t="str">
        <f ca="1">IFERROR(__xludf.DUMMYFUNCTION("if($F136&gt;=2,QUERY(Loot!$A$2:$G$904,""Select G where A = '""&amp; $E136 &amp;""' AND D &gt;= ""&amp; R136 &amp;"" LIMIT 1""),)"),"")</f>
        <v/>
      </c>
      <c r="J136" s="61"/>
      <c r="K136" s="32" t="str">
        <f ca="1">IFERROR(__xludf.DUMMYFUNCTION("if($F136&gt;=3,QUERY(Loot!$A$2:$G$904,""Select G where A = '""&amp; $E136 &amp;""' AND D &gt;= ""&amp; S136  &amp;"" LIMIT 1""),)"),"")</f>
        <v/>
      </c>
      <c r="L136" s="61"/>
      <c r="M136" s="32" t="str">
        <f ca="1">IFERROR(__xludf.DUMMYFUNCTION("if($F136&gt;=4,QUERY(Loot!$A$2:$G$904,""Select G where A = '""&amp; $E136 &amp;""' AND D &gt;= ""&amp;T136 &amp;"" LIMIT 1""),)"),"")</f>
        <v/>
      </c>
      <c r="N136" s="61"/>
      <c r="O136" s="32" t="str">
        <f ca="1">IFERROR(__xludf.DUMMYFUNCTION("if($F136&gt;=5,QUERY(Loot!$A$2:$G$904,""Select G where A = '""&amp; $E136 &amp;""' AND D &gt;= ""&amp; U136 &amp;"" LIMIT 1""),)"),"")</f>
        <v/>
      </c>
      <c r="P136" s="61"/>
      <c r="Q136" s="62">
        <v>0.49967188890452663</v>
      </c>
      <c r="R136" s="63">
        <v>0.46442914960473025</v>
      </c>
      <c r="S136" s="63">
        <v>0.86813475416337904</v>
      </c>
      <c r="T136" s="63">
        <v>8.213014009497277E-2</v>
      </c>
      <c r="U136" s="63">
        <v>0.68365010106806778</v>
      </c>
    </row>
    <row r="137" spans="1:21" ht="16.2">
      <c r="A137" s="5">
        <f t="shared" ca="1" si="1"/>
        <v>136</v>
      </c>
      <c r="B137" s="5" t="str">
        <f ca="1">IFERROR(__xludf.DUMMYFUNCTION("if(ISBLANK(C137),,QUERY(MD!A138:D1136,""Select A where C = '""&amp; C137 &amp;""'""))"),"")</f>
        <v/>
      </c>
      <c r="C137" s="5"/>
      <c r="D137" s="5" t="str">
        <f ca="1">IFERROR(__xludf.DUMMYFUNCTION("if(ISBLANK(C137),,QUERY(MD!$A$2:$D$1000,""Select D where C = '""&amp; C137 &amp;""'""))"),"")</f>
        <v/>
      </c>
      <c r="E137" s="59" t="str">
        <f ca="1">IFERROR(__xludf.DUMMYFUNCTION("if(ISBLANK(C137),,QUERY(MD!$A$2:$D$1000,""Select B where C = '""&amp; C137 &amp;""'""))"),"")</f>
        <v/>
      </c>
      <c r="F137" s="5">
        <f t="shared" ca="1" si="0"/>
        <v>0</v>
      </c>
      <c r="G137" s="32" t="str">
        <f ca="1">IFERROR(__xludf.DUMMYFUNCTION("if($F137&gt;=1,QUERY(Loot!$A$2:$G$904,""Select G where A = '""&amp; $E137 &amp;""' AND D &gt;= ""&amp; Q137  &amp;"" LIMIT 1""),)"),"")</f>
        <v/>
      </c>
      <c r="H137" s="61"/>
      <c r="I137" s="32" t="str">
        <f ca="1">IFERROR(__xludf.DUMMYFUNCTION("if($F137&gt;=2,QUERY(Loot!$A$2:$G$904,""Select G where A = '""&amp; $E137 &amp;""' AND D &gt;= ""&amp; R137 &amp;"" LIMIT 1""),)"),"")</f>
        <v/>
      </c>
      <c r="J137" s="61"/>
      <c r="K137" s="32" t="str">
        <f ca="1">IFERROR(__xludf.DUMMYFUNCTION("if($F137&gt;=3,QUERY(Loot!$A$2:$G$904,""Select G where A = '""&amp; $E137 &amp;""' AND D &gt;= ""&amp; S137  &amp;"" LIMIT 1""),)"),"")</f>
        <v/>
      </c>
      <c r="L137" s="61"/>
      <c r="M137" s="32" t="str">
        <f ca="1">IFERROR(__xludf.DUMMYFUNCTION("if($F137&gt;=4,QUERY(Loot!$A$2:$G$904,""Select G where A = '""&amp; $E137 &amp;""' AND D &gt;= ""&amp;T137 &amp;"" LIMIT 1""),)"),"")</f>
        <v/>
      </c>
      <c r="N137" s="61"/>
      <c r="O137" s="32" t="str">
        <f ca="1">IFERROR(__xludf.DUMMYFUNCTION("if($F137&gt;=5,QUERY(Loot!$A$2:$G$904,""Select G where A = '""&amp; $E137 &amp;""' AND D &gt;= ""&amp; U137 &amp;"" LIMIT 1""),)"),"")</f>
        <v/>
      </c>
      <c r="P137" s="61"/>
      <c r="Q137" s="62">
        <v>0.78732885261555452</v>
      </c>
      <c r="R137" s="63">
        <v>0.2418500470227305</v>
      </c>
      <c r="S137" s="63">
        <v>8.874278678200398E-2</v>
      </c>
      <c r="T137" s="63">
        <v>0.53050461986080222</v>
      </c>
      <c r="U137" s="63">
        <v>8.6282098230201498E-2</v>
      </c>
    </row>
    <row r="138" spans="1:21" ht="16.2">
      <c r="A138" s="5">
        <f t="shared" ca="1" si="1"/>
        <v>137</v>
      </c>
      <c r="B138" s="5" t="str">
        <f ca="1">IFERROR(__xludf.DUMMYFUNCTION("if(ISBLANK(C138),,QUERY(MD!A139:D1137,""Select A where C = '""&amp; C138 &amp;""'""))"),"")</f>
        <v/>
      </c>
      <c r="C138" s="5"/>
      <c r="D138" s="5" t="str">
        <f ca="1">IFERROR(__xludf.DUMMYFUNCTION("if(ISBLANK(C138),,QUERY(MD!$A$2:$D$1000,""Select D where C = '""&amp; C138 &amp;""'""))"),"")</f>
        <v/>
      </c>
      <c r="E138" s="59" t="str">
        <f ca="1">IFERROR(__xludf.DUMMYFUNCTION("if(ISBLANK(C138),,QUERY(MD!$A$2:$D$1000,""Select B where C = '""&amp; C138 &amp;""'""))"),"")</f>
        <v/>
      </c>
      <c r="F138" s="5">
        <f t="shared" ca="1" si="0"/>
        <v>0</v>
      </c>
      <c r="G138" s="32" t="str">
        <f ca="1">IFERROR(__xludf.DUMMYFUNCTION("if($F138&gt;=1,QUERY(Loot!$A$2:$G$904,""Select G where A = '""&amp; $E138 &amp;""' AND D &gt;= ""&amp; Q138  &amp;"" LIMIT 1""),)"),"")</f>
        <v/>
      </c>
      <c r="H138" s="61"/>
      <c r="I138" s="32" t="str">
        <f ca="1">IFERROR(__xludf.DUMMYFUNCTION("if($F138&gt;=2,QUERY(Loot!$A$2:$G$904,""Select G where A = '""&amp; $E138 &amp;""' AND D &gt;= ""&amp; R138 &amp;"" LIMIT 1""),)"),"")</f>
        <v/>
      </c>
      <c r="J138" s="61"/>
      <c r="K138" s="32" t="str">
        <f ca="1">IFERROR(__xludf.DUMMYFUNCTION("if($F138&gt;=3,QUERY(Loot!$A$2:$G$904,""Select G where A = '""&amp; $E138 &amp;""' AND D &gt;= ""&amp; S138  &amp;"" LIMIT 1""),)"),"")</f>
        <v/>
      </c>
      <c r="L138" s="61"/>
      <c r="M138" s="32" t="str">
        <f ca="1">IFERROR(__xludf.DUMMYFUNCTION("if($F138&gt;=4,QUERY(Loot!$A$2:$G$904,""Select G where A = '""&amp; $E138 &amp;""' AND D &gt;= ""&amp;T138 &amp;"" LIMIT 1""),)"),"")</f>
        <v/>
      </c>
      <c r="N138" s="61"/>
      <c r="O138" s="32" t="str">
        <f ca="1">IFERROR(__xludf.DUMMYFUNCTION("if($F138&gt;=5,QUERY(Loot!$A$2:$G$904,""Select G where A = '""&amp; $E138 &amp;""' AND D &gt;= ""&amp; U138 &amp;"" LIMIT 1""),)"),"")</f>
        <v/>
      </c>
      <c r="P138" s="61"/>
      <c r="Q138" s="62">
        <v>0.80214778791460495</v>
      </c>
      <c r="R138" s="63">
        <v>0.7255929283092547</v>
      </c>
      <c r="S138" s="63">
        <v>0.20434479441721776</v>
      </c>
      <c r="T138" s="63">
        <v>0.81070384248303762</v>
      </c>
      <c r="U138" s="63">
        <v>0.26422817625096473</v>
      </c>
    </row>
    <row r="139" spans="1:21" ht="16.2">
      <c r="A139" s="5">
        <f t="shared" ca="1" si="1"/>
        <v>138</v>
      </c>
      <c r="B139" s="5" t="str">
        <f ca="1">IFERROR(__xludf.DUMMYFUNCTION("if(ISBLANK(C139),,QUERY(MD!A140:D1138,""Select A where C = '""&amp; C139 &amp;""'""))"),"")</f>
        <v/>
      </c>
      <c r="C139" s="5"/>
      <c r="D139" s="5" t="str">
        <f ca="1">IFERROR(__xludf.DUMMYFUNCTION("if(ISBLANK(C139),,QUERY(MD!$A$2:$D$1000,""Select D where C = '""&amp; C139 &amp;""'""))"),"")</f>
        <v/>
      </c>
      <c r="E139" s="59" t="str">
        <f ca="1">IFERROR(__xludf.DUMMYFUNCTION("if(ISBLANK(C139),,QUERY(MD!$A$2:$D$1000,""Select B where C = '""&amp; C139 &amp;""'""))"),"")</f>
        <v/>
      </c>
      <c r="F139" s="5">
        <f t="shared" ca="1" si="0"/>
        <v>0</v>
      </c>
      <c r="G139" s="32" t="str">
        <f ca="1">IFERROR(__xludf.DUMMYFUNCTION("if($F139&gt;=1,QUERY(Loot!$A$2:$G$904,""Select G where A = '""&amp; $E139 &amp;""' AND D &gt;= ""&amp; Q139  &amp;"" LIMIT 1""),)"),"")</f>
        <v/>
      </c>
      <c r="H139" s="61"/>
      <c r="I139" s="32" t="str">
        <f ca="1">IFERROR(__xludf.DUMMYFUNCTION("if($F139&gt;=2,QUERY(Loot!$A$2:$G$904,""Select G where A = '""&amp; $E139 &amp;""' AND D &gt;= ""&amp; R139 &amp;"" LIMIT 1""),)"),"")</f>
        <v/>
      </c>
      <c r="J139" s="61"/>
      <c r="K139" s="32" t="str">
        <f ca="1">IFERROR(__xludf.DUMMYFUNCTION("if($F139&gt;=3,QUERY(Loot!$A$2:$G$904,""Select G where A = '""&amp; $E139 &amp;""' AND D &gt;= ""&amp; S139  &amp;"" LIMIT 1""),)"),"")</f>
        <v/>
      </c>
      <c r="L139" s="61"/>
      <c r="M139" s="32" t="str">
        <f ca="1">IFERROR(__xludf.DUMMYFUNCTION("if($F139&gt;=4,QUERY(Loot!$A$2:$G$904,""Select G where A = '""&amp; $E139 &amp;""' AND D &gt;= ""&amp;T139 &amp;"" LIMIT 1""),)"),"")</f>
        <v/>
      </c>
      <c r="N139" s="61"/>
      <c r="O139" s="32" t="str">
        <f ca="1">IFERROR(__xludf.DUMMYFUNCTION("if($F139&gt;=5,QUERY(Loot!$A$2:$G$904,""Select G where A = '""&amp; $E139 &amp;""' AND D &gt;= ""&amp; U139 &amp;"" LIMIT 1""),)"),"")</f>
        <v/>
      </c>
      <c r="P139" s="61"/>
      <c r="Q139" s="62">
        <v>0.93752594470292372</v>
      </c>
      <c r="R139" s="63">
        <v>0.35905672883696926</v>
      </c>
      <c r="S139" s="63">
        <v>0.22437126300338173</v>
      </c>
      <c r="T139" s="63">
        <v>0.31066484785449344</v>
      </c>
      <c r="U139" s="63">
        <v>9.0787536776604671E-2</v>
      </c>
    </row>
    <row r="140" spans="1:21" ht="16.2">
      <c r="A140" s="5">
        <f t="shared" ca="1" si="1"/>
        <v>139</v>
      </c>
      <c r="B140" s="5" t="str">
        <f ca="1">IFERROR(__xludf.DUMMYFUNCTION("if(ISBLANK(C140),,QUERY(MD!A141:D1139,""Select A where C = '""&amp; C140 &amp;""'""))"),"")</f>
        <v/>
      </c>
      <c r="C140" s="5"/>
      <c r="D140" s="5" t="str">
        <f ca="1">IFERROR(__xludf.DUMMYFUNCTION("if(ISBLANK(C140),,QUERY(MD!$A$2:$D$1000,""Select D where C = '""&amp; C140 &amp;""'""))"),"")</f>
        <v/>
      </c>
      <c r="E140" s="59" t="str">
        <f ca="1">IFERROR(__xludf.DUMMYFUNCTION("if(ISBLANK(C140),,QUERY(MD!$A$2:$D$1000,""Select B where C = '""&amp; C140 &amp;""'""))"),"")</f>
        <v/>
      </c>
      <c r="F140" s="5">
        <f t="shared" ca="1" si="0"/>
        <v>0</v>
      </c>
      <c r="G140" s="32" t="str">
        <f ca="1">IFERROR(__xludf.DUMMYFUNCTION("if($F140&gt;=1,QUERY(Loot!$A$2:$G$904,""Select G where A = '""&amp; $E140 &amp;""' AND D &gt;= ""&amp; Q140  &amp;"" LIMIT 1""),)"),"")</f>
        <v/>
      </c>
      <c r="H140" s="61"/>
      <c r="I140" s="32" t="str">
        <f ca="1">IFERROR(__xludf.DUMMYFUNCTION("if($F140&gt;=2,QUERY(Loot!$A$2:$G$904,""Select G where A = '""&amp; $E140 &amp;""' AND D &gt;= ""&amp; R140 &amp;"" LIMIT 1""),)"),"")</f>
        <v/>
      </c>
      <c r="J140" s="61"/>
      <c r="K140" s="32" t="str">
        <f ca="1">IFERROR(__xludf.DUMMYFUNCTION("if($F140&gt;=3,QUERY(Loot!$A$2:$G$904,""Select G where A = '""&amp; $E140 &amp;""' AND D &gt;= ""&amp; S140  &amp;"" LIMIT 1""),)"),"")</f>
        <v/>
      </c>
      <c r="L140" s="61"/>
      <c r="M140" s="32" t="str">
        <f ca="1">IFERROR(__xludf.DUMMYFUNCTION("if($F140&gt;=4,QUERY(Loot!$A$2:$G$904,""Select G where A = '""&amp; $E140 &amp;""' AND D &gt;= ""&amp;T140 &amp;"" LIMIT 1""),)"),"")</f>
        <v/>
      </c>
      <c r="N140" s="61"/>
      <c r="O140" s="32" t="str">
        <f ca="1">IFERROR(__xludf.DUMMYFUNCTION("if($F140&gt;=5,QUERY(Loot!$A$2:$G$904,""Select G where A = '""&amp; $E140 &amp;""' AND D &gt;= ""&amp; U140 &amp;"" LIMIT 1""),)"),"")</f>
        <v/>
      </c>
      <c r="P140" s="61"/>
      <c r="Q140" s="62">
        <v>0.87023773353244027</v>
      </c>
      <c r="R140" s="63">
        <v>0.7098737035067112</v>
      </c>
      <c r="S140" s="63">
        <v>0.11900066851921609</v>
      </c>
      <c r="T140" s="63">
        <v>0.15806089002438872</v>
      </c>
      <c r="U140" s="63">
        <v>0.25084324499118327</v>
      </c>
    </row>
    <row r="141" spans="1:21" ht="16.2">
      <c r="A141" s="5">
        <f t="shared" ca="1" si="1"/>
        <v>140</v>
      </c>
      <c r="B141" s="5" t="str">
        <f ca="1">IFERROR(__xludf.DUMMYFUNCTION("if(ISBLANK(C141),,QUERY(MD!A142:D1140,""Select A where C = '""&amp; C141 &amp;""'""))"),"")</f>
        <v/>
      </c>
      <c r="C141" s="5"/>
      <c r="D141" s="5" t="str">
        <f ca="1">IFERROR(__xludf.DUMMYFUNCTION("if(ISBLANK(C141),,QUERY(MD!$A$2:$D$1000,""Select D where C = '""&amp; C141 &amp;""'""))"),"")</f>
        <v/>
      </c>
      <c r="E141" s="59" t="str">
        <f ca="1">IFERROR(__xludf.DUMMYFUNCTION("if(ISBLANK(C141),,QUERY(MD!$A$2:$D$1000,""Select B where C = '""&amp; C141 &amp;""'""))"),"")</f>
        <v/>
      </c>
      <c r="F141" s="5">
        <f t="shared" ca="1" si="0"/>
        <v>0</v>
      </c>
      <c r="G141" s="32" t="str">
        <f ca="1">IFERROR(__xludf.DUMMYFUNCTION("if($F141&gt;=1,QUERY(Loot!$A$2:$G$904,""Select G where A = '""&amp; $E141 &amp;""' AND D &gt;= ""&amp; Q141  &amp;"" LIMIT 1""),)"),"")</f>
        <v/>
      </c>
      <c r="H141" s="61"/>
      <c r="I141" s="32" t="str">
        <f ca="1">IFERROR(__xludf.DUMMYFUNCTION("if($F141&gt;=2,QUERY(Loot!$A$2:$G$904,""Select G where A = '""&amp; $E141 &amp;""' AND D &gt;= ""&amp; R141 &amp;"" LIMIT 1""),)"),"")</f>
        <v/>
      </c>
      <c r="J141" s="61"/>
      <c r="K141" s="32" t="str">
        <f ca="1">IFERROR(__xludf.DUMMYFUNCTION("if($F141&gt;=3,QUERY(Loot!$A$2:$G$904,""Select G where A = '""&amp; $E141 &amp;""' AND D &gt;= ""&amp; S141  &amp;"" LIMIT 1""),)"),"")</f>
        <v/>
      </c>
      <c r="L141" s="61"/>
      <c r="M141" s="32" t="str">
        <f ca="1">IFERROR(__xludf.DUMMYFUNCTION("if($F141&gt;=4,QUERY(Loot!$A$2:$G$904,""Select G where A = '""&amp; $E141 &amp;""' AND D &gt;= ""&amp;T141 &amp;"" LIMIT 1""),)"),"")</f>
        <v/>
      </c>
      <c r="N141" s="61"/>
      <c r="O141" s="32" t="str">
        <f ca="1">IFERROR(__xludf.DUMMYFUNCTION("if($F141&gt;=5,QUERY(Loot!$A$2:$G$904,""Select G where A = '""&amp; $E141 &amp;""' AND D &gt;= ""&amp; U141 &amp;"" LIMIT 1""),)"),"")</f>
        <v/>
      </c>
      <c r="P141" s="61"/>
      <c r="Q141" s="62">
        <v>0.98721201777816336</v>
      </c>
      <c r="R141" s="63">
        <v>0.24082821577263358</v>
      </c>
      <c r="S141" s="63">
        <v>0.77076428434190281</v>
      </c>
      <c r="T141" s="63">
        <v>0.33698910344407085</v>
      </c>
      <c r="U141" s="63">
        <v>0.6534421221526161</v>
      </c>
    </row>
    <row r="142" spans="1:21" ht="16.2">
      <c r="A142" s="5">
        <f t="shared" ca="1" si="1"/>
        <v>141</v>
      </c>
      <c r="B142" s="5" t="str">
        <f ca="1">IFERROR(__xludf.DUMMYFUNCTION("if(ISBLANK(C142),,QUERY(MD!A143:D1141,""Select A where C = '""&amp; C142 &amp;""'""))"),"")</f>
        <v/>
      </c>
      <c r="C142" s="5"/>
      <c r="D142" s="5" t="str">
        <f ca="1">IFERROR(__xludf.DUMMYFUNCTION("if(ISBLANK(C142),,QUERY(MD!$A$2:$D$1000,""Select D where C = '""&amp; C142 &amp;""'""))"),"")</f>
        <v/>
      </c>
      <c r="E142" s="59" t="str">
        <f ca="1">IFERROR(__xludf.DUMMYFUNCTION("if(ISBLANK(C142),,QUERY(MD!$A$2:$D$1000,""Select B where C = '""&amp; C142 &amp;""'""))"),"")</f>
        <v/>
      </c>
      <c r="F142" s="5">
        <f t="shared" ca="1" si="0"/>
        <v>0</v>
      </c>
      <c r="G142" s="32" t="str">
        <f ca="1">IFERROR(__xludf.DUMMYFUNCTION("if($F142&gt;=1,QUERY(Loot!$A$2:$G$904,""Select G where A = '""&amp; $E142 &amp;""' AND D &gt;= ""&amp; Q142  &amp;"" LIMIT 1""),)"),"")</f>
        <v/>
      </c>
      <c r="H142" s="61"/>
      <c r="I142" s="32" t="str">
        <f ca="1">IFERROR(__xludf.DUMMYFUNCTION("if($F142&gt;=2,QUERY(Loot!$A$2:$G$904,""Select G where A = '""&amp; $E142 &amp;""' AND D &gt;= ""&amp; R142 &amp;"" LIMIT 1""),)"),"")</f>
        <v/>
      </c>
      <c r="J142" s="61"/>
      <c r="K142" s="32" t="str">
        <f ca="1">IFERROR(__xludf.DUMMYFUNCTION("if($F142&gt;=3,QUERY(Loot!$A$2:$G$904,""Select G where A = '""&amp; $E142 &amp;""' AND D &gt;= ""&amp; S142  &amp;"" LIMIT 1""),)"),"")</f>
        <v/>
      </c>
      <c r="L142" s="61"/>
      <c r="M142" s="32" t="str">
        <f ca="1">IFERROR(__xludf.DUMMYFUNCTION("if($F142&gt;=4,QUERY(Loot!$A$2:$G$904,""Select G where A = '""&amp; $E142 &amp;""' AND D &gt;= ""&amp;T142 &amp;"" LIMIT 1""),)"),"")</f>
        <v/>
      </c>
      <c r="N142" s="61"/>
      <c r="O142" s="32" t="str">
        <f ca="1">IFERROR(__xludf.DUMMYFUNCTION("if($F142&gt;=5,QUERY(Loot!$A$2:$G$904,""Select G where A = '""&amp; $E142 &amp;""' AND D &gt;= ""&amp; U142 &amp;"" LIMIT 1""),)"),"")</f>
        <v/>
      </c>
      <c r="P142" s="61"/>
      <c r="Q142" s="62">
        <v>0.88100534170754474</v>
      </c>
      <c r="R142" s="63">
        <v>0.52989796179979864</v>
      </c>
      <c r="S142" s="63">
        <v>0.3385914915089302</v>
      </c>
      <c r="T142" s="63">
        <v>0.36274576414727255</v>
      </c>
      <c r="U142" s="63">
        <v>0.97089436869794665</v>
      </c>
    </row>
    <row r="143" spans="1:21" ht="16.2">
      <c r="A143" s="5">
        <f t="shared" ca="1" si="1"/>
        <v>142</v>
      </c>
      <c r="B143" s="5" t="str">
        <f ca="1">IFERROR(__xludf.DUMMYFUNCTION("if(ISBLANK(C143),,QUERY(MD!A144:D1142,""Select A where C = '""&amp; C143 &amp;""'""))"),"")</f>
        <v/>
      </c>
      <c r="C143" s="5"/>
      <c r="D143" s="5" t="str">
        <f ca="1">IFERROR(__xludf.DUMMYFUNCTION("if(ISBLANK(C143),,QUERY(MD!$A$2:$D$1000,""Select D where C = '""&amp; C143 &amp;""'""))"),"")</f>
        <v/>
      </c>
      <c r="E143" s="59" t="str">
        <f ca="1">IFERROR(__xludf.DUMMYFUNCTION("if(ISBLANK(C143),,QUERY(MD!$A$2:$D$1000,""Select B where C = '""&amp; C143 &amp;""'""))"),"")</f>
        <v/>
      </c>
      <c r="F143" s="5">
        <f t="shared" ca="1" si="0"/>
        <v>0</v>
      </c>
      <c r="G143" s="32" t="str">
        <f ca="1">IFERROR(__xludf.DUMMYFUNCTION("if($F143&gt;=1,QUERY(Loot!$A$2:$G$904,""Select G where A = '""&amp; $E143 &amp;""' AND D &gt;= ""&amp; Q143  &amp;"" LIMIT 1""),)"),"")</f>
        <v/>
      </c>
      <c r="H143" s="61"/>
      <c r="I143" s="32" t="str">
        <f ca="1">IFERROR(__xludf.DUMMYFUNCTION("if($F143&gt;=2,QUERY(Loot!$A$2:$G$904,""Select G where A = '""&amp; $E143 &amp;""' AND D &gt;= ""&amp; R143 &amp;"" LIMIT 1""),)"),"")</f>
        <v/>
      </c>
      <c r="J143" s="61"/>
      <c r="K143" s="32" t="str">
        <f ca="1">IFERROR(__xludf.DUMMYFUNCTION("if($F143&gt;=3,QUERY(Loot!$A$2:$G$904,""Select G where A = '""&amp; $E143 &amp;""' AND D &gt;= ""&amp; S143  &amp;"" LIMIT 1""),)"),"")</f>
        <v/>
      </c>
      <c r="L143" s="61"/>
      <c r="M143" s="32" t="str">
        <f ca="1">IFERROR(__xludf.DUMMYFUNCTION("if($F143&gt;=4,QUERY(Loot!$A$2:$G$904,""Select G where A = '""&amp; $E143 &amp;""' AND D &gt;= ""&amp;T143 &amp;"" LIMIT 1""),)"),"")</f>
        <v/>
      </c>
      <c r="N143" s="61"/>
      <c r="O143" s="32" t="str">
        <f ca="1">IFERROR(__xludf.DUMMYFUNCTION("if($F143&gt;=5,QUERY(Loot!$A$2:$G$904,""Select G where A = '""&amp; $E143 &amp;""' AND D &gt;= ""&amp; U143 &amp;"" LIMIT 1""),)"),"")</f>
        <v/>
      </c>
      <c r="P143" s="61"/>
      <c r="Q143" s="62">
        <v>0.51980120378248407</v>
      </c>
      <c r="R143" s="63">
        <v>0.94285390387661694</v>
      </c>
      <c r="S143" s="63">
        <v>0.18085996068694143</v>
      </c>
      <c r="T143" s="63">
        <v>0.87788889711335261</v>
      </c>
      <c r="U143" s="63">
        <v>0.6122275883432412</v>
      </c>
    </row>
    <row r="144" spans="1:21" ht="16.2">
      <c r="A144" s="5">
        <f t="shared" ca="1" si="1"/>
        <v>143</v>
      </c>
      <c r="B144" s="5" t="str">
        <f ca="1">IFERROR(__xludf.DUMMYFUNCTION("if(ISBLANK(C144),,QUERY(MD!A145:D1143,""Select A where C = '""&amp; C144 &amp;""'""))"),"")</f>
        <v/>
      </c>
      <c r="C144" s="5"/>
      <c r="D144" s="5" t="str">
        <f ca="1">IFERROR(__xludf.DUMMYFUNCTION("if(ISBLANK(C144),,QUERY(MD!$A$2:$D$1000,""Select D where C = '""&amp; C144 &amp;""'""))"),"")</f>
        <v/>
      </c>
      <c r="E144" s="59" t="str">
        <f ca="1">IFERROR(__xludf.DUMMYFUNCTION("if(ISBLANK(C144),,QUERY(MD!$A$2:$D$1000,""Select B where C = '""&amp; C144 &amp;""'""))"),"")</f>
        <v/>
      </c>
      <c r="F144" s="5">
        <f t="shared" ca="1" si="0"/>
        <v>0</v>
      </c>
      <c r="G144" s="32" t="str">
        <f ca="1">IFERROR(__xludf.DUMMYFUNCTION("if($F144&gt;=1,QUERY(Loot!$A$2:$G$904,""Select G where A = '""&amp; $E144 &amp;""' AND D &gt;= ""&amp; Q144  &amp;"" LIMIT 1""),)"),"")</f>
        <v/>
      </c>
      <c r="H144" s="61"/>
      <c r="I144" s="32" t="str">
        <f ca="1">IFERROR(__xludf.DUMMYFUNCTION("if($F144&gt;=2,QUERY(Loot!$A$2:$G$904,""Select G where A = '""&amp; $E144 &amp;""' AND D &gt;= ""&amp; R144 &amp;"" LIMIT 1""),)"),"")</f>
        <v/>
      </c>
      <c r="J144" s="61"/>
      <c r="K144" s="32" t="str">
        <f ca="1">IFERROR(__xludf.DUMMYFUNCTION("if($F144&gt;=3,QUERY(Loot!$A$2:$G$904,""Select G where A = '""&amp; $E144 &amp;""' AND D &gt;= ""&amp; S144  &amp;"" LIMIT 1""),)"),"")</f>
        <v/>
      </c>
      <c r="L144" s="61"/>
      <c r="M144" s="32" t="str">
        <f ca="1">IFERROR(__xludf.DUMMYFUNCTION("if($F144&gt;=4,QUERY(Loot!$A$2:$G$904,""Select G where A = '""&amp; $E144 &amp;""' AND D &gt;= ""&amp;T144 &amp;"" LIMIT 1""),)"),"")</f>
        <v/>
      </c>
      <c r="N144" s="61"/>
      <c r="O144" s="32" t="str">
        <f ca="1">IFERROR(__xludf.DUMMYFUNCTION("if($F144&gt;=5,QUERY(Loot!$A$2:$G$904,""Select G where A = '""&amp; $E144 &amp;""' AND D &gt;= ""&amp; U144 &amp;"" LIMIT 1""),)"),"")</f>
        <v/>
      </c>
      <c r="P144" s="61"/>
      <c r="Q144" s="62">
        <v>0.89350594275017547</v>
      </c>
      <c r="R144" s="63">
        <v>0.48745719744633587</v>
      </c>
      <c r="S144" s="63">
        <v>0.30626351408503105</v>
      </c>
      <c r="T144" s="63">
        <v>0.66903844806864277</v>
      </c>
      <c r="U144" s="63">
        <v>0.22494118376502936</v>
      </c>
    </row>
    <row r="145" spans="1:21" ht="16.2">
      <c r="A145" s="5">
        <f t="shared" ca="1" si="1"/>
        <v>144</v>
      </c>
      <c r="B145" s="5" t="str">
        <f ca="1">IFERROR(__xludf.DUMMYFUNCTION("if(ISBLANK(C145),,QUERY(MD!A146:D1144,""Select A where C = '""&amp; C145 &amp;""'""))"),"")</f>
        <v/>
      </c>
      <c r="C145" s="5"/>
      <c r="D145" s="5" t="str">
        <f ca="1">IFERROR(__xludf.DUMMYFUNCTION("if(ISBLANK(C145),,QUERY(MD!$A$2:$D$1000,""Select D where C = '""&amp; C145 &amp;""'""))"),"")</f>
        <v/>
      </c>
      <c r="E145" s="59" t="str">
        <f ca="1">IFERROR(__xludf.DUMMYFUNCTION("if(ISBLANK(C145),,QUERY(MD!$A$2:$D$1000,""Select B where C = '""&amp; C145 &amp;""'""))"),"")</f>
        <v/>
      </c>
      <c r="F145" s="5">
        <f t="shared" ca="1" si="0"/>
        <v>0</v>
      </c>
      <c r="G145" s="32" t="str">
        <f ca="1">IFERROR(__xludf.DUMMYFUNCTION("if($F145&gt;=1,QUERY(Loot!$A$2:$G$904,""Select G where A = '""&amp; $E145 &amp;""' AND D &gt;= ""&amp; Q145  &amp;"" LIMIT 1""),)"),"")</f>
        <v/>
      </c>
      <c r="H145" s="61"/>
      <c r="I145" s="32" t="str">
        <f ca="1">IFERROR(__xludf.DUMMYFUNCTION("if($F145&gt;=2,QUERY(Loot!$A$2:$G$904,""Select G where A = '""&amp; $E145 &amp;""' AND D &gt;= ""&amp; R145 &amp;"" LIMIT 1""),)"),"")</f>
        <v/>
      </c>
      <c r="J145" s="61"/>
      <c r="K145" s="32" t="str">
        <f ca="1">IFERROR(__xludf.DUMMYFUNCTION("if($F145&gt;=3,QUERY(Loot!$A$2:$G$904,""Select G where A = '""&amp; $E145 &amp;""' AND D &gt;= ""&amp; S145  &amp;"" LIMIT 1""),)"),"")</f>
        <v/>
      </c>
      <c r="L145" s="61"/>
      <c r="M145" s="32" t="str">
        <f ca="1">IFERROR(__xludf.DUMMYFUNCTION("if($F145&gt;=4,QUERY(Loot!$A$2:$G$904,""Select G where A = '""&amp; $E145 &amp;""' AND D &gt;= ""&amp;T145 &amp;"" LIMIT 1""),)"),"")</f>
        <v/>
      </c>
      <c r="N145" s="61"/>
      <c r="O145" s="32" t="str">
        <f ca="1">IFERROR(__xludf.DUMMYFUNCTION("if($F145&gt;=5,QUERY(Loot!$A$2:$G$904,""Select G where A = '""&amp; $E145 &amp;""' AND D &gt;= ""&amp; U145 &amp;"" LIMIT 1""),)"),"")</f>
        <v/>
      </c>
      <c r="P145" s="61"/>
      <c r="Q145" s="62">
        <v>0.79938735666718408</v>
      </c>
      <c r="R145" s="63">
        <v>0.2790173297850681</v>
      </c>
      <c r="S145" s="63">
        <v>9.9658510910726528E-2</v>
      </c>
      <c r="T145" s="63">
        <v>0.99499217682072005</v>
      </c>
      <c r="U145" s="63">
        <v>0.15051122570618614</v>
      </c>
    </row>
    <row r="146" spans="1:21" ht="16.2">
      <c r="A146" s="5">
        <f t="shared" ca="1" si="1"/>
        <v>145</v>
      </c>
      <c r="B146" s="5" t="str">
        <f ca="1">IFERROR(__xludf.DUMMYFUNCTION("if(ISBLANK(C146),,QUERY(MD!A147:D1145,""Select A where C = '""&amp; C146 &amp;""'""))"),"")</f>
        <v/>
      </c>
      <c r="C146" s="5"/>
      <c r="D146" s="5" t="str">
        <f ca="1">IFERROR(__xludf.DUMMYFUNCTION("if(ISBLANK(C146),,QUERY(MD!$A$2:$D$1000,""Select D where C = '""&amp; C146 &amp;""'""))"),"")</f>
        <v/>
      </c>
      <c r="E146" s="59" t="str">
        <f ca="1">IFERROR(__xludf.DUMMYFUNCTION("if(ISBLANK(C146),,QUERY(MD!$A$2:$D$1000,""Select B where C = '""&amp; C146 &amp;""'""))"),"")</f>
        <v/>
      </c>
      <c r="F146" s="5">
        <f t="shared" ca="1" si="0"/>
        <v>0</v>
      </c>
      <c r="G146" s="32" t="str">
        <f ca="1">IFERROR(__xludf.DUMMYFUNCTION("if($F146&gt;=1,QUERY(Loot!$A$2:$G$904,""Select G where A = '""&amp; $E146 &amp;""' AND D &gt;= ""&amp; Q146  &amp;"" LIMIT 1""),)"),"")</f>
        <v/>
      </c>
      <c r="H146" s="61"/>
      <c r="I146" s="32" t="str">
        <f ca="1">IFERROR(__xludf.DUMMYFUNCTION("if($F146&gt;=2,QUERY(Loot!$A$2:$G$904,""Select G where A = '""&amp; $E146 &amp;""' AND D &gt;= ""&amp; R146 &amp;"" LIMIT 1""),)"),"")</f>
        <v/>
      </c>
      <c r="J146" s="61"/>
      <c r="K146" s="32" t="str">
        <f ca="1">IFERROR(__xludf.DUMMYFUNCTION("if($F146&gt;=3,QUERY(Loot!$A$2:$G$904,""Select G where A = '""&amp; $E146 &amp;""' AND D &gt;= ""&amp; S146  &amp;"" LIMIT 1""),)"),"")</f>
        <v/>
      </c>
      <c r="L146" s="61"/>
      <c r="M146" s="32" t="str">
        <f ca="1">IFERROR(__xludf.DUMMYFUNCTION("if($F146&gt;=4,QUERY(Loot!$A$2:$G$904,""Select G where A = '""&amp; $E146 &amp;""' AND D &gt;= ""&amp;T146 &amp;"" LIMIT 1""),)"),"")</f>
        <v/>
      </c>
      <c r="N146" s="61"/>
      <c r="O146" s="32" t="str">
        <f ca="1">IFERROR(__xludf.DUMMYFUNCTION("if($F146&gt;=5,QUERY(Loot!$A$2:$G$904,""Select G where A = '""&amp; $E146 &amp;""' AND D &gt;= ""&amp; U146 &amp;"" LIMIT 1""),)"),"")</f>
        <v/>
      </c>
      <c r="P146" s="61"/>
      <c r="Q146" s="62">
        <v>0.30239795719529394</v>
      </c>
      <c r="R146" s="63">
        <v>0.24492981079881393</v>
      </c>
      <c r="S146" s="63">
        <v>0.94549667041301999</v>
      </c>
      <c r="T146" s="63">
        <v>0.52718943719956701</v>
      </c>
      <c r="U146" s="63">
        <v>0.80942264463681202</v>
      </c>
    </row>
    <row r="147" spans="1:21" ht="16.2">
      <c r="A147" s="5">
        <f t="shared" ca="1" si="1"/>
        <v>146</v>
      </c>
      <c r="B147" s="5" t="str">
        <f ca="1">IFERROR(__xludf.DUMMYFUNCTION("if(ISBLANK(C147),,QUERY(MD!A148:D1146,""Select A where C = '""&amp; C147 &amp;""'""))"),"")</f>
        <v/>
      </c>
      <c r="C147" s="5"/>
      <c r="D147" s="5" t="str">
        <f ca="1">IFERROR(__xludf.DUMMYFUNCTION("if(ISBLANK(C147),,QUERY(MD!$A$2:$D$1000,""Select D where C = '""&amp; C147 &amp;""'""))"),"")</f>
        <v/>
      </c>
      <c r="E147" s="59" t="str">
        <f ca="1">IFERROR(__xludf.DUMMYFUNCTION("if(ISBLANK(C147),,QUERY(MD!$A$2:$D$1000,""Select B where C = '""&amp; C147 &amp;""'""))"),"")</f>
        <v/>
      </c>
      <c r="F147" s="5">
        <f t="shared" ca="1" si="0"/>
        <v>0</v>
      </c>
      <c r="G147" s="32" t="str">
        <f ca="1">IFERROR(__xludf.DUMMYFUNCTION("if($F147&gt;=1,QUERY(Loot!$A$2:$G$904,""Select G where A = '""&amp; $E147 &amp;""' AND D &gt;= ""&amp; Q147  &amp;"" LIMIT 1""),)"),"")</f>
        <v/>
      </c>
      <c r="H147" s="61"/>
      <c r="I147" s="32" t="str">
        <f ca="1">IFERROR(__xludf.DUMMYFUNCTION("if($F147&gt;=2,QUERY(Loot!$A$2:$G$904,""Select G where A = '""&amp; $E147 &amp;""' AND D &gt;= ""&amp; R147 &amp;"" LIMIT 1""),)"),"")</f>
        <v/>
      </c>
      <c r="J147" s="61"/>
      <c r="K147" s="32" t="str">
        <f ca="1">IFERROR(__xludf.DUMMYFUNCTION("if($F147&gt;=3,QUERY(Loot!$A$2:$G$904,""Select G where A = '""&amp; $E147 &amp;""' AND D &gt;= ""&amp; S147  &amp;"" LIMIT 1""),)"),"")</f>
        <v/>
      </c>
      <c r="L147" s="61"/>
      <c r="M147" s="32" t="str">
        <f ca="1">IFERROR(__xludf.DUMMYFUNCTION("if($F147&gt;=4,QUERY(Loot!$A$2:$G$904,""Select G where A = '""&amp; $E147 &amp;""' AND D &gt;= ""&amp;T147 &amp;"" LIMIT 1""),)"),"")</f>
        <v/>
      </c>
      <c r="N147" s="61"/>
      <c r="O147" s="32" t="str">
        <f ca="1">IFERROR(__xludf.DUMMYFUNCTION("if($F147&gt;=5,QUERY(Loot!$A$2:$G$904,""Select G where A = '""&amp; $E147 &amp;""' AND D &gt;= ""&amp; U147 &amp;"" LIMIT 1""),)"),"")</f>
        <v/>
      </c>
      <c r="P147" s="61"/>
      <c r="Q147" s="62">
        <v>0.18997000437234435</v>
      </c>
      <c r="R147" s="63">
        <v>0.6527811292190332</v>
      </c>
      <c r="S147" s="63">
        <v>0.53864069457954855</v>
      </c>
      <c r="T147" s="63">
        <v>0.35444798104202047</v>
      </c>
      <c r="U147" s="63">
        <v>0.45787050942007523</v>
      </c>
    </row>
    <row r="148" spans="1:21" ht="16.2">
      <c r="A148" s="5">
        <f t="shared" ca="1" si="1"/>
        <v>147</v>
      </c>
      <c r="B148" s="5" t="str">
        <f ca="1">IFERROR(__xludf.DUMMYFUNCTION("if(ISBLANK(C148),,QUERY(MD!A149:D1147,""Select A where C = '""&amp; C148 &amp;""'""))"),"")</f>
        <v/>
      </c>
      <c r="C148" s="5"/>
      <c r="D148" s="5" t="str">
        <f ca="1">IFERROR(__xludf.DUMMYFUNCTION("if(ISBLANK(C148),,QUERY(MD!$A$2:$D$1000,""Select D where C = '""&amp; C148 &amp;""'""))"),"")</f>
        <v/>
      </c>
      <c r="E148" s="59" t="str">
        <f ca="1">IFERROR(__xludf.DUMMYFUNCTION("if(ISBLANK(C148),,QUERY(MD!$A$2:$D$1000,""Select B where C = '""&amp; C148 &amp;""'""))"),"")</f>
        <v/>
      </c>
      <c r="F148" s="5">
        <f t="shared" ca="1" si="0"/>
        <v>0</v>
      </c>
      <c r="G148" s="32" t="str">
        <f ca="1">IFERROR(__xludf.DUMMYFUNCTION("if($F148&gt;=1,QUERY(Loot!$A$2:$G$904,""Select G where A = '""&amp; $E148 &amp;""' AND D &gt;= ""&amp; Q148  &amp;"" LIMIT 1""),)"),"")</f>
        <v/>
      </c>
      <c r="H148" s="61"/>
      <c r="I148" s="32" t="str">
        <f ca="1">IFERROR(__xludf.DUMMYFUNCTION("if($F148&gt;=2,QUERY(Loot!$A$2:$G$904,""Select G where A = '""&amp; $E148 &amp;""' AND D &gt;= ""&amp; R148 &amp;"" LIMIT 1""),)"),"")</f>
        <v/>
      </c>
      <c r="J148" s="61"/>
      <c r="K148" s="32" t="str">
        <f ca="1">IFERROR(__xludf.DUMMYFUNCTION("if($F148&gt;=3,QUERY(Loot!$A$2:$G$904,""Select G where A = '""&amp; $E148 &amp;""' AND D &gt;= ""&amp; S148  &amp;"" LIMIT 1""),)"),"")</f>
        <v/>
      </c>
      <c r="L148" s="61"/>
      <c r="M148" s="32" t="str">
        <f ca="1">IFERROR(__xludf.DUMMYFUNCTION("if($F148&gt;=4,QUERY(Loot!$A$2:$G$904,""Select G where A = '""&amp; $E148 &amp;""' AND D &gt;= ""&amp;T148 &amp;"" LIMIT 1""),)"),"")</f>
        <v/>
      </c>
      <c r="N148" s="61"/>
      <c r="O148" s="32" t="str">
        <f ca="1">IFERROR(__xludf.DUMMYFUNCTION("if($F148&gt;=5,QUERY(Loot!$A$2:$G$904,""Select G where A = '""&amp; $E148 &amp;""' AND D &gt;= ""&amp; U148 &amp;"" LIMIT 1""),)"),"")</f>
        <v/>
      </c>
      <c r="P148" s="61"/>
      <c r="Q148" s="62">
        <v>0.29169992249449583</v>
      </c>
      <c r="R148" s="63">
        <v>0.51667697936837664</v>
      </c>
      <c r="S148" s="63">
        <v>0.49731010855381674</v>
      </c>
      <c r="T148" s="63">
        <v>0.84160759168363797</v>
      </c>
      <c r="U148" s="63">
        <v>0.21377999768702205</v>
      </c>
    </row>
    <row r="149" spans="1:21" ht="16.2">
      <c r="A149" s="5">
        <f t="shared" ca="1" si="1"/>
        <v>148</v>
      </c>
      <c r="B149" s="5" t="str">
        <f ca="1">IFERROR(__xludf.DUMMYFUNCTION("if(ISBLANK(C149),,QUERY(MD!A150:D1148,""Select A where C = '""&amp; C149 &amp;""'""))"),"")</f>
        <v/>
      </c>
      <c r="C149" s="5"/>
      <c r="D149" s="5" t="str">
        <f ca="1">IFERROR(__xludf.DUMMYFUNCTION("if(ISBLANK(C149),,QUERY(MD!$A$2:$D$1000,""Select D where C = '""&amp; C149 &amp;""'""))"),"")</f>
        <v/>
      </c>
      <c r="E149" s="59" t="str">
        <f ca="1">IFERROR(__xludf.DUMMYFUNCTION("if(ISBLANK(C149),,QUERY(MD!$A$2:$D$1000,""Select B where C = '""&amp; C149 &amp;""'""))"),"")</f>
        <v/>
      </c>
      <c r="F149" s="5">
        <f t="shared" ca="1" si="0"/>
        <v>0</v>
      </c>
      <c r="G149" s="32" t="str">
        <f ca="1">IFERROR(__xludf.DUMMYFUNCTION("if($F149&gt;=1,QUERY(Loot!$A$2:$G$904,""Select G where A = '""&amp; $E149 &amp;""' AND D &gt;= ""&amp; Q149  &amp;"" LIMIT 1""),)"),"")</f>
        <v/>
      </c>
      <c r="H149" s="61"/>
      <c r="I149" s="32" t="str">
        <f ca="1">IFERROR(__xludf.DUMMYFUNCTION("if($F149&gt;=2,QUERY(Loot!$A$2:$G$904,""Select G where A = '""&amp; $E149 &amp;""' AND D &gt;= ""&amp; R149 &amp;"" LIMIT 1""),)"),"")</f>
        <v/>
      </c>
      <c r="J149" s="61"/>
      <c r="K149" s="32" t="str">
        <f ca="1">IFERROR(__xludf.DUMMYFUNCTION("if($F149&gt;=3,QUERY(Loot!$A$2:$G$904,""Select G where A = '""&amp; $E149 &amp;""' AND D &gt;= ""&amp; S149  &amp;"" LIMIT 1""),)"),"")</f>
        <v/>
      </c>
      <c r="L149" s="61"/>
      <c r="M149" s="32" t="str">
        <f ca="1">IFERROR(__xludf.DUMMYFUNCTION("if($F149&gt;=4,QUERY(Loot!$A$2:$G$904,""Select G where A = '""&amp; $E149 &amp;""' AND D &gt;= ""&amp;T149 &amp;"" LIMIT 1""),)"),"")</f>
        <v/>
      </c>
      <c r="N149" s="61"/>
      <c r="O149" s="32" t="str">
        <f ca="1">IFERROR(__xludf.DUMMYFUNCTION("if($F149&gt;=5,QUERY(Loot!$A$2:$G$904,""Select G where A = '""&amp; $E149 &amp;""' AND D &gt;= ""&amp; U149 &amp;"" LIMIT 1""),)"),"")</f>
        <v/>
      </c>
      <c r="P149" s="61"/>
      <c r="Q149" s="62">
        <v>0.18153152127760874</v>
      </c>
      <c r="R149" s="63">
        <v>0.52649710394773175</v>
      </c>
      <c r="S149" s="63">
        <v>0.7138599532056068</v>
      </c>
      <c r="T149" s="63">
        <v>7.2587240568244837E-2</v>
      </c>
      <c r="U149" s="63">
        <v>0.52143415488160061</v>
      </c>
    </row>
    <row r="150" spans="1:21" ht="16.2">
      <c r="A150" s="5">
        <f t="shared" ca="1" si="1"/>
        <v>149</v>
      </c>
      <c r="B150" s="5" t="str">
        <f ca="1">IFERROR(__xludf.DUMMYFUNCTION("if(ISBLANK(C150),,QUERY(MD!A151:D1149,""Select A where C = '""&amp; C150 &amp;""'""))"),"")</f>
        <v/>
      </c>
      <c r="C150" s="5"/>
      <c r="D150" s="5" t="str">
        <f ca="1">IFERROR(__xludf.DUMMYFUNCTION("if(ISBLANK(C150),,QUERY(MD!$A$2:$D$1000,""Select D where C = '""&amp; C150 &amp;""'""))"),"")</f>
        <v/>
      </c>
      <c r="E150" s="59" t="str">
        <f ca="1">IFERROR(__xludf.DUMMYFUNCTION("if(ISBLANK(C150),,QUERY(MD!$A$2:$D$1000,""Select B where C = '""&amp; C150 &amp;""'""))"),"")</f>
        <v/>
      </c>
      <c r="F150" s="5">
        <f t="shared" ca="1" si="0"/>
        <v>0</v>
      </c>
      <c r="G150" s="32" t="str">
        <f ca="1">IFERROR(__xludf.DUMMYFUNCTION("if($F150&gt;=1,QUERY(Loot!$A$2:$G$904,""Select G where A = '""&amp; $E150 &amp;""' AND D &gt;= ""&amp; Q150  &amp;"" LIMIT 1""),)"),"")</f>
        <v/>
      </c>
      <c r="H150" s="61"/>
      <c r="I150" s="32" t="str">
        <f ca="1">IFERROR(__xludf.DUMMYFUNCTION("if($F150&gt;=2,QUERY(Loot!$A$2:$G$904,""Select G where A = '""&amp; $E150 &amp;""' AND D &gt;= ""&amp; R150 &amp;"" LIMIT 1""),)"),"")</f>
        <v/>
      </c>
      <c r="J150" s="61"/>
      <c r="K150" s="32" t="str">
        <f ca="1">IFERROR(__xludf.DUMMYFUNCTION("if($F150&gt;=3,QUERY(Loot!$A$2:$G$904,""Select G where A = '""&amp; $E150 &amp;""' AND D &gt;= ""&amp; S150  &amp;"" LIMIT 1""),)"),"")</f>
        <v/>
      </c>
      <c r="L150" s="61"/>
      <c r="M150" s="32" t="str">
        <f ca="1">IFERROR(__xludf.DUMMYFUNCTION("if($F150&gt;=4,QUERY(Loot!$A$2:$G$904,""Select G where A = '""&amp; $E150 &amp;""' AND D &gt;= ""&amp;T150 &amp;"" LIMIT 1""),)"),"")</f>
        <v/>
      </c>
      <c r="N150" s="61"/>
      <c r="O150" s="32" t="str">
        <f ca="1">IFERROR(__xludf.DUMMYFUNCTION("if($F150&gt;=5,QUERY(Loot!$A$2:$G$904,""Select G where A = '""&amp; $E150 &amp;""' AND D &gt;= ""&amp; U150 &amp;"" LIMIT 1""),)"),"")</f>
        <v/>
      </c>
      <c r="P150" s="61"/>
      <c r="Q150" s="62">
        <v>0.51631533901158877</v>
      </c>
      <c r="R150" s="63">
        <v>0.41328051346646111</v>
      </c>
      <c r="S150" s="63">
        <v>2.5624405439945597E-2</v>
      </c>
      <c r="T150" s="63">
        <v>0.45087550008024357</v>
      </c>
      <c r="U150" s="63">
        <v>0.23791919034511944</v>
      </c>
    </row>
    <row r="151" spans="1:21" ht="16.2">
      <c r="A151" s="5">
        <f t="shared" ca="1" si="1"/>
        <v>150</v>
      </c>
      <c r="B151" s="5" t="str">
        <f ca="1">IFERROR(__xludf.DUMMYFUNCTION("if(ISBLANK(C151),,QUERY(MD!A152:D1150,""Select A where C = '""&amp; C151 &amp;""'""))"),"")</f>
        <v/>
      </c>
      <c r="C151" s="5"/>
      <c r="D151" s="5" t="str">
        <f ca="1">IFERROR(__xludf.DUMMYFUNCTION("if(ISBLANK(C151),,QUERY(MD!$A$2:$D$1000,""Select D where C = '""&amp; C151 &amp;""'""))"),"")</f>
        <v/>
      </c>
      <c r="E151" s="59" t="str">
        <f ca="1">IFERROR(__xludf.DUMMYFUNCTION("if(ISBLANK(C151),,QUERY(MD!$A$2:$D$1000,""Select B where C = '""&amp; C151 &amp;""'""))"),"")</f>
        <v/>
      </c>
      <c r="F151" s="5">
        <f t="shared" ca="1" si="0"/>
        <v>0</v>
      </c>
      <c r="G151" s="32" t="str">
        <f ca="1">IFERROR(__xludf.DUMMYFUNCTION("if($F151&gt;=1,QUERY(Loot!$A$2:$G$904,""Select G where A = '""&amp; $E151 &amp;""' AND D &gt;= ""&amp; Q151  &amp;"" LIMIT 1""),)"),"")</f>
        <v/>
      </c>
      <c r="H151" s="61"/>
      <c r="I151" s="32" t="str">
        <f ca="1">IFERROR(__xludf.DUMMYFUNCTION("if($F151&gt;=2,QUERY(Loot!$A$2:$G$904,""Select G where A = '""&amp; $E151 &amp;""' AND D &gt;= ""&amp; R151 &amp;"" LIMIT 1""),)"),"")</f>
        <v/>
      </c>
      <c r="J151" s="61"/>
      <c r="K151" s="32" t="str">
        <f ca="1">IFERROR(__xludf.DUMMYFUNCTION("if($F151&gt;=3,QUERY(Loot!$A$2:$G$904,""Select G where A = '""&amp; $E151 &amp;""' AND D &gt;= ""&amp; S151  &amp;"" LIMIT 1""),)"),"")</f>
        <v/>
      </c>
      <c r="L151" s="61"/>
      <c r="M151" s="32" t="str">
        <f ca="1">IFERROR(__xludf.DUMMYFUNCTION("if($F151&gt;=4,QUERY(Loot!$A$2:$G$904,""Select G where A = '""&amp; $E151 &amp;""' AND D &gt;= ""&amp;T151 &amp;"" LIMIT 1""),)"),"")</f>
        <v/>
      </c>
      <c r="N151" s="61"/>
      <c r="O151" s="32" t="str">
        <f ca="1">IFERROR(__xludf.DUMMYFUNCTION("if($F151&gt;=5,QUERY(Loot!$A$2:$G$904,""Select G where A = '""&amp; $E151 &amp;""' AND D &gt;= ""&amp; U151 &amp;"" LIMIT 1""),)"),"")</f>
        <v/>
      </c>
      <c r="P151" s="61"/>
      <c r="Q151" s="62">
        <v>0.13631705850064313</v>
      </c>
      <c r="R151" s="63">
        <v>5.5104348586740626E-2</v>
      </c>
      <c r="S151" s="63">
        <v>7.2323281786187521E-2</v>
      </c>
      <c r="T151" s="63">
        <v>0.19504623097687823</v>
      </c>
      <c r="U151" s="63">
        <v>0.46632300043834507</v>
      </c>
    </row>
    <row r="152" spans="1:21" ht="16.2">
      <c r="A152" s="5">
        <f t="shared" ca="1" si="1"/>
        <v>151</v>
      </c>
      <c r="B152" s="5" t="str">
        <f ca="1">IFERROR(__xludf.DUMMYFUNCTION("if(ISBLANK(C152),,QUERY(MD!A153:D1151,""Select A where C = '""&amp; C152 &amp;""'""))"),"")</f>
        <v/>
      </c>
      <c r="C152" s="5"/>
      <c r="D152" s="5" t="str">
        <f ca="1">IFERROR(__xludf.DUMMYFUNCTION("if(ISBLANK(C152),,QUERY(MD!$A$2:$D$1000,""Select D where C = '""&amp; C152 &amp;""'""))"),"")</f>
        <v/>
      </c>
      <c r="E152" s="59" t="str">
        <f ca="1">IFERROR(__xludf.DUMMYFUNCTION("if(ISBLANK(C152),,QUERY(MD!$A$2:$D$1000,""Select B where C = '""&amp; C152 &amp;""'""))"),"")</f>
        <v/>
      </c>
      <c r="F152" s="5">
        <f t="shared" ca="1" si="0"/>
        <v>0</v>
      </c>
      <c r="G152" s="32" t="str">
        <f ca="1">IFERROR(__xludf.DUMMYFUNCTION("if($F152&gt;=1,QUERY(Loot!$A$2:$G$904,""Select G where A = '""&amp; $E152 &amp;""' AND D &gt;= ""&amp; Q152  &amp;"" LIMIT 1""),)"),"")</f>
        <v/>
      </c>
      <c r="H152" s="61"/>
      <c r="I152" s="32" t="str">
        <f ca="1">IFERROR(__xludf.DUMMYFUNCTION("if($F152&gt;=2,QUERY(Loot!$A$2:$G$904,""Select G where A = '""&amp; $E152 &amp;""' AND D &gt;= ""&amp; R152 &amp;"" LIMIT 1""),)"),"")</f>
        <v/>
      </c>
      <c r="J152" s="61"/>
      <c r="K152" s="32" t="str">
        <f ca="1">IFERROR(__xludf.DUMMYFUNCTION("if($F152&gt;=3,QUERY(Loot!$A$2:$G$904,""Select G where A = '""&amp; $E152 &amp;""' AND D &gt;= ""&amp; S152  &amp;"" LIMIT 1""),)"),"")</f>
        <v/>
      </c>
      <c r="L152" s="61"/>
      <c r="M152" s="32" t="str">
        <f ca="1">IFERROR(__xludf.DUMMYFUNCTION("if($F152&gt;=4,QUERY(Loot!$A$2:$G$904,""Select G where A = '""&amp; $E152 &amp;""' AND D &gt;= ""&amp;T152 &amp;"" LIMIT 1""),)"),"")</f>
        <v/>
      </c>
      <c r="N152" s="61"/>
      <c r="O152" s="32" t="str">
        <f ca="1">IFERROR(__xludf.DUMMYFUNCTION("if($F152&gt;=5,QUERY(Loot!$A$2:$G$904,""Select G where A = '""&amp; $E152 &amp;""' AND D &gt;= ""&amp; U152 &amp;"" LIMIT 1""),)"),"")</f>
        <v/>
      </c>
      <c r="P152" s="61"/>
      <c r="Q152" s="62">
        <v>0.59202473149886292</v>
      </c>
      <c r="R152" s="63">
        <v>0.55757925747241666</v>
      </c>
      <c r="S152" s="63">
        <v>0.1093934696313611</v>
      </c>
      <c r="T152" s="63">
        <v>0.44223348584137245</v>
      </c>
      <c r="U152" s="63">
        <v>0.55412047339884973</v>
      </c>
    </row>
    <row r="153" spans="1:21" ht="16.2">
      <c r="A153" s="5">
        <f t="shared" ca="1" si="1"/>
        <v>152</v>
      </c>
      <c r="B153" s="5" t="str">
        <f ca="1">IFERROR(__xludf.DUMMYFUNCTION("if(ISBLANK(C153),,QUERY(MD!A154:D1152,""Select A where C = '""&amp; C153 &amp;""'""))"),"")</f>
        <v/>
      </c>
      <c r="C153" s="5"/>
      <c r="D153" s="5" t="str">
        <f ca="1">IFERROR(__xludf.DUMMYFUNCTION("if(ISBLANK(C153),,QUERY(MD!$A$2:$D$1000,""Select D where C = '""&amp; C153 &amp;""'""))"),"")</f>
        <v/>
      </c>
      <c r="E153" s="59" t="str">
        <f ca="1">IFERROR(__xludf.DUMMYFUNCTION("if(ISBLANK(C153),,QUERY(MD!$A$2:$D$1000,""Select B where C = '""&amp; C153 &amp;""'""))"),"")</f>
        <v/>
      </c>
      <c r="F153" s="5">
        <f t="shared" ca="1" si="0"/>
        <v>0</v>
      </c>
      <c r="G153" s="32" t="str">
        <f ca="1">IFERROR(__xludf.DUMMYFUNCTION("if($F153&gt;=1,QUERY(Loot!$A$2:$G$904,""Select G where A = '""&amp; $E153 &amp;""' AND D &gt;= ""&amp; Q153  &amp;"" LIMIT 1""),)"),"")</f>
        <v/>
      </c>
      <c r="H153" s="61"/>
      <c r="I153" s="32" t="str">
        <f ca="1">IFERROR(__xludf.DUMMYFUNCTION("if($F153&gt;=2,QUERY(Loot!$A$2:$G$904,""Select G where A = '""&amp; $E153 &amp;""' AND D &gt;= ""&amp; R153 &amp;"" LIMIT 1""),)"),"")</f>
        <v/>
      </c>
      <c r="J153" s="61"/>
      <c r="K153" s="32" t="str">
        <f ca="1">IFERROR(__xludf.DUMMYFUNCTION("if($F153&gt;=3,QUERY(Loot!$A$2:$G$904,""Select G where A = '""&amp; $E153 &amp;""' AND D &gt;= ""&amp; S153  &amp;"" LIMIT 1""),)"),"")</f>
        <v/>
      </c>
      <c r="L153" s="61"/>
      <c r="M153" s="32" t="str">
        <f ca="1">IFERROR(__xludf.DUMMYFUNCTION("if($F153&gt;=4,QUERY(Loot!$A$2:$G$904,""Select G where A = '""&amp; $E153 &amp;""' AND D &gt;= ""&amp;T153 &amp;"" LIMIT 1""),)"),"")</f>
        <v/>
      </c>
      <c r="N153" s="61"/>
      <c r="O153" s="32" t="str">
        <f ca="1">IFERROR(__xludf.DUMMYFUNCTION("if($F153&gt;=5,QUERY(Loot!$A$2:$G$904,""Select G where A = '""&amp; $E153 &amp;""' AND D &gt;= ""&amp; U153 &amp;"" LIMIT 1""),)"),"")</f>
        <v/>
      </c>
      <c r="P153" s="61"/>
      <c r="Q153" s="62">
        <v>0.81869914685465306</v>
      </c>
      <c r="R153" s="63">
        <v>0.42212691051874773</v>
      </c>
      <c r="S153" s="63">
        <v>0.5399470454269848</v>
      </c>
      <c r="T153" s="63">
        <v>1.6159624477660284E-2</v>
      </c>
      <c r="U153" s="63">
        <v>0.19092591383038582</v>
      </c>
    </row>
    <row r="154" spans="1:21" ht="16.2">
      <c r="A154" s="5">
        <f t="shared" ca="1" si="1"/>
        <v>153</v>
      </c>
      <c r="B154" s="5" t="str">
        <f ca="1">IFERROR(__xludf.DUMMYFUNCTION("if(ISBLANK(C154),,QUERY(MD!A155:D1153,""Select A where C = '""&amp; C154 &amp;""'""))"),"")</f>
        <v/>
      </c>
      <c r="C154" s="5"/>
      <c r="D154" s="5" t="str">
        <f ca="1">IFERROR(__xludf.DUMMYFUNCTION("if(ISBLANK(C154),,QUERY(MD!$A$2:$D$1000,""Select D where C = '""&amp; C154 &amp;""'""))"),"")</f>
        <v/>
      </c>
      <c r="E154" s="59" t="str">
        <f ca="1">IFERROR(__xludf.DUMMYFUNCTION("if(ISBLANK(C154),,QUERY(MD!$A$2:$D$1000,""Select B where C = '""&amp; C154 &amp;""'""))"),"")</f>
        <v/>
      </c>
      <c r="F154" s="5">
        <f t="shared" ca="1" si="0"/>
        <v>0</v>
      </c>
      <c r="G154" s="32" t="str">
        <f ca="1">IFERROR(__xludf.DUMMYFUNCTION("if($F154&gt;=1,QUERY(Loot!$A$2:$G$904,""Select G where A = '""&amp; $E154 &amp;""' AND D &gt;= ""&amp; Q154  &amp;"" LIMIT 1""),)"),"")</f>
        <v/>
      </c>
      <c r="H154" s="61"/>
      <c r="I154" s="32" t="str">
        <f ca="1">IFERROR(__xludf.DUMMYFUNCTION("if($F154&gt;=2,QUERY(Loot!$A$2:$G$904,""Select G where A = '""&amp; $E154 &amp;""' AND D &gt;= ""&amp; R154 &amp;"" LIMIT 1""),)"),"")</f>
        <v/>
      </c>
      <c r="J154" s="61"/>
      <c r="K154" s="32" t="str">
        <f ca="1">IFERROR(__xludf.DUMMYFUNCTION("if($F154&gt;=3,QUERY(Loot!$A$2:$G$904,""Select G where A = '""&amp; $E154 &amp;""' AND D &gt;= ""&amp; S154  &amp;"" LIMIT 1""),)"),"")</f>
        <v/>
      </c>
      <c r="L154" s="61"/>
      <c r="M154" s="32" t="str">
        <f ca="1">IFERROR(__xludf.DUMMYFUNCTION("if($F154&gt;=4,QUERY(Loot!$A$2:$G$904,""Select G where A = '""&amp; $E154 &amp;""' AND D &gt;= ""&amp;T154 &amp;"" LIMIT 1""),)"),"")</f>
        <v/>
      </c>
      <c r="N154" s="61"/>
      <c r="O154" s="32" t="str">
        <f ca="1">IFERROR(__xludf.DUMMYFUNCTION("if($F154&gt;=5,QUERY(Loot!$A$2:$G$904,""Select G where A = '""&amp; $E154 &amp;""' AND D &gt;= ""&amp; U154 &amp;"" LIMIT 1""),)"),"")</f>
        <v/>
      </c>
      <c r="P154" s="61"/>
      <c r="Q154" s="62">
        <v>0.80800653240340514</v>
      </c>
      <c r="R154" s="63">
        <v>0.61288755065036549</v>
      </c>
      <c r="S154" s="63">
        <v>0.84348527174146637</v>
      </c>
      <c r="T154" s="63">
        <v>0.87583289032794909</v>
      </c>
      <c r="U154" s="63">
        <v>9.8254075236493765E-2</v>
      </c>
    </row>
    <row r="155" spans="1:21" ht="16.2">
      <c r="A155" s="5">
        <f t="shared" ca="1" si="1"/>
        <v>154</v>
      </c>
      <c r="B155" s="5" t="str">
        <f ca="1">IFERROR(__xludf.DUMMYFUNCTION("if(ISBLANK(C155),,QUERY(MD!A156:D1154,""Select A where C = '""&amp; C155 &amp;""'""))"),"")</f>
        <v/>
      </c>
      <c r="C155" s="5"/>
      <c r="D155" s="5" t="str">
        <f ca="1">IFERROR(__xludf.DUMMYFUNCTION("if(ISBLANK(C155),,QUERY(MD!$A$2:$D$1000,""Select D where C = '""&amp; C155 &amp;""'""))"),"")</f>
        <v/>
      </c>
      <c r="E155" s="59" t="str">
        <f ca="1">IFERROR(__xludf.DUMMYFUNCTION("if(ISBLANK(C155),,QUERY(MD!$A$2:$D$1000,""Select B where C = '""&amp; C155 &amp;""'""))"),"")</f>
        <v/>
      </c>
      <c r="F155" s="5">
        <f t="shared" ca="1" si="0"/>
        <v>0</v>
      </c>
      <c r="G155" s="32" t="str">
        <f ca="1">IFERROR(__xludf.DUMMYFUNCTION("if($F155&gt;=1,QUERY(Loot!$A$2:$G$904,""Select G where A = '""&amp; $E155 &amp;""' AND D &gt;= ""&amp; Q155  &amp;"" LIMIT 1""),)"),"")</f>
        <v/>
      </c>
      <c r="H155" s="61"/>
      <c r="I155" s="32" t="str">
        <f ca="1">IFERROR(__xludf.DUMMYFUNCTION("if($F155&gt;=2,QUERY(Loot!$A$2:$G$904,""Select G where A = '""&amp; $E155 &amp;""' AND D &gt;= ""&amp; R155 &amp;"" LIMIT 1""),)"),"")</f>
        <v/>
      </c>
      <c r="J155" s="61"/>
      <c r="K155" s="32" t="str">
        <f ca="1">IFERROR(__xludf.DUMMYFUNCTION("if($F155&gt;=3,QUERY(Loot!$A$2:$G$904,""Select G where A = '""&amp; $E155 &amp;""' AND D &gt;= ""&amp; S155  &amp;"" LIMIT 1""),)"),"")</f>
        <v/>
      </c>
      <c r="L155" s="61"/>
      <c r="M155" s="32" t="str">
        <f ca="1">IFERROR(__xludf.DUMMYFUNCTION("if($F155&gt;=4,QUERY(Loot!$A$2:$G$904,""Select G where A = '""&amp; $E155 &amp;""' AND D &gt;= ""&amp;T155 &amp;"" LIMIT 1""),)"),"")</f>
        <v/>
      </c>
      <c r="N155" s="61"/>
      <c r="O155" s="32" t="str">
        <f ca="1">IFERROR(__xludf.DUMMYFUNCTION("if($F155&gt;=5,QUERY(Loot!$A$2:$G$904,""Select G where A = '""&amp; $E155 &amp;""' AND D &gt;= ""&amp; U155 &amp;"" LIMIT 1""),)"),"")</f>
        <v/>
      </c>
      <c r="P155" s="61"/>
      <c r="Q155" s="62">
        <v>0.68328375462333746</v>
      </c>
      <c r="R155" s="63">
        <v>0.55495422985607867</v>
      </c>
      <c r="S155" s="63">
        <v>0.65236758079827906</v>
      </c>
      <c r="T155" s="63">
        <v>5.0872232631767877E-2</v>
      </c>
      <c r="U155" s="63">
        <v>0.94710800706306086</v>
      </c>
    </row>
    <row r="156" spans="1:21" ht="16.2">
      <c r="A156" s="5">
        <f t="shared" ca="1" si="1"/>
        <v>155</v>
      </c>
      <c r="B156" s="5" t="str">
        <f ca="1">IFERROR(__xludf.DUMMYFUNCTION("if(ISBLANK(C156),,QUERY(MD!A157:D1155,""Select A where C = '""&amp; C156 &amp;""'""))"),"")</f>
        <v/>
      </c>
      <c r="C156" s="5"/>
      <c r="D156" s="5" t="str">
        <f ca="1">IFERROR(__xludf.DUMMYFUNCTION("if(ISBLANK(C156),,QUERY(MD!$A$2:$D$1000,""Select D where C = '""&amp; C156 &amp;""'""))"),"")</f>
        <v/>
      </c>
      <c r="E156" s="59" t="str">
        <f ca="1">IFERROR(__xludf.DUMMYFUNCTION("if(ISBLANK(C156),,QUERY(MD!$A$2:$D$1000,""Select B where C = '""&amp; C156 &amp;""'""))"),"")</f>
        <v/>
      </c>
      <c r="F156" s="5">
        <f t="shared" ca="1" si="0"/>
        <v>0</v>
      </c>
      <c r="G156" s="32" t="str">
        <f ca="1">IFERROR(__xludf.DUMMYFUNCTION("if($F156&gt;=1,QUERY(Loot!$A$2:$G$904,""Select G where A = '""&amp; $E156 &amp;""' AND D &gt;= ""&amp; Q156  &amp;"" LIMIT 1""),)"),"")</f>
        <v/>
      </c>
      <c r="H156" s="61"/>
      <c r="I156" s="32" t="str">
        <f ca="1">IFERROR(__xludf.DUMMYFUNCTION("if($F156&gt;=2,QUERY(Loot!$A$2:$G$904,""Select G where A = '""&amp; $E156 &amp;""' AND D &gt;= ""&amp; R156 &amp;"" LIMIT 1""),)"),"")</f>
        <v/>
      </c>
      <c r="J156" s="61"/>
      <c r="K156" s="32" t="str">
        <f ca="1">IFERROR(__xludf.DUMMYFUNCTION("if($F156&gt;=3,QUERY(Loot!$A$2:$G$904,""Select G where A = '""&amp; $E156 &amp;""' AND D &gt;= ""&amp; S156  &amp;"" LIMIT 1""),)"),"")</f>
        <v/>
      </c>
      <c r="L156" s="61"/>
      <c r="M156" s="32" t="str">
        <f ca="1">IFERROR(__xludf.DUMMYFUNCTION("if($F156&gt;=4,QUERY(Loot!$A$2:$G$904,""Select G where A = '""&amp; $E156 &amp;""' AND D &gt;= ""&amp;T156 &amp;"" LIMIT 1""),)"),"")</f>
        <v/>
      </c>
      <c r="N156" s="61"/>
      <c r="O156" s="32" t="str">
        <f ca="1">IFERROR(__xludf.DUMMYFUNCTION("if($F156&gt;=5,QUERY(Loot!$A$2:$G$904,""Select G where A = '""&amp; $E156 &amp;""' AND D &gt;= ""&amp; U156 &amp;"" LIMIT 1""),)"),"")</f>
        <v/>
      </c>
      <c r="P156" s="61"/>
      <c r="Q156" s="62">
        <v>2.1042161034788065E-2</v>
      </c>
      <c r="R156" s="63">
        <v>0.36683463643593139</v>
      </c>
      <c r="S156" s="63">
        <v>0.91339183034710614</v>
      </c>
      <c r="T156" s="63">
        <v>0.3575280192690965</v>
      </c>
      <c r="U156" s="63">
        <v>0.29915832797755348</v>
      </c>
    </row>
    <row r="157" spans="1:21" ht="16.2">
      <c r="A157" s="5">
        <f t="shared" ca="1" si="1"/>
        <v>156</v>
      </c>
      <c r="B157" s="5" t="str">
        <f ca="1">IFERROR(__xludf.DUMMYFUNCTION("if(ISBLANK(C157),,QUERY(MD!A158:D1156,""Select A where C = '""&amp; C157 &amp;""'""))"),"")</f>
        <v/>
      </c>
      <c r="C157" s="5"/>
      <c r="D157" s="5" t="str">
        <f ca="1">IFERROR(__xludf.DUMMYFUNCTION("if(ISBLANK(C157),,QUERY(MD!$A$2:$D$1000,""Select D where C = '""&amp; C157 &amp;""'""))"),"")</f>
        <v/>
      </c>
      <c r="E157" s="59" t="str">
        <f ca="1">IFERROR(__xludf.DUMMYFUNCTION("if(ISBLANK(C157),,QUERY(MD!$A$2:$D$1000,""Select B where C = '""&amp; C157 &amp;""'""))"),"")</f>
        <v/>
      </c>
      <c r="F157" s="5">
        <f t="shared" ca="1" si="0"/>
        <v>0</v>
      </c>
      <c r="G157" s="32" t="str">
        <f ca="1">IFERROR(__xludf.DUMMYFUNCTION("if($F157&gt;=1,QUERY(Loot!$A$2:$G$904,""Select G where A = '""&amp; $E157 &amp;""' AND D &gt;= ""&amp; Q157  &amp;"" LIMIT 1""),)"),"")</f>
        <v/>
      </c>
      <c r="H157" s="61"/>
      <c r="I157" s="32" t="str">
        <f ca="1">IFERROR(__xludf.DUMMYFUNCTION("if($F157&gt;=2,QUERY(Loot!$A$2:$G$904,""Select G where A = '""&amp; $E157 &amp;""' AND D &gt;= ""&amp; R157 &amp;"" LIMIT 1""),)"),"")</f>
        <v/>
      </c>
      <c r="J157" s="61"/>
      <c r="K157" s="32" t="str">
        <f ca="1">IFERROR(__xludf.DUMMYFUNCTION("if($F157&gt;=3,QUERY(Loot!$A$2:$G$904,""Select G where A = '""&amp; $E157 &amp;""' AND D &gt;= ""&amp; S157  &amp;"" LIMIT 1""),)"),"")</f>
        <v/>
      </c>
      <c r="L157" s="61"/>
      <c r="M157" s="32" t="str">
        <f ca="1">IFERROR(__xludf.DUMMYFUNCTION("if($F157&gt;=4,QUERY(Loot!$A$2:$G$904,""Select G where A = '""&amp; $E157 &amp;""' AND D &gt;= ""&amp;T157 &amp;"" LIMIT 1""),)"),"")</f>
        <v/>
      </c>
      <c r="N157" s="61"/>
      <c r="O157" s="32" t="str">
        <f ca="1">IFERROR(__xludf.DUMMYFUNCTION("if($F157&gt;=5,QUERY(Loot!$A$2:$G$904,""Select G where A = '""&amp; $E157 &amp;""' AND D &gt;= ""&amp; U157 &amp;"" LIMIT 1""),)"),"")</f>
        <v/>
      </c>
      <c r="P157" s="61"/>
      <c r="Q157" s="62">
        <v>0.57018824868174456</v>
      </c>
      <c r="R157" s="63">
        <v>3.9061682424330391E-2</v>
      </c>
      <c r="S157" s="63">
        <v>0.45474478230016557</v>
      </c>
      <c r="T157" s="63">
        <v>0.71620313457101037</v>
      </c>
      <c r="U157" s="63">
        <v>0.96674585580899786</v>
      </c>
    </row>
    <row r="158" spans="1:21" ht="16.2">
      <c r="A158" s="5">
        <f t="shared" ca="1" si="1"/>
        <v>157</v>
      </c>
      <c r="B158" s="5" t="str">
        <f ca="1">IFERROR(__xludf.DUMMYFUNCTION("if(ISBLANK(C158),,QUERY(MD!A159:D1157,""Select A where C = '""&amp; C158 &amp;""'""))"),"")</f>
        <v/>
      </c>
      <c r="C158" s="5"/>
      <c r="D158" s="5" t="str">
        <f ca="1">IFERROR(__xludf.DUMMYFUNCTION("if(ISBLANK(C158),,QUERY(MD!$A$2:$D$1000,""Select D where C = '""&amp; C158 &amp;""'""))"),"")</f>
        <v/>
      </c>
      <c r="E158" s="59" t="str">
        <f ca="1">IFERROR(__xludf.DUMMYFUNCTION("if(ISBLANK(C158),,QUERY(MD!$A$2:$D$1000,""Select B where C = '""&amp; C158 &amp;""'""))"),"")</f>
        <v/>
      </c>
      <c r="F158" s="5">
        <f t="shared" ca="1" si="0"/>
        <v>0</v>
      </c>
      <c r="G158" s="32" t="str">
        <f ca="1">IFERROR(__xludf.DUMMYFUNCTION("if($F158&gt;=1,QUERY(Loot!$A$2:$G$904,""Select G where A = '""&amp; $E158 &amp;""' AND D &gt;= ""&amp; Q158  &amp;"" LIMIT 1""),)"),"")</f>
        <v/>
      </c>
      <c r="H158" s="61"/>
      <c r="I158" s="32" t="str">
        <f ca="1">IFERROR(__xludf.DUMMYFUNCTION("if($F158&gt;=2,QUERY(Loot!$A$2:$G$904,""Select G where A = '""&amp; $E158 &amp;""' AND D &gt;= ""&amp; R158 &amp;"" LIMIT 1""),)"),"")</f>
        <v/>
      </c>
      <c r="J158" s="61"/>
      <c r="K158" s="32" t="str">
        <f ca="1">IFERROR(__xludf.DUMMYFUNCTION("if($F158&gt;=3,QUERY(Loot!$A$2:$G$904,""Select G where A = '""&amp; $E158 &amp;""' AND D &gt;= ""&amp; S158  &amp;"" LIMIT 1""),)"),"")</f>
        <v/>
      </c>
      <c r="L158" s="61"/>
      <c r="M158" s="32" t="str">
        <f ca="1">IFERROR(__xludf.DUMMYFUNCTION("if($F158&gt;=4,QUERY(Loot!$A$2:$G$904,""Select G where A = '""&amp; $E158 &amp;""' AND D &gt;= ""&amp;T158 &amp;"" LIMIT 1""),)"),"")</f>
        <v/>
      </c>
      <c r="N158" s="61"/>
      <c r="O158" s="32" t="str">
        <f ca="1">IFERROR(__xludf.DUMMYFUNCTION("if($F158&gt;=5,QUERY(Loot!$A$2:$G$904,""Select G where A = '""&amp; $E158 &amp;""' AND D &gt;= ""&amp; U158 &amp;"" LIMIT 1""),)"),"")</f>
        <v/>
      </c>
      <c r="P158" s="61"/>
      <c r="Q158" s="62">
        <v>0.63195546271169822</v>
      </c>
      <c r="R158" s="63">
        <v>0.86711226240695327</v>
      </c>
      <c r="S158" s="63">
        <v>0.84890981367468288</v>
      </c>
      <c r="T158" s="63">
        <v>0.16204097048531163</v>
      </c>
      <c r="U158" s="63">
        <v>0.86356646288952588</v>
      </c>
    </row>
    <row r="159" spans="1:21" ht="16.2">
      <c r="A159" s="5">
        <f t="shared" ca="1" si="1"/>
        <v>158</v>
      </c>
      <c r="B159" s="5" t="str">
        <f ca="1">IFERROR(__xludf.DUMMYFUNCTION("if(ISBLANK(C159),,QUERY(MD!A160:D1158,""Select A where C = '""&amp; C159 &amp;""'""))"),"")</f>
        <v/>
      </c>
      <c r="C159" s="5"/>
      <c r="D159" s="5" t="str">
        <f ca="1">IFERROR(__xludf.DUMMYFUNCTION("if(ISBLANK(C159),,QUERY(MD!$A$2:$D$1000,""Select D where C = '""&amp; C159 &amp;""'""))"),"")</f>
        <v/>
      </c>
      <c r="E159" s="59" t="str">
        <f ca="1">IFERROR(__xludf.DUMMYFUNCTION("if(ISBLANK(C159),,QUERY(MD!$A$2:$D$1000,""Select B where C = '""&amp; C159 &amp;""'""))"),"")</f>
        <v/>
      </c>
      <c r="F159" s="5">
        <f t="shared" ca="1" si="0"/>
        <v>0</v>
      </c>
      <c r="G159" s="32" t="str">
        <f ca="1">IFERROR(__xludf.DUMMYFUNCTION("if($F159&gt;=1,QUERY(Loot!$A$2:$G$904,""Select G where A = '""&amp; $E159 &amp;""' AND D &gt;= ""&amp; Q159  &amp;"" LIMIT 1""),)"),"")</f>
        <v/>
      </c>
      <c r="H159" s="61"/>
      <c r="I159" s="32" t="str">
        <f ca="1">IFERROR(__xludf.DUMMYFUNCTION("if($F159&gt;=2,QUERY(Loot!$A$2:$G$904,""Select G where A = '""&amp; $E159 &amp;""' AND D &gt;= ""&amp; R159 &amp;"" LIMIT 1""),)"),"")</f>
        <v/>
      </c>
      <c r="J159" s="61"/>
      <c r="K159" s="32" t="str">
        <f ca="1">IFERROR(__xludf.DUMMYFUNCTION("if($F159&gt;=3,QUERY(Loot!$A$2:$G$904,""Select G where A = '""&amp; $E159 &amp;""' AND D &gt;= ""&amp; S159  &amp;"" LIMIT 1""),)"),"")</f>
        <v/>
      </c>
      <c r="L159" s="61"/>
      <c r="M159" s="32" t="str">
        <f ca="1">IFERROR(__xludf.DUMMYFUNCTION("if($F159&gt;=4,QUERY(Loot!$A$2:$G$904,""Select G where A = '""&amp; $E159 &amp;""' AND D &gt;= ""&amp;T159 &amp;"" LIMIT 1""),)"),"")</f>
        <v/>
      </c>
      <c r="N159" s="61"/>
      <c r="O159" s="32" t="str">
        <f ca="1">IFERROR(__xludf.DUMMYFUNCTION("if($F159&gt;=5,QUERY(Loot!$A$2:$G$904,""Select G where A = '""&amp; $E159 &amp;""' AND D &gt;= ""&amp; U159 &amp;"" LIMIT 1""),)"),"")</f>
        <v/>
      </c>
      <c r="P159" s="61"/>
      <c r="Q159" s="62">
        <v>0.27357999403678579</v>
      </c>
      <c r="R159" s="63">
        <v>0.1199546284433487</v>
      </c>
      <c r="S159" s="63">
        <v>0.27783029096306588</v>
      </c>
      <c r="T159" s="63">
        <v>0.10190239160477077</v>
      </c>
      <c r="U159" s="63">
        <v>0.46957019383928178</v>
      </c>
    </row>
    <row r="160" spans="1:21" ht="16.2">
      <c r="A160" s="5">
        <f t="shared" ca="1" si="1"/>
        <v>159</v>
      </c>
      <c r="B160" s="5" t="str">
        <f ca="1">IFERROR(__xludf.DUMMYFUNCTION("if(ISBLANK(C160),,QUERY(MD!A161:D1159,""Select A where C = '""&amp; C160 &amp;""'""))"),"")</f>
        <v/>
      </c>
      <c r="C160" s="5"/>
      <c r="D160" s="5" t="str">
        <f ca="1">IFERROR(__xludf.DUMMYFUNCTION("if(ISBLANK(C160),,QUERY(MD!$A$2:$D$1000,""Select D where C = '""&amp; C160 &amp;""'""))"),"")</f>
        <v/>
      </c>
      <c r="E160" s="59" t="str">
        <f ca="1">IFERROR(__xludf.DUMMYFUNCTION("if(ISBLANK(C160),,QUERY(MD!$A$2:$D$1000,""Select B where C = '""&amp; C160 &amp;""'""))"),"")</f>
        <v/>
      </c>
      <c r="F160" s="5">
        <f t="shared" ca="1" si="0"/>
        <v>0</v>
      </c>
      <c r="G160" s="32" t="str">
        <f ca="1">IFERROR(__xludf.DUMMYFUNCTION("if($F160&gt;=1,QUERY(Loot!$A$2:$G$904,""Select G where A = '""&amp; $E160 &amp;""' AND D &gt;= ""&amp; Q160  &amp;"" LIMIT 1""),)"),"")</f>
        <v/>
      </c>
      <c r="H160" s="61"/>
      <c r="I160" s="32" t="str">
        <f ca="1">IFERROR(__xludf.DUMMYFUNCTION("if($F160&gt;=2,QUERY(Loot!$A$2:$G$904,""Select G where A = '""&amp; $E160 &amp;""' AND D &gt;= ""&amp; R160 &amp;"" LIMIT 1""),)"),"")</f>
        <v/>
      </c>
      <c r="J160" s="61"/>
      <c r="K160" s="32" t="str">
        <f ca="1">IFERROR(__xludf.DUMMYFUNCTION("if($F160&gt;=3,QUERY(Loot!$A$2:$G$904,""Select G where A = '""&amp; $E160 &amp;""' AND D &gt;= ""&amp; S160  &amp;"" LIMIT 1""),)"),"")</f>
        <v/>
      </c>
      <c r="L160" s="61"/>
      <c r="M160" s="32" t="str">
        <f ca="1">IFERROR(__xludf.DUMMYFUNCTION("if($F160&gt;=4,QUERY(Loot!$A$2:$G$904,""Select G where A = '""&amp; $E160 &amp;""' AND D &gt;= ""&amp;T160 &amp;"" LIMIT 1""),)"),"")</f>
        <v/>
      </c>
      <c r="N160" s="61"/>
      <c r="O160" s="32" t="str">
        <f ca="1">IFERROR(__xludf.DUMMYFUNCTION("if($F160&gt;=5,QUERY(Loot!$A$2:$G$904,""Select G where A = '""&amp; $E160 &amp;""' AND D &gt;= ""&amp; U160 &amp;"" LIMIT 1""),)"),"")</f>
        <v/>
      </c>
      <c r="P160" s="61"/>
      <c r="Q160" s="62">
        <v>0.27022806162214064</v>
      </c>
      <c r="R160" s="63">
        <v>0.84809712919316316</v>
      </c>
      <c r="S160" s="63">
        <v>0.80305623659573633</v>
      </c>
      <c r="T160" s="63">
        <v>0.20166052777133814</v>
      </c>
      <c r="U160" s="63">
        <v>0.33894705591757801</v>
      </c>
    </row>
    <row r="161" spans="1:21" ht="16.2">
      <c r="A161" s="5">
        <f t="shared" ca="1" si="1"/>
        <v>160</v>
      </c>
      <c r="B161" s="5" t="str">
        <f ca="1">IFERROR(__xludf.DUMMYFUNCTION("if(ISBLANK(C161),,QUERY(MD!A162:D1160,""Select A where C = '""&amp; C161 &amp;""'""))"),"")</f>
        <v/>
      </c>
      <c r="C161" s="5"/>
      <c r="D161" s="5" t="str">
        <f ca="1">IFERROR(__xludf.DUMMYFUNCTION("if(ISBLANK(C161),,QUERY(MD!$A$2:$D$1000,""Select D where C = '""&amp; C161 &amp;""'""))"),"")</f>
        <v/>
      </c>
      <c r="E161" s="59" t="str">
        <f ca="1">IFERROR(__xludf.DUMMYFUNCTION("if(ISBLANK(C161),,QUERY(MD!$A$2:$D$1000,""Select B where C = '""&amp; C161 &amp;""'""))"),"")</f>
        <v/>
      </c>
      <c r="F161" s="5">
        <f t="shared" ca="1" si="0"/>
        <v>0</v>
      </c>
      <c r="G161" s="32" t="str">
        <f ca="1">IFERROR(__xludf.DUMMYFUNCTION("if($F161&gt;=1,QUERY(Loot!$A$2:$G$904,""Select G where A = '""&amp; $E161 &amp;""' AND D &gt;= ""&amp; Q161  &amp;"" LIMIT 1""),)"),"")</f>
        <v/>
      </c>
      <c r="H161" s="61"/>
      <c r="I161" s="32" t="str">
        <f ca="1">IFERROR(__xludf.DUMMYFUNCTION("if($F161&gt;=2,QUERY(Loot!$A$2:$G$904,""Select G where A = '""&amp; $E161 &amp;""' AND D &gt;= ""&amp; R161 &amp;"" LIMIT 1""),)"),"")</f>
        <v/>
      </c>
      <c r="J161" s="61"/>
      <c r="K161" s="32" t="str">
        <f ca="1">IFERROR(__xludf.DUMMYFUNCTION("if($F161&gt;=3,QUERY(Loot!$A$2:$G$904,""Select G where A = '""&amp; $E161 &amp;""' AND D &gt;= ""&amp; S161  &amp;"" LIMIT 1""),)"),"")</f>
        <v/>
      </c>
      <c r="L161" s="61"/>
      <c r="M161" s="32" t="str">
        <f ca="1">IFERROR(__xludf.DUMMYFUNCTION("if($F161&gt;=4,QUERY(Loot!$A$2:$G$904,""Select G where A = '""&amp; $E161 &amp;""' AND D &gt;= ""&amp;T161 &amp;"" LIMIT 1""),)"),"")</f>
        <v/>
      </c>
      <c r="N161" s="61"/>
      <c r="O161" s="32" t="str">
        <f ca="1">IFERROR(__xludf.DUMMYFUNCTION("if($F161&gt;=5,QUERY(Loot!$A$2:$G$904,""Select G where A = '""&amp; $E161 &amp;""' AND D &gt;= ""&amp; U161 &amp;"" LIMIT 1""),)"),"")</f>
        <v/>
      </c>
      <c r="P161" s="61"/>
      <c r="Q161" s="62">
        <v>0.61761290289014625</v>
      </c>
      <c r="R161" s="63">
        <v>0.89692384330995256</v>
      </c>
      <c r="S161" s="63">
        <v>0.2862724791995086</v>
      </c>
      <c r="T161" s="63">
        <v>9.5715579821540886E-2</v>
      </c>
      <c r="U161" s="63">
        <v>0.1541458128102795</v>
      </c>
    </row>
    <row r="162" spans="1:21" ht="16.2">
      <c r="A162" s="5">
        <f t="shared" ca="1" si="1"/>
        <v>161</v>
      </c>
      <c r="B162" s="5" t="str">
        <f ca="1">IFERROR(__xludf.DUMMYFUNCTION("if(ISBLANK(C162),,QUERY(MD!A163:D1161,""Select A where C = '""&amp; C162 &amp;""'""))"),"")</f>
        <v/>
      </c>
      <c r="C162" s="5"/>
      <c r="D162" s="5" t="str">
        <f ca="1">IFERROR(__xludf.DUMMYFUNCTION("if(ISBLANK(C162),,QUERY(MD!$A$2:$D$1000,""Select D where C = '""&amp; C162 &amp;""'""))"),"")</f>
        <v/>
      </c>
      <c r="E162" s="59" t="str">
        <f ca="1">IFERROR(__xludf.DUMMYFUNCTION("if(ISBLANK(C162),,QUERY(MD!$A$2:$D$1000,""Select B where C = '""&amp; C162 &amp;""'""))"),"")</f>
        <v/>
      </c>
      <c r="F162" s="5">
        <f t="shared" ca="1" si="0"/>
        <v>0</v>
      </c>
      <c r="G162" s="32" t="str">
        <f ca="1">IFERROR(__xludf.DUMMYFUNCTION("if($F162&gt;=1,QUERY(Loot!$A$2:$G$904,""Select G where A = '""&amp; $E162 &amp;""' AND D &gt;= ""&amp; Q162  &amp;"" LIMIT 1""),)"),"")</f>
        <v/>
      </c>
      <c r="H162" s="61"/>
      <c r="I162" s="32" t="str">
        <f ca="1">IFERROR(__xludf.DUMMYFUNCTION("if($F162&gt;=2,QUERY(Loot!$A$2:$G$904,""Select G where A = '""&amp; $E162 &amp;""' AND D &gt;= ""&amp; R162 &amp;"" LIMIT 1""),)"),"")</f>
        <v/>
      </c>
      <c r="J162" s="61"/>
      <c r="K162" s="32" t="str">
        <f ca="1">IFERROR(__xludf.DUMMYFUNCTION("if($F162&gt;=3,QUERY(Loot!$A$2:$G$904,""Select G where A = '""&amp; $E162 &amp;""' AND D &gt;= ""&amp; S162  &amp;"" LIMIT 1""),)"),"")</f>
        <v/>
      </c>
      <c r="L162" s="61"/>
      <c r="M162" s="32" t="str">
        <f ca="1">IFERROR(__xludf.DUMMYFUNCTION("if($F162&gt;=4,QUERY(Loot!$A$2:$G$904,""Select G where A = '""&amp; $E162 &amp;""' AND D &gt;= ""&amp;T162 &amp;"" LIMIT 1""),)"),"")</f>
        <v/>
      </c>
      <c r="N162" s="61"/>
      <c r="O162" s="32" t="str">
        <f ca="1">IFERROR(__xludf.DUMMYFUNCTION("if($F162&gt;=5,QUERY(Loot!$A$2:$G$904,""Select G where A = '""&amp; $E162 &amp;""' AND D &gt;= ""&amp; U162 &amp;"" LIMIT 1""),)"),"")</f>
        <v/>
      </c>
      <c r="P162" s="61"/>
      <c r="Q162" s="62">
        <v>0.66294025403821277</v>
      </c>
      <c r="R162" s="63">
        <v>0.2817401306705366</v>
      </c>
      <c r="S162" s="63">
        <v>0.34564584842467394</v>
      </c>
      <c r="T162" s="63">
        <v>0.66176276056690164</v>
      </c>
      <c r="U162" s="63">
        <v>0.33058735157688557</v>
      </c>
    </row>
    <row r="163" spans="1:21" ht="16.2">
      <c r="A163" s="5">
        <f t="shared" ca="1" si="1"/>
        <v>162</v>
      </c>
      <c r="B163" s="5" t="str">
        <f ca="1">IFERROR(__xludf.DUMMYFUNCTION("if(ISBLANK(C163),,QUERY(MD!A164:D1162,""Select A where C = '""&amp; C163 &amp;""'""))"),"")</f>
        <v/>
      </c>
      <c r="C163" s="5"/>
      <c r="D163" s="5" t="str">
        <f ca="1">IFERROR(__xludf.DUMMYFUNCTION("if(ISBLANK(C163),,QUERY(MD!$A$2:$D$1000,""Select D where C = '""&amp; C163 &amp;""'""))"),"")</f>
        <v/>
      </c>
      <c r="E163" s="59" t="str">
        <f ca="1">IFERROR(__xludf.DUMMYFUNCTION("if(ISBLANK(C163),,QUERY(MD!$A$2:$D$1000,""Select B where C = '""&amp; C163 &amp;""'""))"),"")</f>
        <v/>
      </c>
      <c r="F163" s="5">
        <f t="shared" ca="1" si="0"/>
        <v>0</v>
      </c>
      <c r="G163" s="32" t="str">
        <f ca="1">IFERROR(__xludf.DUMMYFUNCTION("if($F163&gt;=1,QUERY(Loot!$A$2:$G$904,""Select G where A = '""&amp; $E163 &amp;""' AND D &gt;= ""&amp; Q163  &amp;"" LIMIT 1""),)"),"")</f>
        <v/>
      </c>
      <c r="H163" s="61"/>
      <c r="I163" s="32" t="str">
        <f ca="1">IFERROR(__xludf.DUMMYFUNCTION("if($F163&gt;=2,QUERY(Loot!$A$2:$G$904,""Select G where A = '""&amp; $E163 &amp;""' AND D &gt;= ""&amp; R163 &amp;"" LIMIT 1""),)"),"")</f>
        <v/>
      </c>
      <c r="J163" s="61"/>
      <c r="K163" s="32" t="str">
        <f ca="1">IFERROR(__xludf.DUMMYFUNCTION("if($F163&gt;=3,QUERY(Loot!$A$2:$G$904,""Select G where A = '""&amp; $E163 &amp;""' AND D &gt;= ""&amp; S163  &amp;"" LIMIT 1""),)"),"")</f>
        <v/>
      </c>
      <c r="L163" s="61"/>
      <c r="M163" s="32" t="str">
        <f ca="1">IFERROR(__xludf.DUMMYFUNCTION("if($F163&gt;=4,QUERY(Loot!$A$2:$G$904,""Select G where A = '""&amp; $E163 &amp;""' AND D &gt;= ""&amp;T163 &amp;"" LIMIT 1""),)"),"")</f>
        <v/>
      </c>
      <c r="N163" s="61"/>
      <c r="O163" s="32" t="str">
        <f ca="1">IFERROR(__xludf.DUMMYFUNCTION("if($F163&gt;=5,QUERY(Loot!$A$2:$G$904,""Select G where A = '""&amp; $E163 &amp;""' AND D &gt;= ""&amp; U163 &amp;"" LIMIT 1""),)"),"")</f>
        <v/>
      </c>
      <c r="P163" s="61"/>
      <c r="Q163" s="62">
        <v>0.47897209488866899</v>
      </c>
      <c r="R163" s="63">
        <v>0.94078778217891978</v>
      </c>
      <c r="S163" s="63">
        <v>4.4560173941054493E-2</v>
      </c>
      <c r="T163" s="63">
        <v>0.35984691045555262</v>
      </c>
      <c r="U163" s="63">
        <v>9.0533447704584935E-2</v>
      </c>
    </row>
    <row r="164" spans="1:21" ht="16.2">
      <c r="A164" s="5">
        <f t="shared" ca="1" si="1"/>
        <v>163</v>
      </c>
      <c r="B164" s="5" t="str">
        <f ca="1">IFERROR(__xludf.DUMMYFUNCTION("if(ISBLANK(C164),,QUERY(MD!A165:D1163,""Select A where C = '""&amp; C164 &amp;""'""))"),"")</f>
        <v/>
      </c>
      <c r="C164" s="5"/>
      <c r="D164" s="5" t="str">
        <f ca="1">IFERROR(__xludf.DUMMYFUNCTION("if(ISBLANK(C164),,QUERY(MD!$A$2:$D$1000,""Select D where C = '""&amp; C164 &amp;""'""))"),"")</f>
        <v/>
      </c>
      <c r="E164" s="59" t="str">
        <f ca="1">IFERROR(__xludf.DUMMYFUNCTION("if(ISBLANK(C164),,QUERY(MD!$A$2:$D$1000,""Select B where C = '""&amp; C164 &amp;""'""))"),"")</f>
        <v/>
      </c>
      <c r="F164" s="5">
        <f t="shared" ca="1" si="0"/>
        <v>0</v>
      </c>
      <c r="G164" s="32" t="str">
        <f ca="1">IFERROR(__xludf.DUMMYFUNCTION("if($F164&gt;=1,QUERY(Loot!$A$2:$G$904,""Select G where A = '""&amp; $E164 &amp;""' AND D &gt;= ""&amp; Q164  &amp;"" LIMIT 1""),)"),"")</f>
        <v/>
      </c>
      <c r="H164" s="61"/>
      <c r="I164" s="32" t="str">
        <f ca="1">IFERROR(__xludf.DUMMYFUNCTION("if($F164&gt;=2,QUERY(Loot!$A$2:$G$904,""Select G where A = '""&amp; $E164 &amp;""' AND D &gt;= ""&amp; R164 &amp;"" LIMIT 1""),)"),"")</f>
        <v/>
      </c>
      <c r="J164" s="61"/>
      <c r="K164" s="32" t="str">
        <f ca="1">IFERROR(__xludf.DUMMYFUNCTION("if($F164&gt;=3,QUERY(Loot!$A$2:$G$904,""Select G where A = '""&amp; $E164 &amp;""' AND D &gt;= ""&amp; S164  &amp;"" LIMIT 1""),)"),"")</f>
        <v/>
      </c>
      <c r="L164" s="61"/>
      <c r="M164" s="32" t="str">
        <f ca="1">IFERROR(__xludf.DUMMYFUNCTION("if($F164&gt;=4,QUERY(Loot!$A$2:$G$904,""Select G where A = '""&amp; $E164 &amp;""' AND D &gt;= ""&amp;T164 &amp;"" LIMIT 1""),)"),"")</f>
        <v/>
      </c>
      <c r="N164" s="61"/>
      <c r="O164" s="32" t="str">
        <f ca="1">IFERROR(__xludf.DUMMYFUNCTION("if($F164&gt;=5,QUERY(Loot!$A$2:$G$904,""Select G where A = '""&amp; $E164 &amp;""' AND D &gt;= ""&amp; U164 &amp;"" LIMIT 1""),)"),"")</f>
        <v/>
      </c>
      <c r="P164" s="61"/>
      <c r="Q164" s="62">
        <v>0.68315789405263816</v>
      </c>
      <c r="R164" s="63">
        <v>0.96607410407929106</v>
      </c>
      <c r="S164" s="63">
        <v>0.85400827096015874</v>
      </c>
      <c r="T164" s="63">
        <v>0.10778284643021951</v>
      </c>
      <c r="U164" s="63">
        <v>0.79536551983319181</v>
      </c>
    </row>
    <row r="165" spans="1:21" ht="16.2">
      <c r="A165" s="5">
        <f t="shared" ca="1" si="1"/>
        <v>164</v>
      </c>
      <c r="B165" s="5" t="str">
        <f ca="1">IFERROR(__xludf.DUMMYFUNCTION("if(ISBLANK(C165),,QUERY(MD!A166:D1164,""Select A where C = '""&amp; C165 &amp;""'""))"),"")</f>
        <v/>
      </c>
      <c r="C165" s="5"/>
      <c r="D165" s="5" t="str">
        <f ca="1">IFERROR(__xludf.DUMMYFUNCTION("if(ISBLANK(C165),,QUERY(MD!$A$2:$D$1000,""Select D where C = '""&amp; C165 &amp;""'""))"),"")</f>
        <v/>
      </c>
      <c r="E165" s="59" t="str">
        <f ca="1">IFERROR(__xludf.DUMMYFUNCTION("if(ISBLANK(C165),,QUERY(MD!$A$2:$D$1000,""Select B where C = '""&amp; C165 &amp;""'""))"),"")</f>
        <v/>
      </c>
      <c r="F165" s="5">
        <f t="shared" ca="1" si="0"/>
        <v>0</v>
      </c>
      <c r="G165" s="32" t="str">
        <f ca="1">IFERROR(__xludf.DUMMYFUNCTION("if($F165&gt;=1,QUERY(Loot!$A$2:$G$904,""Select G where A = '""&amp; $E165 &amp;""' AND D &gt;= ""&amp; Q165  &amp;"" LIMIT 1""),)"),"")</f>
        <v/>
      </c>
      <c r="H165" s="61"/>
      <c r="I165" s="32" t="str">
        <f ca="1">IFERROR(__xludf.DUMMYFUNCTION("if($F165&gt;=2,QUERY(Loot!$A$2:$G$904,""Select G where A = '""&amp; $E165 &amp;""' AND D &gt;= ""&amp; R165 &amp;"" LIMIT 1""),)"),"")</f>
        <v/>
      </c>
      <c r="J165" s="61"/>
      <c r="K165" s="32" t="str">
        <f ca="1">IFERROR(__xludf.DUMMYFUNCTION("if($F165&gt;=3,QUERY(Loot!$A$2:$G$904,""Select G where A = '""&amp; $E165 &amp;""' AND D &gt;= ""&amp; S165  &amp;"" LIMIT 1""),)"),"")</f>
        <v/>
      </c>
      <c r="L165" s="61"/>
      <c r="M165" s="32" t="str">
        <f ca="1">IFERROR(__xludf.DUMMYFUNCTION("if($F165&gt;=4,QUERY(Loot!$A$2:$G$904,""Select G where A = '""&amp; $E165 &amp;""' AND D &gt;= ""&amp;T165 &amp;"" LIMIT 1""),)"),"")</f>
        <v/>
      </c>
      <c r="N165" s="61"/>
      <c r="O165" s="32" t="str">
        <f ca="1">IFERROR(__xludf.DUMMYFUNCTION("if($F165&gt;=5,QUERY(Loot!$A$2:$G$904,""Select G where A = '""&amp; $E165 &amp;""' AND D &gt;= ""&amp; U165 &amp;"" LIMIT 1""),)"),"")</f>
        <v/>
      </c>
      <c r="P165" s="61"/>
      <c r="Q165" s="62">
        <v>0.25159146166524304</v>
      </c>
      <c r="R165" s="63">
        <v>0.17213916768174753</v>
      </c>
      <c r="S165" s="63">
        <v>0.92120649219279449</v>
      </c>
      <c r="T165" s="63">
        <v>0.56088502990705658</v>
      </c>
      <c r="U165" s="63">
        <v>0.331986449429166</v>
      </c>
    </row>
    <row r="166" spans="1:21" ht="16.2">
      <c r="A166" s="5">
        <f t="shared" ca="1" si="1"/>
        <v>165</v>
      </c>
      <c r="B166" s="5" t="str">
        <f ca="1">IFERROR(__xludf.DUMMYFUNCTION("if(ISBLANK(C166),,QUERY(MD!A167:D1165,""Select A where C = '""&amp; C166 &amp;""'""))"),"")</f>
        <v/>
      </c>
      <c r="C166" s="5"/>
      <c r="D166" s="5" t="str">
        <f ca="1">IFERROR(__xludf.DUMMYFUNCTION("if(ISBLANK(C166),,QUERY(MD!$A$2:$D$1000,""Select D where C = '""&amp; C166 &amp;""'""))"),"")</f>
        <v/>
      </c>
      <c r="E166" s="59" t="str">
        <f ca="1">IFERROR(__xludf.DUMMYFUNCTION("if(ISBLANK(C166),,QUERY(MD!$A$2:$D$1000,""Select B where C = '""&amp; C166 &amp;""'""))"),"")</f>
        <v/>
      </c>
      <c r="F166" s="5">
        <f t="shared" ca="1" si="0"/>
        <v>0</v>
      </c>
      <c r="G166" s="32" t="str">
        <f ca="1">IFERROR(__xludf.DUMMYFUNCTION("if($F166&gt;=1,QUERY(Loot!$A$2:$G$904,""Select G where A = '""&amp; $E166 &amp;""' AND D &gt;= ""&amp; Q166  &amp;"" LIMIT 1""),)"),"")</f>
        <v/>
      </c>
      <c r="H166" s="61"/>
      <c r="I166" s="32" t="str">
        <f ca="1">IFERROR(__xludf.DUMMYFUNCTION("if($F166&gt;=2,QUERY(Loot!$A$2:$G$904,""Select G where A = '""&amp; $E166 &amp;""' AND D &gt;= ""&amp; R166 &amp;"" LIMIT 1""),)"),"")</f>
        <v/>
      </c>
      <c r="J166" s="61"/>
      <c r="K166" s="32" t="str">
        <f ca="1">IFERROR(__xludf.DUMMYFUNCTION("if($F166&gt;=3,QUERY(Loot!$A$2:$G$904,""Select G where A = '""&amp; $E166 &amp;""' AND D &gt;= ""&amp; S166  &amp;"" LIMIT 1""),)"),"")</f>
        <v/>
      </c>
      <c r="L166" s="61"/>
      <c r="M166" s="32" t="str">
        <f ca="1">IFERROR(__xludf.DUMMYFUNCTION("if($F166&gt;=4,QUERY(Loot!$A$2:$G$904,""Select G where A = '""&amp; $E166 &amp;""' AND D &gt;= ""&amp;T166 &amp;"" LIMIT 1""),)"),"")</f>
        <v/>
      </c>
      <c r="N166" s="61"/>
      <c r="O166" s="32" t="str">
        <f ca="1">IFERROR(__xludf.DUMMYFUNCTION("if($F166&gt;=5,QUERY(Loot!$A$2:$G$904,""Select G where A = '""&amp; $E166 &amp;""' AND D &gt;= ""&amp; U166 &amp;"" LIMIT 1""),)"),"")</f>
        <v/>
      </c>
      <c r="P166" s="61"/>
      <c r="Q166" s="62">
        <v>0.75768857426110459</v>
      </c>
      <c r="R166" s="63">
        <v>0.68585040147470722</v>
      </c>
      <c r="S166" s="63">
        <v>0.47099190129355895</v>
      </c>
      <c r="T166" s="63">
        <v>5.111155642056886E-3</v>
      </c>
      <c r="U166" s="63">
        <v>0.65671272260349345</v>
      </c>
    </row>
    <row r="167" spans="1:21" ht="16.2">
      <c r="A167" s="5">
        <f t="shared" ca="1" si="1"/>
        <v>166</v>
      </c>
      <c r="B167" s="5" t="str">
        <f ca="1">IFERROR(__xludf.DUMMYFUNCTION("if(ISBLANK(C167),,QUERY(MD!A168:D1166,""Select A where C = '""&amp; C167 &amp;""'""))"),"")</f>
        <v/>
      </c>
      <c r="C167" s="5"/>
      <c r="D167" s="5" t="str">
        <f ca="1">IFERROR(__xludf.DUMMYFUNCTION("if(ISBLANK(C167),,QUERY(MD!$A$2:$D$1000,""Select D where C = '""&amp; C167 &amp;""'""))"),"")</f>
        <v/>
      </c>
      <c r="E167" s="59" t="str">
        <f ca="1">IFERROR(__xludf.DUMMYFUNCTION("if(ISBLANK(C167),,QUERY(MD!$A$2:$D$1000,""Select B where C = '""&amp; C167 &amp;""'""))"),"")</f>
        <v/>
      </c>
      <c r="F167" s="5">
        <f t="shared" ca="1" si="0"/>
        <v>0</v>
      </c>
      <c r="G167" s="32" t="str">
        <f ca="1">IFERROR(__xludf.DUMMYFUNCTION("if($F167&gt;=1,QUERY(Loot!$A$2:$G$904,""Select G where A = '""&amp; $E167 &amp;""' AND D &gt;= ""&amp; Q167  &amp;"" LIMIT 1""),)"),"")</f>
        <v/>
      </c>
      <c r="H167" s="61"/>
      <c r="I167" s="32" t="str">
        <f ca="1">IFERROR(__xludf.DUMMYFUNCTION("if($F167&gt;=2,QUERY(Loot!$A$2:$G$904,""Select G where A = '""&amp; $E167 &amp;""' AND D &gt;= ""&amp; R167 &amp;"" LIMIT 1""),)"),"")</f>
        <v/>
      </c>
      <c r="J167" s="61"/>
      <c r="K167" s="32" t="str">
        <f ca="1">IFERROR(__xludf.DUMMYFUNCTION("if($F167&gt;=3,QUERY(Loot!$A$2:$G$904,""Select G where A = '""&amp; $E167 &amp;""' AND D &gt;= ""&amp; S167  &amp;"" LIMIT 1""),)"),"")</f>
        <v/>
      </c>
      <c r="L167" s="61"/>
      <c r="M167" s="32" t="str">
        <f ca="1">IFERROR(__xludf.DUMMYFUNCTION("if($F167&gt;=4,QUERY(Loot!$A$2:$G$904,""Select G where A = '""&amp; $E167 &amp;""' AND D &gt;= ""&amp;T167 &amp;"" LIMIT 1""),)"),"")</f>
        <v/>
      </c>
      <c r="N167" s="61"/>
      <c r="O167" s="32" t="str">
        <f ca="1">IFERROR(__xludf.DUMMYFUNCTION("if($F167&gt;=5,QUERY(Loot!$A$2:$G$904,""Select G where A = '""&amp; $E167 &amp;""' AND D &gt;= ""&amp; U167 &amp;"" LIMIT 1""),)"),"")</f>
        <v/>
      </c>
      <c r="P167" s="61"/>
      <c r="Q167" s="62">
        <v>0.74912777315608026</v>
      </c>
      <c r="R167" s="63">
        <v>0.52756638532292854</v>
      </c>
      <c r="S167" s="63">
        <v>0.53965618388420156</v>
      </c>
      <c r="T167" s="63">
        <v>0.96160615415131556</v>
      </c>
      <c r="U167" s="63">
        <v>0.34178607313273834</v>
      </c>
    </row>
    <row r="168" spans="1:21" ht="16.2">
      <c r="A168" s="5">
        <f t="shared" ca="1" si="1"/>
        <v>167</v>
      </c>
      <c r="B168" s="5" t="str">
        <f ca="1">IFERROR(__xludf.DUMMYFUNCTION("if(ISBLANK(C168),,QUERY(MD!A169:D1167,""Select A where C = '""&amp; C168 &amp;""'""))"),"")</f>
        <v/>
      </c>
      <c r="C168" s="5"/>
      <c r="D168" s="5" t="str">
        <f ca="1">IFERROR(__xludf.DUMMYFUNCTION("if(ISBLANK(C168),,QUERY(MD!$A$2:$D$1000,""Select D where C = '""&amp; C168 &amp;""'""))"),"")</f>
        <v/>
      </c>
      <c r="E168" s="59" t="str">
        <f ca="1">IFERROR(__xludf.DUMMYFUNCTION("if(ISBLANK(C168),,QUERY(MD!$A$2:$D$1000,""Select B where C = '""&amp; C168 &amp;""'""))"),"")</f>
        <v/>
      </c>
      <c r="F168" s="5">
        <f t="shared" ca="1" si="0"/>
        <v>0</v>
      </c>
      <c r="G168" s="32" t="str">
        <f ca="1">IFERROR(__xludf.DUMMYFUNCTION("if($F168&gt;=1,QUERY(Loot!$A$2:$G$904,""Select G where A = '""&amp; $E168 &amp;""' AND D &gt;= ""&amp; Q168  &amp;"" LIMIT 1""),)"),"")</f>
        <v/>
      </c>
      <c r="H168" s="61"/>
      <c r="I168" s="32" t="str">
        <f ca="1">IFERROR(__xludf.DUMMYFUNCTION("if($F168&gt;=2,QUERY(Loot!$A$2:$G$904,""Select G where A = '""&amp; $E168 &amp;""' AND D &gt;= ""&amp; R168 &amp;"" LIMIT 1""),)"),"")</f>
        <v/>
      </c>
      <c r="J168" s="61"/>
      <c r="K168" s="32" t="str">
        <f ca="1">IFERROR(__xludf.DUMMYFUNCTION("if($F168&gt;=3,QUERY(Loot!$A$2:$G$904,""Select G where A = '""&amp; $E168 &amp;""' AND D &gt;= ""&amp; S168  &amp;"" LIMIT 1""),)"),"")</f>
        <v/>
      </c>
      <c r="L168" s="61"/>
      <c r="M168" s="32" t="str">
        <f ca="1">IFERROR(__xludf.DUMMYFUNCTION("if($F168&gt;=4,QUERY(Loot!$A$2:$G$904,""Select G where A = '""&amp; $E168 &amp;""' AND D &gt;= ""&amp;T168 &amp;"" LIMIT 1""),)"),"")</f>
        <v/>
      </c>
      <c r="N168" s="61"/>
      <c r="O168" s="32" t="str">
        <f ca="1">IFERROR(__xludf.DUMMYFUNCTION("if($F168&gt;=5,QUERY(Loot!$A$2:$G$904,""Select G where A = '""&amp; $E168 &amp;""' AND D &gt;= ""&amp; U168 &amp;"" LIMIT 1""),)"),"")</f>
        <v/>
      </c>
      <c r="P168" s="61"/>
      <c r="Q168" s="62">
        <v>0.36496099097032797</v>
      </c>
      <c r="R168" s="63">
        <v>0.36971134583510679</v>
      </c>
      <c r="S168" s="63">
        <v>0.17428840582965544</v>
      </c>
      <c r="T168" s="63">
        <v>1.9001791033479432E-3</v>
      </c>
      <c r="U168" s="63">
        <v>0.35767643335883903</v>
      </c>
    </row>
    <row r="169" spans="1:21" ht="16.2">
      <c r="A169" s="5">
        <f t="shared" ca="1" si="1"/>
        <v>168</v>
      </c>
      <c r="B169" s="5" t="str">
        <f ca="1">IFERROR(__xludf.DUMMYFUNCTION("if(ISBLANK(C169),,QUERY(MD!A170:D1168,""Select A where C = '""&amp; C169 &amp;""'""))"),"")</f>
        <v/>
      </c>
      <c r="C169" s="5"/>
      <c r="D169" s="5" t="str">
        <f ca="1">IFERROR(__xludf.DUMMYFUNCTION("if(ISBLANK(C169),,QUERY(MD!$A$2:$D$1000,""Select D where C = '""&amp; C169 &amp;""'""))"),"")</f>
        <v/>
      </c>
      <c r="E169" s="59" t="str">
        <f ca="1">IFERROR(__xludf.DUMMYFUNCTION("if(ISBLANK(C169),,QUERY(MD!$A$2:$D$1000,""Select B where C = '""&amp; C169 &amp;""'""))"),"")</f>
        <v/>
      </c>
      <c r="F169" s="5">
        <f t="shared" ca="1" si="0"/>
        <v>0</v>
      </c>
      <c r="G169" s="32" t="str">
        <f ca="1">IFERROR(__xludf.DUMMYFUNCTION("if($F169&gt;=1,QUERY(Loot!$A$2:$G$904,""Select G where A = '""&amp; $E169 &amp;""' AND D &gt;= ""&amp; Q169  &amp;"" LIMIT 1""),)"),"")</f>
        <v/>
      </c>
      <c r="H169" s="61"/>
      <c r="I169" s="32" t="str">
        <f ca="1">IFERROR(__xludf.DUMMYFUNCTION("if($F169&gt;=2,QUERY(Loot!$A$2:$G$904,""Select G where A = '""&amp; $E169 &amp;""' AND D &gt;= ""&amp; R169 &amp;"" LIMIT 1""),)"),"")</f>
        <v/>
      </c>
      <c r="J169" s="61"/>
      <c r="K169" s="32" t="str">
        <f ca="1">IFERROR(__xludf.DUMMYFUNCTION("if($F169&gt;=3,QUERY(Loot!$A$2:$G$904,""Select G where A = '""&amp; $E169 &amp;""' AND D &gt;= ""&amp; S169  &amp;"" LIMIT 1""),)"),"")</f>
        <v/>
      </c>
      <c r="L169" s="61"/>
      <c r="M169" s="32" t="str">
        <f ca="1">IFERROR(__xludf.DUMMYFUNCTION("if($F169&gt;=4,QUERY(Loot!$A$2:$G$904,""Select G where A = '""&amp; $E169 &amp;""' AND D &gt;= ""&amp;T169 &amp;"" LIMIT 1""),)"),"")</f>
        <v/>
      </c>
      <c r="N169" s="61"/>
      <c r="O169" s="32" t="str">
        <f ca="1">IFERROR(__xludf.DUMMYFUNCTION("if($F169&gt;=5,QUERY(Loot!$A$2:$G$904,""Select G where A = '""&amp; $E169 &amp;""' AND D &gt;= ""&amp; U169 &amp;"" LIMIT 1""),)"),"")</f>
        <v/>
      </c>
      <c r="P169" s="61"/>
      <c r="Q169" s="62">
        <v>0.50496664862830509</v>
      </c>
      <c r="R169" s="63">
        <v>0.62610800991906046</v>
      </c>
      <c r="S169" s="63">
        <v>0.44375422324106295</v>
      </c>
      <c r="T169" s="63">
        <v>0.16254638785545117</v>
      </c>
      <c r="U169" s="63">
        <v>0.80349105298210799</v>
      </c>
    </row>
    <row r="170" spans="1:21" ht="16.2">
      <c r="A170" s="5">
        <f t="shared" ca="1" si="1"/>
        <v>169</v>
      </c>
      <c r="B170" s="5" t="str">
        <f ca="1">IFERROR(__xludf.DUMMYFUNCTION("if(ISBLANK(C170),,QUERY(MD!A171:D1169,""Select A where C = '""&amp; C170 &amp;""'""))"),"")</f>
        <v/>
      </c>
      <c r="C170" s="5"/>
      <c r="D170" s="5" t="str">
        <f ca="1">IFERROR(__xludf.DUMMYFUNCTION("if(ISBLANK(C170),,QUERY(MD!$A$2:$D$1000,""Select D where C = '""&amp; C170 &amp;""'""))"),"")</f>
        <v/>
      </c>
      <c r="E170" s="59" t="str">
        <f ca="1">IFERROR(__xludf.DUMMYFUNCTION("if(ISBLANK(C170),,QUERY(MD!$A$2:$D$1000,""Select B where C = '""&amp; C170 &amp;""'""))"),"")</f>
        <v/>
      </c>
      <c r="F170" s="5">
        <f t="shared" ca="1" si="0"/>
        <v>0</v>
      </c>
      <c r="G170" s="32" t="str">
        <f ca="1">IFERROR(__xludf.DUMMYFUNCTION("if($F170&gt;=1,QUERY(Loot!$A$2:$G$904,""Select G where A = '""&amp; $E170 &amp;""' AND D &gt;= ""&amp; Q170  &amp;"" LIMIT 1""),)"),"")</f>
        <v/>
      </c>
      <c r="H170" s="61"/>
      <c r="I170" s="32" t="str">
        <f ca="1">IFERROR(__xludf.DUMMYFUNCTION("if($F170&gt;=2,QUERY(Loot!$A$2:$G$904,""Select G where A = '""&amp; $E170 &amp;""' AND D &gt;= ""&amp; R170 &amp;"" LIMIT 1""),)"),"")</f>
        <v/>
      </c>
      <c r="J170" s="61"/>
      <c r="K170" s="32" t="str">
        <f ca="1">IFERROR(__xludf.DUMMYFUNCTION("if($F170&gt;=3,QUERY(Loot!$A$2:$G$904,""Select G where A = '""&amp; $E170 &amp;""' AND D &gt;= ""&amp; S170  &amp;"" LIMIT 1""),)"),"")</f>
        <v/>
      </c>
      <c r="L170" s="61"/>
      <c r="M170" s="32" t="str">
        <f ca="1">IFERROR(__xludf.DUMMYFUNCTION("if($F170&gt;=4,QUERY(Loot!$A$2:$G$904,""Select G where A = '""&amp; $E170 &amp;""' AND D &gt;= ""&amp;T170 &amp;"" LIMIT 1""),)"),"")</f>
        <v/>
      </c>
      <c r="N170" s="61"/>
      <c r="O170" s="32" t="str">
        <f ca="1">IFERROR(__xludf.DUMMYFUNCTION("if($F170&gt;=5,QUERY(Loot!$A$2:$G$904,""Select G where A = '""&amp; $E170 &amp;""' AND D &gt;= ""&amp; U170 &amp;"" LIMIT 1""),)"),"")</f>
        <v/>
      </c>
      <c r="P170" s="61"/>
      <c r="Q170" s="62">
        <v>0.92396105885511415</v>
      </c>
      <c r="R170" s="63">
        <v>0.47635312285903397</v>
      </c>
      <c r="S170" s="63">
        <v>0.94969303524469273</v>
      </c>
      <c r="T170" s="63">
        <v>0.79498635789842209</v>
      </c>
      <c r="U170" s="63">
        <v>0.30679906690484893</v>
      </c>
    </row>
    <row r="171" spans="1:21" ht="16.2">
      <c r="A171" s="5">
        <f t="shared" ca="1" si="1"/>
        <v>170</v>
      </c>
      <c r="B171" s="5" t="str">
        <f ca="1">IFERROR(__xludf.DUMMYFUNCTION("if(ISBLANK(C171),,QUERY(MD!A172:D1170,""Select A where C = '""&amp; C171 &amp;""'""))"),"")</f>
        <v/>
      </c>
      <c r="C171" s="5"/>
      <c r="D171" s="5" t="str">
        <f ca="1">IFERROR(__xludf.DUMMYFUNCTION("if(ISBLANK(C171),,QUERY(MD!$A$2:$D$1000,""Select D where C = '""&amp; C171 &amp;""'""))"),"")</f>
        <v/>
      </c>
      <c r="E171" s="59" t="str">
        <f ca="1">IFERROR(__xludf.DUMMYFUNCTION("if(ISBLANK(C171),,QUERY(MD!$A$2:$D$1000,""Select B where C = '""&amp; C171 &amp;""'""))"),"")</f>
        <v/>
      </c>
      <c r="F171" s="5">
        <f t="shared" ca="1" si="0"/>
        <v>0</v>
      </c>
      <c r="G171" s="32" t="str">
        <f ca="1">IFERROR(__xludf.DUMMYFUNCTION("if($F171&gt;=1,QUERY(Loot!$A$2:$G$904,""Select G where A = '""&amp; $E171 &amp;""' AND D &gt;= ""&amp; Q171  &amp;"" LIMIT 1""),)"),"")</f>
        <v/>
      </c>
      <c r="H171" s="61"/>
      <c r="I171" s="32" t="str">
        <f ca="1">IFERROR(__xludf.DUMMYFUNCTION("if($F171&gt;=2,QUERY(Loot!$A$2:$G$904,""Select G where A = '""&amp; $E171 &amp;""' AND D &gt;= ""&amp; R171 &amp;"" LIMIT 1""),)"),"")</f>
        <v/>
      </c>
      <c r="J171" s="61"/>
      <c r="K171" s="32" t="str">
        <f ca="1">IFERROR(__xludf.DUMMYFUNCTION("if($F171&gt;=3,QUERY(Loot!$A$2:$G$904,""Select G where A = '""&amp; $E171 &amp;""' AND D &gt;= ""&amp; S171  &amp;"" LIMIT 1""),)"),"")</f>
        <v/>
      </c>
      <c r="L171" s="61"/>
      <c r="M171" s="32" t="str">
        <f ca="1">IFERROR(__xludf.DUMMYFUNCTION("if($F171&gt;=4,QUERY(Loot!$A$2:$G$904,""Select G where A = '""&amp; $E171 &amp;""' AND D &gt;= ""&amp;T171 &amp;"" LIMIT 1""),)"),"")</f>
        <v/>
      </c>
      <c r="N171" s="61"/>
      <c r="O171" s="32" t="str">
        <f ca="1">IFERROR(__xludf.DUMMYFUNCTION("if($F171&gt;=5,QUERY(Loot!$A$2:$G$904,""Select G where A = '""&amp; $E171 &amp;""' AND D &gt;= ""&amp; U171 &amp;"" LIMIT 1""),)"),"")</f>
        <v/>
      </c>
      <c r="P171" s="61"/>
      <c r="Q171" s="62">
        <v>0.1077454421813272</v>
      </c>
      <c r="R171" s="63">
        <v>9.140303657915394E-2</v>
      </c>
      <c r="S171" s="63">
        <v>0.28240649396238005</v>
      </c>
      <c r="T171" s="63">
        <v>3.8017251004638153E-2</v>
      </c>
      <c r="U171" s="63">
        <v>0.3870399179249856</v>
      </c>
    </row>
    <row r="172" spans="1:21" ht="16.2">
      <c r="A172" s="5">
        <f t="shared" ca="1" si="1"/>
        <v>171</v>
      </c>
      <c r="B172" s="5" t="str">
        <f ca="1">IFERROR(__xludf.DUMMYFUNCTION("if(ISBLANK(C172),,QUERY(MD!A173:D1171,""Select A where C = '""&amp; C172 &amp;""'""))"),"")</f>
        <v/>
      </c>
      <c r="C172" s="5"/>
      <c r="D172" s="5" t="str">
        <f ca="1">IFERROR(__xludf.DUMMYFUNCTION("if(ISBLANK(C172),,QUERY(MD!$A$2:$D$1000,""Select D where C = '""&amp; C172 &amp;""'""))"),"")</f>
        <v/>
      </c>
      <c r="E172" s="59" t="str">
        <f ca="1">IFERROR(__xludf.DUMMYFUNCTION("if(ISBLANK(C172),,QUERY(MD!$A$2:$D$1000,""Select B where C = '""&amp; C172 &amp;""'""))"),"")</f>
        <v/>
      </c>
      <c r="F172" s="5">
        <f t="shared" ca="1" si="0"/>
        <v>0</v>
      </c>
      <c r="G172" s="32" t="str">
        <f ca="1">IFERROR(__xludf.DUMMYFUNCTION("if($F172&gt;=1,QUERY(Loot!$A$2:$G$904,""Select G where A = '""&amp; $E172 &amp;""' AND D &gt;= ""&amp; Q172  &amp;"" LIMIT 1""),)"),"")</f>
        <v/>
      </c>
      <c r="H172" s="61"/>
      <c r="I172" s="32" t="str">
        <f ca="1">IFERROR(__xludf.DUMMYFUNCTION("if($F172&gt;=2,QUERY(Loot!$A$2:$G$904,""Select G where A = '""&amp; $E172 &amp;""' AND D &gt;= ""&amp; R172 &amp;"" LIMIT 1""),)"),"")</f>
        <v/>
      </c>
      <c r="J172" s="61"/>
      <c r="K172" s="32" t="str">
        <f ca="1">IFERROR(__xludf.DUMMYFUNCTION("if($F172&gt;=3,QUERY(Loot!$A$2:$G$904,""Select G where A = '""&amp; $E172 &amp;""' AND D &gt;= ""&amp; S172  &amp;"" LIMIT 1""),)"),"")</f>
        <v/>
      </c>
      <c r="L172" s="61"/>
      <c r="M172" s="32" t="str">
        <f ca="1">IFERROR(__xludf.DUMMYFUNCTION("if($F172&gt;=4,QUERY(Loot!$A$2:$G$904,""Select G where A = '""&amp; $E172 &amp;""' AND D &gt;= ""&amp;T172 &amp;"" LIMIT 1""),)"),"")</f>
        <v/>
      </c>
      <c r="N172" s="61"/>
      <c r="O172" s="32" t="str">
        <f ca="1">IFERROR(__xludf.DUMMYFUNCTION("if($F172&gt;=5,QUERY(Loot!$A$2:$G$904,""Select G where A = '""&amp; $E172 &amp;""' AND D &gt;= ""&amp; U172 &amp;"" LIMIT 1""),)"),"")</f>
        <v/>
      </c>
      <c r="P172" s="61"/>
      <c r="Q172" s="62">
        <v>0.59928333986976745</v>
      </c>
      <c r="R172" s="63">
        <v>0.29425105365786597</v>
      </c>
      <c r="S172" s="63">
        <v>0.45704973443713293</v>
      </c>
      <c r="T172" s="63">
        <v>0.3481800035781375</v>
      </c>
      <c r="U172" s="63">
        <v>0.59002706539629501</v>
      </c>
    </row>
    <row r="173" spans="1:21" ht="16.2">
      <c r="A173" s="5">
        <f t="shared" ca="1" si="1"/>
        <v>172</v>
      </c>
      <c r="B173" s="5" t="str">
        <f ca="1">IFERROR(__xludf.DUMMYFUNCTION("if(ISBLANK(C173),,QUERY(MD!A174:D1172,""Select A where C = '""&amp; C173 &amp;""'""))"),"")</f>
        <v/>
      </c>
      <c r="C173" s="5"/>
      <c r="D173" s="5" t="str">
        <f ca="1">IFERROR(__xludf.DUMMYFUNCTION("if(ISBLANK(C173),,QUERY(MD!$A$2:$D$1000,""Select D where C = '""&amp; C173 &amp;""'""))"),"")</f>
        <v/>
      </c>
      <c r="E173" s="59" t="str">
        <f ca="1">IFERROR(__xludf.DUMMYFUNCTION("if(ISBLANK(C173),,QUERY(MD!$A$2:$D$1000,""Select B where C = '""&amp; C173 &amp;""'""))"),"")</f>
        <v/>
      </c>
      <c r="F173" s="5">
        <f t="shared" ca="1" si="0"/>
        <v>0</v>
      </c>
      <c r="G173" s="32" t="str">
        <f ca="1">IFERROR(__xludf.DUMMYFUNCTION("if($F173&gt;=1,QUERY(Loot!$A$2:$G$904,""Select G where A = '""&amp; $E173 &amp;""' AND D &gt;= ""&amp; Q173  &amp;"" LIMIT 1""),)"),"")</f>
        <v/>
      </c>
      <c r="H173" s="61"/>
      <c r="I173" s="32" t="str">
        <f ca="1">IFERROR(__xludf.DUMMYFUNCTION("if($F173&gt;=2,QUERY(Loot!$A$2:$G$904,""Select G where A = '""&amp; $E173 &amp;""' AND D &gt;= ""&amp; R173 &amp;"" LIMIT 1""),)"),"")</f>
        <v/>
      </c>
      <c r="J173" s="61"/>
      <c r="K173" s="32" t="str">
        <f ca="1">IFERROR(__xludf.DUMMYFUNCTION("if($F173&gt;=3,QUERY(Loot!$A$2:$G$904,""Select G where A = '""&amp; $E173 &amp;""' AND D &gt;= ""&amp; S173  &amp;"" LIMIT 1""),)"),"")</f>
        <v/>
      </c>
      <c r="L173" s="61"/>
      <c r="M173" s="32" t="str">
        <f ca="1">IFERROR(__xludf.DUMMYFUNCTION("if($F173&gt;=4,QUERY(Loot!$A$2:$G$904,""Select G where A = '""&amp; $E173 &amp;""' AND D &gt;= ""&amp;T173 &amp;"" LIMIT 1""),)"),"")</f>
        <v/>
      </c>
      <c r="N173" s="61"/>
      <c r="O173" s="32" t="str">
        <f ca="1">IFERROR(__xludf.DUMMYFUNCTION("if($F173&gt;=5,QUERY(Loot!$A$2:$G$904,""Select G where A = '""&amp; $E173 &amp;""' AND D &gt;= ""&amp; U173 &amp;"" LIMIT 1""),)"),"")</f>
        <v/>
      </c>
      <c r="P173" s="61"/>
      <c r="Q173" s="62">
        <v>0.63059821722909926</v>
      </c>
      <c r="R173" s="63">
        <v>0.45959628618331305</v>
      </c>
      <c r="S173" s="63">
        <v>0.90747607518624995</v>
      </c>
      <c r="T173" s="63">
        <v>0.57100764787801728</v>
      </c>
      <c r="U173" s="63">
        <v>0.82377278585871949</v>
      </c>
    </row>
    <row r="174" spans="1:21" ht="16.2">
      <c r="A174" s="5">
        <f t="shared" ca="1" si="1"/>
        <v>173</v>
      </c>
      <c r="B174" s="5" t="str">
        <f ca="1">IFERROR(__xludf.DUMMYFUNCTION("if(ISBLANK(C174),,QUERY(MD!A175:D1173,""Select A where C = '""&amp; C174 &amp;""'""))"),"")</f>
        <v/>
      </c>
      <c r="C174" s="5"/>
      <c r="D174" s="5" t="str">
        <f ca="1">IFERROR(__xludf.DUMMYFUNCTION("if(ISBLANK(C174),,QUERY(MD!$A$2:$D$1000,""Select D where C = '""&amp; C174 &amp;""'""))"),"")</f>
        <v/>
      </c>
      <c r="E174" s="59" t="str">
        <f ca="1">IFERROR(__xludf.DUMMYFUNCTION("if(ISBLANK(C174),,QUERY(MD!$A$2:$D$1000,""Select B where C = '""&amp; C174 &amp;""'""))"),"")</f>
        <v/>
      </c>
      <c r="F174" s="5">
        <f t="shared" ca="1" si="0"/>
        <v>0</v>
      </c>
      <c r="G174" s="32" t="str">
        <f ca="1">IFERROR(__xludf.DUMMYFUNCTION("if($F174&gt;=1,QUERY(Loot!$A$2:$G$904,""Select G where A = '""&amp; $E174 &amp;""' AND D &gt;= ""&amp; Q174  &amp;"" LIMIT 1""),)"),"")</f>
        <v/>
      </c>
      <c r="H174" s="61"/>
      <c r="I174" s="32" t="str">
        <f ca="1">IFERROR(__xludf.DUMMYFUNCTION("if($F174&gt;=2,QUERY(Loot!$A$2:$G$904,""Select G where A = '""&amp; $E174 &amp;""' AND D &gt;= ""&amp; R174 &amp;"" LIMIT 1""),)"),"")</f>
        <v/>
      </c>
      <c r="J174" s="61"/>
      <c r="K174" s="32" t="str">
        <f ca="1">IFERROR(__xludf.DUMMYFUNCTION("if($F174&gt;=3,QUERY(Loot!$A$2:$G$904,""Select G where A = '""&amp; $E174 &amp;""' AND D &gt;= ""&amp; S174  &amp;"" LIMIT 1""),)"),"")</f>
        <v/>
      </c>
      <c r="L174" s="61"/>
      <c r="M174" s="32" t="str">
        <f ca="1">IFERROR(__xludf.DUMMYFUNCTION("if($F174&gt;=4,QUERY(Loot!$A$2:$G$904,""Select G where A = '""&amp; $E174 &amp;""' AND D &gt;= ""&amp;T174 &amp;"" LIMIT 1""),)"),"")</f>
        <v/>
      </c>
      <c r="N174" s="61"/>
      <c r="O174" s="32" t="str">
        <f ca="1">IFERROR(__xludf.DUMMYFUNCTION("if($F174&gt;=5,QUERY(Loot!$A$2:$G$904,""Select G where A = '""&amp; $E174 &amp;""' AND D &gt;= ""&amp; U174 &amp;"" LIMIT 1""),)"),"")</f>
        <v/>
      </c>
      <c r="P174" s="61"/>
      <c r="Q174" s="62">
        <v>0.42406948569059033</v>
      </c>
      <c r="R174" s="63">
        <v>0.36965672895962853</v>
      </c>
      <c r="S174" s="63">
        <v>0.48119110458322412</v>
      </c>
      <c r="T174" s="63">
        <v>0.18959207741219986</v>
      </c>
      <c r="U174" s="63">
        <v>0.71663831962730284</v>
      </c>
    </row>
    <row r="175" spans="1:21" ht="16.2">
      <c r="A175" s="5">
        <f t="shared" ca="1" si="1"/>
        <v>174</v>
      </c>
      <c r="B175" s="5" t="str">
        <f ca="1">IFERROR(__xludf.DUMMYFUNCTION("if(ISBLANK(C175),,QUERY(MD!A176:D1174,""Select A where C = '""&amp; C175 &amp;""'""))"),"")</f>
        <v/>
      </c>
      <c r="C175" s="5"/>
      <c r="D175" s="5" t="str">
        <f ca="1">IFERROR(__xludf.DUMMYFUNCTION("if(ISBLANK(C175),,QUERY(MD!$A$2:$D$1000,""Select D where C = '""&amp; C175 &amp;""'""))"),"")</f>
        <v/>
      </c>
      <c r="E175" s="59" t="str">
        <f ca="1">IFERROR(__xludf.DUMMYFUNCTION("if(ISBLANK(C175),,QUERY(MD!$A$2:$D$1000,""Select B where C = '""&amp; C175 &amp;""'""))"),"")</f>
        <v/>
      </c>
      <c r="F175" s="5">
        <f t="shared" ca="1" si="0"/>
        <v>0</v>
      </c>
      <c r="G175" s="32" t="str">
        <f ca="1">IFERROR(__xludf.DUMMYFUNCTION("if($F175&gt;=1,QUERY(Loot!$A$2:$G$904,""Select G where A = '""&amp; $E175 &amp;""' AND D &gt;= ""&amp; Q175  &amp;"" LIMIT 1""),)"),"")</f>
        <v/>
      </c>
      <c r="H175" s="61"/>
      <c r="I175" s="32" t="str">
        <f ca="1">IFERROR(__xludf.DUMMYFUNCTION("if($F175&gt;=2,QUERY(Loot!$A$2:$G$904,""Select G where A = '""&amp; $E175 &amp;""' AND D &gt;= ""&amp; R175 &amp;"" LIMIT 1""),)"),"")</f>
        <v/>
      </c>
      <c r="J175" s="61"/>
      <c r="K175" s="32" t="str">
        <f ca="1">IFERROR(__xludf.DUMMYFUNCTION("if($F175&gt;=3,QUERY(Loot!$A$2:$G$904,""Select G where A = '""&amp; $E175 &amp;""' AND D &gt;= ""&amp; S175  &amp;"" LIMIT 1""),)"),"")</f>
        <v/>
      </c>
      <c r="L175" s="61"/>
      <c r="M175" s="32" t="str">
        <f ca="1">IFERROR(__xludf.DUMMYFUNCTION("if($F175&gt;=4,QUERY(Loot!$A$2:$G$904,""Select G where A = '""&amp; $E175 &amp;""' AND D &gt;= ""&amp;T175 &amp;"" LIMIT 1""),)"),"")</f>
        <v/>
      </c>
      <c r="N175" s="61"/>
      <c r="O175" s="32" t="str">
        <f ca="1">IFERROR(__xludf.DUMMYFUNCTION("if($F175&gt;=5,QUERY(Loot!$A$2:$G$904,""Select G where A = '""&amp; $E175 &amp;""' AND D &gt;= ""&amp; U175 &amp;"" LIMIT 1""),)"),"")</f>
        <v/>
      </c>
      <c r="P175" s="61"/>
      <c r="Q175" s="62">
        <v>0.91658212309928067</v>
      </c>
      <c r="R175" s="63">
        <v>5.3234134001772571E-2</v>
      </c>
      <c r="S175" s="63">
        <v>0.1416910575242325</v>
      </c>
      <c r="T175" s="63">
        <v>0.15900101605451322</v>
      </c>
      <c r="U175" s="63">
        <v>0.72140617670776697</v>
      </c>
    </row>
    <row r="176" spans="1:21" ht="16.2">
      <c r="A176" s="5">
        <f t="shared" ca="1" si="1"/>
        <v>175</v>
      </c>
      <c r="B176" s="5" t="str">
        <f ca="1">IFERROR(__xludf.DUMMYFUNCTION("if(ISBLANK(C176),,QUERY(MD!A177:D1175,""Select A where C = '""&amp; C176 &amp;""'""))"),"")</f>
        <v/>
      </c>
      <c r="C176" s="5"/>
      <c r="D176" s="5" t="str">
        <f ca="1">IFERROR(__xludf.DUMMYFUNCTION("if(ISBLANK(C176),,QUERY(MD!$A$2:$D$1000,""Select D where C = '""&amp; C176 &amp;""'""))"),"")</f>
        <v/>
      </c>
      <c r="E176" s="59" t="str">
        <f ca="1">IFERROR(__xludf.DUMMYFUNCTION("if(ISBLANK(C176),,QUERY(MD!$A$2:$D$1000,""Select B where C = '""&amp; C176 &amp;""'""))"),"")</f>
        <v/>
      </c>
      <c r="F176" s="5">
        <f t="shared" ca="1" si="0"/>
        <v>0</v>
      </c>
      <c r="G176" s="32" t="str">
        <f ca="1">IFERROR(__xludf.DUMMYFUNCTION("if($F176&gt;=1,QUERY(Loot!$A$2:$G$904,""Select G where A = '""&amp; $E176 &amp;""' AND D &gt;= ""&amp; Q176  &amp;"" LIMIT 1""),)"),"")</f>
        <v/>
      </c>
      <c r="H176" s="61"/>
      <c r="I176" s="32" t="str">
        <f ca="1">IFERROR(__xludf.DUMMYFUNCTION("if($F176&gt;=2,QUERY(Loot!$A$2:$G$904,""Select G where A = '""&amp; $E176 &amp;""' AND D &gt;= ""&amp; R176 &amp;"" LIMIT 1""),)"),"")</f>
        <v/>
      </c>
      <c r="J176" s="61"/>
      <c r="K176" s="32" t="str">
        <f ca="1">IFERROR(__xludf.DUMMYFUNCTION("if($F176&gt;=3,QUERY(Loot!$A$2:$G$904,""Select G where A = '""&amp; $E176 &amp;""' AND D &gt;= ""&amp; S176  &amp;"" LIMIT 1""),)"),"")</f>
        <v/>
      </c>
      <c r="L176" s="61"/>
      <c r="M176" s="32" t="str">
        <f ca="1">IFERROR(__xludf.DUMMYFUNCTION("if($F176&gt;=4,QUERY(Loot!$A$2:$G$904,""Select G where A = '""&amp; $E176 &amp;""' AND D &gt;= ""&amp;T176 &amp;"" LIMIT 1""),)"),"")</f>
        <v/>
      </c>
      <c r="N176" s="61"/>
      <c r="O176" s="32" t="str">
        <f ca="1">IFERROR(__xludf.DUMMYFUNCTION("if($F176&gt;=5,QUERY(Loot!$A$2:$G$904,""Select G where A = '""&amp; $E176 &amp;""' AND D &gt;= ""&amp; U176 &amp;"" LIMIT 1""),)"),"")</f>
        <v/>
      </c>
      <c r="P176" s="61"/>
      <c r="Q176" s="62">
        <v>0.43299510142859854</v>
      </c>
      <c r="R176" s="63">
        <v>0.87562104356609216</v>
      </c>
      <c r="S176" s="63">
        <v>0.33905477380486992</v>
      </c>
      <c r="T176" s="63">
        <v>0.57080147262587078</v>
      </c>
      <c r="U176" s="63">
        <v>0.59622598513755387</v>
      </c>
    </row>
    <row r="177" spans="1:21" ht="16.2">
      <c r="A177" s="5">
        <f t="shared" ca="1" si="1"/>
        <v>176</v>
      </c>
      <c r="B177" s="5" t="str">
        <f ca="1">IFERROR(__xludf.DUMMYFUNCTION("if(ISBLANK(C177),,QUERY(MD!A178:D1176,""Select A where C = '""&amp; C177 &amp;""'""))"),"")</f>
        <v/>
      </c>
      <c r="C177" s="5"/>
      <c r="D177" s="5" t="str">
        <f ca="1">IFERROR(__xludf.DUMMYFUNCTION("if(ISBLANK(C177),,QUERY(MD!$A$2:$D$1000,""Select D where C = '""&amp; C177 &amp;""'""))"),"")</f>
        <v/>
      </c>
      <c r="E177" s="59" t="str">
        <f ca="1">IFERROR(__xludf.DUMMYFUNCTION("if(ISBLANK(C177),,QUERY(MD!$A$2:$D$1000,""Select B where C = '""&amp; C177 &amp;""'""))"),"")</f>
        <v/>
      </c>
      <c r="F177" s="5">
        <f t="shared" ca="1" si="0"/>
        <v>0</v>
      </c>
      <c r="G177" s="32" t="str">
        <f ca="1">IFERROR(__xludf.DUMMYFUNCTION("if($F177&gt;=1,QUERY(Loot!$A$2:$G$904,""Select G where A = '""&amp; $E177 &amp;""' AND D &gt;= ""&amp; Q177  &amp;"" LIMIT 1""),)"),"")</f>
        <v/>
      </c>
      <c r="H177" s="61"/>
      <c r="I177" s="32" t="str">
        <f ca="1">IFERROR(__xludf.DUMMYFUNCTION("if($F177&gt;=2,QUERY(Loot!$A$2:$G$904,""Select G where A = '""&amp; $E177 &amp;""' AND D &gt;= ""&amp; R177 &amp;"" LIMIT 1""),)"),"")</f>
        <v/>
      </c>
      <c r="J177" s="61"/>
      <c r="K177" s="32" t="str">
        <f ca="1">IFERROR(__xludf.DUMMYFUNCTION("if($F177&gt;=3,QUERY(Loot!$A$2:$G$904,""Select G where A = '""&amp; $E177 &amp;""' AND D &gt;= ""&amp; S177  &amp;"" LIMIT 1""),)"),"")</f>
        <v/>
      </c>
      <c r="L177" s="61"/>
      <c r="M177" s="32" t="str">
        <f ca="1">IFERROR(__xludf.DUMMYFUNCTION("if($F177&gt;=4,QUERY(Loot!$A$2:$G$904,""Select G where A = '""&amp; $E177 &amp;""' AND D &gt;= ""&amp;T177 &amp;"" LIMIT 1""),)"),"")</f>
        <v/>
      </c>
      <c r="N177" s="61"/>
      <c r="O177" s="32" t="str">
        <f ca="1">IFERROR(__xludf.DUMMYFUNCTION("if($F177&gt;=5,QUERY(Loot!$A$2:$G$904,""Select G where A = '""&amp; $E177 &amp;""' AND D &gt;= ""&amp; U177 &amp;"" LIMIT 1""),)"),"")</f>
        <v/>
      </c>
      <c r="P177" s="61"/>
      <c r="Q177" s="62">
        <v>0.54065857571009091</v>
      </c>
      <c r="R177" s="63">
        <v>0.66871292140853777</v>
      </c>
      <c r="S177" s="63">
        <v>0.63543175591750978</v>
      </c>
      <c r="T177" s="63">
        <v>0.84543511691373729</v>
      </c>
      <c r="U177" s="63">
        <v>6.6346735521171873E-2</v>
      </c>
    </row>
    <row r="178" spans="1:21" ht="16.2">
      <c r="A178" s="5">
        <f t="shared" ca="1" si="1"/>
        <v>177</v>
      </c>
      <c r="B178" s="5" t="str">
        <f ca="1">IFERROR(__xludf.DUMMYFUNCTION("if(ISBLANK(C178),,QUERY(MD!A179:D1177,""Select A where C = '""&amp; C178 &amp;""'""))"),"")</f>
        <v/>
      </c>
      <c r="C178" s="5"/>
      <c r="D178" s="5" t="str">
        <f ca="1">IFERROR(__xludf.DUMMYFUNCTION("if(ISBLANK(C178),,QUERY(MD!$A$2:$D$1000,""Select D where C = '""&amp; C178 &amp;""'""))"),"")</f>
        <v/>
      </c>
      <c r="E178" s="59" t="str">
        <f ca="1">IFERROR(__xludf.DUMMYFUNCTION("if(ISBLANK(C178),,QUERY(MD!$A$2:$D$1000,""Select B where C = '""&amp; C178 &amp;""'""))"),"")</f>
        <v/>
      </c>
      <c r="F178" s="5">
        <f t="shared" ca="1" si="0"/>
        <v>0</v>
      </c>
      <c r="G178" s="32" t="str">
        <f ca="1">IFERROR(__xludf.DUMMYFUNCTION("if($F178&gt;=1,QUERY(Loot!$A$2:$G$904,""Select G where A = '""&amp; $E178 &amp;""' AND D &gt;= ""&amp; Q178  &amp;"" LIMIT 1""),)"),"")</f>
        <v/>
      </c>
      <c r="H178" s="61"/>
      <c r="I178" s="32" t="str">
        <f ca="1">IFERROR(__xludf.DUMMYFUNCTION("if($F178&gt;=2,QUERY(Loot!$A$2:$G$904,""Select G where A = '""&amp; $E178 &amp;""' AND D &gt;= ""&amp; R178 &amp;"" LIMIT 1""),)"),"")</f>
        <v/>
      </c>
      <c r="J178" s="61"/>
      <c r="K178" s="32" t="str">
        <f ca="1">IFERROR(__xludf.DUMMYFUNCTION("if($F178&gt;=3,QUERY(Loot!$A$2:$G$904,""Select G where A = '""&amp; $E178 &amp;""' AND D &gt;= ""&amp; S178  &amp;"" LIMIT 1""),)"),"")</f>
        <v/>
      </c>
      <c r="L178" s="61"/>
      <c r="M178" s="32" t="str">
        <f ca="1">IFERROR(__xludf.DUMMYFUNCTION("if($F178&gt;=4,QUERY(Loot!$A$2:$G$904,""Select G where A = '""&amp; $E178 &amp;""' AND D &gt;= ""&amp;T178 &amp;"" LIMIT 1""),)"),"")</f>
        <v/>
      </c>
      <c r="N178" s="61"/>
      <c r="O178" s="32" t="str">
        <f ca="1">IFERROR(__xludf.DUMMYFUNCTION("if($F178&gt;=5,QUERY(Loot!$A$2:$G$904,""Select G where A = '""&amp; $E178 &amp;""' AND D &gt;= ""&amp; U178 &amp;"" LIMIT 1""),)"),"")</f>
        <v/>
      </c>
      <c r="P178" s="61"/>
      <c r="Q178" s="62">
        <v>0.30437886305375206</v>
      </c>
      <c r="R178" s="63">
        <v>0.22024577790849353</v>
      </c>
      <c r="S178" s="63">
        <v>0.53026159581914367</v>
      </c>
      <c r="T178" s="63">
        <v>0.6477061896606503</v>
      </c>
      <c r="U178" s="63">
        <v>0.42156202348790683</v>
      </c>
    </row>
    <row r="179" spans="1:21" ht="16.2">
      <c r="A179" s="5">
        <f t="shared" ca="1" si="1"/>
        <v>178</v>
      </c>
      <c r="B179" s="5" t="str">
        <f ca="1">IFERROR(__xludf.DUMMYFUNCTION("if(ISBLANK(C179),,QUERY(MD!A180:D1178,""Select A where C = '""&amp; C179 &amp;""'""))"),"")</f>
        <v/>
      </c>
      <c r="C179" s="5"/>
      <c r="D179" s="5" t="str">
        <f ca="1">IFERROR(__xludf.DUMMYFUNCTION("if(ISBLANK(C179),,QUERY(MD!$A$2:$D$1000,""Select D where C = '""&amp; C179 &amp;""'""))"),"")</f>
        <v/>
      </c>
      <c r="E179" s="59" t="str">
        <f ca="1">IFERROR(__xludf.DUMMYFUNCTION("if(ISBLANK(C179),,QUERY(MD!$A$2:$D$1000,""Select B where C = '""&amp; C179 &amp;""'""))"),"")</f>
        <v/>
      </c>
      <c r="F179" s="5">
        <f t="shared" ca="1" si="0"/>
        <v>0</v>
      </c>
      <c r="G179" s="32" t="str">
        <f ca="1">IFERROR(__xludf.DUMMYFUNCTION("if($F179&gt;=1,QUERY(Loot!$A$2:$G$904,""Select G where A = '""&amp; $E179 &amp;""' AND D &gt;= ""&amp; Q179  &amp;"" LIMIT 1""),)"),"")</f>
        <v/>
      </c>
      <c r="H179" s="61"/>
      <c r="I179" s="32" t="str">
        <f ca="1">IFERROR(__xludf.DUMMYFUNCTION("if($F179&gt;=2,QUERY(Loot!$A$2:$G$904,""Select G where A = '""&amp; $E179 &amp;""' AND D &gt;= ""&amp; R179 &amp;"" LIMIT 1""),)"),"")</f>
        <v/>
      </c>
      <c r="J179" s="61"/>
      <c r="K179" s="32" t="str">
        <f ca="1">IFERROR(__xludf.DUMMYFUNCTION("if($F179&gt;=3,QUERY(Loot!$A$2:$G$904,""Select G where A = '""&amp; $E179 &amp;""' AND D &gt;= ""&amp; S179  &amp;"" LIMIT 1""),)"),"")</f>
        <v/>
      </c>
      <c r="L179" s="61"/>
      <c r="M179" s="32" t="str">
        <f ca="1">IFERROR(__xludf.DUMMYFUNCTION("if($F179&gt;=4,QUERY(Loot!$A$2:$G$904,""Select G where A = '""&amp; $E179 &amp;""' AND D &gt;= ""&amp;T179 &amp;"" LIMIT 1""),)"),"")</f>
        <v/>
      </c>
      <c r="N179" s="61"/>
      <c r="O179" s="32" t="str">
        <f ca="1">IFERROR(__xludf.DUMMYFUNCTION("if($F179&gt;=5,QUERY(Loot!$A$2:$G$904,""Select G where A = '""&amp; $E179 &amp;""' AND D &gt;= ""&amp; U179 &amp;"" LIMIT 1""),)"),"")</f>
        <v/>
      </c>
      <c r="P179" s="61"/>
      <c r="Q179" s="62">
        <v>0.30370467310720684</v>
      </c>
      <c r="R179" s="63">
        <v>0.27630386029496123</v>
      </c>
      <c r="S179" s="63">
        <v>0.26121632469645861</v>
      </c>
      <c r="T179" s="63">
        <v>0.4923483059243875</v>
      </c>
      <c r="U179" s="63">
        <v>0.68384500482866228</v>
      </c>
    </row>
    <row r="180" spans="1:21" ht="16.2">
      <c r="A180" s="5">
        <f t="shared" ca="1" si="1"/>
        <v>179</v>
      </c>
      <c r="B180" s="5" t="str">
        <f ca="1">IFERROR(__xludf.DUMMYFUNCTION("if(ISBLANK(C180),,QUERY(MD!A181:D1179,""Select A where C = '""&amp; C180 &amp;""'""))"),"")</f>
        <v/>
      </c>
      <c r="C180" s="5"/>
      <c r="D180" s="5" t="str">
        <f ca="1">IFERROR(__xludf.DUMMYFUNCTION("if(ISBLANK(C180),,QUERY(MD!$A$2:$D$1000,""Select D where C = '""&amp; C180 &amp;""'""))"),"")</f>
        <v/>
      </c>
      <c r="E180" s="59" t="str">
        <f ca="1">IFERROR(__xludf.DUMMYFUNCTION("if(ISBLANK(C180),,QUERY(MD!$A$2:$D$1000,""Select B where C = '""&amp; C180 &amp;""'""))"),"")</f>
        <v/>
      </c>
      <c r="F180" s="5">
        <f t="shared" ca="1" si="0"/>
        <v>0</v>
      </c>
      <c r="G180" s="32" t="str">
        <f ca="1">IFERROR(__xludf.DUMMYFUNCTION("if($F180&gt;=1,QUERY(Loot!$A$2:$G$904,""Select G where A = '""&amp; $E180 &amp;""' AND D &gt;= ""&amp; Q180  &amp;"" LIMIT 1""),)"),"")</f>
        <v/>
      </c>
      <c r="H180" s="61"/>
      <c r="I180" s="32" t="str">
        <f ca="1">IFERROR(__xludf.DUMMYFUNCTION("if($F180&gt;=2,QUERY(Loot!$A$2:$G$904,""Select G where A = '""&amp; $E180 &amp;""' AND D &gt;= ""&amp; R180 &amp;"" LIMIT 1""),)"),"")</f>
        <v/>
      </c>
      <c r="J180" s="61"/>
      <c r="K180" s="32" t="str">
        <f ca="1">IFERROR(__xludf.DUMMYFUNCTION("if($F180&gt;=3,QUERY(Loot!$A$2:$G$904,""Select G where A = '""&amp; $E180 &amp;""' AND D &gt;= ""&amp; S180  &amp;"" LIMIT 1""),)"),"")</f>
        <v/>
      </c>
      <c r="L180" s="61"/>
      <c r="M180" s="32" t="str">
        <f ca="1">IFERROR(__xludf.DUMMYFUNCTION("if($F180&gt;=4,QUERY(Loot!$A$2:$G$904,""Select G where A = '""&amp; $E180 &amp;""' AND D &gt;= ""&amp;T180 &amp;"" LIMIT 1""),)"),"")</f>
        <v/>
      </c>
      <c r="N180" s="61"/>
      <c r="O180" s="32" t="str">
        <f ca="1">IFERROR(__xludf.DUMMYFUNCTION("if($F180&gt;=5,QUERY(Loot!$A$2:$G$904,""Select G where A = '""&amp; $E180 &amp;""' AND D &gt;= ""&amp; U180 &amp;"" LIMIT 1""),)"),"")</f>
        <v/>
      </c>
      <c r="P180" s="61"/>
      <c r="Q180" s="62">
        <v>0.43019705615303916</v>
      </c>
      <c r="R180" s="63">
        <v>0.48308172906711921</v>
      </c>
      <c r="S180" s="63">
        <v>0.15291349569996993</v>
      </c>
      <c r="T180" s="63">
        <v>0.58911755823355672</v>
      </c>
      <c r="U180" s="63">
        <v>0.13283434620824253</v>
      </c>
    </row>
    <row r="181" spans="1:21" ht="16.2">
      <c r="A181" s="5">
        <f t="shared" ca="1" si="1"/>
        <v>180</v>
      </c>
      <c r="B181" s="5" t="str">
        <f ca="1">IFERROR(__xludf.DUMMYFUNCTION("if(ISBLANK(C181),,QUERY(MD!A182:D1180,""Select A where C = '""&amp; C181 &amp;""'""))"),"")</f>
        <v/>
      </c>
      <c r="C181" s="5"/>
      <c r="D181" s="5" t="str">
        <f ca="1">IFERROR(__xludf.DUMMYFUNCTION("if(ISBLANK(C181),,QUERY(MD!$A$2:$D$1000,""Select D where C = '""&amp; C181 &amp;""'""))"),"")</f>
        <v/>
      </c>
      <c r="E181" s="59" t="str">
        <f ca="1">IFERROR(__xludf.DUMMYFUNCTION("if(ISBLANK(C181),,QUERY(MD!$A$2:$D$1000,""Select B where C = '""&amp; C181 &amp;""'""))"),"")</f>
        <v/>
      </c>
      <c r="F181" s="5">
        <f t="shared" ca="1" si="0"/>
        <v>0</v>
      </c>
      <c r="G181" s="32" t="str">
        <f ca="1">IFERROR(__xludf.DUMMYFUNCTION("if($F181&gt;=1,QUERY(Loot!$A$2:$G$904,""Select G where A = '""&amp; $E181 &amp;""' AND D &gt;= ""&amp; Q181  &amp;"" LIMIT 1""),)"),"")</f>
        <v/>
      </c>
      <c r="H181" s="61"/>
      <c r="I181" s="32" t="str">
        <f ca="1">IFERROR(__xludf.DUMMYFUNCTION("if($F181&gt;=2,QUERY(Loot!$A$2:$G$904,""Select G where A = '""&amp; $E181 &amp;""' AND D &gt;= ""&amp; R181 &amp;"" LIMIT 1""),)"),"")</f>
        <v/>
      </c>
      <c r="J181" s="61"/>
      <c r="K181" s="32" t="str">
        <f ca="1">IFERROR(__xludf.DUMMYFUNCTION("if($F181&gt;=3,QUERY(Loot!$A$2:$G$904,""Select G where A = '""&amp; $E181 &amp;""' AND D &gt;= ""&amp; S181  &amp;"" LIMIT 1""),)"),"")</f>
        <v/>
      </c>
      <c r="L181" s="61"/>
      <c r="M181" s="32" t="str">
        <f ca="1">IFERROR(__xludf.DUMMYFUNCTION("if($F181&gt;=4,QUERY(Loot!$A$2:$G$904,""Select G where A = '""&amp; $E181 &amp;""' AND D &gt;= ""&amp;T181 &amp;"" LIMIT 1""),)"),"")</f>
        <v/>
      </c>
      <c r="N181" s="61"/>
      <c r="O181" s="32" t="str">
        <f ca="1">IFERROR(__xludf.DUMMYFUNCTION("if($F181&gt;=5,QUERY(Loot!$A$2:$G$904,""Select G where A = '""&amp; $E181 &amp;""' AND D &gt;= ""&amp; U181 &amp;"" LIMIT 1""),)"),"")</f>
        <v/>
      </c>
      <c r="P181" s="61"/>
      <c r="Q181" s="62">
        <v>0.31196273639107663</v>
      </c>
      <c r="R181" s="63">
        <v>0.96799502141797988</v>
      </c>
      <c r="S181" s="63">
        <v>0.68323208400729241</v>
      </c>
      <c r="T181" s="63">
        <v>0.41798014986262899</v>
      </c>
      <c r="U181" s="63">
        <v>0.66026316963592324</v>
      </c>
    </row>
    <row r="182" spans="1:21" ht="16.2">
      <c r="A182" s="5">
        <f t="shared" ca="1" si="1"/>
        <v>181</v>
      </c>
      <c r="B182" s="5" t="str">
        <f ca="1">IFERROR(__xludf.DUMMYFUNCTION("if(ISBLANK(C182),,QUERY(MD!A183:D1181,""Select A where C = '""&amp; C182 &amp;""'""))"),"")</f>
        <v/>
      </c>
      <c r="C182" s="5"/>
      <c r="D182" s="5" t="str">
        <f ca="1">IFERROR(__xludf.DUMMYFUNCTION("if(ISBLANK(C182),,QUERY(MD!$A$2:$D$1000,""Select D where C = '""&amp; C182 &amp;""'""))"),"")</f>
        <v/>
      </c>
      <c r="E182" s="59" t="str">
        <f ca="1">IFERROR(__xludf.DUMMYFUNCTION("if(ISBLANK(C182),,QUERY(MD!$A$2:$D$1000,""Select B where C = '""&amp; C182 &amp;""'""))"),"")</f>
        <v/>
      </c>
      <c r="F182" s="5">
        <f t="shared" ca="1" si="0"/>
        <v>0</v>
      </c>
      <c r="G182" s="32" t="str">
        <f ca="1">IFERROR(__xludf.DUMMYFUNCTION("if($F182&gt;=1,QUERY(Loot!$A$2:$G$904,""Select G where A = '""&amp; $E182 &amp;""' AND D &gt;= ""&amp; Q182  &amp;"" LIMIT 1""),)"),"")</f>
        <v/>
      </c>
      <c r="H182" s="61"/>
      <c r="I182" s="32" t="str">
        <f ca="1">IFERROR(__xludf.DUMMYFUNCTION("if($F182&gt;=2,QUERY(Loot!$A$2:$G$904,""Select G where A = '""&amp; $E182 &amp;""' AND D &gt;= ""&amp; R182 &amp;"" LIMIT 1""),)"),"")</f>
        <v/>
      </c>
      <c r="J182" s="61"/>
      <c r="K182" s="32" t="str">
        <f ca="1">IFERROR(__xludf.DUMMYFUNCTION("if($F182&gt;=3,QUERY(Loot!$A$2:$G$904,""Select G where A = '""&amp; $E182 &amp;""' AND D &gt;= ""&amp; S182  &amp;"" LIMIT 1""),)"),"")</f>
        <v/>
      </c>
      <c r="L182" s="61"/>
      <c r="M182" s="32" t="str">
        <f ca="1">IFERROR(__xludf.DUMMYFUNCTION("if($F182&gt;=4,QUERY(Loot!$A$2:$G$904,""Select G where A = '""&amp; $E182 &amp;""' AND D &gt;= ""&amp;T182 &amp;"" LIMIT 1""),)"),"")</f>
        <v/>
      </c>
      <c r="N182" s="61"/>
      <c r="O182" s="32" t="str">
        <f ca="1">IFERROR(__xludf.DUMMYFUNCTION("if($F182&gt;=5,QUERY(Loot!$A$2:$G$904,""Select G where A = '""&amp; $E182 &amp;""' AND D &gt;= ""&amp; U182 &amp;"" LIMIT 1""),)"),"")</f>
        <v/>
      </c>
      <c r="P182" s="61"/>
      <c r="Q182" s="62">
        <v>0.90021406429971818</v>
      </c>
      <c r="R182" s="63">
        <v>0.4957765979361477</v>
      </c>
      <c r="S182" s="63">
        <v>1.2347108148147434E-4</v>
      </c>
      <c r="T182" s="63">
        <v>0.67123231314616993</v>
      </c>
      <c r="U182" s="63">
        <v>0.57436605134048879</v>
      </c>
    </row>
    <row r="183" spans="1:21" ht="16.2">
      <c r="A183" s="5">
        <f t="shared" ca="1" si="1"/>
        <v>182</v>
      </c>
      <c r="B183" s="5" t="str">
        <f ca="1">IFERROR(__xludf.DUMMYFUNCTION("if(ISBLANK(C183),,QUERY(MD!A184:D1182,""Select A where C = '""&amp; C183 &amp;""'""))"),"")</f>
        <v/>
      </c>
      <c r="C183" s="5"/>
      <c r="D183" s="5" t="str">
        <f ca="1">IFERROR(__xludf.DUMMYFUNCTION("if(ISBLANK(C183),,QUERY(MD!$A$2:$D$1000,""Select D where C = '""&amp; C183 &amp;""'""))"),"")</f>
        <v/>
      </c>
      <c r="E183" s="59" t="str">
        <f ca="1">IFERROR(__xludf.DUMMYFUNCTION("if(ISBLANK(C183),,QUERY(MD!$A$2:$D$1000,""Select B where C = '""&amp; C183 &amp;""'""))"),"")</f>
        <v/>
      </c>
      <c r="F183" s="5">
        <f t="shared" ca="1" si="0"/>
        <v>0</v>
      </c>
      <c r="G183" s="32" t="str">
        <f ca="1">IFERROR(__xludf.DUMMYFUNCTION("if($F183&gt;=1,QUERY(Loot!$A$2:$G$904,""Select G where A = '""&amp; $E183 &amp;""' AND D &gt;= ""&amp; Q183  &amp;"" LIMIT 1""),)"),"")</f>
        <v/>
      </c>
      <c r="H183" s="61"/>
      <c r="I183" s="32" t="str">
        <f ca="1">IFERROR(__xludf.DUMMYFUNCTION("if($F183&gt;=2,QUERY(Loot!$A$2:$G$904,""Select G where A = '""&amp; $E183 &amp;""' AND D &gt;= ""&amp; R183 &amp;"" LIMIT 1""),)"),"")</f>
        <v/>
      </c>
      <c r="J183" s="61"/>
      <c r="K183" s="32" t="str">
        <f ca="1">IFERROR(__xludf.DUMMYFUNCTION("if($F183&gt;=3,QUERY(Loot!$A$2:$G$904,""Select G where A = '""&amp; $E183 &amp;""' AND D &gt;= ""&amp; S183  &amp;"" LIMIT 1""),)"),"")</f>
        <v/>
      </c>
      <c r="L183" s="61"/>
      <c r="M183" s="32" t="str">
        <f ca="1">IFERROR(__xludf.DUMMYFUNCTION("if($F183&gt;=4,QUERY(Loot!$A$2:$G$904,""Select G where A = '""&amp; $E183 &amp;""' AND D &gt;= ""&amp;T183 &amp;"" LIMIT 1""),)"),"")</f>
        <v/>
      </c>
      <c r="N183" s="61"/>
      <c r="O183" s="32" t="str">
        <f ca="1">IFERROR(__xludf.DUMMYFUNCTION("if($F183&gt;=5,QUERY(Loot!$A$2:$G$904,""Select G where A = '""&amp; $E183 &amp;""' AND D &gt;= ""&amp; U183 &amp;"" LIMIT 1""),)"),"")</f>
        <v/>
      </c>
      <c r="P183" s="61"/>
      <c r="Q183" s="62">
        <v>0.444169024583984</v>
      </c>
      <c r="R183" s="63">
        <v>0.96327245452751586</v>
      </c>
      <c r="S183" s="63">
        <v>4.3552353440886926E-2</v>
      </c>
      <c r="T183" s="63">
        <v>0.49027488166739197</v>
      </c>
      <c r="U183" s="63">
        <v>0.77753828148196336</v>
      </c>
    </row>
    <row r="184" spans="1:21" ht="16.2">
      <c r="A184" s="5">
        <f t="shared" ca="1" si="1"/>
        <v>183</v>
      </c>
      <c r="B184" s="5" t="str">
        <f ca="1">IFERROR(__xludf.DUMMYFUNCTION("if(ISBLANK(C184),,QUERY(MD!A185:D1183,""Select A where C = '""&amp; C184 &amp;""'""))"),"")</f>
        <v/>
      </c>
      <c r="C184" s="5"/>
      <c r="D184" s="5" t="str">
        <f ca="1">IFERROR(__xludf.DUMMYFUNCTION("if(ISBLANK(C184),,QUERY(MD!$A$2:$D$1000,""Select D where C = '""&amp; C184 &amp;""'""))"),"")</f>
        <v/>
      </c>
      <c r="E184" s="59" t="str">
        <f ca="1">IFERROR(__xludf.DUMMYFUNCTION("if(ISBLANK(C184),,QUERY(MD!$A$2:$D$1000,""Select B where C = '""&amp; C184 &amp;""'""))"),"")</f>
        <v/>
      </c>
      <c r="F184" s="5">
        <f t="shared" ca="1" si="0"/>
        <v>0</v>
      </c>
      <c r="G184" s="32" t="str">
        <f ca="1">IFERROR(__xludf.DUMMYFUNCTION("if($F184&gt;=1,QUERY(Loot!$A$2:$G$904,""Select G where A = '""&amp; $E184 &amp;""' AND D &gt;= ""&amp; Q184  &amp;"" LIMIT 1""),)"),"")</f>
        <v/>
      </c>
      <c r="H184" s="61"/>
      <c r="I184" s="32" t="str">
        <f ca="1">IFERROR(__xludf.DUMMYFUNCTION("if($F184&gt;=2,QUERY(Loot!$A$2:$G$904,""Select G where A = '""&amp; $E184 &amp;""' AND D &gt;= ""&amp; R184 &amp;"" LIMIT 1""),)"),"")</f>
        <v/>
      </c>
      <c r="J184" s="61"/>
      <c r="K184" s="32" t="str">
        <f ca="1">IFERROR(__xludf.DUMMYFUNCTION("if($F184&gt;=3,QUERY(Loot!$A$2:$G$904,""Select G where A = '""&amp; $E184 &amp;""' AND D &gt;= ""&amp; S184  &amp;"" LIMIT 1""),)"),"")</f>
        <v/>
      </c>
      <c r="L184" s="61"/>
      <c r="M184" s="32" t="str">
        <f ca="1">IFERROR(__xludf.DUMMYFUNCTION("if($F184&gt;=4,QUERY(Loot!$A$2:$G$904,""Select G where A = '""&amp; $E184 &amp;""' AND D &gt;= ""&amp;T184 &amp;"" LIMIT 1""),)"),"")</f>
        <v/>
      </c>
      <c r="N184" s="61"/>
      <c r="O184" s="32" t="str">
        <f ca="1">IFERROR(__xludf.DUMMYFUNCTION("if($F184&gt;=5,QUERY(Loot!$A$2:$G$904,""Select G where A = '""&amp; $E184 &amp;""' AND D &gt;= ""&amp; U184 &amp;"" LIMIT 1""),)"),"")</f>
        <v/>
      </c>
      <c r="P184" s="61"/>
      <c r="Q184" s="62">
        <v>0.39149154400993458</v>
      </c>
      <c r="R184" s="63">
        <v>0.10074620576643678</v>
      </c>
      <c r="S184" s="63">
        <v>0.18253218071835653</v>
      </c>
      <c r="T184" s="63">
        <v>0.96942072276811941</v>
      </c>
      <c r="U184" s="63">
        <v>9.233535006815774E-2</v>
      </c>
    </row>
    <row r="185" spans="1:21" ht="16.2">
      <c r="A185" s="5">
        <f t="shared" ca="1" si="1"/>
        <v>184</v>
      </c>
      <c r="B185" s="5" t="str">
        <f ca="1">IFERROR(__xludf.DUMMYFUNCTION("if(ISBLANK(C185),,QUERY(MD!A186:D1184,""Select A where C = '""&amp; C185 &amp;""'""))"),"")</f>
        <v/>
      </c>
      <c r="C185" s="5"/>
      <c r="D185" s="5" t="str">
        <f ca="1">IFERROR(__xludf.DUMMYFUNCTION("if(ISBLANK(C185),,QUERY(MD!$A$2:$D$1000,""Select D where C = '""&amp; C185 &amp;""'""))"),"")</f>
        <v/>
      </c>
      <c r="E185" s="59" t="str">
        <f ca="1">IFERROR(__xludf.DUMMYFUNCTION("if(ISBLANK(C185),,QUERY(MD!$A$2:$D$1000,""Select B where C = '""&amp; C185 &amp;""'""))"),"")</f>
        <v/>
      </c>
      <c r="F185" s="5">
        <f t="shared" ca="1" si="0"/>
        <v>0</v>
      </c>
      <c r="G185" s="32" t="str">
        <f ca="1">IFERROR(__xludf.DUMMYFUNCTION("if($F185&gt;=1,QUERY(Loot!$A$2:$G$904,""Select G where A = '""&amp; $E185 &amp;""' AND D &gt;= ""&amp; Q185  &amp;"" LIMIT 1""),)"),"")</f>
        <v/>
      </c>
      <c r="H185" s="61"/>
      <c r="I185" s="32" t="str">
        <f ca="1">IFERROR(__xludf.DUMMYFUNCTION("if($F185&gt;=2,QUERY(Loot!$A$2:$G$904,""Select G where A = '""&amp; $E185 &amp;""' AND D &gt;= ""&amp; R185 &amp;"" LIMIT 1""),)"),"")</f>
        <v/>
      </c>
      <c r="J185" s="61"/>
      <c r="K185" s="32" t="str">
        <f ca="1">IFERROR(__xludf.DUMMYFUNCTION("if($F185&gt;=3,QUERY(Loot!$A$2:$G$904,""Select G where A = '""&amp; $E185 &amp;""' AND D &gt;= ""&amp; S185  &amp;"" LIMIT 1""),)"),"")</f>
        <v/>
      </c>
      <c r="L185" s="61"/>
      <c r="M185" s="32" t="str">
        <f ca="1">IFERROR(__xludf.DUMMYFUNCTION("if($F185&gt;=4,QUERY(Loot!$A$2:$G$904,""Select G where A = '""&amp; $E185 &amp;""' AND D &gt;= ""&amp;T185 &amp;"" LIMIT 1""),)"),"")</f>
        <v/>
      </c>
      <c r="N185" s="61"/>
      <c r="O185" s="32" t="str">
        <f ca="1">IFERROR(__xludf.DUMMYFUNCTION("if($F185&gt;=5,QUERY(Loot!$A$2:$G$904,""Select G where A = '""&amp; $E185 &amp;""' AND D &gt;= ""&amp; U185 &amp;"" LIMIT 1""),)"),"")</f>
        <v/>
      </c>
      <c r="P185" s="61"/>
      <c r="Q185" s="62">
        <v>0.42965552506048055</v>
      </c>
      <c r="R185" s="63">
        <v>0.95141985259261996</v>
      </c>
      <c r="S185" s="63">
        <v>0.31369692821016415</v>
      </c>
      <c r="T185" s="63">
        <v>0.95593397488838217</v>
      </c>
      <c r="U185" s="63">
        <v>0.53040158350182076</v>
      </c>
    </row>
    <row r="186" spans="1:21" ht="16.2">
      <c r="A186" s="5">
        <f t="shared" ca="1" si="1"/>
        <v>185</v>
      </c>
      <c r="B186" s="5" t="str">
        <f ca="1">IFERROR(__xludf.DUMMYFUNCTION("if(ISBLANK(C186),,QUERY(MD!A187:D1185,""Select A where C = '""&amp; C186 &amp;""'""))"),"")</f>
        <v/>
      </c>
      <c r="C186" s="5"/>
      <c r="D186" s="5" t="str">
        <f ca="1">IFERROR(__xludf.DUMMYFUNCTION("if(ISBLANK(C186),,QUERY(MD!$A$2:$D$1000,""Select D where C = '""&amp; C186 &amp;""'""))"),"")</f>
        <v/>
      </c>
      <c r="E186" s="59" t="str">
        <f ca="1">IFERROR(__xludf.DUMMYFUNCTION("if(ISBLANK(C186),,QUERY(MD!$A$2:$D$1000,""Select B where C = '""&amp; C186 &amp;""'""))"),"")</f>
        <v/>
      </c>
      <c r="F186" s="5">
        <f t="shared" ca="1" si="0"/>
        <v>0</v>
      </c>
      <c r="G186" s="32" t="str">
        <f ca="1">IFERROR(__xludf.DUMMYFUNCTION("if($F186&gt;=1,QUERY(Loot!$A$2:$G$904,""Select G where A = '""&amp; $E186 &amp;""' AND D &gt;= ""&amp; Q186  &amp;"" LIMIT 1""),)"),"")</f>
        <v/>
      </c>
      <c r="H186" s="61"/>
      <c r="I186" s="32" t="str">
        <f ca="1">IFERROR(__xludf.DUMMYFUNCTION("if($F186&gt;=2,QUERY(Loot!$A$2:$G$904,""Select G where A = '""&amp; $E186 &amp;""' AND D &gt;= ""&amp; R186 &amp;"" LIMIT 1""),)"),"")</f>
        <v/>
      </c>
      <c r="J186" s="61"/>
      <c r="K186" s="32" t="str">
        <f ca="1">IFERROR(__xludf.DUMMYFUNCTION("if($F186&gt;=3,QUERY(Loot!$A$2:$G$904,""Select G where A = '""&amp; $E186 &amp;""' AND D &gt;= ""&amp; S186  &amp;"" LIMIT 1""),)"),"")</f>
        <v/>
      </c>
      <c r="L186" s="61"/>
      <c r="M186" s="32" t="str">
        <f ca="1">IFERROR(__xludf.DUMMYFUNCTION("if($F186&gt;=4,QUERY(Loot!$A$2:$G$904,""Select G where A = '""&amp; $E186 &amp;""' AND D &gt;= ""&amp;T186 &amp;"" LIMIT 1""),)"),"")</f>
        <v/>
      </c>
      <c r="N186" s="61"/>
      <c r="O186" s="32" t="str">
        <f ca="1">IFERROR(__xludf.DUMMYFUNCTION("if($F186&gt;=5,QUERY(Loot!$A$2:$G$904,""Select G where A = '""&amp; $E186 &amp;""' AND D &gt;= ""&amp; U186 &amp;"" LIMIT 1""),)"),"")</f>
        <v/>
      </c>
      <c r="P186" s="61"/>
      <c r="Q186" s="62">
        <v>0.19654037431920446</v>
      </c>
      <c r="R186" s="63">
        <v>0.73698297110085809</v>
      </c>
      <c r="S186" s="63">
        <v>0.16533666912327871</v>
      </c>
      <c r="T186" s="63">
        <v>6.9656978028992955E-2</v>
      </c>
      <c r="U186" s="63">
        <v>0.57315622637496455</v>
      </c>
    </row>
    <row r="187" spans="1:21" ht="16.2">
      <c r="A187" s="5">
        <f t="shared" ca="1" si="1"/>
        <v>186</v>
      </c>
      <c r="B187" s="5" t="str">
        <f ca="1">IFERROR(__xludf.DUMMYFUNCTION("if(ISBLANK(C187),,QUERY(MD!A188:D1186,""Select A where C = '""&amp; C187 &amp;""'""))"),"")</f>
        <v/>
      </c>
      <c r="C187" s="5"/>
      <c r="D187" s="5" t="str">
        <f ca="1">IFERROR(__xludf.DUMMYFUNCTION("if(ISBLANK(C187),,QUERY(MD!$A$2:$D$1000,""Select D where C = '""&amp; C187 &amp;""'""))"),"")</f>
        <v/>
      </c>
      <c r="E187" s="59" t="str">
        <f ca="1">IFERROR(__xludf.DUMMYFUNCTION("if(ISBLANK(C187),,QUERY(MD!$A$2:$D$1000,""Select B where C = '""&amp; C187 &amp;""'""))"),"")</f>
        <v/>
      </c>
      <c r="F187" s="5">
        <f t="shared" ca="1" si="0"/>
        <v>0</v>
      </c>
      <c r="G187" s="32" t="str">
        <f ca="1">IFERROR(__xludf.DUMMYFUNCTION("if($F187&gt;=1,QUERY(Loot!$A$2:$G$904,""Select G where A = '""&amp; $E187 &amp;""' AND D &gt;= ""&amp; Q187  &amp;"" LIMIT 1""),)"),"")</f>
        <v/>
      </c>
      <c r="H187" s="61"/>
      <c r="I187" s="32" t="str">
        <f ca="1">IFERROR(__xludf.DUMMYFUNCTION("if($F187&gt;=2,QUERY(Loot!$A$2:$G$904,""Select G where A = '""&amp; $E187 &amp;""' AND D &gt;= ""&amp; R187 &amp;"" LIMIT 1""),)"),"")</f>
        <v/>
      </c>
      <c r="J187" s="61"/>
      <c r="K187" s="32" t="str">
        <f ca="1">IFERROR(__xludf.DUMMYFUNCTION("if($F187&gt;=3,QUERY(Loot!$A$2:$G$904,""Select G where A = '""&amp; $E187 &amp;""' AND D &gt;= ""&amp; S187  &amp;"" LIMIT 1""),)"),"")</f>
        <v/>
      </c>
      <c r="L187" s="61"/>
      <c r="M187" s="32" t="str">
        <f ca="1">IFERROR(__xludf.DUMMYFUNCTION("if($F187&gt;=4,QUERY(Loot!$A$2:$G$904,""Select G where A = '""&amp; $E187 &amp;""' AND D &gt;= ""&amp;T187 &amp;"" LIMIT 1""),)"),"")</f>
        <v/>
      </c>
      <c r="N187" s="61"/>
      <c r="O187" s="32" t="str">
        <f ca="1">IFERROR(__xludf.DUMMYFUNCTION("if($F187&gt;=5,QUERY(Loot!$A$2:$G$904,""Select G where A = '""&amp; $E187 &amp;""' AND D &gt;= ""&amp; U187 &amp;"" LIMIT 1""),)"),"")</f>
        <v/>
      </c>
      <c r="P187" s="61"/>
      <c r="Q187" s="62">
        <v>0.13072945212481302</v>
      </c>
      <c r="R187" s="63">
        <v>0.4278218776618754</v>
      </c>
      <c r="S187" s="63">
        <v>9.7192056500253754E-3</v>
      </c>
      <c r="T187" s="63">
        <v>0.16096625535415032</v>
      </c>
      <c r="U187" s="63">
        <v>0.82757046283667079</v>
      </c>
    </row>
    <row r="188" spans="1:21" ht="16.2">
      <c r="A188" s="5">
        <f t="shared" ca="1" si="1"/>
        <v>187</v>
      </c>
      <c r="B188" s="5" t="str">
        <f ca="1">IFERROR(__xludf.DUMMYFUNCTION("if(ISBLANK(C188),,QUERY(MD!A189:D1187,""Select A where C = '""&amp; C188 &amp;""'""))"),"")</f>
        <v/>
      </c>
      <c r="C188" s="5"/>
      <c r="D188" s="5" t="str">
        <f ca="1">IFERROR(__xludf.DUMMYFUNCTION("if(ISBLANK(C188),,QUERY(MD!$A$2:$D$1000,""Select D where C = '""&amp; C188 &amp;""'""))"),"")</f>
        <v/>
      </c>
      <c r="E188" s="59" t="str">
        <f ca="1">IFERROR(__xludf.DUMMYFUNCTION("if(ISBLANK(C188),,QUERY(MD!$A$2:$D$1000,""Select B where C = '""&amp; C188 &amp;""'""))"),"")</f>
        <v/>
      </c>
      <c r="F188" s="5">
        <f t="shared" ca="1" si="0"/>
        <v>0</v>
      </c>
      <c r="G188" s="32" t="str">
        <f ca="1">IFERROR(__xludf.DUMMYFUNCTION("if($F188&gt;=1,QUERY(Loot!$A$2:$G$904,""Select G where A = '""&amp; $E188 &amp;""' AND D &gt;= ""&amp; Q188  &amp;"" LIMIT 1""),)"),"")</f>
        <v/>
      </c>
      <c r="H188" s="61"/>
      <c r="I188" s="32" t="str">
        <f ca="1">IFERROR(__xludf.DUMMYFUNCTION("if($F188&gt;=2,QUERY(Loot!$A$2:$G$904,""Select G where A = '""&amp; $E188 &amp;""' AND D &gt;= ""&amp; R188 &amp;"" LIMIT 1""),)"),"")</f>
        <v/>
      </c>
      <c r="J188" s="61"/>
      <c r="K188" s="32" t="str">
        <f ca="1">IFERROR(__xludf.DUMMYFUNCTION("if($F188&gt;=3,QUERY(Loot!$A$2:$G$904,""Select G where A = '""&amp; $E188 &amp;""' AND D &gt;= ""&amp; S188  &amp;"" LIMIT 1""),)"),"")</f>
        <v/>
      </c>
      <c r="L188" s="61"/>
      <c r="M188" s="32" t="str">
        <f ca="1">IFERROR(__xludf.DUMMYFUNCTION("if($F188&gt;=4,QUERY(Loot!$A$2:$G$904,""Select G where A = '""&amp; $E188 &amp;""' AND D &gt;= ""&amp;T188 &amp;"" LIMIT 1""),)"),"")</f>
        <v/>
      </c>
      <c r="N188" s="61"/>
      <c r="O188" s="32" t="str">
        <f ca="1">IFERROR(__xludf.DUMMYFUNCTION("if($F188&gt;=5,QUERY(Loot!$A$2:$G$904,""Select G where A = '""&amp; $E188 &amp;""' AND D &gt;= ""&amp; U188 &amp;"" LIMIT 1""),)"),"")</f>
        <v/>
      </c>
      <c r="P188" s="61"/>
      <c r="Q188" s="62">
        <v>0.63223390712893179</v>
      </c>
      <c r="R188" s="63">
        <v>9.7791931041846469E-2</v>
      </c>
      <c r="S188" s="63">
        <v>0.58602313878778567</v>
      </c>
      <c r="T188" s="63">
        <v>0.19900353988643715</v>
      </c>
      <c r="U188" s="63">
        <v>0.85400697937536496</v>
      </c>
    </row>
    <row r="189" spans="1:21" ht="16.2">
      <c r="A189" s="5">
        <f t="shared" ca="1" si="1"/>
        <v>188</v>
      </c>
      <c r="B189" s="5" t="str">
        <f ca="1">IFERROR(__xludf.DUMMYFUNCTION("if(ISBLANK(C189),,QUERY(MD!A190:D1188,""Select A where C = '""&amp; C189 &amp;""'""))"),"")</f>
        <v/>
      </c>
      <c r="C189" s="5"/>
      <c r="D189" s="5" t="str">
        <f ca="1">IFERROR(__xludf.DUMMYFUNCTION("if(ISBLANK(C189),,QUERY(MD!$A$2:$D$1000,""Select D where C = '""&amp; C189 &amp;""'""))"),"")</f>
        <v/>
      </c>
      <c r="E189" s="59" t="str">
        <f ca="1">IFERROR(__xludf.DUMMYFUNCTION("if(ISBLANK(C189),,QUERY(MD!$A$2:$D$1000,""Select B where C = '""&amp; C189 &amp;""'""))"),"")</f>
        <v/>
      </c>
      <c r="F189" s="5">
        <f t="shared" ca="1" si="0"/>
        <v>0</v>
      </c>
      <c r="G189" s="32" t="str">
        <f ca="1">IFERROR(__xludf.DUMMYFUNCTION("if($F189&gt;=1,QUERY(Loot!$A$2:$G$904,""Select G where A = '""&amp; $E189 &amp;""' AND D &gt;= ""&amp; Q189  &amp;"" LIMIT 1""),)"),"")</f>
        <v/>
      </c>
      <c r="H189" s="61"/>
      <c r="I189" s="32" t="str">
        <f ca="1">IFERROR(__xludf.DUMMYFUNCTION("if($F189&gt;=2,QUERY(Loot!$A$2:$G$904,""Select G where A = '""&amp; $E189 &amp;""' AND D &gt;= ""&amp; R189 &amp;"" LIMIT 1""),)"),"")</f>
        <v/>
      </c>
      <c r="J189" s="61"/>
      <c r="K189" s="32" t="str">
        <f ca="1">IFERROR(__xludf.DUMMYFUNCTION("if($F189&gt;=3,QUERY(Loot!$A$2:$G$904,""Select G where A = '""&amp; $E189 &amp;""' AND D &gt;= ""&amp; S189  &amp;"" LIMIT 1""),)"),"")</f>
        <v/>
      </c>
      <c r="L189" s="61"/>
      <c r="M189" s="32" t="str">
        <f ca="1">IFERROR(__xludf.DUMMYFUNCTION("if($F189&gt;=4,QUERY(Loot!$A$2:$G$904,""Select G where A = '""&amp; $E189 &amp;""' AND D &gt;= ""&amp;T189 &amp;"" LIMIT 1""),)"),"")</f>
        <v/>
      </c>
      <c r="N189" s="61"/>
      <c r="O189" s="32" t="str">
        <f ca="1">IFERROR(__xludf.DUMMYFUNCTION("if($F189&gt;=5,QUERY(Loot!$A$2:$G$904,""Select G where A = '""&amp; $E189 &amp;""' AND D &gt;= ""&amp; U189 &amp;"" LIMIT 1""),)"),"")</f>
        <v/>
      </c>
      <c r="P189" s="61"/>
      <c r="Q189" s="62">
        <v>0.94304328961819883</v>
      </c>
      <c r="R189" s="63">
        <v>0.56872304987878286</v>
      </c>
      <c r="S189" s="63">
        <v>0.73527155815381462</v>
      </c>
      <c r="T189" s="63">
        <v>0.42739030106357279</v>
      </c>
      <c r="U189" s="63">
        <v>0.18342505510378448</v>
      </c>
    </row>
    <row r="190" spans="1:21" ht="16.2">
      <c r="A190" s="5">
        <f t="shared" ca="1" si="1"/>
        <v>189</v>
      </c>
      <c r="B190" s="5" t="str">
        <f ca="1">IFERROR(__xludf.DUMMYFUNCTION("if(ISBLANK(C190),,QUERY(MD!A191:D1189,""Select A where C = '""&amp; C190 &amp;""'""))"),"")</f>
        <v/>
      </c>
      <c r="C190" s="5"/>
      <c r="D190" s="5" t="str">
        <f ca="1">IFERROR(__xludf.DUMMYFUNCTION("if(ISBLANK(C190),,QUERY(MD!$A$2:$D$1000,""Select D where C = '""&amp; C190 &amp;""'""))"),"")</f>
        <v/>
      </c>
      <c r="E190" s="59" t="str">
        <f ca="1">IFERROR(__xludf.DUMMYFUNCTION("if(ISBLANK(C190),,QUERY(MD!$A$2:$D$1000,""Select B where C = '""&amp; C190 &amp;""'""))"),"")</f>
        <v/>
      </c>
      <c r="F190" s="5">
        <f t="shared" ca="1" si="0"/>
        <v>0</v>
      </c>
      <c r="G190" s="32" t="str">
        <f ca="1">IFERROR(__xludf.DUMMYFUNCTION("if($F190&gt;=1,QUERY(Loot!$A$2:$G$904,""Select G where A = '""&amp; $E190 &amp;""' AND D &gt;= ""&amp; Q190  &amp;"" LIMIT 1""),)"),"")</f>
        <v/>
      </c>
      <c r="H190" s="61"/>
      <c r="I190" s="32" t="str">
        <f ca="1">IFERROR(__xludf.DUMMYFUNCTION("if($F190&gt;=2,QUERY(Loot!$A$2:$G$904,""Select G where A = '""&amp; $E190 &amp;""' AND D &gt;= ""&amp; R190 &amp;"" LIMIT 1""),)"),"")</f>
        <v/>
      </c>
      <c r="J190" s="61"/>
      <c r="K190" s="32" t="str">
        <f ca="1">IFERROR(__xludf.DUMMYFUNCTION("if($F190&gt;=3,QUERY(Loot!$A$2:$G$904,""Select G where A = '""&amp; $E190 &amp;""' AND D &gt;= ""&amp; S190  &amp;"" LIMIT 1""),)"),"")</f>
        <v/>
      </c>
      <c r="L190" s="61"/>
      <c r="M190" s="32" t="str">
        <f ca="1">IFERROR(__xludf.DUMMYFUNCTION("if($F190&gt;=4,QUERY(Loot!$A$2:$G$904,""Select G where A = '""&amp; $E190 &amp;""' AND D &gt;= ""&amp;T190 &amp;"" LIMIT 1""),)"),"")</f>
        <v/>
      </c>
      <c r="N190" s="61"/>
      <c r="O190" s="32" t="str">
        <f ca="1">IFERROR(__xludf.DUMMYFUNCTION("if($F190&gt;=5,QUERY(Loot!$A$2:$G$904,""Select G where A = '""&amp; $E190 &amp;""' AND D &gt;= ""&amp; U190 &amp;"" LIMIT 1""),)"),"")</f>
        <v/>
      </c>
      <c r="P190" s="61"/>
      <c r="Q190" s="62">
        <v>0.68427486456123221</v>
      </c>
      <c r="R190" s="63">
        <v>0.3833552582658365</v>
      </c>
      <c r="S190" s="63">
        <v>0.88348791325901976</v>
      </c>
      <c r="T190" s="63">
        <v>4.9900195352711729E-2</v>
      </c>
      <c r="U190" s="63">
        <v>0.21678300690260821</v>
      </c>
    </row>
    <row r="191" spans="1:21" ht="16.2">
      <c r="A191" s="5">
        <f t="shared" ca="1" si="1"/>
        <v>190</v>
      </c>
      <c r="B191" s="5" t="str">
        <f ca="1">IFERROR(__xludf.DUMMYFUNCTION("if(ISBLANK(C191),,QUERY(MD!A192:D1190,""Select A where C = '""&amp; C191 &amp;""'""))"),"")</f>
        <v/>
      </c>
      <c r="C191" s="5"/>
      <c r="D191" s="5" t="str">
        <f ca="1">IFERROR(__xludf.DUMMYFUNCTION("if(ISBLANK(C191),,QUERY(MD!$A$2:$D$1000,""Select D where C = '""&amp; C191 &amp;""'""))"),"")</f>
        <v/>
      </c>
      <c r="E191" s="59" t="str">
        <f ca="1">IFERROR(__xludf.DUMMYFUNCTION("if(ISBLANK(C191),,QUERY(MD!$A$2:$D$1000,""Select B where C = '""&amp; C191 &amp;""'""))"),"")</f>
        <v/>
      </c>
      <c r="F191" s="5">
        <f t="shared" ca="1" si="0"/>
        <v>0</v>
      </c>
      <c r="G191" s="32" t="str">
        <f ca="1">IFERROR(__xludf.DUMMYFUNCTION("if($F191&gt;=1,QUERY(Loot!$A$2:$G$904,""Select G where A = '""&amp; $E191 &amp;""' AND D &gt;= ""&amp; Q191  &amp;"" LIMIT 1""),)"),"")</f>
        <v/>
      </c>
      <c r="H191" s="61"/>
      <c r="I191" s="32" t="str">
        <f ca="1">IFERROR(__xludf.DUMMYFUNCTION("if($F191&gt;=2,QUERY(Loot!$A$2:$G$904,""Select G where A = '""&amp; $E191 &amp;""' AND D &gt;= ""&amp; R191 &amp;"" LIMIT 1""),)"),"")</f>
        <v/>
      </c>
      <c r="J191" s="61"/>
      <c r="K191" s="32" t="str">
        <f ca="1">IFERROR(__xludf.DUMMYFUNCTION("if($F191&gt;=3,QUERY(Loot!$A$2:$G$904,""Select G where A = '""&amp; $E191 &amp;""' AND D &gt;= ""&amp; S191  &amp;"" LIMIT 1""),)"),"")</f>
        <v/>
      </c>
      <c r="L191" s="61"/>
      <c r="M191" s="32" t="str">
        <f ca="1">IFERROR(__xludf.DUMMYFUNCTION("if($F191&gt;=4,QUERY(Loot!$A$2:$G$904,""Select G where A = '""&amp; $E191 &amp;""' AND D &gt;= ""&amp;T191 &amp;"" LIMIT 1""),)"),"")</f>
        <v/>
      </c>
      <c r="N191" s="61"/>
      <c r="O191" s="32" t="str">
        <f ca="1">IFERROR(__xludf.DUMMYFUNCTION("if($F191&gt;=5,QUERY(Loot!$A$2:$G$904,""Select G where A = '""&amp; $E191 &amp;""' AND D &gt;= ""&amp; U191 &amp;"" LIMIT 1""),)"),"")</f>
        <v/>
      </c>
      <c r="P191" s="61"/>
      <c r="Q191" s="62">
        <v>0.36527555444832605</v>
      </c>
      <c r="R191" s="63">
        <v>0.91308014915344016</v>
      </c>
      <c r="S191" s="63">
        <v>0.97264079341189125</v>
      </c>
      <c r="T191" s="63">
        <v>0.8640545910911448</v>
      </c>
      <c r="U191" s="63">
        <v>0.17644270689528951</v>
      </c>
    </row>
    <row r="192" spans="1:21" ht="16.2">
      <c r="A192" s="5">
        <f t="shared" ca="1" si="1"/>
        <v>191</v>
      </c>
      <c r="B192" s="5" t="str">
        <f ca="1">IFERROR(__xludf.DUMMYFUNCTION("if(ISBLANK(C192),,QUERY(MD!A193:D1191,""Select A where C = '""&amp; C192 &amp;""'""))"),"")</f>
        <v/>
      </c>
      <c r="C192" s="5"/>
      <c r="D192" s="5" t="str">
        <f ca="1">IFERROR(__xludf.DUMMYFUNCTION("if(ISBLANK(C192),,QUERY(MD!$A$2:$D$1000,""Select D where C = '""&amp; C192 &amp;""'""))"),"")</f>
        <v/>
      </c>
      <c r="E192" s="59" t="str">
        <f ca="1">IFERROR(__xludf.DUMMYFUNCTION("if(ISBLANK(C192),,QUERY(MD!$A$2:$D$1000,""Select B where C = '""&amp; C192 &amp;""'""))"),"")</f>
        <v/>
      </c>
      <c r="F192" s="5">
        <f t="shared" ca="1" si="0"/>
        <v>0</v>
      </c>
      <c r="G192" s="32" t="str">
        <f ca="1">IFERROR(__xludf.DUMMYFUNCTION("if($F192&gt;=1,QUERY(Loot!$A$2:$G$904,""Select G where A = '""&amp; $E192 &amp;""' AND D &gt;= ""&amp; Q192  &amp;"" LIMIT 1""),)"),"")</f>
        <v/>
      </c>
      <c r="H192" s="61"/>
      <c r="I192" s="32" t="str">
        <f ca="1">IFERROR(__xludf.DUMMYFUNCTION("if($F192&gt;=2,QUERY(Loot!$A$2:$G$904,""Select G where A = '""&amp; $E192 &amp;""' AND D &gt;= ""&amp; R192 &amp;"" LIMIT 1""),)"),"")</f>
        <v/>
      </c>
      <c r="J192" s="61"/>
      <c r="K192" s="32" t="str">
        <f ca="1">IFERROR(__xludf.DUMMYFUNCTION("if($F192&gt;=3,QUERY(Loot!$A$2:$G$904,""Select G where A = '""&amp; $E192 &amp;""' AND D &gt;= ""&amp; S192  &amp;"" LIMIT 1""),)"),"")</f>
        <v/>
      </c>
      <c r="L192" s="61"/>
      <c r="M192" s="32" t="str">
        <f ca="1">IFERROR(__xludf.DUMMYFUNCTION("if($F192&gt;=4,QUERY(Loot!$A$2:$G$904,""Select G where A = '""&amp; $E192 &amp;""' AND D &gt;= ""&amp;T192 &amp;"" LIMIT 1""),)"),"")</f>
        <v/>
      </c>
      <c r="N192" s="61"/>
      <c r="O192" s="32" t="str">
        <f ca="1">IFERROR(__xludf.DUMMYFUNCTION("if($F192&gt;=5,QUERY(Loot!$A$2:$G$904,""Select G where A = '""&amp; $E192 &amp;""' AND D &gt;= ""&amp; U192 &amp;"" LIMIT 1""),)"),"")</f>
        <v/>
      </c>
      <c r="P192" s="61"/>
      <c r="Q192" s="62">
        <v>0.15479362180566292</v>
      </c>
      <c r="R192" s="63">
        <v>0.74192192823060066</v>
      </c>
      <c r="S192" s="63">
        <v>0.7074677698780707</v>
      </c>
      <c r="T192" s="63">
        <v>0.97257919016803351</v>
      </c>
      <c r="U192" s="63">
        <v>0.53203950913924969</v>
      </c>
    </row>
    <row r="193" spans="1:21" ht="16.2">
      <c r="A193" s="5">
        <f t="shared" ca="1" si="1"/>
        <v>192</v>
      </c>
      <c r="B193" s="5" t="str">
        <f ca="1">IFERROR(__xludf.DUMMYFUNCTION("if(ISBLANK(C193),,QUERY(MD!A194:D1192,""Select A where C = '""&amp; C193 &amp;""'""))"),"")</f>
        <v/>
      </c>
      <c r="C193" s="5"/>
      <c r="D193" s="5" t="str">
        <f ca="1">IFERROR(__xludf.DUMMYFUNCTION("if(ISBLANK(C193),,QUERY(MD!$A$2:$D$1000,""Select D where C = '""&amp; C193 &amp;""'""))"),"")</f>
        <v/>
      </c>
      <c r="E193" s="59" t="str">
        <f ca="1">IFERROR(__xludf.DUMMYFUNCTION("if(ISBLANK(C193),,QUERY(MD!$A$2:$D$1000,""Select B where C = '""&amp; C193 &amp;""'""))"),"")</f>
        <v/>
      </c>
      <c r="F193" s="5">
        <f t="shared" ca="1" si="0"/>
        <v>0</v>
      </c>
      <c r="G193" s="32" t="str">
        <f ca="1">IFERROR(__xludf.DUMMYFUNCTION("if($F193&gt;=1,QUERY(Loot!$A$2:$G$904,""Select G where A = '""&amp; $E193 &amp;""' AND D &gt;= ""&amp; Q193  &amp;"" LIMIT 1""),)"),"")</f>
        <v/>
      </c>
      <c r="H193" s="61"/>
      <c r="I193" s="32" t="str">
        <f ca="1">IFERROR(__xludf.DUMMYFUNCTION("if($F193&gt;=2,QUERY(Loot!$A$2:$G$904,""Select G where A = '""&amp; $E193 &amp;""' AND D &gt;= ""&amp; R193 &amp;"" LIMIT 1""),)"),"")</f>
        <v/>
      </c>
      <c r="J193" s="61"/>
      <c r="K193" s="32" t="str">
        <f ca="1">IFERROR(__xludf.DUMMYFUNCTION("if($F193&gt;=3,QUERY(Loot!$A$2:$G$904,""Select G where A = '""&amp; $E193 &amp;""' AND D &gt;= ""&amp; S193  &amp;"" LIMIT 1""),)"),"")</f>
        <v/>
      </c>
      <c r="L193" s="61"/>
      <c r="M193" s="32" t="str">
        <f ca="1">IFERROR(__xludf.DUMMYFUNCTION("if($F193&gt;=4,QUERY(Loot!$A$2:$G$904,""Select G where A = '""&amp; $E193 &amp;""' AND D &gt;= ""&amp;T193 &amp;"" LIMIT 1""),)"),"")</f>
        <v/>
      </c>
      <c r="N193" s="61"/>
      <c r="O193" s="32" t="str">
        <f ca="1">IFERROR(__xludf.DUMMYFUNCTION("if($F193&gt;=5,QUERY(Loot!$A$2:$G$904,""Select G where A = '""&amp; $E193 &amp;""' AND D &gt;= ""&amp; U193 &amp;"" LIMIT 1""),)"),"")</f>
        <v/>
      </c>
      <c r="P193" s="61"/>
      <c r="Q193" s="62">
        <v>0.13585166419417427</v>
      </c>
      <c r="R193" s="63">
        <v>0.29971536227096907</v>
      </c>
      <c r="S193" s="63">
        <v>9.3781873941596539E-2</v>
      </c>
      <c r="T193" s="63">
        <v>6.624043398707169E-2</v>
      </c>
      <c r="U193" s="63">
        <v>0.85774088346405419</v>
      </c>
    </row>
    <row r="194" spans="1:21" ht="16.2">
      <c r="A194" s="5">
        <f t="shared" ca="1" si="1"/>
        <v>193</v>
      </c>
      <c r="B194" s="5" t="str">
        <f ca="1">IFERROR(__xludf.DUMMYFUNCTION("if(ISBLANK(C194),,QUERY(MD!A195:D1193,""Select A where C = '""&amp; C194 &amp;""'""))"),"")</f>
        <v/>
      </c>
      <c r="C194" s="5"/>
      <c r="D194" s="5" t="str">
        <f ca="1">IFERROR(__xludf.DUMMYFUNCTION("if(ISBLANK(C194),,QUERY(MD!$A$2:$D$1000,""Select D where C = '""&amp; C194 &amp;""'""))"),"")</f>
        <v/>
      </c>
      <c r="E194" s="59" t="str">
        <f ca="1">IFERROR(__xludf.DUMMYFUNCTION("if(ISBLANK(C194),,QUERY(MD!$A$2:$D$1000,""Select B where C = '""&amp; C194 &amp;""'""))"),"")</f>
        <v/>
      </c>
      <c r="F194" s="5">
        <f t="shared" ca="1" si="0"/>
        <v>0</v>
      </c>
      <c r="G194" s="32" t="str">
        <f ca="1">IFERROR(__xludf.DUMMYFUNCTION("if($F194&gt;=1,QUERY(Loot!$A$2:$G$904,""Select G where A = '""&amp; $E194 &amp;""' AND D &gt;= ""&amp; Q194  &amp;"" LIMIT 1""),)"),"")</f>
        <v/>
      </c>
      <c r="H194" s="61"/>
      <c r="I194" s="32" t="str">
        <f ca="1">IFERROR(__xludf.DUMMYFUNCTION("if($F194&gt;=2,QUERY(Loot!$A$2:$G$904,""Select G where A = '""&amp; $E194 &amp;""' AND D &gt;= ""&amp; R194 &amp;"" LIMIT 1""),)"),"")</f>
        <v/>
      </c>
      <c r="J194" s="61"/>
      <c r="K194" s="32" t="str">
        <f ca="1">IFERROR(__xludf.DUMMYFUNCTION("if($F194&gt;=3,QUERY(Loot!$A$2:$G$904,""Select G where A = '""&amp; $E194 &amp;""' AND D &gt;= ""&amp; S194  &amp;"" LIMIT 1""),)"),"")</f>
        <v/>
      </c>
      <c r="L194" s="61"/>
      <c r="M194" s="32" t="str">
        <f ca="1">IFERROR(__xludf.DUMMYFUNCTION("if($F194&gt;=4,QUERY(Loot!$A$2:$G$904,""Select G where A = '""&amp; $E194 &amp;""' AND D &gt;= ""&amp;T194 &amp;"" LIMIT 1""),)"),"")</f>
        <v/>
      </c>
      <c r="N194" s="61"/>
      <c r="O194" s="32" t="str">
        <f ca="1">IFERROR(__xludf.DUMMYFUNCTION("if($F194&gt;=5,QUERY(Loot!$A$2:$G$904,""Select G where A = '""&amp; $E194 &amp;""' AND D &gt;= ""&amp; U194 &amp;"" LIMIT 1""),)"),"")</f>
        <v/>
      </c>
      <c r="P194" s="61"/>
      <c r="Q194" s="62">
        <v>0.94296373193070127</v>
      </c>
      <c r="R194" s="63">
        <v>4.5578266002195056E-2</v>
      </c>
      <c r="S194" s="63">
        <v>0.57921859524443287</v>
      </c>
      <c r="T194" s="63">
        <v>8.7831068275280422E-2</v>
      </c>
      <c r="U194" s="63">
        <v>0.23094401060404501</v>
      </c>
    </row>
    <row r="195" spans="1:21" ht="16.2">
      <c r="A195" s="5">
        <f t="shared" ca="1" si="1"/>
        <v>194</v>
      </c>
      <c r="B195" s="5" t="str">
        <f ca="1">IFERROR(__xludf.DUMMYFUNCTION("if(ISBLANK(C195),,QUERY(MD!A196:D1194,""Select A where C = '""&amp; C195 &amp;""'""))"),"")</f>
        <v/>
      </c>
      <c r="C195" s="5"/>
      <c r="D195" s="5" t="str">
        <f ca="1">IFERROR(__xludf.DUMMYFUNCTION("if(ISBLANK(C195),,QUERY(MD!$A$2:$D$1000,""Select D where C = '""&amp; C195 &amp;""'""))"),"")</f>
        <v/>
      </c>
      <c r="E195" s="59" t="str">
        <f ca="1">IFERROR(__xludf.DUMMYFUNCTION("if(ISBLANK(C195),,QUERY(MD!$A$2:$D$1000,""Select B where C = '""&amp; C195 &amp;""'""))"),"")</f>
        <v/>
      </c>
      <c r="F195" s="5">
        <f t="shared" ca="1" si="0"/>
        <v>0</v>
      </c>
      <c r="G195" s="32" t="str">
        <f ca="1">IFERROR(__xludf.DUMMYFUNCTION("if($F195&gt;=1,QUERY(Loot!$A$2:$G$904,""Select G where A = '""&amp; $E195 &amp;""' AND D &gt;= ""&amp; Q195  &amp;"" LIMIT 1""),)"),"")</f>
        <v/>
      </c>
      <c r="H195" s="61"/>
      <c r="I195" s="32" t="str">
        <f ca="1">IFERROR(__xludf.DUMMYFUNCTION("if($F195&gt;=2,QUERY(Loot!$A$2:$G$904,""Select G where A = '""&amp; $E195 &amp;""' AND D &gt;= ""&amp; R195 &amp;"" LIMIT 1""),)"),"")</f>
        <v/>
      </c>
      <c r="J195" s="61"/>
      <c r="K195" s="32" t="str">
        <f ca="1">IFERROR(__xludf.DUMMYFUNCTION("if($F195&gt;=3,QUERY(Loot!$A$2:$G$904,""Select G where A = '""&amp; $E195 &amp;""' AND D &gt;= ""&amp; S195  &amp;"" LIMIT 1""),)"),"")</f>
        <v/>
      </c>
      <c r="L195" s="61"/>
      <c r="M195" s="32" t="str">
        <f ca="1">IFERROR(__xludf.DUMMYFUNCTION("if($F195&gt;=4,QUERY(Loot!$A$2:$G$904,""Select G where A = '""&amp; $E195 &amp;""' AND D &gt;= ""&amp;T195 &amp;"" LIMIT 1""),)"),"")</f>
        <v/>
      </c>
      <c r="N195" s="61"/>
      <c r="O195" s="32" t="str">
        <f ca="1">IFERROR(__xludf.DUMMYFUNCTION("if($F195&gt;=5,QUERY(Loot!$A$2:$G$904,""Select G where A = '""&amp; $E195 &amp;""' AND D &gt;= ""&amp; U195 &amp;"" LIMIT 1""),)"),"")</f>
        <v/>
      </c>
      <c r="P195" s="61"/>
      <c r="Q195" s="62">
        <v>0.85937060273095356</v>
      </c>
      <c r="R195" s="63">
        <v>0.46421875863240736</v>
      </c>
      <c r="S195" s="63">
        <v>0.9472621246841546</v>
      </c>
      <c r="T195" s="63">
        <v>0.71071884305091659</v>
      </c>
      <c r="U195" s="63">
        <v>0.38845071800249187</v>
      </c>
    </row>
    <row r="196" spans="1:21" ht="16.2">
      <c r="A196" s="5">
        <f t="shared" ca="1" si="1"/>
        <v>195</v>
      </c>
      <c r="B196" s="5" t="str">
        <f ca="1">IFERROR(__xludf.DUMMYFUNCTION("if(ISBLANK(C196),,QUERY(MD!A197:D1195,""Select A where C = '""&amp; C196 &amp;""'""))"),"")</f>
        <v/>
      </c>
      <c r="C196" s="5"/>
      <c r="D196" s="5" t="str">
        <f ca="1">IFERROR(__xludf.DUMMYFUNCTION("if(ISBLANK(C196),,QUERY(MD!$A$2:$D$1000,""Select D where C = '""&amp; C196 &amp;""'""))"),"")</f>
        <v/>
      </c>
      <c r="E196" s="59" t="str">
        <f ca="1">IFERROR(__xludf.DUMMYFUNCTION("if(ISBLANK(C196),,QUERY(MD!$A$2:$D$1000,""Select B where C = '""&amp; C196 &amp;""'""))"),"")</f>
        <v/>
      </c>
      <c r="F196" s="5">
        <f t="shared" ca="1" si="0"/>
        <v>0</v>
      </c>
      <c r="G196" s="32" t="str">
        <f ca="1">IFERROR(__xludf.DUMMYFUNCTION("if($F196&gt;=1,QUERY(Loot!$A$2:$G$904,""Select G where A = '""&amp; $E196 &amp;""' AND D &gt;= ""&amp; Q196  &amp;"" LIMIT 1""),)"),"")</f>
        <v/>
      </c>
      <c r="H196" s="61"/>
      <c r="I196" s="32" t="str">
        <f ca="1">IFERROR(__xludf.DUMMYFUNCTION("if($F196&gt;=2,QUERY(Loot!$A$2:$G$904,""Select G where A = '""&amp; $E196 &amp;""' AND D &gt;= ""&amp; R196 &amp;"" LIMIT 1""),)"),"")</f>
        <v/>
      </c>
      <c r="J196" s="61"/>
      <c r="K196" s="32" t="str">
        <f ca="1">IFERROR(__xludf.DUMMYFUNCTION("if($F196&gt;=3,QUERY(Loot!$A$2:$G$904,""Select G where A = '""&amp; $E196 &amp;""' AND D &gt;= ""&amp; S196  &amp;"" LIMIT 1""),)"),"")</f>
        <v/>
      </c>
      <c r="L196" s="61"/>
      <c r="M196" s="32" t="str">
        <f ca="1">IFERROR(__xludf.DUMMYFUNCTION("if($F196&gt;=4,QUERY(Loot!$A$2:$G$904,""Select G where A = '""&amp; $E196 &amp;""' AND D &gt;= ""&amp;T196 &amp;"" LIMIT 1""),)"),"")</f>
        <v/>
      </c>
      <c r="N196" s="61"/>
      <c r="O196" s="32" t="str">
        <f ca="1">IFERROR(__xludf.DUMMYFUNCTION("if($F196&gt;=5,QUERY(Loot!$A$2:$G$904,""Select G where A = '""&amp; $E196 &amp;""' AND D &gt;= ""&amp; U196 &amp;"" LIMIT 1""),)"),"")</f>
        <v/>
      </c>
      <c r="P196" s="61"/>
      <c r="Q196" s="62">
        <v>0.75289189968721892</v>
      </c>
      <c r="R196" s="63">
        <v>0.69657645631394871</v>
      </c>
      <c r="S196" s="63">
        <v>8.3344823350917641E-2</v>
      </c>
      <c r="T196" s="63">
        <v>0.76080741554596643</v>
      </c>
      <c r="U196" s="63">
        <v>3.4665965566101908E-2</v>
      </c>
    </row>
    <row r="197" spans="1:21" ht="16.2">
      <c r="A197" s="5">
        <f t="shared" ca="1" si="1"/>
        <v>196</v>
      </c>
      <c r="B197" s="5" t="str">
        <f ca="1">IFERROR(__xludf.DUMMYFUNCTION("if(ISBLANK(C197),,QUERY(MD!A198:D1196,""Select A where C = '""&amp; C197 &amp;""'""))"),"")</f>
        <v/>
      </c>
      <c r="C197" s="5"/>
      <c r="D197" s="5" t="str">
        <f ca="1">IFERROR(__xludf.DUMMYFUNCTION("if(ISBLANK(C197),,QUERY(MD!$A$2:$D$1000,""Select D where C = '""&amp; C197 &amp;""'""))"),"")</f>
        <v/>
      </c>
      <c r="E197" s="59" t="str">
        <f ca="1">IFERROR(__xludf.DUMMYFUNCTION("if(ISBLANK(C197),,QUERY(MD!$A$2:$D$1000,""Select B where C = '""&amp; C197 &amp;""'""))"),"")</f>
        <v/>
      </c>
      <c r="F197" s="5">
        <f t="shared" ca="1" si="0"/>
        <v>0</v>
      </c>
      <c r="G197" s="32" t="str">
        <f ca="1">IFERROR(__xludf.DUMMYFUNCTION("if($F197&gt;=1,QUERY(Loot!$A$2:$G$904,""Select G where A = '""&amp; $E197 &amp;""' AND D &gt;= ""&amp; Q197  &amp;"" LIMIT 1""),)"),"")</f>
        <v/>
      </c>
      <c r="H197" s="61"/>
      <c r="I197" s="32" t="str">
        <f ca="1">IFERROR(__xludf.DUMMYFUNCTION("if($F197&gt;=2,QUERY(Loot!$A$2:$G$904,""Select G where A = '""&amp; $E197 &amp;""' AND D &gt;= ""&amp; R197 &amp;"" LIMIT 1""),)"),"")</f>
        <v/>
      </c>
      <c r="J197" s="61"/>
      <c r="K197" s="32" t="str">
        <f ca="1">IFERROR(__xludf.DUMMYFUNCTION("if($F197&gt;=3,QUERY(Loot!$A$2:$G$904,""Select G where A = '""&amp; $E197 &amp;""' AND D &gt;= ""&amp; S197  &amp;"" LIMIT 1""),)"),"")</f>
        <v/>
      </c>
      <c r="L197" s="61"/>
      <c r="M197" s="32" t="str">
        <f ca="1">IFERROR(__xludf.DUMMYFUNCTION("if($F197&gt;=4,QUERY(Loot!$A$2:$G$904,""Select G where A = '""&amp; $E197 &amp;""' AND D &gt;= ""&amp;T197 &amp;"" LIMIT 1""),)"),"")</f>
        <v/>
      </c>
      <c r="N197" s="61"/>
      <c r="O197" s="32" t="str">
        <f ca="1">IFERROR(__xludf.DUMMYFUNCTION("if($F197&gt;=5,QUERY(Loot!$A$2:$G$904,""Select G where A = '""&amp; $E197 &amp;""' AND D &gt;= ""&amp; U197 &amp;"" LIMIT 1""),)"),"")</f>
        <v/>
      </c>
      <c r="P197" s="61"/>
      <c r="Q197" s="62">
        <v>0.54671919507215916</v>
      </c>
      <c r="R197" s="63">
        <v>0.70737699846657198</v>
      </c>
      <c r="S197" s="63">
        <v>0.90623765975033443</v>
      </c>
      <c r="T197" s="63">
        <v>0.39528284316452944</v>
      </c>
      <c r="U197" s="63">
        <v>0.54740941473667326</v>
      </c>
    </row>
    <row r="198" spans="1:21" ht="16.2">
      <c r="A198" s="5">
        <f t="shared" ca="1" si="1"/>
        <v>197</v>
      </c>
      <c r="B198" s="5" t="str">
        <f ca="1">IFERROR(__xludf.DUMMYFUNCTION("if(ISBLANK(C198),,QUERY(MD!A199:D1197,""Select A where C = '""&amp; C198 &amp;""'""))"),"")</f>
        <v/>
      </c>
      <c r="C198" s="5"/>
      <c r="D198" s="5" t="str">
        <f ca="1">IFERROR(__xludf.DUMMYFUNCTION("if(ISBLANK(C198),,QUERY(MD!$A$2:$D$1000,""Select D where C = '""&amp; C198 &amp;""'""))"),"")</f>
        <v/>
      </c>
      <c r="E198" s="59" t="str">
        <f ca="1">IFERROR(__xludf.DUMMYFUNCTION("if(ISBLANK(C198),,QUERY(MD!$A$2:$D$1000,""Select B where C = '""&amp; C198 &amp;""'""))"),"")</f>
        <v/>
      </c>
      <c r="F198" s="5">
        <f t="shared" ca="1" si="0"/>
        <v>0</v>
      </c>
      <c r="G198" s="32" t="str">
        <f ca="1">IFERROR(__xludf.DUMMYFUNCTION("if($F198&gt;=1,QUERY(Loot!$A$2:$G$904,""Select G where A = '""&amp; $E198 &amp;""' AND D &gt;= ""&amp; Q198  &amp;"" LIMIT 1""),)"),"")</f>
        <v/>
      </c>
      <c r="H198" s="61"/>
      <c r="I198" s="32" t="str">
        <f ca="1">IFERROR(__xludf.DUMMYFUNCTION("if($F198&gt;=2,QUERY(Loot!$A$2:$G$904,""Select G where A = '""&amp; $E198 &amp;""' AND D &gt;= ""&amp; R198 &amp;"" LIMIT 1""),)"),"")</f>
        <v/>
      </c>
      <c r="J198" s="61"/>
      <c r="K198" s="32" t="str">
        <f ca="1">IFERROR(__xludf.DUMMYFUNCTION("if($F198&gt;=3,QUERY(Loot!$A$2:$G$904,""Select G where A = '""&amp; $E198 &amp;""' AND D &gt;= ""&amp; S198  &amp;"" LIMIT 1""),)"),"")</f>
        <v/>
      </c>
      <c r="L198" s="61"/>
      <c r="M198" s="32" t="str">
        <f ca="1">IFERROR(__xludf.DUMMYFUNCTION("if($F198&gt;=4,QUERY(Loot!$A$2:$G$904,""Select G where A = '""&amp; $E198 &amp;""' AND D &gt;= ""&amp;T198 &amp;"" LIMIT 1""),)"),"")</f>
        <v/>
      </c>
      <c r="N198" s="61"/>
      <c r="O198" s="32" t="str">
        <f ca="1">IFERROR(__xludf.DUMMYFUNCTION("if($F198&gt;=5,QUERY(Loot!$A$2:$G$904,""Select G where A = '""&amp; $E198 &amp;""' AND D &gt;= ""&amp; U198 &amp;"" LIMIT 1""),)"),"")</f>
        <v/>
      </c>
      <c r="P198" s="61"/>
      <c r="Q198" s="62">
        <v>0.29513869381381008</v>
      </c>
      <c r="R198" s="63">
        <v>0.80281118458118284</v>
      </c>
      <c r="S198" s="63">
        <v>0.43288141888020881</v>
      </c>
      <c r="T198" s="63">
        <v>0.13591992506789008</v>
      </c>
      <c r="U198" s="63">
        <v>0.59890617094298282</v>
      </c>
    </row>
    <row r="199" spans="1:21" ht="16.2">
      <c r="A199" s="5">
        <f t="shared" ca="1" si="1"/>
        <v>198</v>
      </c>
      <c r="B199" s="5" t="str">
        <f ca="1">IFERROR(__xludf.DUMMYFUNCTION("if(ISBLANK(C199),,QUERY(MD!A200:D1198,""Select A where C = '""&amp; C199 &amp;""'""))"),"")</f>
        <v/>
      </c>
      <c r="C199" s="5"/>
      <c r="D199" s="5" t="str">
        <f ca="1">IFERROR(__xludf.DUMMYFUNCTION("if(ISBLANK(C199),,QUERY(MD!$A$2:$D$1000,""Select D where C = '""&amp; C199 &amp;""'""))"),"")</f>
        <v/>
      </c>
      <c r="E199" s="59" t="str">
        <f ca="1">IFERROR(__xludf.DUMMYFUNCTION("if(ISBLANK(C199),,QUERY(MD!$A$2:$D$1000,""Select B where C = '""&amp; C199 &amp;""'""))"),"")</f>
        <v/>
      </c>
      <c r="F199" s="5">
        <f t="shared" ca="1" si="0"/>
        <v>0</v>
      </c>
      <c r="G199" s="32" t="str">
        <f ca="1">IFERROR(__xludf.DUMMYFUNCTION("if($F199&gt;=1,QUERY(Loot!$A$2:$G$904,""Select G where A = '""&amp; $E199 &amp;""' AND D &gt;= ""&amp; Q199  &amp;"" LIMIT 1""),)"),"")</f>
        <v/>
      </c>
      <c r="H199" s="61"/>
      <c r="I199" s="32" t="str">
        <f ca="1">IFERROR(__xludf.DUMMYFUNCTION("if($F199&gt;=2,QUERY(Loot!$A$2:$G$904,""Select G where A = '""&amp; $E199 &amp;""' AND D &gt;= ""&amp; R199 &amp;"" LIMIT 1""),)"),"")</f>
        <v/>
      </c>
      <c r="J199" s="61"/>
      <c r="K199" s="32" t="str">
        <f ca="1">IFERROR(__xludf.DUMMYFUNCTION("if($F199&gt;=3,QUERY(Loot!$A$2:$G$904,""Select G where A = '""&amp; $E199 &amp;""' AND D &gt;= ""&amp; S199  &amp;"" LIMIT 1""),)"),"")</f>
        <v/>
      </c>
      <c r="L199" s="61"/>
      <c r="M199" s="32" t="str">
        <f ca="1">IFERROR(__xludf.DUMMYFUNCTION("if($F199&gt;=4,QUERY(Loot!$A$2:$G$904,""Select G where A = '""&amp; $E199 &amp;""' AND D &gt;= ""&amp;T199 &amp;"" LIMIT 1""),)"),"")</f>
        <v/>
      </c>
      <c r="N199" s="61"/>
      <c r="O199" s="32" t="str">
        <f ca="1">IFERROR(__xludf.DUMMYFUNCTION("if($F199&gt;=5,QUERY(Loot!$A$2:$G$904,""Select G where A = '""&amp; $E199 &amp;""' AND D &gt;= ""&amp; U199 &amp;"" LIMIT 1""),)"),"")</f>
        <v/>
      </c>
      <c r="P199" s="61"/>
      <c r="Q199" s="62">
        <v>0.84652819915498989</v>
      </c>
      <c r="R199" s="63">
        <v>0.58285840645527764</v>
      </c>
      <c r="S199" s="63">
        <v>0.57871881588482443</v>
      </c>
      <c r="T199" s="63">
        <v>0.57263442155651856</v>
      </c>
      <c r="U199" s="63">
        <v>0.53804777787926261</v>
      </c>
    </row>
    <row r="200" spans="1:21" ht="16.2">
      <c r="A200" s="5">
        <f t="shared" ca="1" si="1"/>
        <v>199</v>
      </c>
      <c r="B200" s="5" t="str">
        <f ca="1">IFERROR(__xludf.DUMMYFUNCTION("if(ISBLANK(C200),,QUERY(MD!A201:D1199,""Select A where C = '""&amp; C200 &amp;""'""))"),"")</f>
        <v/>
      </c>
      <c r="C200" s="5"/>
      <c r="D200" s="5" t="str">
        <f ca="1">IFERROR(__xludf.DUMMYFUNCTION("if(ISBLANK(C200),,QUERY(MD!$A$2:$D$1000,""Select D where C = '""&amp; C200 &amp;""'""))"),"")</f>
        <v/>
      </c>
      <c r="E200" s="59" t="str">
        <f ca="1">IFERROR(__xludf.DUMMYFUNCTION("if(ISBLANK(C200),,QUERY(MD!$A$2:$D$1000,""Select B where C = '""&amp; C200 &amp;""'""))"),"")</f>
        <v/>
      </c>
      <c r="F200" s="5">
        <f t="shared" ca="1" si="0"/>
        <v>0</v>
      </c>
      <c r="G200" s="32" t="str">
        <f ca="1">IFERROR(__xludf.DUMMYFUNCTION("if($F200&gt;=1,QUERY(Loot!$A$2:$G$904,""Select G where A = '""&amp; $E200 &amp;""' AND D &gt;= ""&amp; Q200  &amp;"" LIMIT 1""),)"),"")</f>
        <v/>
      </c>
      <c r="H200" s="61"/>
      <c r="I200" s="32" t="str">
        <f ca="1">IFERROR(__xludf.DUMMYFUNCTION("if($F200&gt;=2,QUERY(Loot!$A$2:$G$904,""Select G where A = '""&amp; $E200 &amp;""' AND D &gt;= ""&amp; R200 &amp;"" LIMIT 1""),)"),"")</f>
        <v/>
      </c>
      <c r="J200" s="61"/>
      <c r="K200" s="32" t="str">
        <f ca="1">IFERROR(__xludf.DUMMYFUNCTION("if($F200&gt;=3,QUERY(Loot!$A$2:$G$904,""Select G where A = '""&amp; $E200 &amp;""' AND D &gt;= ""&amp; S200  &amp;"" LIMIT 1""),)"),"")</f>
        <v/>
      </c>
      <c r="L200" s="61"/>
      <c r="M200" s="32" t="str">
        <f ca="1">IFERROR(__xludf.DUMMYFUNCTION("if($F200&gt;=4,QUERY(Loot!$A$2:$G$904,""Select G where A = '""&amp; $E200 &amp;""' AND D &gt;= ""&amp;T200 &amp;"" LIMIT 1""),)"),"")</f>
        <v/>
      </c>
      <c r="N200" s="61"/>
      <c r="O200" s="32" t="str">
        <f ca="1">IFERROR(__xludf.DUMMYFUNCTION("if($F200&gt;=5,QUERY(Loot!$A$2:$G$904,""Select G where A = '""&amp; $E200 &amp;""' AND D &gt;= ""&amp; U200 &amp;"" LIMIT 1""),)"),"")</f>
        <v/>
      </c>
      <c r="P200" s="61"/>
      <c r="Q200" s="62">
        <v>0.43684021158680286</v>
      </c>
      <c r="R200" s="63">
        <v>0.71908852559615677</v>
      </c>
      <c r="S200" s="63">
        <v>0.9645768111102927</v>
      </c>
      <c r="T200" s="63">
        <v>0.50165464385503344</v>
      </c>
      <c r="U200" s="63">
        <v>0.47645074873671978</v>
      </c>
    </row>
    <row r="201" spans="1:21" ht="16.2">
      <c r="A201" s="5">
        <f t="shared" ca="1" si="1"/>
        <v>200</v>
      </c>
      <c r="B201" s="5" t="str">
        <f ca="1">IFERROR(__xludf.DUMMYFUNCTION("if(ISBLANK(C201),,QUERY(MD!A202:D1200,""Select A where C = '""&amp; C201 &amp;""'""))"),"")</f>
        <v/>
      </c>
      <c r="C201" s="5"/>
      <c r="D201" s="5" t="str">
        <f ca="1">IFERROR(__xludf.DUMMYFUNCTION("if(ISBLANK(C201),,QUERY(MD!$A$2:$D$1000,""Select D where C = '""&amp; C201 &amp;""'""))"),"")</f>
        <v/>
      </c>
      <c r="E201" s="59" t="str">
        <f ca="1">IFERROR(__xludf.DUMMYFUNCTION("if(ISBLANK(C201),,QUERY(MD!$A$2:$D$1000,""Select B where C = '""&amp; C201 &amp;""'""))"),"")</f>
        <v/>
      </c>
      <c r="F201" s="5">
        <f t="shared" ca="1" si="0"/>
        <v>0</v>
      </c>
      <c r="G201" s="32" t="str">
        <f ca="1">IFERROR(__xludf.DUMMYFUNCTION("if($F201&gt;=1,QUERY(Loot!$A$2:$G$904,""Select G where A = '""&amp; $E201 &amp;""' AND D &gt;= ""&amp; Q201  &amp;"" LIMIT 1""),)"),"")</f>
        <v/>
      </c>
      <c r="H201" s="61"/>
      <c r="I201" s="32" t="str">
        <f ca="1">IFERROR(__xludf.DUMMYFUNCTION("if($F201&gt;=2,QUERY(Loot!$A$2:$G$904,""Select G where A = '""&amp; $E201 &amp;""' AND D &gt;= ""&amp; R201 &amp;"" LIMIT 1""),)"),"")</f>
        <v/>
      </c>
      <c r="J201" s="61"/>
      <c r="K201" s="32" t="str">
        <f ca="1">IFERROR(__xludf.DUMMYFUNCTION("if($F201&gt;=3,QUERY(Loot!$A$2:$G$904,""Select G where A = '""&amp; $E201 &amp;""' AND D &gt;= ""&amp; S201  &amp;"" LIMIT 1""),)"),"")</f>
        <v/>
      </c>
      <c r="L201" s="61"/>
      <c r="M201" s="32" t="str">
        <f ca="1">IFERROR(__xludf.DUMMYFUNCTION("if($F201&gt;=4,QUERY(Loot!$A$2:$G$904,""Select G where A = '""&amp; $E201 &amp;""' AND D &gt;= ""&amp;T201 &amp;"" LIMIT 1""),)"),"")</f>
        <v/>
      </c>
      <c r="N201" s="61"/>
      <c r="O201" s="32" t="str">
        <f ca="1">IFERROR(__xludf.DUMMYFUNCTION("if($F201&gt;=5,QUERY(Loot!$A$2:$G$904,""Select G where A = '""&amp; $E201 &amp;""' AND D &gt;= ""&amp; U201 &amp;"" LIMIT 1""),)"),"")</f>
        <v/>
      </c>
      <c r="P201" s="61"/>
      <c r="Q201" s="62">
        <v>0.1557533604317014</v>
      </c>
      <c r="R201" s="63">
        <v>0.54712809892638303</v>
      </c>
      <c r="S201" s="63">
        <v>0.70417031843467714</v>
      </c>
      <c r="T201" s="63">
        <v>0.6591614691678902</v>
      </c>
      <c r="U201" s="63">
        <v>0.22071000615768699</v>
      </c>
    </row>
    <row r="202" spans="1:21" ht="16.2">
      <c r="A202" s="5">
        <f t="shared" ca="1" si="1"/>
        <v>201</v>
      </c>
      <c r="B202" s="5" t="str">
        <f ca="1">IFERROR(__xludf.DUMMYFUNCTION("if(ISBLANK(C202),,QUERY(MD!A203:D1201,""Select A where C = '""&amp; C202 &amp;""'""))"),"")</f>
        <v/>
      </c>
      <c r="C202" s="5"/>
      <c r="D202" s="5" t="str">
        <f ca="1">IFERROR(__xludf.DUMMYFUNCTION("if(ISBLANK(C202),,QUERY(MD!$A$2:$D$1000,""Select D where C = '""&amp; C202 &amp;""'""))"),"")</f>
        <v/>
      </c>
      <c r="E202" s="59" t="str">
        <f ca="1">IFERROR(__xludf.DUMMYFUNCTION("if(ISBLANK(C202),,QUERY(MD!$A$2:$D$1000,""Select B where C = '""&amp; C202 &amp;""'""))"),"")</f>
        <v/>
      </c>
      <c r="F202" s="5">
        <f t="shared" ca="1" si="0"/>
        <v>0</v>
      </c>
      <c r="G202" s="32" t="str">
        <f ca="1">IFERROR(__xludf.DUMMYFUNCTION("if($F202&gt;=1,QUERY(Loot!$A$2:$G$904,""Select G where A = '""&amp; $E202 &amp;""' AND D &gt;= ""&amp; Q202  &amp;"" LIMIT 1""),)"),"")</f>
        <v/>
      </c>
      <c r="H202" s="61"/>
      <c r="I202" s="32" t="str">
        <f ca="1">IFERROR(__xludf.DUMMYFUNCTION("if($F202&gt;=2,QUERY(Loot!$A$2:$G$904,""Select G where A = '""&amp; $E202 &amp;""' AND D &gt;= ""&amp; R202 &amp;"" LIMIT 1""),)"),"")</f>
        <v/>
      </c>
      <c r="J202" s="61"/>
      <c r="K202" s="32" t="str">
        <f ca="1">IFERROR(__xludf.DUMMYFUNCTION("if($F202&gt;=3,QUERY(Loot!$A$2:$G$904,""Select G where A = '""&amp; $E202 &amp;""' AND D &gt;= ""&amp; S202  &amp;"" LIMIT 1""),)"),"")</f>
        <v/>
      </c>
      <c r="L202" s="61"/>
      <c r="M202" s="32" t="str">
        <f ca="1">IFERROR(__xludf.DUMMYFUNCTION("if($F202&gt;=4,QUERY(Loot!$A$2:$G$904,""Select G where A = '""&amp; $E202 &amp;""' AND D &gt;= ""&amp;T202 &amp;"" LIMIT 1""),)"),"")</f>
        <v/>
      </c>
      <c r="N202" s="61"/>
      <c r="O202" s="32" t="str">
        <f ca="1">IFERROR(__xludf.DUMMYFUNCTION("if($F202&gt;=5,QUERY(Loot!$A$2:$G$904,""Select G where A = '""&amp; $E202 &amp;""' AND D &gt;= ""&amp; U202 &amp;"" LIMIT 1""),)"),"")</f>
        <v/>
      </c>
      <c r="P202" s="61"/>
      <c r="Q202" s="62">
        <v>0.22244644759690257</v>
      </c>
      <c r="R202" s="63">
        <v>0.62530422118260032</v>
      </c>
      <c r="S202" s="63">
        <v>0.59136157023525238</v>
      </c>
      <c r="T202" s="63">
        <v>0.89886944151992798</v>
      </c>
      <c r="U202" s="63">
        <v>5.5887135917887187E-2</v>
      </c>
    </row>
    <row r="203" spans="1:21" ht="16.2">
      <c r="A203" s="5">
        <f t="shared" ca="1" si="1"/>
        <v>202</v>
      </c>
      <c r="B203" s="5" t="str">
        <f ca="1">IFERROR(__xludf.DUMMYFUNCTION("if(ISBLANK(C203),,QUERY(MD!A204:D1202,""Select A where C = '""&amp; C203 &amp;""'""))"),"")</f>
        <v/>
      </c>
      <c r="C203" s="5"/>
      <c r="D203" s="5" t="str">
        <f ca="1">IFERROR(__xludf.DUMMYFUNCTION("if(ISBLANK(C203),,QUERY(MD!$A$2:$D$1000,""Select D where C = '""&amp; C203 &amp;""'""))"),"")</f>
        <v/>
      </c>
      <c r="E203" s="59" t="str">
        <f ca="1">IFERROR(__xludf.DUMMYFUNCTION("if(ISBLANK(C203),,QUERY(MD!$A$2:$D$1000,""Select B where C = '""&amp; C203 &amp;""'""))"),"")</f>
        <v/>
      </c>
      <c r="F203" s="5">
        <f t="shared" ca="1" si="0"/>
        <v>0</v>
      </c>
      <c r="G203" s="32" t="str">
        <f ca="1">IFERROR(__xludf.DUMMYFUNCTION("if($F203&gt;=1,QUERY(Loot!$A$2:$G$904,""Select G where A = '""&amp; $E203 &amp;""' AND D &gt;= ""&amp; Q203  &amp;"" LIMIT 1""),)"),"")</f>
        <v/>
      </c>
      <c r="H203" s="61"/>
      <c r="I203" s="32" t="str">
        <f ca="1">IFERROR(__xludf.DUMMYFUNCTION("if($F203&gt;=2,QUERY(Loot!$A$2:$G$904,""Select G where A = '""&amp; $E203 &amp;""' AND D &gt;= ""&amp; R203 &amp;"" LIMIT 1""),)"),"")</f>
        <v/>
      </c>
      <c r="J203" s="61"/>
      <c r="K203" s="32" t="str">
        <f ca="1">IFERROR(__xludf.DUMMYFUNCTION("if($F203&gt;=3,QUERY(Loot!$A$2:$G$904,""Select G where A = '""&amp; $E203 &amp;""' AND D &gt;= ""&amp; S203  &amp;"" LIMIT 1""),)"),"")</f>
        <v/>
      </c>
      <c r="L203" s="61"/>
      <c r="M203" s="32" t="str">
        <f ca="1">IFERROR(__xludf.DUMMYFUNCTION("if($F203&gt;=4,QUERY(Loot!$A$2:$G$904,""Select G where A = '""&amp; $E203 &amp;""' AND D &gt;= ""&amp;T203 &amp;"" LIMIT 1""),)"),"")</f>
        <v/>
      </c>
      <c r="N203" s="61"/>
      <c r="O203" s="32" t="str">
        <f ca="1">IFERROR(__xludf.DUMMYFUNCTION("if($F203&gt;=5,QUERY(Loot!$A$2:$G$904,""Select G where A = '""&amp; $E203 &amp;""' AND D &gt;= ""&amp; U203 &amp;"" LIMIT 1""),)"),"")</f>
        <v/>
      </c>
      <c r="P203" s="61"/>
      <c r="Q203" s="62">
        <v>4.5978908615574743E-2</v>
      </c>
      <c r="R203" s="63">
        <v>0.6028879277306034</v>
      </c>
      <c r="S203" s="63">
        <v>0.13778330358303925</v>
      </c>
      <c r="T203" s="63">
        <v>0.88400697381593685</v>
      </c>
      <c r="U203" s="63">
        <v>6.7453352968233959E-2</v>
      </c>
    </row>
    <row r="204" spans="1:21" ht="16.2">
      <c r="A204" s="5">
        <f t="shared" ca="1" si="1"/>
        <v>203</v>
      </c>
      <c r="B204" s="5" t="str">
        <f ca="1">IFERROR(__xludf.DUMMYFUNCTION("if(ISBLANK(C204),,QUERY(MD!A205:D1203,""Select A where C = '""&amp; C204 &amp;""'""))"),"")</f>
        <v/>
      </c>
      <c r="C204" s="5"/>
      <c r="D204" s="5" t="str">
        <f ca="1">IFERROR(__xludf.DUMMYFUNCTION("if(ISBLANK(C204),,QUERY(MD!$A$2:$D$1000,""Select D where C = '""&amp; C204 &amp;""'""))"),"")</f>
        <v/>
      </c>
      <c r="E204" s="59" t="str">
        <f ca="1">IFERROR(__xludf.DUMMYFUNCTION("if(ISBLANK(C204),,QUERY(MD!$A$2:$D$1000,""Select B where C = '""&amp; C204 &amp;""'""))"),"")</f>
        <v/>
      </c>
      <c r="F204" s="5">
        <f t="shared" ca="1" si="0"/>
        <v>0</v>
      </c>
      <c r="G204" s="32" t="str">
        <f ca="1">IFERROR(__xludf.DUMMYFUNCTION("if($F204&gt;=1,QUERY(Loot!$A$2:$G$904,""Select G where A = '""&amp; $E204 &amp;""' AND D &gt;= ""&amp; Q204  &amp;"" LIMIT 1""),)"),"")</f>
        <v/>
      </c>
      <c r="H204" s="61"/>
      <c r="I204" s="32" t="str">
        <f ca="1">IFERROR(__xludf.DUMMYFUNCTION("if($F204&gt;=2,QUERY(Loot!$A$2:$G$904,""Select G where A = '""&amp; $E204 &amp;""' AND D &gt;= ""&amp; R204 &amp;"" LIMIT 1""),)"),"")</f>
        <v/>
      </c>
      <c r="J204" s="61"/>
      <c r="K204" s="32" t="str">
        <f ca="1">IFERROR(__xludf.DUMMYFUNCTION("if($F204&gt;=3,QUERY(Loot!$A$2:$G$904,""Select G where A = '""&amp; $E204 &amp;""' AND D &gt;= ""&amp; S204  &amp;"" LIMIT 1""),)"),"")</f>
        <v/>
      </c>
      <c r="L204" s="61"/>
      <c r="M204" s="32" t="str">
        <f ca="1">IFERROR(__xludf.DUMMYFUNCTION("if($F204&gt;=4,QUERY(Loot!$A$2:$G$904,""Select G where A = '""&amp; $E204 &amp;""' AND D &gt;= ""&amp;T204 &amp;"" LIMIT 1""),)"),"")</f>
        <v/>
      </c>
      <c r="N204" s="61"/>
      <c r="O204" s="32" t="str">
        <f ca="1">IFERROR(__xludf.DUMMYFUNCTION("if($F204&gt;=5,QUERY(Loot!$A$2:$G$904,""Select G where A = '""&amp; $E204 &amp;""' AND D &gt;= ""&amp; U204 &amp;"" LIMIT 1""),)"),"")</f>
        <v/>
      </c>
      <c r="P204" s="61"/>
      <c r="Q204" s="62">
        <v>0.89760571071524375</v>
      </c>
      <c r="R204" s="63">
        <v>0.83264109825991972</v>
      </c>
      <c r="S204" s="63">
        <v>0.51987480859047464</v>
      </c>
      <c r="T204" s="63">
        <v>0.95160619732038298</v>
      </c>
      <c r="U204" s="63">
        <v>9.6232557427597176E-2</v>
      </c>
    </row>
    <row r="205" spans="1:21" ht="16.2">
      <c r="A205" s="5">
        <f t="shared" ca="1" si="1"/>
        <v>204</v>
      </c>
      <c r="B205" s="5" t="str">
        <f ca="1">IFERROR(__xludf.DUMMYFUNCTION("if(ISBLANK(C205),,QUERY(MD!A206:D1204,""Select A where C = '""&amp; C205 &amp;""'""))"),"")</f>
        <v/>
      </c>
      <c r="C205" s="5"/>
      <c r="D205" s="5" t="str">
        <f ca="1">IFERROR(__xludf.DUMMYFUNCTION("if(ISBLANK(C205),,QUERY(MD!$A$2:$D$1000,""Select D where C = '""&amp; C205 &amp;""'""))"),"")</f>
        <v/>
      </c>
      <c r="E205" s="59" t="str">
        <f ca="1">IFERROR(__xludf.DUMMYFUNCTION("if(ISBLANK(C205),,QUERY(MD!$A$2:$D$1000,""Select B where C = '""&amp; C205 &amp;""'""))"),"")</f>
        <v/>
      </c>
      <c r="F205" s="5">
        <f t="shared" ca="1" si="0"/>
        <v>0</v>
      </c>
      <c r="G205" s="32" t="str">
        <f ca="1">IFERROR(__xludf.DUMMYFUNCTION("if($F205&gt;=1,QUERY(Loot!$A$2:$G$904,""Select G where A = '""&amp; $E205 &amp;""' AND D &gt;= ""&amp; Q205  &amp;"" LIMIT 1""),)"),"")</f>
        <v/>
      </c>
      <c r="H205" s="61"/>
      <c r="I205" s="32" t="str">
        <f ca="1">IFERROR(__xludf.DUMMYFUNCTION("if($F205&gt;=2,QUERY(Loot!$A$2:$G$904,""Select G where A = '""&amp; $E205 &amp;""' AND D &gt;= ""&amp; R205 &amp;"" LIMIT 1""),)"),"")</f>
        <v/>
      </c>
      <c r="J205" s="61"/>
      <c r="K205" s="32" t="str">
        <f ca="1">IFERROR(__xludf.DUMMYFUNCTION("if($F205&gt;=3,QUERY(Loot!$A$2:$G$904,""Select G where A = '""&amp; $E205 &amp;""' AND D &gt;= ""&amp; S205  &amp;"" LIMIT 1""),)"),"")</f>
        <v/>
      </c>
      <c r="L205" s="61"/>
      <c r="M205" s="32" t="str">
        <f ca="1">IFERROR(__xludf.DUMMYFUNCTION("if($F205&gt;=4,QUERY(Loot!$A$2:$G$904,""Select G where A = '""&amp; $E205 &amp;""' AND D &gt;= ""&amp;T205 &amp;"" LIMIT 1""),)"),"")</f>
        <v/>
      </c>
      <c r="N205" s="61"/>
      <c r="O205" s="32" t="str">
        <f ca="1">IFERROR(__xludf.DUMMYFUNCTION("if($F205&gt;=5,QUERY(Loot!$A$2:$G$904,""Select G where A = '""&amp; $E205 &amp;""' AND D &gt;= ""&amp; U205 &amp;"" LIMIT 1""),)"),"")</f>
        <v/>
      </c>
      <c r="P205" s="61"/>
      <c r="Q205" s="62">
        <v>0.13988942156629247</v>
      </c>
      <c r="R205" s="63">
        <v>0.73565067984333032</v>
      </c>
      <c r="S205" s="63">
        <v>0.3815312295439961</v>
      </c>
      <c r="T205" s="63">
        <v>0.91045009160458146</v>
      </c>
      <c r="U205" s="63">
        <v>0.67223789118228516</v>
      </c>
    </row>
    <row r="206" spans="1:21" ht="16.2">
      <c r="A206" s="5">
        <f t="shared" ca="1" si="1"/>
        <v>205</v>
      </c>
      <c r="B206" s="5" t="str">
        <f ca="1">IFERROR(__xludf.DUMMYFUNCTION("if(ISBLANK(C206),,QUERY(MD!A207:D1205,""Select A where C = '""&amp; C206 &amp;""'""))"),"")</f>
        <v/>
      </c>
      <c r="C206" s="5"/>
      <c r="D206" s="5" t="str">
        <f ca="1">IFERROR(__xludf.DUMMYFUNCTION("if(ISBLANK(C206),,QUERY(MD!$A$2:$D$1000,""Select D where C = '""&amp; C206 &amp;""'""))"),"")</f>
        <v/>
      </c>
      <c r="E206" s="59" t="str">
        <f ca="1">IFERROR(__xludf.DUMMYFUNCTION("if(ISBLANK(C206),,QUERY(MD!$A$2:$D$1000,""Select B where C = '""&amp; C206 &amp;""'""))"),"")</f>
        <v/>
      </c>
      <c r="F206" s="5">
        <f t="shared" ca="1" si="0"/>
        <v>0</v>
      </c>
      <c r="G206" s="32" t="str">
        <f ca="1">IFERROR(__xludf.DUMMYFUNCTION("if($F206&gt;=1,QUERY(Loot!$A$2:$G$904,""Select G where A = '""&amp; $E206 &amp;""' AND D &gt;= ""&amp; Q206  &amp;"" LIMIT 1""),)"),"")</f>
        <v/>
      </c>
      <c r="H206" s="61"/>
      <c r="I206" s="32" t="str">
        <f ca="1">IFERROR(__xludf.DUMMYFUNCTION("if($F206&gt;=2,QUERY(Loot!$A$2:$G$904,""Select G where A = '""&amp; $E206 &amp;""' AND D &gt;= ""&amp; R206 &amp;"" LIMIT 1""),)"),"")</f>
        <v/>
      </c>
      <c r="J206" s="61"/>
      <c r="K206" s="32" t="str">
        <f ca="1">IFERROR(__xludf.DUMMYFUNCTION("if($F206&gt;=3,QUERY(Loot!$A$2:$G$904,""Select G where A = '""&amp; $E206 &amp;""' AND D &gt;= ""&amp; S206  &amp;"" LIMIT 1""),)"),"")</f>
        <v/>
      </c>
      <c r="L206" s="61"/>
      <c r="M206" s="32" t="str">
        <f ca="1">IFERROR(__xludf.DUMMYFUNCTION("if($F206&gt;=4,QUERY(Loot!$A$2:$G$904,""Select G where A = '""&amp; $E206 &amp;""' AND D &gt;= ""&amp;T206 &amp;"" LIMIT 1""),)"),"")</f>
        <v/>
      </c>
      <c r="N206" s="61"/>
      <c r="O206" s="32" t="str">
        <f ca="1">IFERROR(__xludf.DUMMYFUNCTION("if($F206&gt;=5,QUERY(Loot!$A$2:$G$904,""Select G where A = '""&amp; $E206 &amp;""' AND D &gt;= ""&amp; U206 &amp;"" LIMIT 1""),)"),"")</f>
        <v/>
      </c>
      <c r="P206" s="61"/>
      <c r="Q206" s="62">
        <v>0.14087189053071636</v>
      </c>
      <c r="R206" s="63">
        <v>0.78163527531913501</v>
      </c>
      <c r="S206" s="63">
        <v>0.39144895920216072</v>
      </c>
      <c r="T206" s="63">
        <v>0.55848072090782663</v>
      </c>
      <c r="U206" s="63">
        <v>0.7946115832897378</v>
      </c>
    </row>
    <row r="207" spans="1:21" ht="16.2">
      <c r="A207" s="5">
        <f t="shared" ca="1" si="1"/>
        <v>206</v>
      </c>
      <c r="B207" s="5" t="str">
        <f ca="1">IFERROR(__xludf.DUMMYFUNCTION("if(ISBLANK(C207),,QUERY(MD!A208:D1206,""Select A where C = '""&amp; C207 &amp;""'""))"),"")</f>
        <v/>
      </c>
      <c r="C207" s="5"/>
      <c r="D207" s="5" t="str">
        <f ca="1">IFERROR(__xludf.DUMMYFUNCTION("if(ISBLANK(C207),,QUERY(MD!$A$2:$D$1000,""Select D where C = '""&amp; C207 &amp;""'""))"),"")</f>
        <v/>
      </c>
      <c r="E207" s="59" t="str">
        <f ca="1">IFERROR(__xludf.DUMMYFUNCTION("if(ISBLANK(C207),,QUERY(MD!$A$2:$D$1000,""Select B where C = '""&amp; C207 &amp;""'""))"),"")</f>
        <v/>
      </c>
      <c r="F207" s="5">
        <f t="shared" ca="1" si="0"/>
        <v>0</v>
      </c>
      <c r="G207" s="32" t="str">
        <f ca="1">IFERROR(__xludf.DUMMYFUNCTION("if($F207&gt;=1,QUERY(Loot!$A$2:$G$904,""Select G where A = '""&amp; $E207 &amp;""' AND D &gt;= ""&amp; Q207  &amp;"" LIMIT 1""),)"),"")</f>
        <v/>
      </c>
      <c r="H207" s="61"/>
      <c r="I207" s="32" t="str">
        <f ca="1">IFERROR(__xludf.DUMMYFUNCTION("if($F207&gt;=2,QUERY(Loot!$A$2:$G$904,""Select G where A = '""&amp; $E207 &amp;""' AND D &gt;= ""&amp; R207 &amp;"" LIMIT 1""),)"),"")</f>
        <v/>
      </c>
      <c r="J207" s="61"/>
      <c r="K207" s="32" t="str">
        <f ca="1">IFERROR(__xludf.DUMMYFUNCTION("if($F207&gt;=3,QUERY(Loot!$A$2:$G$904,""Select G where A = '""&amp; $E207 &amp;""' AND D &gt;= ""&amp; S207  &amp;"" LIMIT 1""),)"),"")</f>
        <v/>
      </c>
      <c r="L207" s="61"/>
      <c r="M207" s="32" t="str">
        <f ca="1">IFERROR(__xludf.DUMMYFUNCTION("if($F207&gt;=4,QUERY(Loot!$A$2:$G$904,""Select G where A = '""&amp; $E207 &amp;""' AND D &gt;= ""&amp;T207 &amp;"" LIMIT 1""),)"),"")</f>
        <v/>
      </c>
      <c r="N207" s="61"/>
      <c r="O207" s="32" t="str">
        <f ca="1">IFERROR(__xludf.DUMMYFUNCTION("if($F207&gt;=5,QUERY(Loot!$A$2:$G$904,""Select G where A = '""&amp; $E207 &amp;""' AND D &gt;= ""&amp; U207 &amp;"" LIMIT 1""),)"),"")</f>
        <v/>
      </c>
      <c r="P207" s="61"/>
      <c r="Q207" s="62">
        <v>0.40771849225463674</v>
      </c>
      <c r="R207" s="63">
        <v>0.1814043964029749</v>
      </c>
      <c r="S207" s="63">
        <v>0.31347713200876548</v>
      </c>
      <c r="T207" s="63">
        <v>0.890651558045221</v>
      </c>
      <c r="U207" s="63">
        <v>2.0055791908351495E-2</v>
      </c>
    </row>
    <row r="208" spans="1:21" ht="16.2">
      <c r="A208" s="5">
        <f t="shared" ca="1" si="1"/>
        <v>207</v>
      </c>
      <c r="B208" s="5" t="str">
        <f ca="1">IFERROR(__xludf.DUMMYFUNCTION("if(ISBLANK(C208),,QUERY(MD!A209:D1207,""Select A where C = '""&amp; C208 &amp;""'""))"),"")</f>
        <v/>
      </c>
      <c r="C208" s="5"/>
      <c r="D208" s="5" t="str">
        <f ca="1">IFERROR(__xludf.DUMMYFUNCTION("if(ISBLANK(C208),,QUERY(MD!$A$2:$D$1000,""Select D where C = '""&amp; C208 &amp;""'""))"),"")</f>
        <v/>
      </c>
      <c r="E208" s="59" t="str">
        <f ca="1">IFERROR(__xludf.DUMMYFUNCTION("if(ISBLANK(C208),,QUERY(MD!$A$2:$D$1000,""Select B where C = '""&amp; C208 &amp;""'""))"),"")</f>
        <v/>
      </c>
      <c r="F208" s="5">
        <f t="shared" ca="1" si="0"/>
        <v>0</v>
      </c>
      <c r="G208" s="32" t="str">
        <f ca="1">IFERROR(__xludf.DUMMYFUNCTION("if($F208&gt;=1,QUERY(Loot!$A$2:$G$904,""Select G where A = '""&amp; $E208 &amp;""' AND D &gt;= ""&amp; Q208  &amp;"" LIMIT 1""),)"),"")</f>
        <v/>
      </c>
      <c r="H208" s="61"/>
      <c r="I208" s="32" t="str">
        <f ca="1">IFERROR(__xludf.DUMMYFUNCTION("if($F208&gt;=2,QUERY(Loot!$A$2:$G$904,""Select G where A = '""&amp; $E208 &amp;""' AND D &gt;= ""&amp; R208 &amp;"" LIMIT 1""),)"),"")</f>
        <v/>
      </c>
      <c r="J208" s="61"/>
      <c r="K208" s="32" t="str">
        <f ca="1">IFERROR(__xludf.DUMMYFUNCTION("if($F208&gt;=3,QUERY(Loot!$A$2:$G$904,""Select G where A = '""&amp; $E208 &amp;""' AND D &gt;= ""&amp; S208  &amp;"" LIMIT 1""),)"),"")</f>
        <v/>
      </c>
      <c r="L208" s="61"/>
      <c r="M208" s="32" t="str">
        <f ca="1">IFERROR(__xludf.DUMMYFUNCTION("if($F208&gt;=4,QUERY(Loot!$A$2:$G$904,""Select G where A = '""&amp; $E208 &amp;""' AND D &gt;= ""&amp;T208 &amp;"" LIMIT 1""),)"),"")</f>
        <v/>
      </c>
      <c r="N208" s="61"/>
      <c r="O208" s="32" t="str">
        <f ca="1">IFERROR(__xludf.DUMMYFUNCTION("if($F208&gt;=5,QUERY(Loot!$A$2:$G$904,""Select G where A = '""&amp; $E208 &amp;""' AND D &gt;= ""&amp; U208 &amp;"" LIMIT 1""),)"),"")</f>
        <v/>
      </c>
      <c r="P208" s="61"/>
      <c r="Q208" s="62">
        <v>0.46298132786970358</v>
      </c>
      <c r="R208" s="63">
        <v>0.95679753392311917</v>
      </c>
      <c r="S208" s="63">
        <v>0.13703784193336876</v>
      </c>
      <c r="T208" s="63">
        <v>8.6287299447912247E-2</v>
      </c>
      <c r="U208" s="63">
        <v>0.84981953011647005</v>
      </c>
    </row>
    <row r="209" spans="1:21" ht="16.2">
      <c r="A209" s="5">
        <f t="shared" ca="1" si="1"/>
        <v>208</v>
      </c>
      <c r="B209" s="5" t="str">
        <f ca="1">IFERROR(__xludf.DUMMYFUNCTION("if(ISBLANK(C209),,QUERY(MD!A210:D1208,""Select A where C = '""&amp; C209 &amp;""'""))"),"")</f>
        <v/>
      </c>
      <c r="C209" s="5"/>
      <c r="D209" s="5" t="str">
        <f ca="1">IFERROR(__xludf.DUMMYFUNCTION("if(ISBLANK(C209),,QUERY(MD!$A$2:$D$1000,""Select D where C = '""&amp; C209 &amp;""'""))"),"")</f>
        <v/>
      </c>
      <c r="E209" s="59" t="str">
        <f ca="1">IFERROR(__xludf.DUMMYFUNCTION("if(ISBLANK(C209),,QUERY(MD!$A$2:$D$1000,""Select B where C = '""&amp; C209 &amp;""'""))"),"")</f>
        <v/>
      </c>
      <c r="F209" s="5">
        <f t="shared" ca="1" si="0"/>
        <v>0</v>
      </c>
      <c r="G209" s="32" t="str">
        <f ca="1">IFERROR(__xludf.DUMMYFUNCTION("if($F209&gt;=1,QUERY(Loot!$A$2:$G$904,""Select G where A = '""&amp; $E209 &amp;""' AND D &gt;= ""&amp; Q209  &amp;"" LIMIT 1""),)"),"")</f>
        <v/>
      </c>
      <c r="H209" s="61"/>
      <c r="I209" s="32" t="str">
        <f ca="1">IFERROR(__xludf.DUMMYFUNCTION("if($F209&gt;=2,QUERY(Loot!$A$2:$G$904,""Select G where A = '""&amp; $E209 &amp;""' AND D &gt;= ""&amp; R209 &amp;"" LIMIT 1""),)"),"")</f>
        <v/>
      </c>
      <c r="J209" s="61"/>
      <c r="K209" s="32" t="str">
        <f ca="1">IFERROR(__xludf.DUMMYFUNCTION("if($F209&gt;=3,QUERY(Loot!$A$2:$G$904,""Select G where A = '""&amp; $E209 &amp;""' AND D &gt;= ""&amp; S209  &amp;"" LIMIT 1""),)"),"")</f>
        <v/>
      </c>
      <c r="L209" s="61"/>
      <c r="M209" s="32" t="str">
        <f ca="1">IFERROR(__xludf.DUMMYFUNCTION("if($F209&gt;=4,QUERY(Loot!$A$2:$G$904,""Select G where A = '""&amp; $E209 &amp;""' AND D &gt;= ""&amp;T209 &amp;"" LIMIT 1""),)"),"")</f>
        <v/>
      </c>
      <c r="N209" s="61"/>
      <c r="O209" s="32" t="str">
        <f ca="1">IFERROR(__xludf.DUMMYFUNCTION("if($F209&gt;=5,QUERY(Loot!$A$2:$G$904,""Select G where A = '""&amp; $E209 &amp;""' AND D &gt;= ""&amp; U209 &amp;"" LIMIT 1""),)"),"")</f>
        <v/>
      </c>
      <c r="P209" s="61"/>
      <c r="Q209" s="62">
        <v>0.84295665051186097</v>
      </c>
      <c r="R209" s="63">
        <v>0.51486367408900779</v>
      </c>
      <c r="S209" s="63">
        <v>0.62596468147191897</v>
      </c>
      <c r="T209" s="63">
        <v>0.29005058293526154</v>
      </c>
      <c r="U209" s="63">
        <v>0.22181875703693299</v>
      </c>
    </row>
    <row r="210" spans="1:21" ht="16.2">
      <c r="A210" s="5">
        <f t="shared" ca="1" si="1"/>
        <v>209</v>
      </c>
      <c r="B210" s="5" t="str">
        <f ca="1">IFERROR(__xludf.DUMMYFUNCTION("if(ISBLANK(C210),,QUERY(MD!A211:D1209,""Select A where C = '""&amp; C210 &amp;""'""))"),"")</f>
        <v/>
      </c>
      <c r="C210" s="5"/>
      <c r="D210" s="5" t="str">
        <f ca="1">IFERROR(__xludf.DUMMYFUNCTION("if(ISBLANK(C210),,QUERY(MD!$A$2:$D$1000,""Select D where C = '""&amp; C210 &amp;""'""))"),"")</f>
        <v/>
      </c>
      <c r="E210" s="59" t="str">
        <f ca="1">IFERROR(__xludf.DUMMYFUNCTION("if(ISBLANK(C210),,QUERY(MD!$A$2:$D$1000,""Select B where C = '""&amp; C210 &amp;""'""))"),"")</f>
        <v/>
      </c>
      <c r="F210" s="5">
        <f t="shared" ca="1" si="0"/>
        <v>0</v>
      </c>
      <c r="G210" s="32" t="str">
        <f ca="1">IFERROR(__xludf.DUMMYFUNCTION("if($F210&gt;=1,QUERY(Loot!$A$2:$G$904,""Select G where A = '""&amp; $E210 &amp;""' AND D &gt;= ""&amp; Q210  &amp;"" LIMIT 1""),)"),"")</f>
        <v/>
      </c>
      <c r="H210" s="61"/>
      <c r="I210" s="32" t="str">
        <f ca="1">IFERROR(__xludf.DUMMYFUNCTION("if($F210&gt;=2,QUERY(Loot!$A$2:$G$904,""Select G where A = '""&amp; $E210 &amp;""' AND D &gt;= ""&amp; R210 &amp;"" LIMIT 1""),)"),"")</f>
        <v/>
      </c>
      <c r="J210" s="61"/>
      <c r="K210" s="32" t="str">
        <f ca="1">IFERROR(__xludf.DUMMYFUNCTION("if($F210&gt;=3,QUERY(Loot!$A$2:$G$904,""Select G where A = '""&amp; $E210 &amp;""' AND D &gt;= ""&amp; S210  &amp;"" LIMIT 1""),)"),"")</f>
        <v/>
      </c>
      <c r="L210" s="61"/>
      <c r="M210" s="32" t="str">
        <f ca="1">IFERROR(__xludf.DUMMYFUNCTION("if($F210&gt;=4,QUERY(Loot!$A$2:$G$904,""Select G where A = '""&amp; $E210 &amp;""' AND D &gt;= ""&amp;T210 &amp;"" LIMIT 1""),)"),"")</f>
        <v/>
      </c>
      <c r="N210" s="61"/>
      <c r="O210" s="32" t="str">
        <f ca="1">IFERROR(__xludf.DUMMYFUNCTION("if($F210&gt;=5,QUERY(Loot!$A$2:$G$904,""Select G where A = '""&amp; $E210 &amp;""' AND D &gt;= ""&amp; U210 &amp;"" LIMIT 1""),)"),"")</f>
        <v/>
      </c>
      <c r="P210" s="61"/>
      <c r="Q210" s="62">
        <v>0.94585198828046169</v>
      </c>
      <c r="R210" s="63">
        <v>4.8893973671330082E-3</v>
      </c>
      <c r="S210" s="63">
        <v>0.16525046843105407</v>
      </c>
      <c r="T210" s="63">
        <v>0.63467443397019996</v>
      </c>
      <c r="U210" s="63">
        <v>2.4284812979084913E-2</v>
      </c>
    </row>
    <row r="211" spans="1:21" ht="16.2">
      <c r="A211" s="5">
        <f t="shared" ca="1" si="1"/>
        <v>210</v>
      </c>
      <c r="B211" s="5" t="str">
        <f ca="1">IFERROR(__xludf.DUMMYFUNCTION("if(ISBLANK(C211),,QUERY(MD!A212:D1210,""Select A where C = '""&amp; C211 &amp;""'""))"),"")</f>
        <v/>
      </c>
      <c r="C211" s="5"/>
      <c r="D211" s="5" t="str">
        <f ca="1">IFERROR(__xludf.DUMMYFUNCTION("if(ISBLANK(C211),,QUERY(MD!$A$2:$D$1000,""Select D where C = '""&amp; C211 &amp;""'""))"),"")</f>
        <v/>
      </c>
      <c r="E211" s="59" t="str">
        <f ca="1">IFERROR(__xludf.DUMMYFUNCTION("if(ISBLANK(C211),,QUERY(MD!$A$2:$D$1000,""Select B where C = '""&amp; C211 &amp;""'""))"),"")</f>
        <v/>
      </c>
      <c r="F211" s="5">
        <f t="shared" ca="1" si="0"/>
        <v>0</v>
      </c>
      <c r="G211" s="32" t="str">
        <f ca="1">IFERROR(__xludf.DUMMYFUNCTION("if($F211&gt;=1,QUERY(Loot!$A$2:$G$904,""Select G where A = '""&amp; $E211 &amp;""' AND D &gt;= ""&amp; Q211  &amp;"" LIMIT 1""),)"),"")</f>
        <v/>
      </c>
      <c r="H211" s="61"/>
      <c r="I211" s="32" t="str">
        <f ca="1">IFERROR(__xludf.DUMMYFUNCTION("if($F211&gt;=2,QUERY(Loot!$A$2:$G$904,""Select G where A = '""&amp; $E211 &amp;""' AND D &gt;= ""&amp; R211 &amp;"" LIMIT 1""),)"),"")</f>
        <v/>
      </c>
      <c r="J211" s="61"/>
      <c r="K211" s="32" t="str">
        <f ca="1">IFERROR(__xludf.DUMMYFUNCTION("if($F211&gt;=3,QUERY(Loot!$A$2:$G$904,""Select G where A = '""&amp; $E211 &amp;""' AND D &gt;= ""&amp; S211  &amp;"" LIMIT 1""),)"),"")</f>
        <v/>
      </c>
      <c r="L211" s="61"/>
      <c r="M211" s="32" t="str">
        <f ca="1">IFERROR(__xludf.DUMMYFUNCTION("if($F211&gt;=4,QUERY(Loot!$A$2:$G$904,""Select G where A = '""&amp; $E211 &amp;""' AND D &gt;= ""&amp;T211 &amp;"" LIMIT 1""),)"),"")</f>
        <v/>
      </c>
      <c r="N211" s="61"/>
      <c r="O211" s="32" t="str">
        <f ca="1">IFERROR(__xludf.DUMMYFUNCTION("if($F211&gt;=5,QUERY(Loot!$A$2:$G$904,""Select G where A = '""&amp; $E211 &amp;""' AND D &gt;= ""&amp; U211 &amp;"" LIMIT 1""),)"),"")</f>
        <v/>
      </c>
      <c r="P211" s="61"/>
      <c r="Q211" s="62">
        <v>0.21491789226569535</v>
      </c>
      <c r="R211" s="63">
        <v>0.15883279543480533</v>
      </c>
      <c r="S211" s="63">
        <v>0.86965205112743738</v>
      </c>
      <c r="T211" s="63">
        <v>0.37605489548037319</v>
      </c>
      <c r="U211" s="63">
        <v>0.43369794192580857</v>
      </c>
    </row>
    <row r="212" spans="1:21" ht="16.2">
      <c r="A212" s="5">
        <f t="shared" ca="1" si="1"/>
        <v>211</v>
      </c>
      <c r="B212" s="5" t="str">
        <f ca="1">IFERROR(__xludf.DUMMYFUNCTION("if(ISBLANK(C212),,QUERY(MD!A213:D1211,""Select A where C = '""&amp; C212 &amp;""'""))"),"")</f>
        <v/>
      </c>
      <c r="C212" s="5"/>
      <c r="D212" s="5" t="str">
        <f ca="1">IFERROR(__xludf.DUMMYFUNCTION("if(ISBLANK(C212),,QUERY(MD!$A$2:$D$1000,""Select D where C = '""&amp; C212 &amp;""'""))"),"")</f>
        <v/>
      </c>
      <c r="E212" s="59" t="str">
        <f ca="1">IFERROR(__xludf.DUMMYFUNCTION("if(ISBLANK(C212),,QUERY(MD!$A$2:$D$1000,""Select B where C = '""&amp; C212 &amp;""'""))"),"")</f>
        <v/>
      </c>
      <c r="F212" s="5">
        <f t="shared" ca="1" si="0"/>
        <v>0</v>
      </c>
      <c r="G212" s="32" t="str">
        <f ca="1">IFERROR(__xludf.DUMMYFUNCTION("if($F212&gt;=1,QUERY(Loot!$A$2:$G$904,""Select G where A = '""&amp; $E212 &amp;""' AND D &gt;= ""&amp; Q212  &amp;"" LIMIT 1""),)"),"")</f>
        <v/>
      </c>
      <c r="H212" s="61"/>
      <c r="I212" s="32" t="str">
        <f ca="1">IFERROR(__xludf.DUMMYFUNCTION("if($F212&gt;=2,QUERY(Loot!$A$2:$G$904,""Select G where A = '""&amp; $E212 &amp;""' AND D &gt;= ""&amp; R212 &amp;"" LIMIT 1""),)"),"")</f>
        <v/>
      </c>
      <c r="J212" s="61"/>
      <c r="K212" s="32" t="str">
        <f ca="1">IFERROR(__xludf.DUMMYFUNCTION("if($F212&gt;=3,QUERY(Loot!$A$2:$G$904,""Select G where A = '""&amp; $E212 &amp;""' AND D &gt;= ""&amp; S212  &amp;"" LIMIT 1""),)"),"")</f>
        <v/>
      </c>
      <c r="L212" s="61"/>
      <c r="M212" s="32" t="str">
        <f ca="1">IFERROR(__xludf.DUMMYFUNCTION("if($F212&gt;=4,QUERY(Loot!$A$2:$G$904,""Select G where A = '""&amp; $E212 &amp;""' AND D &gt;= ""&amp;T212 &amp;"" LIMIT 1""),)"),"")</f>
        <v/>
      </c>
      <c r="N212" s="61"/>
      <c r="O212" s="32" t="str">
        <f ca="1">IFERROR(__xludf.DUMMYFUNCTION("if($F212&gt;=5,QUERY(Loot!$A$2:$G$904,""Select G where A = '""&amp; $E212 &amp;""' AND D &gt;= ""&amp; U212 &amp;"" LIMIT 1""),)"),"")</f>
        <v/>
      </c>
      <c r="P212" s="61"/>
      <c r="Q212" s="62">
        <v>0.1407393064008069</v>
      </c>
      <c r="R212" s="63">
        <v>0.34954129963806013</v>
      </c>
      <c r="S212" s="63">
        <v>0.39609025755782479</v>
      </c>
      <c r="T212" s="63">
        <v>0.94883915584099476</v>
      </c>
      <c r="U212" s="63">
        <v>0.26938604281342315</v>
      </c>
    </row>
    <row r="213" spans="1:21" ht="16.2">
      <c r="A213" s="5">
        <f t="shared" ca="1" si="1"/>
        <v>212</v>
      </c>
      <c r="B213" s="5" t="str">
        <f ca="1">IFERROR(__xludf.DUMMYFUNCTION("if(ISBLANK(C213),,QUERY(MD!A214:D1212,""Select A where C = '""&amp; C213 &amp;""'""))"),"")</f>
        <v/>
      </c>
      <c r="C213" s="5"/>
      <c r="D213" s="5" t="str">
        <f ca="1">IFERROR(__xludf.DUMMYFUNCTION("if(ISBLANK(C213),,QUERY(MD!$A$2:$D$1000,""Select D where C = '""&amp; C213 &amp;""'""))"),"")</f>
        <v/>
      </c>
      <c r="E213" s="59" t="str">
        <f ca="1">IFERROR(__xludf.DUMMYFUNCTION("if(ISBLANK(C213),,QUERY(MD!$A$2:$D$1000,""Select B where C = '""&amp; C213 &amp;""'""))"),"")</f>
        <v/>
      </c>
      <c r="F213" s="5">
        <f t="shared" ca="1" si="0"/>
        <v>0</v>
      </c>
      <c r="G213" s="32" t="str">
        <f ca="1">IFERROR(__xludf.DUMMYFUNCTION("if($F213&gt;=1,QUERY(Loot!$A$2:$G$904,""Select G where A = '""&amp; $E213 &amp;""' AND D &gt;= ""&amp; Q213  &amp;"" LIMIT 1""),)"),"")</f>
        <v/>
      </c>
      <c r="H213" s="61"/>
      <c r="I213" s="32" t="str">
        <f ca="1">IFERROR(__xludf.DUMMYFUNCTION("if($F213&gt;=2,QUERY(Loot!$A$2:$G$904,""Select G where A = '""&amp; $E213 &amp;""' AND D &gt;= ""&amp; R213 &amp;"" LIMIT 1""),)"),"")</f>
        <v/>
      </c>
      <c r="J213" s="61"/>
      <c r="K213" s="32" t="str">
        <f ca="1">IFERROR(__xludf.DUMMYFUNCTION("if($F213&gt;=3,QUERY(Loot!$A$2:$G$904,""Select G where A = '""&amp; $E213 &amp;""' AND D &gt;= ""&amp; S213  &amp;"" LIMIT 1""),)"),"")</f>
        <v/>
      </c>
      <c r="L213" s="61"/>
      <c r="M213" s="32" t="str">
        <f ca="1">IFERROR(__xludf.DUMMYFUNCTION("if($F213&gt;=4,QUERY(Loot!$A$2:$G$904,""Select G where A = '""&amp; $E213 &amp;""' AND D &gt;= ""&amp;T213 &amp;"" LIMIT 1""),)"),"")</f>
        <v/>
      </c>
      <c r="N213" s="61"/>
      <c r="O213" s="32" t="str">
        <f ca="1">IFERROR(__xludf.DUMMYFUNCTION("if($F213&gt;=5,QUERY(Loot!$A$2:$G$904,""Select G where A = '""&amp; $E213 &amp;""' AND D &gt;= ""&amp; U213 &amp;"" LIMIT 1""),)"),"")</f>
        <v/>
      </c>
      <c r="P213" s="61"/>
      <c r="Q213" s="62">
        <v>0.50577047500298988</v>
      </c>
      <c r="R213" s="63">
        <v>8.5129849683545644E-2</v>
      </c>
      <c r="S213" s="63">
        <v>0.85230986415082499</v>
      </c>
      <c r="T213" s="63">
        <v>0.74717496090128466</v>
      </c>
      <c r="U213" s="63">
        <v>0.90419280907622579</v>
      </c>
    </row>
    <row r="214" spans="1:21" ht="16.2">
      <c r="A214" s="5">
        <f t="shared" ca="1" si="1"/>
        <v>213</v>
      </c>
      <c r="B214" s="5" t="str">
        <f ca="1">IFERROR(__xludf.DUMMYFUNCTION("if(ISBLANK(C214),,QUERY(MD!A215:D1213,""Select A where C = '""&amp; C214 &amp;""'""))"),"")</f>
        <v/>
      </c>
      <c r="C214" s="5"/>
      <c r="D214" s="5" t="str">
        <f ca="1">IFERROR(__xludf.DUMMYFUNCTION("if(ISBLANK(C214),,QUERY(MD!$A$2:$D$1000,""Select D where C = '""&amp; C214 &amp;""'""))"),"")</f>
        <v/>
      </c>
      <c r="E214" s="59" t="str">
        <f ca="1">IFERROR(__xludf.DUMMYFUNCTION("if(ISBLANK(C214),,QUERY(MD!$A$2:$D$1000,""Select B where C = '""&amp; C214 &amp;""'""))"),"")</f>
        <v/>
      </c>
      <c r="F214" s="5">
        <f t="shared" ca="1" si="0"/>
        <v>0</v>
      </c>
      <c r="G214" s="32" t="str">
        <f ca="1">IFERROR(__xludf.DUMMYFUNCTION("if($F214&gt;=1,QUERY(Loot!$A$2:$G$904,""Select G where A = '""&amp; $E214 &amp;""' AND D &gt;= ""&amp; Q214  &amp;"" LIMIT 1""),)"),"")</f>
        <v/>
      </c>
      <c r="H214" s="61"/>
      <c r="I214" s="32" t="str">
        <f ca="1">IFERROR(__xludf.DUMMYFUNCTION("if($F214&gt;=2,QUERY(Loot!$A$2:$G$904,""Select G where A = '""&amp; $E214 &amp;""' AND D &gt;= ""&amp; R214 &amp;"" LIMIT 1""),)"),"")</f>
        <v/>
      </c>
      <c r="J214" s="61"/>
      <c r="K214" s="32" t="str">
        <f ca="1">IFERROR(__xludf.DUMMYFUNCTION("if($F214&gt;=3,QUERY(Loot!$A$2:$G$904,""Select G where A = '""&amp; $E214 &amp;""' AND D &gt;= ""&amp; S214  &amp;"" LIMIT 1""),)"),"")</f>
        <v/>
      </c>
      <c r="L214" s="61"/>
      <c r="M214" s="32" t="str">
        <f ca="1">IFERROR(__xludf.DUMMYFUNCTION("if($F214&gt;=4,QUERY(Loot!$A$2:$G$904,""Select G where A = '""&amp; $E214 &amp;""' AND D &gt;= ""&amp;T214 &amp;"" LIMIT 1""),)"),"")</f>
        <v/>
      </c>
      <c r="N214" s="61"/>
      <c r="O214" s="32" t="str">
        <f ca="1">IFERROR(__xludf.DUMMYFUNCTION("if($F214&gt;=5,QUERY(Loot!$A$2:$G$904,""Select G where A = '""&amp; $E214 &amp;""' AND D &gt;= ""&amp; U214 &amp;"" LIMIT 1""),)"),"")</f>
        <v/>
      </c>
      <c r="P214" s="61"/>
      <c r="Q214" s="62">
        <v>0.45780427870181539</v>
      </c>
      <c r="R214" s="63">
        <v>0.26339210746829689</v>
      </c>
      <c r="S214" s="63">
        <v>0.18248214050312206</v>
      </c>
      <c r="T214" s="63">
        <v>0.63150147214876584</v>
      </c>
      <c r="U214" s="63">
        <v>0.52620300334777792</v>
      </c>
    </row>
    <row r="215" spans="1:21" ht="16.2">
      <c r="A215" s="5">
        <f t="shared" ca="1" si="1"/>
        <v>214</v>
      </c>
      <c r="B215" s="5" t="str">
        <f ca="1">IFERROR(__xludf.DUMMYFUNCTION("if(ISBLANK(C215),,QUERY(MD!A216:D1214,""Select A where C = '""&amp; C215 &amp;""'""))"),"")</f>
        <v/>
      </c>
      <c r="C215" s="5"/>
      <c r="D215" s="5" t="str">
        <f ca="1">IFERROR(__xludf.DUMMYFUNCTION("if(ISBLANK(C215),,QUERY(MD!$A$2:$D$1000,""Select D where C = '""&amp; C215 &amp;""'""))"),"")</f>
        <v/>
      </c>
      <c r="E215" s="59" t="str">
        <f ca="1">IFERROR(__xludf.DUMMYFUNCTION("if(ISBLANK(C215),,QUERY(MD!$A$2:$D$1000,""Select B where C = '""&amp; C215 &amp;""'""))"),"")</f>
        <v/>
      </c>
      <c r="F215" s="5">
        <f t="shared" ca="1" si="0"/>
        <v>0</v>
      </c>
      <c r="G215" s="32" t="str">
        <f ca="1">IFERROR(__xludf.DUMMYFUNCTION("if($F215&gt;=1,QUERY(Loot!$A$2:$G$904,""Select G where A = '""&amp; $E215 &amp;""' AND D &gt;= ""&amp; Q215  &amp;"" LIMIT 1""),)"),"")</f>
        <v/>
      </c>
      <c r="H215" s="61"/>
      <c r="I215" s="32" t="str">
        <f ca="1">IFERROR(__xludf.DUMMYFUNCTION("if($F215&gt;=2,QUERY(Loot!$A$2:$G$904,""Select G where A = '""&amp; $E215 &amp;""' AND D &gt;= ""&amp; R215 &amp;"" LIMIT 1""),)"),"")</f>
        <v/>
      </c>
      <c r="J215" s="61"/>
      <c r="K215" s="32" t="str">
        <f ca="1">IFERROR(__xludf.DUMMYFUNCTION("if($F215&gt;=3,QUERY(Loot!$A$2:$G$904,""Select G where A = '""&amp; $E215 &amp;""' AND D &gt;= ""&amp; S215  &amp;"" LIMIT 1""),)"),"")</f>
        <v/>
      </c>
      <c r="L215" s="61"/>
      <c r="M215" s="32" t="str">
        <f ca="1">IFERROR(__xludf.DUMMYFUNCTION("if($F215&gt;=4,QUERY(Loot!$A$2:$G$904,""Select G where A = '""&amp; $E215 &amp;""' AND D &gt;= ""&amp;T215 &amp;"" LIMIT 1""),)"),"")</f>
        <v/>
      </c>
      <c r="N215" s="61"/>
      <c r="O215" s="32" t="str">
        <f ca="1">IFERROR(__xludf.DUMMYFUNCTION("if($F215&gt;=5,QUERY(Loot!$A$2:$G$904,""Select G where A = '""&amp; $E215 &amp;""' AND D &gt;= ""&amp; U215 &amp;"" LIMIT 1""),)"),"")</f>
        <v/>
      </c>
      <c r="P215" s="61"/>
      <c r="Q215" s="62">
        <v>0.22231438371298884</v>
      </c>
      <c r="R215" s="63">
        <v>0.30888599972526642</v>
      </c>
      <c r="S215" s="63">
        <v>0.72550694984103881</v>
      </c>
      <c r="T215" s="63">
        <v>0.17658483198322961</v>
      </c>
      <c r="U215" s="63">
        <v>0.81172219085710418</v>
      </c>
    </row>
    <row r="216" spans="1:21" ht="16.2">
      <c r="A216" s="5">
        <f t="shared" ca="1" si="1"/>
        <v>215</v>
      </c>
      <c r="B216" s="5" t="str">
        <f ca="1">IFERROR(__xludf.DUMMYFUNCTION("if(ISBLANK(C216),,QUERY(MD!A217:D1215,""Select A where C = '""&amp; C216 &amp;""'""))"),"")</f>
        <v/>
      </c>
      <c r="C216" s="5"/>
      <c r="D216" s="5" t="str">
        <f ca="1">IFERROR(__xludf.DUMMYFUNCTION("if(ISBLANK(C216),,QUERY(MD!$A$2:$D$1000,""Select D where C = '""&amp; C216 &amp;""'""))"),"")</f>
        <v/>
      </c>
      <c r="E216" s="59" t="str">
        <f ca="1">IFERROR(__xludf.DUMMYFUNCTION("if(ISBLANK(C216),,QUERY(MD!$A$2:$D$1000,""Select B where C = '""&amp; C216 &amp;""'""))"),"")</f>
        <v/>
      </c>
      <c r="F216" s="5">
        <f t="shared" ca="1" si="0"/>
        <v>0</v>
      </c>
      <c r="G216" s="32" t="str">
        <f ca="1">IFERROR(__xludf.DUMMYFUNCTION("if($F216&gt;=1,QUERY(Loot!$A$2:$G$904,""Select G where A = '""&amp; $E216 &amp;""' AND D &gt;= ""&amp; Q216  &amp;"" LIMIT 1""),)"),"")</f>
        <v/>
      </c>
      <c r="H216" s="61"/>
      <c r="I216" s="32" t="str">
        <f ca="1">IFERROR(__xludf.DUMMYFUNCTION("if($F216&gt;=2,QUERY(Loot!$A$2:$G$904,""Select G where A = '""&amp; $E216 &amp;""' AND D &gt;= ""&amp; R216 &amp;"" LIMIT 1""),)"),"")</f>
        <v/>
      </c>
      <c r="J216" s="61"/>
      <c r="K216" s="32" t="str">
        <f ca="1">IFERROR(__xludf.DUMMYFUNCTION("if($F216&gt;=3,QUERY(Loot!$A$2:$G$904,""Select G where A = '""&amp; $E216 &amp;""' AND D &gt;= ""&amp; S216  &amp;"" LIMIT 1""),)"),"")</f>
        <v/>
      </c>
      <c r="L216" s="61"/>
      <c r="M216" s="32" t="str">
        <f ca="1">IFERROR(__xludf.DUMMYFUNCTION("if($F216&gt;=4,QUERY(Loot!$A$2:$G$904,""Select G where A = '""&amp; $E216 &amp;""' AND D &gt;= ""&amp;T216 &amp;"" LIMIT 1""),)"),"")</f>
        <v/>
      </c>
      <c r="N216" s="61"/>
      <c r="O216" s="32" t="str">
        <f ca="1">IFERROR(__xludf.DUMMYFUNCTION("if($F216&gt;=5,QUERY(Loot!$A$2:$G$904,""Select G where A = '""&amp; $E216 &amp;""' AND D &gt;= ""&amp; U216 &amp;"" LIMIT 1""),)"),"")</f>
        <v/>
      </c>
      <c r="P216" s="61"/>
      <c r="Q216" s="62">
        <v>0.89149938966390341</v>
      </c>
      <c r="R216" s="63">
        <v>0.23817450713473998</v>
      </c>
      <c r="S216" s="63">
        <v>0.35161642811887117</v>
      </c>
      <c r="T216" s="63">
        <v>0.50943460489240655</v>
      </c>
      <c r="U216" s="63">
        <v>1.0622373568714316E-2</v>
      </c>
    </row>
    <row r="217" spans="1:21" ht="16.2">
      <c r="A217" s="5">
        <f t="shared" ca="1" si="1"/>
        <v>216</v>
      </c>
      <c r="B217" s="5" t="str">
        <f ca="1">IFERROR(__xludf.DUMMYFUNCTION("if(ISBLANK(C217),,QUERY(MD!A218:D1216,""Select A where C = '""&amp; C217 &amp;""'""))"),"")</f>
        <v/>
      </c>
      <c r="C217" s="5"/>
      <c r="D217" s="5" t="str">
        <f ca="1">IFERROR(__xludf.DUMMYFUNCTION("if(ISBLANK(C217),,QUERY(MD!$A$2:$D$1000,""Select D where C = '""&amp; C217 &amp;""'""))"),"")</f>
        <v/>
      </c>
      <c r="E217" s="59" t="str">
        <f ca="1">IFERROR(__xludf.DUMMYFUNCTION("if(ISBLANK(C217),,QUERY(MD!$A$2:$D$1000,""Select B where C = '""&amp; C217 &amp;""'""))"),"")</f>
        <v/>
      </c>
      <c r="F217" s="5">
        <f t="shared" ca="1" si="0"/>
        <v>0</v>
      </c>
      <c r="G217" s="32" t="str">
        <f ca="1">IFERROR(__xludf.DUMMYFUNCTION("if($F217&gt;=1,QUERY(Loot!$A$2:$G$904,""Select G where A = '""&amp; $E217 &amp;""' AND D &gt;= ""&amp; Q217  &amp;"" LIMIT 1""),)"),"")</f>
        <v/>
      </c>
      <c r="H217" s="61"/>
      <c r="I217" s="32" t="str">
        <f ca="1">IFERROR(__xludf.DUMMYFUNCTION("if($F217&gt;=2,QUERY(Loot!$A$2:$G$904,""Select G where A = '""&amp; $E217 &amp;""' AND D &gt;= ""&amp; R217 &amp;"" LIMIT 1""),)"),"")</f>
        <v/>
      </c>
      <c r="J217" s="61"/>
      <c r="K217" s="32" t="str">
        <f ca="1">IFERROR(__xludf.DUMMYFUNCTION("if($F217&gt;=3,QUERY(Loot!$A$2:$G$904,""Select G where A = '""&amp; $E217 &amp;""' AND D &gt;= ""&amp; S217  &amp;"" LIMIT 1""),)"),"")</f>
        <v/>
      </c>
      <c r="L217" s="61"/>
      <c r="M217" s="32" t="str">
        <f ca="1">IFERROR(__xludf.DUMMYFUNCTION("if($F217&gt;=4,QUERY(Loot!$A$2:$G$904,""Select G where A = '""&amp; $E217 &amp;""' AND D &gt;= ""&amp;T217 &amp;"" LIMIT 1""),)"),"")</f>
        <v/>
      </c>
      <c r="N217" s="61"/>
      <c r="O217" s="32" t="str">
        <f ca="1">IFERROR(__xludf.DUMMYFUNCTION("if($F217&gt;=5,QUERY(Loot!$A$2:$G$904,""Select G where A = '""&amp; $E217 &amp;""' AND D &gt;= ""&amp; U217 &amp;"" LIMIT 1""),)"),"")</f>
        <v/>
      </c>
      <c r="P217" s="61"/>
      <c r="Q217" s="62">
        <v>0.85723339849805813</v>
      </c>
      <c r="R217" s="63">
        <v>0.82649891432416867</v>
      </c>
      <c r="S217" s="63">
        <v>0.25347427755368168</v>
      </c>
      <c r="T217" s="63">
        <v>0.55453255878285712</v>
      </c>
      <c r="U217" s="63">
        <v>0.8803337412087846</v>
      </c>
    </row>
    <row r="218" spans="1:21" ht="16.2">
      <c r="A218" s="5">
        <f t="shared" ca="1" si="1"/>
        <v>217</v>
      </c>
      <c r="B218" s="5" t="str">
        <f ca="1">IFERROR(__xludf.DUMMYFUNCTION("if(ISBLANK(C218),,QUERY(MD!A219:D1217,""Select A where C = '""&amp; C218 &amp;""'""))"),"")</f>
        <v/>
      </c>
      <c r="C218" s="5"/>
      <c r="D218" s="5" t="str">
        <f ca="1">IFERROR(__xludf.DUMMYFUNCTION("if(ISBLANK(C218),,QUERY(MD!$A$2:$D$1000,""Select D where C = '""&amp; C218 &amp;""'""))"),"")</f>
        <v/>
      </c>
      <c r="E218" s="59" t="str">
        <f ca="1">IFERROR(__xludf.DUMMYFUNCTION("if(ISBLANK(C218),,QUERY(MD!$A$2:$D$1000,""Select B where C = '""&amp; C218 &amp;""'""))"),"")</f>
        <v/>
      </c>
      <c r="F218" s="5">
        <f t="shared" ca="1" si="0"/>
        <v>0</v>
      </c>
      <c r="G218" s="32" t="str">
        <f ca="1">IFERROR(__xludf.DUMMYFUNCTION("if($F218&gt;=1,QUERY(Loot!$A$2:$G$904,""Select G where A = '""&amp; $E218 &amp;""' AND D &gt;= ""&amp; Q218  &amp;"" LIMIT 1""),)"),"")</f>
        <v/>
      </c>
      <c r="H218" s="61"/>
      <c r="I218" s="32" t="str">
        <f ca="1">IFERROR(__xludf.DUMMYFUNCTION("if($F218&gt;=2,QUERY(Loot!$A$2:$G$904,""Select G where A = '""&amp; $E218 &amp;""' AND D &gt;= ""&amp; R218 &amp;"" LIMIT 1""),)"),"")</f>
        <v/>
      </c>
      <c r="J218" s="61"/>
      <c r="K218" s="32" t="str">
        <f ca="1">IFERROR(__xludf.DUMMYFUNCTION("if($F218&gt;=3,QUERY(Loot!$A$2:$G$904,""Select G where A = '""&amp; $E218 &amp;""' AND D &gt;= ""&amp; S218  &amp;"" LIMIT 1""),)"),"")</f>
        <v/>
      </c>
      <c r="L218" s="61"/>
      <c r="M218" s="32" t="str">
        <f ca="1">IFERROR(__xludf.DUMMYFUNCTION("if($F218&gt;=4,QUERY(Loot!$A$2:$G$904,""Select G where A = '""&amp; $E218 &amp;""' AND D &gt;= ""&amp;T218 &amp;"" LIMIT 1""),)"),"")</f>
        <v/>
      </c>
      <c r="N218" s="61"/>
      <c r="O218" s="32" t="str">
        <f ca="1">IFERROR(__xludf.DUMMYFUNCTION("if($F218&gt;=5,QUERY(Loot!$A$2:$G$904,""Select G where A = '""&amp; $E218 &amp;""' AND D &gt;= ""&amp; U218 &amp;"" LIMIT 1""),)"),"")</f>
        <v/>
      </c>
      <c r="P218" s="61"/>
      <c r="Q218" s="62">
        <v>0.5245699747358481</v>
      </c>
      <c r="R218" s="63">
        <v>0.20914789625508123</v>
      </c>
      <c r="S218" s="63">
        <v>0.67608279945556082</v>
      </c>
      <c r="T218" s="63">
        <v>0.73514100221589307</v>
      </c>
      <c r="U218" s="63">
        <v>0.75644509543062943</v>
      </c>
    </row>
    <row r="219" spans="1:21" ht="16.2">
      <c r="A219" s="5">
        <f t="shared" ca="1" si="1"/>
        <v>218</v>
      </c>
      <c r="B219" s="5" t="str">
        <f ca="1">IFERROR(__xludf.DUMMYFUNCTION("if(ISBLANK(C219),,QUERY(MD!A220:D1218,""Select A where C = '""&amp; C219 &amp;""'""))"),"")</f>
        <v/>
      </c>
      <c r="C219" s="5"/>
      <c r="D219" s="5" t="str">
        <f ca="1">IFERROR(__xludf.DUMMYFUNCTION("if(ISBLANK(C219),,QUERY(MD!$A$2:$D$1000,""Select D where C = '""&amp; C219 &amp;""'""))"),"")</f>
        <v/>
      </c>
      <c r="E219" s="59" t="str">
        <f ca="1">IFERROR(__xludf.DUMMYFUNCTION("if(ISBLANK(C219),,QUERY(MD!$A$2:$D$1000,""Select B where C = '""&amp; C219 &amp;""'""))"),"")</f>
        <v/>
      </c>
      <c r="F219" s="5">
        <f t="shared" ca="1" si="0"/>
        <v>0</v>
      </c>
      <c r="G219" s="32" t="str">
        <f ca="1">IFERROR(__xludf.DUMMYFUNCTION("if($F219&gt;=1,QUERY(Loot!$A$2:$G$904,""Select G where A = '""&amp; $E219 &amp;""' AND D &gt;= ""&amp; Q219  &amp;"" LIMIT 1""),)"),"")</f>
        <v/>
      </c>
      <c r="H219" s="61"/>
      <c r="I219" s="32" t="str">
        <f ca="1">IFERROR(__xludf.DUMMYFUNCTION("if($F219&gt;=2,QUERY(Loot!$A$2:$G$904,""Select G where A = '""&amp; $E219 &amp;""' AND D &gt;= ""&amp; R219 &amp;"" LIMIT 1""),)"),"")</f>
        <v/>
      </c>
      <c r="J219" s="61"/>
      <c r="K219" s="32" t="str">
        <f ca="1">IFERROR(__xludf.DUMMYFUNCTION("if($F219&gt;=3,QUERY(Loot!$A$2:$G$904,""Select G where A = '""&amp; $E219 &amp;""' AND D &gt;= ""&amp; S219  &amp;"" LIMIT 1""),)"),"")</f>
        <v/>
      </c>
      <c r="L219" s="61"/>
      <c r="M219" s="32" t="str">
        <f ca="1">IFERROR(__xludf.DUMMYFUNCTION("if($F219&gt;=4,QUERY(Loot!$A$2:$G$904,""Select G where A = '""&amp; $E219 &amp;""' AND D &gt;= ""&amp;T219 &amp;"" LIMIT 1""),)"),"")</f>
        <v/>
      </c>
      <c r="N219" s="61"/>
      <c r="O219" s="32" t="str">
        <f ca="1">IFERROR(__xludf.DUMMYFUNCTION("if($F219&gt;=5,QUERY(Loot!$A$2:$G$904,""Select G where A = '""&amp; $E219 &amp;""' AND D &gt;= ""&amp; U219 &amp;"" LIMIT 1""),)"),"")</f>
        <v/>
      </c>
      <c r="P219" s="61"/>
      <c r="Q219" s="62">
        <v>0.7679923821585386</v>
      </c>
      <c r="R219" s="63">
        <v>0.17187651426641071</v>
      </c>
      <c r="S219" s="63">
        <v>0.16942182739955103</v>
      </c>
      <c r="T219" s="63">
        <v>0.98648828524668786</v>
      </c>
      <c r="U219" s="63">
        <v>0.87969166801322751</v>
      </c>
    </row>
    <row r="220" spans="1:21" ht="16.2">
      <c r="A220" s="5">
        <f t="shared" ca="1" si="1"/>
        <v>219</v>
      </c>
      <c r="B220" s="5" t="str">
        <f ca="1">IFERROR(__xludf.DUMMYFUNCTION("if(ISBLANK(C220),,QUERY(MD!A221:D1219,""Select A where C = '""&amp; C220 &amp;""'""))"),"")</f>
        <v/>
      </c>
      <c r="C220" s="5"/>
      <c r="D220" s="5" t="str">
        <f ca="1">IFERROR(__xludf.DUMMYFUNCTION("if(ISBLANK(C220),,QUERY(MD!$A$2:$D$1000,""Select D where C = '""&amp; C220 &amp;""'""))"),"")</f>
        <v/>
      </c>
      <c r="E220" s="59" t="str">
        <f ca="1">IFERROR(__xludf.DUMMYFUNCTION("if(ISBLANK(C220),,QUERY(MD!$A$2:$D$1000,""Select B where C = '""&amp; C220 &amp;""'""))"),"")</f>
        <v/>
      </c>
      <c r="F220" s="5">
        <f t="shared" ca="1" si="0"/>
        <v>0</v>
      </c>
      <c r="G220" s="32" t="str">
        <f ca="1">IFERROR(__xludf.DUMMYFUNCTION("if($F220&gt;=1,QUERY(Loot!$A$2:$G$904,""Select G where A = '""&amp; $E220 &amp;""' AND D &gt;= ""&amp; Q220  &amp;"" LIMIT 1""),)"),"")</f>
        <v/>
      </c>
      <c r="H220" s="61"/>
      <c r="I220" s="32" t="str">
        <f ca="1">IFERROR(__xludf.DUMMYFUNCTION("if($F220&gt;=2,QUERY(Loot!$A$2:$G$904,""Select G where A = '""&amp; $E220 &amp;""' AND D &gt;= ""&amp; R220 &amp;"" LIMIT 1""),)"),"")</f>
        <v/>
      </c>
      <c r="J220" s="61"/>
      <c r="K220" s="32" t="str">
        <f ca="1">IFERROR(__xludf.DUMMYFUNCTION("if($F220&gt;=3,QUERY(Loot!$A$2:$G$904,""Select G where A = '""&amp; $E220 &amp;""' AND D &gt;= ""&amp; S220  &amp;"" LIMIT 1""),)"),"")</f>
        <v/>
      </c>
      <c r="L220" s="61"/>
      <c r="M220" s="32" t="str">
        <f ca="1">IFERROR(__xludf.DUMMYFUNCTION("if($F220&gt;=4,QUERY(Loot!$A$2:$G$904,""Select G where A = '""&amp; $E220 &amp;""' AND D &gt;= ""&amp;T220 &amp;"" LIMIT 1""),)"),"")</f>
        <v/>
      </c>
      <c r="N220" s="61"/>
      <c r="O220" s="32" t="str">
        <f ca="1">IFERROR(__xludf.DUMMYFUNCTION("if($F220&gt;=5,QUERY(Loot!$A$2:$G$904,""Select G where A = '""&amp; $E220 &amp;""' AND D &gt;= ""&amp; U220 &amp;"" LIMIT 1""),)"),"")</f>
        <v/>
      </c>
      <c r="P220" s="61"/>
      <c r="Q220" s="62">
        <v>0.22814350479394618</v>
      </c>
      <c r="R220" s="63">
        <v>0.69708953877578372</v>
      </c>
      <c r="S220" s="63">
        <v>0.73137904216345972</v>
      </c>
      <c r="T220" s="63">
        <v>0.42060803704473748</v>
      </c>
      <c r="U220" s="63">
        <v>0.7440394867524831</v>
      </c>
    </row>
    <row r="221" spans="1:21" ht="16.2">
      <c r="A221" s="5">
        <f t="shared" ca="1" si="1"/>
        <v>220</v>
      </c>
      <c r="B221" s="5" t="str">
        <f ca="1">IFERROR(__xludf.DUMMYFUNCTION("if(ISBLANK(C221),,QUERY(MD!A222:D1220,""Select A where C = '""&amp; C221 &amp;""'""))"),"")</f>
        <v/>
      </c>
      <c r="C221" s="5"/>
      <c r="D221" s="5" t="str">
        <f ca="1">IFERROR(__xludf.DUMMYFUNCTION("if(ISBLANK(C221),,QUERY(MD!$A$2:$D$1000,""Select D where C = '""&amp; C221 &amp;""'""))"),"")</f>
        <v/>
      </c>
      <c r="E221" s="59" t="str">
        <f ca="1">IFERROR(__xludf.DUMMYFUNCTION("if(ISBLANK(C221),,QUERY(MD!$A$2:$D$1000,""Select B where C = '""&amp; C221 &amp;""'""))"),"")</f>
        <v/>
      </c>
      <c r="F221" s="5">
        <f t="shared" ca="1" si="0"/>
        <v>0</v>
      </c>
      <c r="G221" s="32" t="str">
        <f ca="1">IFERROR(__xludf.DUMMYFUNCTION("if($F221&gt;=1,QUERY(Loot!$A$2:$G$904,""Select G where A = '""&amp; $E221 &amp;""' AND D &gt;= ""&amp; Q221  &amp;"" LIMIT 1""),)"),"")</f>
        <v/>
      </c>
      <c r="H221" s="61"/>
      <c r="I221" s="32" t="str">
        <f ca="1">IFERROR(__xludf.DUMMYFUNCTION("if($F221&gt;=2,QUERY(Loot!$A$2:$G$904,""Select G where A = '""&amp; $E221 &amp;""' AND D &gt;= ""&amp; R221 &amp;"" LIMIT 1""),)"),"")</f>
        <v/>
      </c>
      <c r="J221" s="61"/>
      <c r="K221" s="32" t="str">
        <f ca="1">IFERROR(__xludf.DUMMYFUNCTION("if($F221&gt;=3,QUERY(Loot!$A$2:$G$904,""Select G where A = '""&amp; $E221 &amp;""' AND D &gt;= ""&amp; S221  &amp;"" LIMIT 1""),)"),"")</f>
        <v/>
      </c>
      <c r="L221" s="61"/>
      <c r="M221" s="32" t="str">
        <f ca="1">IFERROR(__xludf.DUMMYFUNCTION("if($F221&gt;=4,QUERY(Loot!$A$2:$G$904,""Select G where A = '""&amp; $E221 &amp;""' AND D &gt;= ""&amp;T221 &amp;"" LIMIT 1""),)"),"")</f>
        <v/>
      </c>
      <c r="N221" s="61"/>
      <c r="O221" s="32" t="str">
        <f ca="1">IFERROR(__xludf.DUMMYFUNCTION("if($F221&gt;=5,QUERY(Loot!$A$2:$G$904,""Select G where A = '""&amp; $E221 &amp;""' AND D &gt;= ""&amp; U221 &amp;"" LIMIT 1""),)"),"")</f>
        <v/>
      </c>
      <c r="P221" s="61"/>
      <c r="Q221" s="62">
        <v>0.87934114759767412</v>
      </c>
      <c r="R221" s="63">
        <v>0.97776905322606633</v>
      </c>
      <c r="S221" s="63">
        <v>0.9363605538194929</v>
      </c>
      <c r="T221" s="63">
        <v>0.49094526687703788</v>
      </c>
      <c r="U221" s="63">
        <v>0.54443204207520912</v>
      </c>
    </row>
    <row r="222" spans="1:21" ht="16.2">
      <c r="A222" s="5">
        <f t="shared" ca="1" si="1"/>
        <v>221</v>
      </c>
      <c r="B222" s="5" t="str">
        <f ca="1">IFERROR(__xludf.DUMMYFUNCTION("if(ISBLANK(C222),,QUERY(MD!A223:D1221,""Select A where C = '""&amp; C222 &amp;""'""))"),"")</f>
        <v/>
      </c>
      <c r="C222" s="5"/>
      <c r="D222" s="5" t="str">
        <f ca="1">IFERROR(__xludf.DUMMYFUNCTION("if(ISBLANK(C222),,QUERY(MD!$A$2:$D$1000,""Select D where C = '""&amp; C222 &amp;""'""))"),"")</f>
        <v/>
      </c>
      <c r="E222" s="59" t="str">
        <f ca="1">IFERROR(__xludf.DUMMYFUNCTION("if(ISBLANK(C222),,QUERY(MD!$A$2:$D$1000,""Select B where C = '""&amp; C222 &amp;""'""))"),"")</f>
        <v/>
      </c>
      <c r="F222" s="5">
        <f t="shared" ca="1" si="0"/>
        <v>0</v>
      </c>
      <c r="G222" s="32" t="str">
        <f ca="1">IFERROR(__xludf.DUMMYFUNCTION("if($F222&gt;=1,QUERY(Loot!$A$2:$G$904,""Select G where A = '""&amp; $E222 &amp;""' AND D &gt;= ""&amp; Q222  &amp;"" LIMIT 1""),)"),"")</f>
        <v/>
      </c>
      <c r="H222" s="61"/>
      <c r="I222" s="32" t="str">
        <f ca="1">IFERROR(__xludf.DUMMYFUNCTION("if($F222&gt;=2,QUERY(Loot!$A$2:$G$904,""Select G where A = '""&amp; $E222 &amp;""' AND D &gt;= ""&amp; R222 &amp;"" LIMIT 1""),)"),"")</f>
        <v/>
      </c>
      <c r="J222" s="61"/>
      <c r="K222" s="32" t="str">
        <f ca="1">IFERROR(__xludf.DUMMYFUNCTION("if($F222&gt;=3,QUERY(Loot!$A$2:$G$904,""Select G where A = '""&amp; $E222 &amp;""' AND D &gt;= ""&amp; S222  &amp;"" LIMIT 1""),)"),"")</f>
        <v/>
      </c>
      <c r="L222" s="61"/>
      <c r="M222" s="32" t="str">
        <f ca="1">IFERROR(__xludf.DUMMYFUNCTION("if($F222&gt;=4,QUERY(Loot!$A$2:$G$904,""Select G where A = '""&amp; $E222 &amp;""' AND D &gt;= ""&amp;T222 &amp;"" LIMIT 1""),)"),"")</f>
        <v/>
      </c>
      <c r="N222" s="61"/>
      <c r="O222" s="32" t="str">
        <f ca="1">IFERROR(__xludf.DUMMYFUNCTION("if($F222&gt;=5,QUERY(Loot!$A$2:$G$904,""Select G where A = '""&amp; $E222 &amp;""' AND D &gt;= ""&amp; U222 &amp;"" LIMIT 1""),)"),"")</f>
        <v/>
      </c>
      <c r="P222" s="61"/>
      <c r="Q222" s="62">
        <v>6.9498587885853613E-2</v>
      </c>
      <c r="R222" s="63">
        <v>0.76092292540792716</v>
      </c>
      <c r="S222" s="63">
        <v>0.69544248513522278</v>
      </c>
      <c r="T222" s="63">
        <v>0.1052987731056434</v>
      </c>
      <c r="U222" s="63">
        <v>0.35956901884207593</v>
      </c>
    </row>
    <row r="223" spans="1:21" ht="16.2">
      <c r="A223" s="5">
        <f t="shared" ca="1" si="1"/>
        <v>222</v>
      </c>
      <c r="B223" s="5" t="str">
        <f ca="1">IFERROR(__xludf.DUMMYFUNCTION("if(ISBLANK(C223),,QUERY(MD!A224:D1222,""Select A where C = '""&amp; C223 &amp;""'""))"),"")</f>
        <v/>
      </c>
      <c r="C223" s="5"/>
      <c r="D223" s="5" t="str">
        <f ca="1">IFERROR(__xludf.DUMMYFUNCTION("if(ISBLANK(C223),,QUERY(MD!$A$2:$D$1000,""Select D where C = '""&amp; C223 &amp;""'""))"),"")</f>
        <v/>
      </c>
      <c r="E223" s="59" t="str">
        <f ca="1">IFERROR(__xludf.DUMMYFUNCTION("if(ISBLANK(C223),,QUERY(MD!$A$2:$D$1000,""Select B where C = '""&amp; C223 &amp;""'""))"),"")</f>
        <v/>
      </c>
      <c r="F223" s="5">
        <f t="shared" ca="1" si="0"/>
        <v>0</v>
      </c>
      <c r="G223" s="32" t="str">
        <f ca="1">IFERROR(__xludf.DUMMYFUNCTION("if($F223&gt;=1,QUERY(Loot!$A$2:$G$904,""Select G where A = '""&amp; $E223 &amp;""' AND D &gt;= ""&amp; Q223  &amp;"" LIMIT 1""),)"),"")</f>
        <v/>
      </c>
      <c r="H223" s="61"/>
      <c r="I223" s="32" t="str">
        <f ca="1">IFERROR(__xludf.DUMMYFUNCTION("if($F223&gt;=2,QUERY(Loot!$A$2:$G$904,""Select G where A = '""&amp; $E223 &amp;""' AND D &gt;= ""&amp; R223 &amp;"" LIMIT 1""),)"),"")</f>
        <v/>
      </c>
      <c r="J223" s="61"/>
      <c r="K223" s="32" t="str">
        <f ca="1">IFERROR(__xludf.DUMMYFUNCTION("if($F223&gt;=3,QUERY(Loot!$A$2:$G$904,""Select G where A = '""&amp; $E223 &amp;""' AND D &gt;= ""&amp; S223  &amp;"" LIMIT 1""),)"),"")</f>
        <v/>
      </c>
      <c r="L223" s="61"/>
      <c r="M223" s="32" t="str">
        <f ca="1">IFERROR(__xludf.DUMMYFUNCTION("if($F223&gt;=4,QUERY(Loot!$A$2:$G$904,""Select G where A = '""&amp; $E223 &amp;""' AND D &gt;= ""&amp;T223 &amp;"" LIMIT 1""),)"),"")</f>
        <v/>
      </c>
      <c r="N223" s="61"/>
      <c r="O223" s="32" t="str">
        <f ca="1">IFERROR(__xludf.DUMMYFUNCTION("if($F223&gt;=5,QUERY(Loot!$A$2:$G$904,""Select G where A = '""&amp; $E223 &amp;""' AND D &gt;= ""&amp; U223 &amp;"" LIMIT 1""),)"),"")</f>
        <v/>
      </c>
      <c r="P223" s="61"/>
      <c r="Q223" s="62">
        <v>0.21100136509842771</v>
      </c>
      <c r="R223" s="63">
        <v>0.24399424095421496</v>
      </c>
      <c r="S223" s="63">
        <v>0.72115389452212331</v>
      </c>
      <c r="T223" s="63">
        <v>4.8044708837134742E-2</v>
      </c>
      <c r="U223" s="63">
        <v>0.28199273120995583</v>
      </c>
    </row>
    <row r="224" spans="1:21" ht="16.2">
      <c r="A224" s="5">
        <f t="shared" ca="1" si="1"/>
        <v>223</v>
      </c>
      <c r="B224" s="5" t="str">
        <f ca="1">IFERROR(__xludf.DUMMYFUNCTION("if(ISBLANK(C224),,QUERY(MD!A225:D1223,""Select A where C = '""&amp; C224 &amp;""'""))"),"")</f>
        <v/>
      </c>
      <c r="C224" s="5"/>
      <c r="D224" s="5" t="str">
        <f ca="1">IFERROR(__xludf.DUMMYFUNCTION("if(ISBLANK(C224),,QUERY(MD!$A$2:$D$1000,""Select D where C = '""&amp; C224 &amp;""'""))"),"")</f>
        <v/>
      </c>
      <c r="E224" s="59" t="str">
        <f ca="1">IFERROR(__xludf.DUMMYFUNCTION("if(ISBLANK(C224),,QUERY(MD!$A$2:$D$1000,""Select B where C = '""&amp; C224 &amp;""'""))"),"")</f>
        <v/>
      </c>
      <c r="F224" s="5">
        <f t="shared" ca="1" si="0"/>
        <v>0</v>
      </c>
      <c r="G224" s="32" t="str">
        <f ca="1">IFERROR(__xludf.DUMMYFUNCTION("if($F224&gt;=1,QUERY(Loot!$A$2:$G$904,""Select G where A = '""&amp; $E224 &amp;""' AND D &gt;= ""&amp; Q224  &amp;"" LIMIT 1""),)"),"")</f>
        <v/>
      </c>
      <c r="H224" s="61"/>
      <c r="I224" s="32" t="str">
        <f ca="1">IFERROR(__xludf.DUMMYFUNCTION("if($F224&gt;=2,QUERY(Loot!$A$2:$G$904,""Select G where A = '""&amp; $E224 &amp;""' AND D &gt;= ""&amp; R224 &amp;"" LIMIT 1""),)"),"")</f>
        <v/>
      </c>
      <c r="J224" s="61"/>
      <c r="K224" s="32" t="str">
        <f ca="1">IFERROR(__xludf.DUMMYFUNCTION("if($F224&gt;=3,QUERY(Loot!$A$2:$G$904,""Select G where A = '""&amp; $E224 &amp;""' AND D &gt;= ""&amp; S224  &amp;"" LIMIT 1""),)"),"")</f>
        <v/>
      </c>
      <c r="L224" s="61"/>
      <c r="M224" s="32" t="str">
        <f ca="1">IFERROR(__xludf.DUMMYFUNCTION("if($F224&gt;=4,QUERY(Loot!$A$2:$G$904,""Select G where A = '""&amp; $E224 &amp;""' AND D &gt;= ""&amp;T224 &amp;"" LIMIT 1""),)"),"")</f>
        <v/>
      </c>
      <c r="N224" s="61"/>
      <c r="O224" s="32" t="str">
        <f ca="1">IFERROR(__xludf.DUMMYFUNCTION("if($F224&gt;=5,QUERY(Loot!$A$2:$G$904,""Select G where A = '""&amp; $E224 &amp;""' AND D &gt;= ""&amp; U224 &amp;"" LIMIT 1""),)"),"")</f>
        <v/>
      </c>
      <c r="P224" s="61"/>
      <c r="Q224" s="62">
        <v>0.5989610014912754</v>
      </c>
      <c r="R224" s="63">
        <v>0.16734140406965325</v>
      </c>
      <c r="S224" s="63">
        <v>0.53428375721051002</v>
      </c>
      <c r="T224" s="63">
        <v>3.061210033687034E-2</v>
      </c>
      <c r="U224" s="63">
        <v>0.68843341482820275</v>
      </c>
    </row>
    <row r="225" spans="1:21" ht="16.2">
      <c r="A225" s="5">
        <f t="shared" ca="1" si="1"/>
        <v>224</v>
      </c>
      <c r="B225" s="5" t="str">
        <f ca="1">IFERROR(__xludf.DUMMYFUNCTION("if(ISBLANK(C225),,QUERY(MD!A226:D1224,""Select A where C = '""&amp; C225 &amp;""'""))"),"")</f>
        <v/>
      </c>
      <c r="C225" s="5"/>
      <c r="D225" s="5" t="str">
        <f ca="1">IFERROR(__xludf.DUMMYFUNCTION("if(ISBLANK(C225),,QUERY(MD!$A$2:$D$1000,""Select D where C = '""&amp; C225 &amp;""'""))"),"")</f>
        <v/>
      </c>
      <c r="E225" s="59" t="str">
        <f ca="1">IFERROR(__xludf.DUMMYFUNCTION("if(ISBLANK(C225),,QUERY(MD!$A$2:$D$1000,""Select B where C = '""&amp; C225 &amp;""'""))"),"")</f>
        <v/>
      </c>
      <c r="F225" s="5">
        <f t="shared" ca="1" si="0"/>
        <v>0</v>
      </c>
      <c r="G225" s="32" t="str">
        <f ca="1">IFERROR(__xludf.DUMMYFUNCTION("if($F225&gt;=1,QUERY(Loot!$A$2:$G$904,""Select G where A = '""&amp; $E225 &amp;""' AND D &gt;= ""&amp; Q225  &amp;"" LIMIT 1""),)"),"")</f>
        <v/>
      </c>
      <c r="H225" s="61"/>
      <c r="I225" s="32" t="str">
        <f ca="1">IFERROR(__xludf.DUMMYFUNCTION("if($F225&gt;=2,QUERY(Loot!$A$2:$G$904,""Select G where A = '""&amp; $E225 &amp;""' AND D &gt;= ""&amp; R225 &amp;"" LIMIT 1""),)"),"")</f>
        <v/>
      </c>
      <c r="J225" s="61"/>
      <c r="K225" s="32" t="str">
        <f ca="1">IFERROR(__xludf.DUMMYFUNCTION("if($F225&gt;=3,QUERY(Loot!$A$2:$G$904,""Select G where A = '""&amp; $E225 &amp;""' AND D &gt;= ""&amp; S225  &amp;"" LIMIT 1""),)"),"")</f>
        <v/>
      </c>
      <c r="L225" s="61"/>
      <c r="M225" s="32" t="str">
        <f ca="1">IFERROR(__xludf.DUMMYFUNCTION("if($F225&gt;=4,QUERY(Loot!$A$2:$G$904,""Select G where A = '""&amp; $E225 &amp;""' AND D &gt;= ""&amp;T225 &amp;"" LIMIT 1""),)"),"")</f>
        <v/>
      </c>
      <c r="N225" s="61"/>
      <c r="O225" s="32" t="str">
        <f ca="1">IFERROR(__xludf.DUMMYFUNCTION("if($F225&gt;=5,QUERY(Loot!$A$2:$G$904,""Select G where A = '""&amp; $E225 &amp;""' AND D &gt;= ""&amp; U225 &amp;"" LIMIT 1""),)"),"")</f>
        <v/>
      </c>
      <c r="P225" s="61"/>
      <c r="Q225" s="62">
        <v>0.92715510005797397</v>
      </c>
      <c r="R225" s="63">
        <v>0.30037413255793222</v>
      </c>
      <c r="S225" s="63">
        <v>0.61931781229754401</v>
      </c>
      <c r="T225" s="63">
        <v>0.48646513892064991</v>
      </c>
      <c r="U225" s="63">
        <v>0.19998635321693881</v>
      </c>
    </row>
    <row r="226" spans="1:21" ht="16.2">
      <c r="A226" s="5">
        <f t="shared" ca="1" si="1"/>
        <v>225</v>
      </c>
      <c r="B226" s="5" t="str">
        <f ca="1">IFERROR(__xludf.DUMMYFUNCTION("if(ISBLANK(C226),,QUERY(MD!A227:D1225,""Select A where C = '""&amp; C226 &amp;""'""))"),"")</f>
        <v/>
      </c>
      <c r="C226" s="5"/>
      <c r="D226" s="5" t="str">
        <f ca="1">IFERROR(__xludf.DUMMYFUNCTION("if(ISBLANK(C226),,QUERY(MD!$A$2:$D$1000,""Select D where C = '""&amp; C226 &amp;""'""))"),"")</f>
        <v/>
      </c>
      <c r="E226" s="59" t="str">
        <f ca="1">IFERROR(__xludf.DUMMYFUNCTION("if(ISBLANK(C226),,QUERY(MD!$A$2:$D$1000,""Select B where C = '""&amp; C226 &amp;""'""))"),"")</f>
        <v/>
      </c>
      <c r="F226" s="5">
        <f t="shared" ca="1" si="0"/>
        <v>0</v>
      </c>
      <c r="G226" s="32" t="str">
        <f ca="1">IFERROR(__xludf.DUMMYFUNCTION("if($F226&gt;=1,QUERY(Loot!$A$2:$G$904,""Select G where A = '""&amp; $E226 &amp;""' AND D &gt;= ""&amp; Q226  &amp;"" LIMIT 1""),)"),"")</f>
        <v/>
      </c>
      <c r="H226" s="61"/>
      <c r="I226" s="32" t="str">
        <f ca="1">IFERROR(__xludf.DUMMYFUNCTION("if($F226&gt;=2,QUERY(Loot!$A$2:$G$904,""Select G where A = '""&amp; $E226 &amp;""' AND D &gt;= ""&amp; R226 &amp;"" LIMIT 1""),)"),"")</f>
        <v/>
      </c>
      <c r="J226" s="61"/>
      <c r="K226" s="32" t="str">
        <f ca="1">IFERROR(__xludf.DUMMYFUNCTION("if($F226&gt;=3,QUERY(Loot!$A$2:$G$904,""Select G where A = '""&amp; $E226 &amp;""' AND D &gt;= ""&amp; S226  &amp;"" LIMIT 1""),)"),"")</f>
        <v/>
      </c>
      <c r="L226" s="61"/>
      <c r="M226" s="32" t="str">
        <f ca="1">IFERROR(__xludf.DUMMYFUNCTION("if($F226&gt;=4,QUERY(Loot!$A$2:$G$904,""Select G where A = '""&amp; $E226 &amp;""' AND D &gt;= ""&amp;T226 &amp;"" LIMIT 1""),)"),"")</f>
        <v/>
      </c>
      <c r="N226" s="61"/>
      <c r="O226" s="32" t="str">
        <f ca="1">IFERROR(__xludf.DUMMYFUNCTION("if($F226&gt;=5,QUERY(Loot!$A$2:$G$904,""Select G where A = '""&amp; $E226 &amp;""' AND D &gt;= ""&amp; U226 &amp;"" LIMIT 1""),)"),"")</f>
        <v/>
      </c>
      <c r="P226" s="61"/>
      <c r="Q226" s="62">
        <v>0.81237745631104397</v>
      </c>
      <c r="R226" s="63">
        <v>0.81895119117207893</v>
      </c>
      <c r="S226" s="63">
        <v>0.73564068229284063</v>
      </c>
      <c r="T226" s="63">
        <v>0.23208172313926489</v>
      </c>
      <c r="U226" s="63">
        <v>0.17696043960539865</v>
      </c>
    </row>
    <row r="227" spans="1:21" ht="16.2">
      <c r="A227" s="5">
        <f t="shared" ca="1" si="1"/>
        <v>226</v>
      </c>
      <c r="B227" s="5" t="str">
        <f ca="1">IFERROR(__xludf.DUMMYFUNCTION("if(ISBLANK(C227),,QUERY(MD!A228:D1226,""Select A where C = '""&amp; C227 &amp;""'""))"),"")</f>
        <v/>
      </c>
      <c r="C227" s="5"/>
      <c r="D227" s="5" t="str">
        <f ca="1">IFERROR(__xludf.DUMMYFUNCTION("if(ISBLANK(C227),,QUERY(MD!$A$2:$D$1000,""Select D where C = '""&amp; C227 &amp;""'""))"),"")</f>
        <v/>
      </c>
      <c r="E227" s="59" t="str">
        <f ca="1">IFERROR(__xludf.DUMMYFUNCTION("if(ISBLANK(C227),,QUERY(MD!$A$2:$D$1000,""Select B where C = '""&amp; C227 &amp;""'""))"),"")</f>
        <v/>
      </c>
      <c r="F227" s="5">
        <f t="shared" ca="1" si="0"/>
        <v>0</v>
      </c>
      <c r="G227" s="32" t="str">
        <f ca="1">IFERROR(__xludf.DUMMYFUNCTION("if($F227&gt;=1,QUERY(Loot!$A$2:$G$904,""Select G where A = '""&amp; $E227 &amp;""' AND D &gt;= ""&amp; Q227  &amp;"" LIMIT 1""),)"),"")</f>
        <v/>
      </c>
      <c r="H227" s="61"/>
      <c r="I227" s="32" t="str">
        <f ca="1">IFERROR(__xludf.DUMMYFUNCTION("if($F227&gt;=2,QUERY(Loot!$A$2:$G$904,""Select G where A = '""&amp; $E227 &amp;""' AND D &gt;= ""&amp; R227 &amp;"" LIMIT 1""),)"),"")</f>
        <v/>
      </c>
      <c r="J227" s="61"/>
      <c r="K227" s="32" t="str">
        <f ca="1">IFERROR(__xludf.DUMMYFUNCTION("if($F227&gt;=3,QUERY(Loot!$A$2:$G$904,""Select G where A = '""&amp; $E227 &amp;""' AND D &gt;= ""&amp; S227  &amp;"" LIMIT 1""),)"),"")</f>
        <v/>
      </c>
      <c r="L227" s="61"/>
      <c r="M227" s="32" t="str">
        <f ca="1">IFERROR(__xludf.DUMMYFUNCTION("if($F227&gt;=4,QUERY(Loot!$A$2:$G$904,""Select G where A = '""&amp; $E227 &amp;""' AND D &gt;= ""&amp;T227 &amp;"" LIMIT 1""),)"),"")</f>
        <v/>
      </c>
      <c r="N227" s="61"/>
      <c r="O227" s="32" t="str">
        <f ca="1">IFERROR(__xludf.DUMMYFUNCTION("if($F227&gt;=5,QUERY(Loot!$A$2:$G$904,""Select G where A = '""&amp; $E227 &amp;""' AND D &gt;= ""&amp; U227 &amp;"" LIMIT 1""),)"),"")</f>
        <v/>
      </c>
      <c r="P227" s="61"/>
      <c r="Q227" s="62">
        <v>0.61854751369683947</v>
      </c>
      <c r="R227" s="63">
        <v>0.28051459606377005</v>
      </c>
      <c r="S227" s="63">
        <v>0.61935511988455572</v>
      </c>
      <c r="T227" s="63">
        <v>0.32321924209279829</v>
      </c>
      <c r="U227" s="63">
        <v>0.47506317084172667</v>
      </c>
    </row>
    <row r="228" spans="1:21" ht="16.2">
      <c r="A228" s="5">
        <f t="shared" ca="1" si="1"/>
        <v>227</v>
      </c>
      <c r="B228" s="5" t="str">
        <f ca="1">IFERROR(__xludf.DUMMYFUNCTION("if(ISBLANK(C228),,QUERY(MD!A229:D1227,""Select A where C = '""&amp; C228 &amp;""'""))"),"")</f>
        <v/>
      </c>
      <c r="C228" s="5"/>
      <c r="D228" s="5" t="str">
        <f ca="1">IFERROR(__xludf.DUMMYFUNCTION("if(ISBLANK(C228),,QUERY(MD!$A$2:$D$1000,""Select D where C = '""&amp; C228 &amp;""'""))"),"")</f>
        <v/>
      </c>
      <c r="E228" s="59" t="str">
        <f ca="1">IFERROR(__xludf.DUMMYFUNCTION("if(ISBLANK(C228),,QUERY(MD!$A$2:$D$1000,""Select B where C = '""&amp; C228 &amp;""'""))"),"")</f>
        <v/>
      </c>
      <c r="F228" s="5">
        <f t="shared" ca="1" si="0"/>
        <v>0</v>
      </c>
      <c r="G228" s="32" t="str">
        <f ca="1">IFERROR(__xludf.DUMMYFUNCTION("if($F228&gt;=1,QUERY(Loot!$A$2:$G$904,""Select G where A = '""&amp; $E228 &amp;""' AND D &gt;= ""&amp; Q228  &amp;"" LIMIT 1""),)"),"")</f>
        <v/>
      </c>
      <c r="H228" s="61"/>
      <c r="I228" s="32" t="str">
        <f ca="1">IFERROR(__xludf.DUMMYFUNCTION("if($F228&gt;=2,QUERY(Loot!$A$2:$G$904,""Select G where A = '""&amp; $E228 &amp;""' AND D &gt;= ""&amp; R228 &amp;"" LIMIT 1""),)"),"")</f>
        <v/>
      </c>
      <c r="J228" s="61"/>
      <c r="K228" s="32" t="str">
        <f ca="1">IFERROR(__xludf.DUMMYFUNCTION("if($F228&gt;=3,QUERY(Loot!$A$2:$G$904,""Select G where A = '""&amp; $E228 &amp;""' AND D &gt;= ""&amp; S228  &amp;"" LIMIT 1""),)"),"")</f>
        <v/>
      </c>
      <c r="L228" s="61"/>
      <c r="M228" s="32" t="str">
        <f ca="1">IFERROR(__xludf.DUMMYFUNCTION("if($F228&gt;=4,QUERY(Loot!$A$2:$G$904,""Select G where A = '""&amp; $E228 &amp;""' AND D &gt;= ""&amp;T228 &amp;"" LIMIT 1""),)"),"")</f>
        <v/>
      </c>
      <c r="N228" s="61"/>
      <c r="O228" s="32" t="str">
        <f ca="1">IFERROR(__xludf.DUMMYFUNCTION("if($F228&gt;=5,QUERY(Loot!$A$2:$G$904,""Select G where A = '""&amp; $E228 &amp;""' AND D &gt;= ""&amp; U228 &amp;"" LIMIT 1""),)"),"")</f>
        <v/>
      </c>
      <c r="P228" s="61"/>
      <c r="Q228" s="62">
        <v>0.77830979967236125</v>
      </c>
      <c r="R228" s="63">
        <v>6.1130340756859747E-3</v>
      </c>
      <c r="S228" s="63">
        <v>0.29297962945273415</v>
      </c>
      <c r="T228" s="63">
        <v>0.6508039136298498</v>
      </c>
      <c r="U228" s="63">
        <v>0.13236478186881273</v>
      </c>
    </row>
    <row r="229" spans="1:21" ht="16.2">
      <c r="A229" s="5">
        <f t="shared" ca="1" si="1"/>
        <v>228</v>
      </c>
      <c r="B229" s="5" t="str">
        <f ca="1">IFERROR(__xludf.DUMMYFUNCTION("if(ISBLANK(C229),,QUERY(MD!A230:D1228,""Select A where C = '""&amp; C229 &amp;""'""))"),"")</f>
        <v/>
      </c>
      <c r="C229" s="5"/>
      <c r="D229" s="5" t="str">
        <f ca="1">IFERROR(__xludf.DUMMYFUNCTION("if(ISBLANK(C229),,QUERY(MD!$A$2:$D$1000,""Select D where C = '""&amp; C229 &amp;""'""))"),"")</f>
        <v/>
      </c>
      <c r="E229" s="59" t="str">
        <f ca="1">IFERROR(__xludf.DUMMYFUNCTION("if(ISBLANK(C229),,QUERY(MD!$A$2:$D$1000,""Select B where C = '""&amp; C229 &amp;""'""))"),"")</f>
        <v/>
      </c>
      <c r="F229" s="5">
        <f t="shared" ca="1" si="0"/>
        <v>0</v>
      </c>
      <c r="G229" s="32" t="str">
        <f ca="1">IFERROR(__xludf.DUMMYFUNCTION("if($F229&gt;=1,QUERY(Loot!$A$2:$G$904,""Select G where A = '""&amp; $E229 &amp;""' AND D &gt;= ""&amp; Q229  &amp;"" LIMIT 1""),)"),"")</f>
        <v/>
      </c>
      <c r="H229" s="61"/>
      <c r="I229" s="32" t="str">
        <f ca="1">IFERROR(__xludf.DUMMYFUNCTION("if($F229&gt;=2,QUERY(Loot!$A$2:$G$904,""Select G where A = '""&amp; $E229 &amp;""' AND D &gt;= ""&amp; R229 &amp;"" LIMIT 1""),)"),"")</f>
        <v/>
      </c>
      <c r="J229" s="61"/>
      <c r="K229" s="32" t="str">
        <f ca="1">IFERROR(__xludf.DUMMYFUNCTION("if($F229&gt;=3,QUERY(Loot!$A$2:$G$904,""Select G where A = '""&amp; $E229 &amp;""' AND D &gt;= ""&amp; S229  &amp;"" LIMIT 1""),)"),"")</f>
        <v/>
      </c>
      <c r="L229" s="61"/>
      <c r="M229" s="32" t="str">
        <f ca="1">IFERROR(__xludf.DUMMYFUNCTION("if($F229&gt;=4,QUERY(Loot!$A$2:$G$904,""Select G where A = '""&amp; $E229 &amp;""' AND D &gt;= ""&amp;T229 &amp;"" LIMIT 1""),)"),"")</f>
        <v/>
      </c>
      <c r="N229" s="61"/>
      <c r="O229" s="32" t="str">
        <f ca="1">IFERROR(__xludf.DUMMYFUNCTION("if($F229&gt;=5,QUERY(Loot!$A$2:$G$904,""Select G where A = '""&amp; $E229 &amp;""' AND D &gt;= ""&amp; U229 &amp;"" LIMIT 1""),)"),"")</f>
        <v/>
      </c>
      <c r="P229" s="61"/>
      <c r="Q229" s="62">
        <v>0.90921564211484929</v>
      </c>
      <c r="R229" s="63">
        <v>0.81758192666864882</v>
      </c>
      <c r="S229" s="63">
        <v>3.2627222506072862E-2</v>
      </c>
      <c r="T229" s="63">
        <v>0.8541705381518323</v>
      </c>
      <c r="U229" s="63">
        <v>0.23411042801096116</v>
      </c>
    </row>
    <row r="230" spans="1:21" ht="16.2">
      <c r="A230" s="5">
        <f t="shared" ca="1" si="1"/>
        <v>229</v>
      </c>
      <c r="B230" s="5" t="str">
        <f ca="1">IFERROR(__xludf.DUMMYFUNCTION("if(ISBLANK(C230),,QUERY(MD!A231:D1229,""Select A where C = '""&amp; C230 &amp;""'""))"),"")</f>
        <v/>
      </c>
      <c r="C230" s="5"/>
      <c r="D230" s="5" t="str">
        <f ca="1">IFERROR(__xludf.DUMMYFUNCTION("if(ISBLANK(C230),,QUERY(MD!$A$2:$D$1000,""Select D where C = '""&amp; C230 &amp;""'""))"),"")</f>
        <v/>
      </c>
      <c r="E230" s="59" t="str">
        <f ca="1">IFERROR(__xludf.DUMMYFUNCTION("if(ISBLANK(C230),,QUERY(MD!$A$2:$D$1000,""Select B where C = '""&amp; C230 &amp;""'""))"),"")</f>
        <v/>
      </c>
      <c r="F230" s="5">
        <f t="shared" ca="1" si="0"/>
        <v>0</v>
      </c>
      <c r="G230" s="32" t="str">
        <f ca="1">IFERROR(__xludf.DUMMYFUNCTION("if($F230&gt;=1,QUERY(Loot!$A$2:$G$904,""Select G where A = '""&amp; $E230 &amp;""' AND D &gt;= ""&amp; Q230  &amp;"" LIMIT 1""),)"),"")</f>
        <v/>
      </c>
      <c r="H230" s="61"/>
      <c r="I230" s="32" t="str">
        <f ca="1">IFERROR(__xludf.DUMMYFUNCTION("if($F230&gt;=2,QUERY(Loot!$A$2:$G$904,""Select G where A = '""&amp; $E230 &amp;""' AND D &gt;= ""&amp; R230 &amp;"" LIMIT 1""),)"),"")</f>
        <v/>
      </c>
      <c r="J230" s="61"/>
      <c r="K230" s="32" t="str">
        <f ca="1">IFERROR(__xludf.DUMMYFUNCTION("if($F230&gt;=3,QUERY(Loot!$A$2:$G$904,""Select G where A = '""&amp; $E230 &amp;""' AND D &gt;= ""&amp; S230  &amp;"" LIMIT 1""),)"),"")</f>
        <v/>
      </c>
      <c r="L230" s="61"/>
      <c r="M230" s="32" t="str">
        <f ca="1">IFERROR(__xludf.DUMMYFUNCTION("if($F230&gt;=4,QUERY(Loot!$A$2:$G$904,""Select G where A = '""&amp; $E230 &amp;""' AND D &gt;= ""&amp;T230 &amp;"" LIMIT 1""),)"),"")</f>
        <v/>
      </c>
      <c r="N230" s="61"/>
      <c r="O230" s="32" t="str">
        <f ca="1">IFERROR(__xludf.DUMMYFUNCTION("if($F230&gt;=5,QUERY(Loot!$A$2:$G$904,""Select G where A = '""&amp; $E230 &amp;""' AND D &gt;= ""&amp; U230 &amp;"" LIMIT 1""),)"),"")</f>
        <v/>
      </c>
      <c r="P230" s="61"/>
      <c r="Q230" s="62">
        <v>0.73513614009373496</v>
      </c>
      <c r="R230" s="63">
        <v>0.80453164789022147</v>
      </c>
      <c r="S230" s="63">
        <v>0.70144002498434255</v>
      </c>
      <c r="T230" s="63">
        <v>0.41733937792280018</v>
      </c>
      <c r="U230" s="63">
        <v>0.95945969997286806</v>
      </c>
    </row>
    <row r="231" spans="1:21" ht="16.2">
      <c r="A231" s="5">
        <f t="shared" ca="1" si="1"/>
        <v>230</v>
      </c>
      <c r="B231" s="5" t="str">
        <f ca="1">IFERROR(__xludf.DUMMYFUNCTION("if(ISBLANK(C231),,QUERY(MD!A232:D1230,""Select A where C = '""&amp; C231 &amp;""'""))"),"")</f>
        <v/>
      </c>
      <c r="C231" s="5"/>
      <c r="D231" s="5" t="str">
        <f ca="1">IFERROR(__xludf.DUMMYFUNCTION("if(ISBLANK(C231),,QUERY(MD!$A$2:$D$1000,""Select D where C = '""&amp; C231 &amp;""'""))"),"")</f>
        <v/>
      </c>
      <c r="E231" s="59" t="str">
        <f ca="1">IFERROR(__xludf.DUMMYFUNCTION("if(ISBLANK(C231),,QUERY(MD!$A$2:$D$1000,""Select B where C = '""&amp; C231 &amp;""'""))"),"")</f>
        <v/>
      </c>
      <c r="F231" s="5">
        <f t="shared" ca="1" si="0"/>
        <v>0</v>
      </c>
      <c r="G231" s="32" t="str">
        <f ca="1">IFERROR(__xludf.DUMMYFUNCTION("if($F231&gt;=1,QUERY(Loot!$A$2:$G$904,""Select G where A = '""&amp; $E231 &amp;""' AND D &gt;= ""&amp; Q231  &amp;"" LIMIT 1""),)"),"")</f>
        <v/>
      </c>
      <c r="H231" s="61"/>
      <c r="I231" s="32" t="str">
        <f ca="1">IFERROR(__xludf.DUMMYFUNCTION("if($F231&gt;=2,QUERY(Loot!$A$2:$G$904,""Select G where A = '""&amp; $E231 &amp;""' AND D &gt;= ""&amp; R231 &amp;"" LIMIT 1""),)"),"")</f>
        <v/>
      </c>
      <c r="J231" s="61"/>
      <c r="K231" s="32" t="str">
        <f ca="1">IFERROR(__xludf.DUMMYFUNCTION("if($F231&gt;=3,QUERY(Loot!$A$2:$G$904,""Select G where A = '""&amp; $E231 &amp;""' AND D &gt;= ""&amp; S231  &amp;"" LIMIT 1""),)"),"")</f>
        <v/>
      </c>
      <c r="L231" s="61"/>
      <c r="M231" s="32" t="str">
        <f ca="1">IFERROR(__xludf.DUMMYFUNCTION("if($F231&gt;=4,QUERY(Loot!$A$2:$G$904,""Select G where A = '""&amp; $E231 &amp;""' AND D &gt;= ""&amp;T231 &amp;"" LIMIT 1""),)"),"")</f>
        <v/>
      </c>
      <c r="N231" s="61"/>
      <c r="O231" s="32" t="str">
        <f ca="1">IFERROR(__xludf.DUMMYFUNCTION("if($F231&gt;=5,QUERY(Loot!$A$2:$G$904,""Select G where A = '""&amp; $E231 &amp;""' AND D &gt;= ""&amp; U231 &amp;"" LIMIT 1""),)"),"")</f>
        <v/>
      </c>
      <c r="P231" s="61"/>
      <c r="Q231" s="62">
        <v>0.35403465144539836</v>
      </c>
      <c r="R231" s="63">
        <v>0.36250418440092724</v>
      </c>
      <c r="S231" s="63">
        <v>2.9534337569470326E-2</v>
      </c>
      <c r="T231" s="63">
        <v>0.65038620866804597</v>
      </c>
      <c r="U231" s="63">
        <v>0.8327795976737794</v>
      </c>
    </row>
    <row r="232" spans="1:21" ht="16.2">
      <c r="A232" s="5">
        <f t="shared" ca="1" si="1"/>
        <v>231</v>
      </c>
      <c r="B232" s="5" t="str">
        <f ca="1">IFERROR(__xludf.DUMMYFUNCTION("if(ISBLANK(C232),,QUERY(MD!A233:D1231,""Select A where C = '""&amp; C232 &amp;""'""))"),"")</f>
        <v/>
      </c>
      <c r="C232" s="5"/>
      <c r="D232" s="5" t="str">
        <f ca="1">IFERROR(__xludf.DUMMYFUNCTION("if(ISBLANK(C232),,QUERY(MD!$A$2:$D$1000,""Select D where C = '""&amp; C232 &amp;""'""))"),"")</f>
        <v/>
      </c>
      <c r="E232" s="59" t="str">
        <f ca="1">IFERROR(__xludf.DUMMYFUNCTION("if(ISBLANK(C232),,QUERY(MD!$A$2:$D$1000,""Select B where C = '""&amp; C232 &amp;""'""))"),"")</f>
        <v/>
      </c>
      <c r="F232" s="5">
        <f t="shared" ca="1" si="0"/>
        <v>0</v>
      </c>
      <c r="G232" s="32" t="str">
        <f ca="1">IFERROR(__xludf.DUMMYFUNCTION("if($F232&gt;=1,QUERY(Loot!$A$2:$G$904,""Select G where A = '""&amp; $E232 &amp;""' AND D &gt;= ""&amp; Q232  &amp;"" LIMIT 1""),)"),"")</f>
        <v/>
      </c>
      <c r="H232" s="61"/>
      <c r="I232" s="32" t="str">
        <f ca="1">IFERROR(__xludf.DUMMYFUNCTION("if($F232&gt;=2,QUERY(Loot!$A$2:$G$904,""Select G where A = '""&amp; $E232 &amp;""' AND D &gt;= ""&amp; R232 &amp;"" LIMIT 1""),)"),"")</f>
        <v/>
      </c>
      <c r="J232" s="61"/>
      <c r="K232" s="32" t="str">
        <f ca="1">IFERROR(__xludf.DUMMYFUNCTION("if($F232&gt;=3,QUERY(Loot!$A$2:$G$904,""Select G where A = '""&amp; $E232 &amp;""' AND D &gt;= ""&amp; S232  &amp;"" LIMIT 1""),)"),"")</f>
        <v/>
      </c>
      <c r="L232" s="61"/>
      <c r="M232" s="32" t="str">
        <f ca="1">IFERROR(__xludf.DUMMYFUNCTION("if($F232&gt;=4,QUERY(Loot!$A$2:$G$904,""Select G where A = '""&amp; $E232 &amp;""' AND D &gt;= ""&amp;T232 &amp;"" LIMIT 1""),)"),"")</f>
        <v/>
      </c>
      <c r="N232" s="61"/>
      <c r="O232" s="32" t="str">
        <f ca="1">IFERROR(__xludf.DUMMYFUNCTION("if($F232&gt;=5,QUERY(Loot!$A$2:$G$904,""Select G where A = '""&amp; $E232 &amp;""' AND D &gt;= ""&amp; U232 &amp;"" LIMIT 1""),)"),"")</f>
        <v/>
      </c>
      <c r="P232" s="61"/>
      <c r="Q232" s="62">
        <v>0.66143044192398714</v>
      </c>
      <c r="R232" s="63">
        <v>0.10357971329242677</v>
      </c>
      <c r="S232" s="63">
        <v>0.95486088665062097</v>
      </c>
      <c r="T232" s="63">
        <v>0.86310162688430625</v>
      </c>
      <c r="U232" s="63">
        <v>0.7436107841370635</v>
      </c>
    </row>
    <row r="233" spans="1:21" ht="16.2">
      <c r="A233" s="5">
        <f t="shared" ca="1" si="1"/>
        <v>232</v>
      </c>
      <c r="B233" s="5" t="str">
        <f ca="1">IFERROR(__xludf.DUMMYFUNCTION("if(ISBLANK(C233),,QUERY(MD!A234:D1232,""Select A where C = '""&amp; C233 &amp;""'""))"),"")</f>
        <v/>
      </c>
      <c r="C233" s="5"/>
      <c r="D233" s="5" t="str">
        <f ca="1">IFERROR(__xludf.DUMMYFUNCTION("if(ISBLANK(C233),,QUERY(MD!$A$2:$D$1000,""Select D where C = '""&amp; C233 &amp;""'""))"),"")</f>
        <v/>
      </c>
      <c r="E233" s="59" t="str">
        <f ca="1">IFERROR(__xludf.DUMMYFUNCTION("if(ISBLANK(C233),,QUERY(MD!$A$2:$D$1000,""Select B where C = '""&amp; C233 &amp;""'""))"),"")</f>
        <v/>
      </c>
      <c r="F233" s="5">
        <f t="shared" ca="1" si="0"/>
        <v>0</v>
      </c>
      <c r="G233" s="32" t="str">
        <f ca="1">IFERROR(__xludf.DUMMYFUNCTION("if($F233&gt;=1,QUERY(Loot!$A$2:$G$904,""Select G where A = '""&amp; $E233 &amp;""' AND D &gt;= ""&amp; Q233  &amp;"" LIMIT 1""),)"),"")</f>
        <v/>
      </c>
      <c r="H233" s="61"/>
      <c r="I233" s="32" t="str">
        <f ca="1">IFERROR(__xludf.DUMMYFUNCTION("if($F233&gt;=2,QUERY(Loot!$A$2:$G$904,""Select G where A = '""&amp; $E233 &amp;""' AND D &gt;= ""&amp; R233 &amp;"" LIMIT 1""),)"),"")</f>
        <v/>
      </c>
      <c r="J233" s="61"/>
      <c r="K233" s="32" t="str">
        <f ca="1">IFERROR(__xludf.DUMMYFUNCTION("if($F233&gt;=3,QUERY(Loot!$A$2:$G$904,""Select G where A = '""&amp; $E233 &amp;""' AND D &gt;= ""&amp; S233  &amp;"" LIMIT 1""),)"),"")</f>
        <v/>
      </c>
      <c r="L233" s="61"/>
      <c r="M233" s="32" t="str">
        <f ca="1">IFERROR(__xludf.DUMMYFUNCTION("if($F233&gt;=4,QUERY(Loot!$A$2:$G$904,""Select G where A = '""&amp; $E233 &amp;""' AND D &gt;= ""&amp;T233 &amp;"" LIMIT 1""),)"),"")</f>
        <v/>
      </c>
      <c r="N233" s="61"/>
      <c r="O233" s="32" t="str">
        <f ca="1">IFERROR(__xludf.DUMMYFUNCTION("if($F233&gt;=5,QUERY(Loot!$A$2:$G$904,""Select G where A = '""&amp; $E233 &amp;""' AND D &gt;= ""&amp; U233 &amp;"" LIMIT 1""),)"),"")</f>
        <v/>
      </c>
      <c r="P233" s="61"/>
      <c r="Q233" s="62">
        <v>0.41453551192860005</v>
      </c>
      <c r="R233" s="63">
        <v>0.18921415284590093</v>
      </c>
      <c r="S233" s="63">
        <v>0.9848212280623293</v>
      </c>
      <c r="T233" s="63">
        <v>0.96816856993919365</v>
      </c>
      <c r="U233" s="63">
        <v>0.43107767664407515</v>
      </c>
    </row>
    <row r="234" spans="1:21" ht="16.2">
      <c r="A234" s="5">
        <f t="shared" ca="1" si="1"/>
        <v>233</v>
      </c>
      <c r="B234" s="5" t="str">
        <f ca="1">IFERROR(__xludf.DUMMYFUNCTION("if(ISBLANK(C234),,QUERY(MD!A235:D1233,""Select A where C = '""&amp; C234 &amp;""'""))"),"")</f>
        <v/>
      </c>
      <c r="C234" s="5"/>
      <c r="D234" s="5" t="str">
        <f ca="1">IFERROR(__xludf.DUMMYFUNCTION("if(ISBLANK(C234),,QUERY(MD!$A$2:$D$1000,""Select D where C = '""&amp; C234 &amp;""'""))"),"")</f>
        <v/>
      </c>
      <c r="E234" s="59" t="str">
        <f ca="1">IFERROR(__xludf.DUMMYFUNCTION("if(ISBLANK(C234),,QUERY(MD!$A$2:$D$1000,""Select B where C = '""&amp; C234 &amp;""'""))"),"")</f>
        <v/>
      </c>
      <c r="F234" s="5">
        <f t="shared" ca="1" si="0"/>
        <v>0</v>
      </c>
      <c r="G234" s="32" t="str">
        <f ca="1">IFERROR(__xludf.DUMMYFUNCTION("if($F234&gt;=1,QUERY(Loot!$A$2:$G$904,""Select G where A = '""&amp; $E234 &amp;""' AND D &gt;= ""&amp; Q234  &amp;"" LIMIT 1""),)"),"")</f>
        <v/>
      </c>
      <c r="H234" s="61"/>
      <c r="I234" s="32" t="str">
        <f ca="1">IFERROR(__xludf.DUMMYFUNCTION("if($F234&gt;=2,QUERY(Loot!$A$2:$G$904,""Select G where A = '""&amp; $E234 &amp;""' AND D &gt;= ""&amp; R234 &amp;"" LIMIT 1""),)"),"")</f>
        <v/>
      </c>
      <c r="J234" s="61"/>
      <c r="K234" s="32" t="str">
        <f ca="1">IFERROR(__xludf.DUMMYFUNCTION("if($F234&gt;=3,QUERY(Loot!$A$2:$G$904,""Select G where A = '""&amp; $E234 &amp;""' AND D &gt;= ""&amp; S234  &amp;"" LIMIT 1""),)"),"")</f>
        <v/>
      </c>
      <c r="L234" s="61"/>
      <c r="M234" s="32" t="str">
        <f ca="1">IFERROR(__xludf.DUMMYFUNCTION("if($F234&gt;=4,QUERY(Loot!$A$2:$G$904,""Select G where A = '""&amp; $E234 &amp;""' AND D &gt;= ""&amp;T234 &amp;"" LIMIT 1""),)"),"")</f>
        <v/>
      </c>
      <c r="N234" s="61"/>
      <c r="O234" s="32" t="str">
        <f ca="1">IFERROR(__xludf.DUMMYFUNCTION("if($F234&gt;=5,QUERY(Loot!$A$2:$G$904,""Select G where A = '""&amp; $E234 &amp;""' AND D &gt;= ""&amp; U234 &amp;"" LIMIT 1""),)"),"")</f>
        <v/>
      </c>
      <c r="P234" s="61"/>
      <c r="Q234" s="62">
        <v>0.6152320575859016</v>
      </c>
      <c r="R234" s="63">
        <v>0.5703234088093303</v>
      </c>
      <c r="S234" s="63">
        <v>0.78138421407485126</v>
      </c>
      <c r="T234" s="63">
        <v>0.68262696429626724</v>
      </c>
      <c r="U234" s="63">
        <v>2.6118348529321156E-2</v>
      </c>
    </row>
    <row r="235" spans="1:21" ht="16.2">
      <c r="A235" s="5">
        <f t="shared" ca="1" si="1"/>
        <v>234</v>
      </c>
      <c r="B235" s="5" t="str">
        <f ca="1">IFERROR(__xludf.DUMMYFUNCTION("if(ISBLANK(C235),,QUERY(MD!A236:D1234,""Select A where C = '""&amp; C235 &amp;""'""))"),"")</f>
        <v/>
      </c>
      <c r="C235" s="5"/>
      <c r="D235" s="5" t="str">
        <f ca="1">IFERROR(__xludf.DUMMYFUNCTION("if(ISBLANK(C235),,QUERY(MD!$A$2:$D$1000,""Select D where C = '""&amp; C235 &amp;""'""))"),"")</f>
        <v/>
      </c>
      <c r="E235" s="59" t="str">
        <f ca="1">IFERROR(__xludf.DUMMYFUNCTION("if(ISBLANK(C235),,QUERY(MD!$A$2:$D$1000,""Select B where C = '""&amp; C235 &amp;""'""))"),"")</f>
        <v/>
      </c>
      <c r="F235" s="5">
        <f t="shared" ca="1" si="0"/>
        <v>0</v>
      </c>
      <c r="G235" s="32" t="str">
        <f ca="1">IFERROR(__xludf.DUMMYFUNCTION("if($F235&gt;=1,QUERY(Loot!$A$2:$G$904,""Select G where A = '""&amp; $E235 &amp;""' AND D &gt;= ""&amp; Q235  &amp;"" LIMIT 1""),)"),"")</f>
        <v/>
      </c>
      <c r="H235" s="61"/>
      <c r="I235" s="32" t="str">
        <f ca="1">IFERROR(__xludf.DUMMYFUNCTION("if($F235&gt;=2,QUERY(Loot!$A$2:$G$904,""Select G where A = '""&amp; $E235 &amp;""' AND D &gt;= ""&amp; R235 &amp;"" LIMIT 1""),)"),"")</f>
        <v/>
      </c>
      <c r="J235" s="61"/>
      <c r="K235" s="32" t="str">
        <f ca="1">IFERROR(__xludf.DUMMYFUNCTION("if($F235&gt;=3,QUERY(Loot!$A$2:$G$904,""Select G where A = '""&amp; $E235 &amp;""' AND D &gt;= ""&amp; S235  &amp;"" LIMIT 1""),)"),"")</f>
        <v/>
      </c>
      <c r="L235" s="61"/>
      <c r="M235" s="32" t="str">
        <f ca="1">IFERROR(__xludf.DUMMYFUNCTION("if($F235&gt;=4,QUERY(Loot!$A$2:$G$904,""Select G where A = '""&amp; $E235 &amp;""' AND D &gt;= ""&amp;T235 &amp;"" LIMIT 1""),)"),"")</f>
        <v/>
      </c>
      <c r="N235" s="61"/>
      <c r="O235" s="32" t="str">
        <f ca="1">IFERROR(__xludf.DUMMYFUNCTION("if($F235&gt;=5,QUERY(Loot!$A$2:$G$904,""Select G where A = '""&amp; $E235 &amp;""' AND D &gt;= ""&amp; U235 &amp;"" LIMIT 1""),)"),"")</f>
        <v/>
      </c>
      <c r="P235" s="61"/>
      <c r="Q235" s="62">
        <v>0.10101935480555324</v>
      </c>
      <c r="R235" s="63">
        <v>0.67444199347068445</v>
      </c>
      <c r="S235" s="63">
        <v>0.84200153928616517</v>
      </c>
      <c r="T235" s="63">
        <v>0.20316977429862593</v>
      </c>
      <c r="U235" s="63">
        <v>0.89457644278435655</v>
      </c>
    </row>
    <row r="236" spans="1:21" ht="16.2">
      <c r="A236" s="5">
        <f t="shared" ca="1" si="1"/>
        <v>235</v>
      </c>
      <c r="B236" s="5" t="str">
        <f ca="1">IFERROR(__xludf.DUMMYFUNCTION("if(ISBLANK(C236),,QUERY(MD!A237:D1235,""Select A where C = '""&amp; C236 &amp;""'""))"),"")</f>
        <v/>
      </c>
      <c r="C236" s="5"/>
      <c r="D236" s="5" t="str">
        <f ca="1">IFERROR(__xludf.DUMMYFUNCTION("if(ISBLANK(C236),,QUERY(MD!$A$2:$D$1000,""Select D where C = '""&amp; C236 &amp;""'""))"),"")</f>
        <v/>
      </c>
      <c r="E236" s="59" t="str">
        <f ca="1">IFERROR(__xludf.DUMMYFUNCTION("if(ISBLANK(C236),,QUERY(MD!$A$2:$D$1000,""Select B where C = '""&amp; C236 &amp;""'""))"),"")</f>
        <v/>
      </c>
      <c r="F236" s="5">
        <f t="shared" ca="1" si="0"/>
        <v>0</v>
      </c>
      <c r="G236" s="32" t="str">
        <f ca="1">IFERROR(__xludf.DUMMYFUNCTION("if($F236&gt;=1,QUERY(Loot!$A$2:$G$904,""Select G where A = '""&amp; $E236 &amp;""' AND D &gt;= ""&amp; Q236  &amp;"" LIMIT 1""),)"),"")</f>
        <v/>
      </c>
      <c r="H236" s="61"/>
      <c r="I236" s="32" t="str">
        <f ca="1">IFERROR(__xludf.DUMMYFUNCTION("if($F236&gt;=2,QUERY(Loot!$A$2:$G$904,""Select G where A = '""&amp; $E236 &amp;""' AND D &gt;= ""&amp; R236 &amp;"" LIMIT 1""),)"),"")</f>
        <v/>
      </c>
      <c r="J236" s="61"/>
      <c r="K236" s="32" t="str">
        <f ca="1">IFERROR(__xludf.DUMMYFUNCTION("if($F236&gt;=3,QUERY(Loot!$A$2:$G$904,""Select G where A = '""&amp; $E236 &amp;""' AND D &gt;= ""&amp; S236  &amp;"" LIMIT 1""),)"),"")</f>
        <v/>
      </c>
      <c r="L236" s="61"/>
      <c r="M236" s="32" t="str">
        <f ca="1">IFERROR(__xludf.DUMMYFUNCTION("if($F236&gt;=4,QUERY(Loot!$A$2:$G$904,""Select G where A = '""&amp; $E236 &amp;""' AND D &gt;= ""&amp;T236 &amp;"" LIMIT 1""),)"),"")</f>
        <v/>
      </c>
      <c r="N236" s="61"/>
      <c r="O236" s="32" t="str">
        <f ca="1">IFERROR(__xludf.DUMMYFUNCTION("if($F236&gt;=5,QUERY(Loot!$A$2:$G$904,""Select G where A = '""&amp; $E236 &amp;""' AND D &gt;= ""&amp; U236 &amp;"" LIMIT 1""),)"),"")</f>
        <v/>
      </c>
      <c r="P236" s="61"/>
      <c r="Q236" s="62">
        <v>0.43915145455614657</v>
      </c>
      <c r="R236" s="63">
        <v>0.91034253587047553</v>
      </c>
      <c r="S236" s="63">
        <v>0.92996274437887894</v>
      </c>
      <c r="T236" s="63">
        <v>0.59984192543382608</v>
      </c>
      <c r="U236" s="63">
        <v>0.32689839048961766</v>
      </c>
    </row>
    <row r="237" spans="1:21" ht="16.2">
      <c r="A237" s="5">
        <f t="shared" ca="1" si="1"/>
        <v>236</v>
      </c>
      <c r="B237" s="5" t="str">
        <f ca="1">IFERROR(__xludf.DUMMYFUNCTION("if(ISBLANK(C237),,QUERY(MD!A238:D1236,""Select A where C = '""&amp; C237 &amp;""'""))"),"")</f>
        <v/>
      </c>
      <c r="C237" s="5"/>
      <c r="D237" s="5" t="str">
        <f ca="1">IFERROR(__xludf.DUMMYFUNCTION("if(ISBLANK(C237),,QUERY(MD!$A$2:$D$1000,""Select D where C = '""&amp; C237 &amp;""'""))"),"")</f>
        <v/>
      </c>
      <c r="E237" s="59" t="str">
        <f ca="1">IFERROR(__xludf.DUMMYFUNCTION("if(ISBLANK(C237),,QUERY(MD!$A$2:$D$1000,""Select B where C = '""&amp; C237 &amp;""'""))"),"")</f>
        <v/>
      </c>
      <c r="F237" s="5">
        <f t="shared" ca="1" si="0"/>
        <v>0</v>
      </c>
      <c r="G237" s="32" t="str">
        <f ca="1">IFERROR(__xludf.DUMMYFUNCTION("if($F237&gt;=1,QUERY(Loot!$A$2:$G$904,""Select G where A = '""&amp; $E237 &amp;""' AND D &gt;= ""&amp; Q237  &amp;"" LIMIT 1""),)"),"")</f>
        <v/>
      </c>
      <c r="H237" s="61"/>
      <c r="I237" s="32" t="str">
        <f ca="1">IFERROR(__xludf.DUMMYFUNCTION("if($F237&gt;=2,QUERY(Loot!$A$2:$G$904,""Select G where A = '""&amp; $E237 &amp;""' AND D &gt;= ""&amp; R237 &amp;"" LIMIT 1""),)"),"")</f>
        <v/>
      </c>
      <c r="J237" s="61"/>
      <c r="K237" s="32" t="str">
        <f ca="1">IFERROR(__xludf.DUMMYFUNCTION("if($F237&gt;=3,QUERY(Loot!$A$2:$G$904,""Select G where A = '""&amp; $E237 &amp;""' AND D &gt;= ""&amp; S237  &amp;"" LIMIT 1""),)"),"")</f>
        <v/>
      </c>
      <c r="L237" s="61"/>
      <c r="M237" s="32" t="str">
        <f ca="1">IFERROR(__xludf.DUMMYFUNCTION("if($F237&gt;=4,QUERY(Loot!$A$2:$G$904,""Select G where A = '""&amp; $E237 &amp;""' AND D &gt;= ""&amp;T237 &amp;"" LIMIT 1""),)"),"")</f>
        <v/>
      </c>
      <c r="N237" s="61"/>
      <c r="O237" s="32" t="str">
        <f ca="1">IFERROR(__xludf.DUMMYFUNCTION("if($F237&gt;=5,QUERY(Loot!$A$2:$G$904,""Select G where A = '""&amp; $E237 &amp;""' AND D &gt;= ""&amp; U237 &amp;"" LIMIT 1""),)"),"")</f>
        <v/>
      </c>
      <c r="P237" s="61"/>
      <c r="Q237" s="62">
        <v>0.5092260655263855</v>
      </c>
      <c r="R237" s="63">
        <v>0.65807603955063021</v>
      </c>
      <c r="S237" s="63">
        <v>3.5174217755333803E-2</v>
      </c>
      <c r="T237" s="63">
        <v>0.38893236437449064</v>
      </c>
      <c r="U237" s="63">
        <v>0.43428868373415264</v>
      </c>
    </row>
    <row r="238" spans="1:21" ht="16.2">
      <c r="A238" s="5">
        <f t="shared" ca="1" si="1"/>
        <v>237</v>
      </c>
      <c r="B238" s="5" t="str">
        <f ca="1">IFERROR(__xludf.DUMMYFUNCTION("if(ISBLANK(C238),,QUERY(MD!A239:D1237,""Select A where C = '""&amp; C238 &amp;""'""))"),"")</f>
        <v/>
      </c>
      <c r="C238" s="5"/>
      <c r="D238" s="5" t="str">
        <f ca="1">IFERROR(__xludf.DUMMYFUNCTION("if(ISBLANK(C238),,QUERY(MD!$A$2:$D$1000,""Select D where C = '""&amp; C238 &amp;""'""))"),"")</f>
        <v/>
      </c>
      <c r="E238" s="59" t="str">
        <f ca="1">IFERROR(__xludf.DUMMYFUNCTION("if(ISBLANK(C238),,QUERY(MD!$A$2:$D$1000,""Select B where C = '""&amp; C238 &amp;""'""))"),"")</f>
        <v/>
      </c>
      <c r="F238" s="5">
        <f t="shared" ca="1" si="0"/>
        <v>0</v>
      </c>
      <c r="G238" s="32" t="str">
        <f ca="1">IFERROR(__xludf.DUMMYFUNCTION("if($F238&gt;=1,QUERY(Loot!$A$2:$G$904,""Select G where A = '""&amp; $E238 &amp;""' AND D &gt;= ""&amp; Q238  &amp;"" LIMIT 1""),)"),"")</f>
        <v/>
      </c>
      <c r="H238" s="61"/>
      <c r="I238" s="32" t="str">
        <f ca="1">IFERROR(__xludf.DUMMYFUNCTION("if($F238&gt;=2,QUERY(Loot!$A$2:$G$904,""Select G where A = '""&amp; $E238 &amp;""' AND D &gt;= ""&amp; R238 &amp;"" LIMIT 1""),)"),"")</f>
        <v/>
      </c>
      <c r="J238" s="61"/>
      <c r="K238" s="32" t="str">
        <f ca="1">IFERROR(__xludf.DUMMYFUNCTION("if($F238&gt;=3,QUERY(Loot!$A$2:$G$904,""Select G where A = '""&amp; $E238 &amp;""' AND D &gt;= ""&amp; S238  &amp;"" LIMIT 1""),)"),"")</f>
        <v/>
      </c>
      <c r="L238" s="61"/>
      <c r="M238" s="32" t="str">
        <f ca="1">IFERROR(__xludf.DUMMYFUNCTION("if($F238&gt;=4,QUERY(Loot!$A$2:$G$904,""Select G where A = '""&amp; $E238 &amp;""' AND D &gt;= ""&amp;T238 &amp;"" LIMIT 1""),)"),"")</f>
        <v/>
      </c>
      <c r="N238" s="61"/>
      <c r="O238" s="32" t="str">
        <f ca="1">IFERROR(__xludf.DUMMYFUNCTION("if($F238&gt;=5,QUERY(Loot!$A$2:$G$904,""Select G where A = '""&amp; $E238 &amp;""' AND D &gt;= ""&amp; U238 &amp;"" LIMIT 1""),)"),"")</f>
        <v/>
      </c>
      <c r="P238" s="61"/>
      <c r="Q238" s="62">
        <v>0.10685051735964124</v>
      </c>
      <c r="R238" s="63">
        <v>0.23593486801826724</v>
      </c>
      <c r="S238" s="63">
        <v>0.23019886252062227</v>
      </c>
      <c r="T238" s="63">
        <v>0.30535829742971055</v>
      </c>
      <c r="U238" s="63">
        <v>4.9414082568578932E-2</v>
      </c>
    </row>
    <row r="239" spans="1:21" ht="16.2">
      <c r="A239" s="5">
        <f t="shared" ca="1" si="1"/>
        <v>238</v>
      </c>
      <c r="B239" s="5" t="str">
        <f ca="1">IFERROR(__xludf.DUMMYFUNCTION("if(ISBLANK(C239),,QUERY(MD!A240:D1238,""Select A where C = '""&amp; C239 &amp;""'""))"),"")</f>
        <v/>
      </c>
      <c r="C239" s="5"/>
      <c r="D239" s="5" t="str">
        <f ca="1">IFERROR(__xludf.DUMMYFUNCTION("if(ISBLANK(C239),,QUERY(MD!$A$2:$D$1000,""Select D where C = '""&amp; C239 &amp;""'""))"),"")</f>
        <v/>
      </c>
      <c r="E239" s="59" t="str">
        <f ca="1">IFERROR(__xludf.DUMMYFUNCTION("if(ISBLANK(C239),,QUERY(MD!$A$2:$D$1000,""Select B where C = '""&amp; C239 &amp;""'""))"),"")</f>
        <v/>
      </c>
      <c r="F239" s="5">
        <f t="shared" ca="1" si="0"/>
        <v>0</v>
      </c>
      <c r="G239" s="32" t="str">
        <f ca="1">IFERROR(__xludf.DUMMYFUNCTION("if($F239&gt;=1,QUERY(Loot!$A$2:$G$904,""Select G where A = '""&amp; $E239 &amp;""' AND D &gt;= ""&amp; Q239  &amp;"" LIMIT 1""),)"),"")</f>
        <v/>
      </c>
      <c r="H239" s="61"/>
      <c r="I239" s="32" t="str">
        <f ca="1">IFERROR(__xludf.DUMMYFUNCTION("if($F239&gt;=2,QUERY(Loot!$A$2:$G$904,""Select G where A = '""&amp; $E239 &amp;""' AND D &gt;= ""&amp; R239 &amp;"" LIMIT 1""),)"),"")</f>
        <v/>
      </c>
      <c r="J239" s="61"/>
      <c r="K239" s="32" t="str">
        <f ca="1">IFERROR(__xludf.DUMMYFUNCTION("if($F239&gt;=3,QUERY(Loot!$A$2:$G$904,""Select G where A = '""&amp; $E239 &amp;""' AND D &gt;= ""&amp; S239  &amp;"" LIMIT 1""),)"),"")</f>
        <v/>
      </c>
      <c r="L239" s="61"/>
      <c r="M239" s="32" t="str">
        <f ca="1">IFERROR(__xludf.DUMMYFUNCTION("if($F239&gt;=4,QUERY(Loot!$A$2:$G$904,""Select G where A = '""&amp; $E239 &amp;""' AND D &gt;= ""&amp;T239 &amp;"" LIMIT 1""),)"),"")</f>
        <v/>
      </c>
      <c r="N239" s="61"/>
      <c r="O239" s="32" t="str">
        <f ca="1">IFERROR(__xludf.DUMMYFUNCTION("if($F239&gt;=5,QUERY(Loot!$A$2:$G$904,""Select G where A = '""&amp; $E239 &amp;""' AND D &gt;= ""&amp; U239 &amp;"" LIMIT 1""),)"),"")</f>
        <v/>
      </c>
      <c r="P239" s="61"/>
      <c r="Q239" s="62">
        <v>0.89818366472954958</v>
      </c>
      <c r="R239" s="63">
        <v>0.64427587560281319</v>
      </c>
      <c r="S239" s="63">
        <v>0.35999552271851587</v>
      </c>
      <c r="T239" s="63">
        <v>0.28817577687062468</v>
      </c>
      <c r="U239" s="63">
        <v>0.75815821363124136</v>
      </c>
    </row>
    <row r="240" spans="1:21" ht="16.2">
      <c r="A240" s="5">
        <f t="shared" ca="1" si="1"/>
        <v>239</v>
      </c>
      <c r="B240" s="5" t="str">
        <f ca="1">IFERROR(__xludf.DUMMYFUNCTION("if(ISBLANK(C240),,QUERY(MD!A241:D1239,""Select A where C = '""&amp; C240 &amp;""'""))"),"")</f>
        <v/>
      </c>
      <c r="C240" s="5"/>
      <c r="D240" s="5" t="str">
        <f ca="1">IFERROR(__xludf.DUMMYFUNCTION("if(ISBLANK(C240),,QUERY(MD!$A$2:$D$1000,""Select D where C = '""&amp; C240 &amp;""'""))"),"")</f>
        <v/>
      </c>
      <c r="E240" s="59" t="str">
        <f ca="1">IFERROR(__xludf.DUMMYFUNCTION("if(ISBLANK(C240),,QUERY(MD!$A$2:$D$1000,""Select B where C = '""&amp; C240 &amp;""'""))"),"")</f>
        <v/>
      </c>
      <c r="F240" s="5">
        <f t="shared" ca="1" si="0"/>
        <v>0</v>
      </c>
      <c r="G240" s="32" t="str">
        <f ca="1">IFERROR(__xludf.DUMMYFUNCTION("if($F240&gt;=1,QUERY(Loot!$A$2:$G$904,""Select G where A = '""&amp; $E240 &amp;""' AND D &gt;= ""&amp; Q240  &amp;"" LIMIT 1""),)"),"")</f>
        <v/>
      </c>
      <c r="H240" s="61"/>
      <c r="I240" s="32" t="str">
        <f ca="1">IFERROR(__xludf.DUMMYFUNCTION("if($F240&gt;=2,QUERY(Loot!$A$2:$G$904,""Select G where A = '""&amp; $E240 &amp;""' AND D &gt;= ""&amp; R240 &amp;"" LIMIT 1""),)"),"")</f>
        <v/>
      </c>
      <c r="J240" s="61"/>
      <c r="K240" s="32" t="str">
        <f ca="1">IFERROR(__xludf.DUMMYFUNCTION("if($F240&gt;=3,QUERY(Loot!$A$2:$G$904,""Select G where A = '""&amp; $E240 &amp;""' AND D &gt;= ""&amp; S240  &amp;"" LIMIT 1""),)"),"")</f>
        <v/>
      </c>
      <c r="L240" s="61"/>
      <c r="M240" s="32" t="str">
        <f ca="1">IFERROR(__xludf.DUMMYFUNCTION("if($F240&gt;=4,QUERY(Loot!$A$2:$G$904,""Select G where A = '""&amp; $E240 &amp;""' AND D &gt;= ""&amp;T240 &amp;"" LIMIT 1""),)"),"")</f>
        <v/>
      </c>
      <c r="N240" s="61"/>
      <c r="O240" s="32" t="str">
        <f ca="1">IFERROR(__xludf.DUMMYFUNCTION("if($F240&gt;=5,QUERY(Loot!$A$2:$G$904,""Select G where A = '""&amp; $E240 &amp;""' AND D &gt;= ""&amp; U240 &amp;"" LIMIT 1""),)"),"")</f>
        <v/>
      </c>
      <c r="P240" s="61"/>
      <c r="Q240" s="62">
        <v>0.11357633973616166</v>
      </c>
      <c r="R240" s="63">
        <v>0.18051548143604035</v>
      </c>
      <c r="S240" s="63">
        <v>0.35522026165088705</v>
      </c>
      <c r="T240" s="63">
        <v>0.83090787956223944</v>
      </c>
      <c r="U240" s="63">
        <v>0.95682936442359656</v>
      </c>
    </row>
    <row r="241" spans="1:21" ht="16.2">
      <c r="A241" s="5">
        <f t="shared" ca="1" si="1"/>
        <v>240</v>
      </c>
      <c r="B241" s="5" t="str">
        <f ca="1">IFERROR(__xludf.DUMMYFUNCTION("if(ISBLANK(C241),,QUERY(MD!A242:D1240,""Select A where C = '""&amp; C241 &amp;""'""))"),"")</f>
        <v/>
      </c>
      <c r="C241" s="5"/>
      <c r="D241" s="5" t="str">
        <f ca="1">IFERROR(__xludf.DUMMYFUNCTION("if(ISBLANK(C241),,QUERY(MD!$A$2:$D$1000,""Select D where C = '""&amp; C241 &amp;""'""))"),"")</f>
        <v/>
      </c>
      <c r="E241" s="59" t="str">
        <f ca="1">IFERROR(__xludf.DUMMYFUNCTION("if(ISBLANK(C241),,QUERY(MD!$A$2:$D$1000,""Select B where C = '""&amp; C241 &amp;""'""))"),"")</f>
        <v/>
      </c>
      <c r="F241" s="5">
        <f t="shared" ca="1" si="0"/>
        <v>0</v>
      </c>
      <c r="G241" s="32" t="str">
        <f ca="1">IFERROR(__xludf.DUMMYFUNCTION("if($F241&gt;=1,QUERY(Loot!$A$2:$G$904,""Select G where A = '""&amp; $E241 &amp;""' AND D &gt;= ""&amp; Q241  &amp;"" LIMIT 1""),)"),"")</f>
        <v/>
      </c>
      <c r="H241" s="61"/>
      <c r="I241" s="32" t="str">
        <f ca="1">IFERROR(__xludf.DUMMYFUNCTION("if($F241&gt;=2,QUERY(Loot!$A$2:$G$904,""Select G where A = '""&amp; $E241 &amp;""' AND D &gt;= ""&amp; R241 &amp;"" LIMIT 1""),)"),"")</f>
        <v/>
      </c>
      <c r="J241" s="61"/>
      <c r="K241" s="32" t="str">
        <f ca="1">IFERROR(__xludf.DUMMYFUNCTION("if($F241&gt;=3,QUERY(Loot!$A$2:$G$904,""Select G where A = '""&amp; $E241 &amp;""' AND D &gt;= ""&amp; S241  &amp;"" LIMIT 1""),)"),"")</f>
        <v/>
      </c>
      <c r="L241" s="61"/>
      <c r="M241" s="32" t="str">
        <f ca="1">IFERROR(__xludf.DUMMYFUNCTION("if($F241&gt;=4,QUERY(Loot!$A$2:$G$904,""Select G where A = '""&amp; $E241 &amp;""' AND D &gt;= ""&amp;T241 &amp;"" LIMIT 1""),)"),"")</f>
        <v/>
      </c>
      <c r="N241" s="61"/>
      <c r="O241" s="32" t="str">
        <f ca="1">IFERROR(__xludf.DUMMYFUNCTION("if($F241&gt;=5,QUERY(Loot!$A$2:$G$904,""Select G where A = '""&amp; $E241 &amp;""' AND D &gt;= ""&amp; U241 &amp;"" LIMIT 1""),)"),"")</f>
        <v/>
      </c>
      <c r="P241" s="61"/>
      <c r="Q241" s="62">
        <v>0.41897340831324792</v>
      </c>
      <c r="R241" s="63">
        <v>0.78650992910196016</v>
      </c>
      <c r="S241" s="63">
        <v>0.84649214932065253</v>
      </c>
      <c r="T241" s="63">
        <v>0.98495476845220298</v>
      </c>
      <c r="U241" s="63">
        <v>0.3902618951649649</v>
      </c>
    </row>
    <row r="242" spans="1:21" ht="16.2">
      <c r="A242" s="5">
        <f t="shared" ca="1" si="1"/>
        <v>241</v>
      </c>
      <c r="B242" s="5" t="str">
        <f ca="1">IFERROR(__xludf.DUMMYFUNCTION("if(ISBLANK(C242),,QUERY(MD!A243:D1241,""Select A where C = '""&amp; C242 &amp;""'""))"),"")</f>
        <v/>
      </c>
      <c r="C242" s="5"/>
      <c r="D242" s="5" t="str">
        <f ca="1">IFERROR(__xludf.DUMMYFUNCTION("if(ISBLANK(C242),,QUERY(MD!$A$2:$D$1000,""Select D where C = '""&amp; C242 &amp;""'""))"),"")</f>
        <v/>
      </c>
      <c r="E242" s="59" t="str">
        <f ca="1">IFERROR(__xludf.DUMMYFUNCTION("if(ISBLANK(C242),,QUERY(MD!$A$2:$D$1000,""Select B where C = '""&amp; C242 &amp;""'""))"),"")</f>
        <v/>
      </c>
      <c r="F242" s="5">
        <f t="shared" ca="1" si="0"/>
        <v>0</v>
      </c>
      <c r="G242" s="32" t="str">
        <f ca="1">IFERROR(__xludf.DUMMYFUNCTION("if($F242&gt;=1,QUERY(Loot!$A$2:$G$904,""Select G where A = '""&amp; $E242 &amp;""' AND D &gt;= ""&amp; Q242  &amp;"" LIMIT 1""),)"),"")</f>
        <v/>
      </c>
      <c r="H242" s="61"/>
      <c r="I242" s="32" t="str">
        <f ca="1">IFERROR(__xludf.DUMMYFUNCTION("if($F242&gt;=2,QUERY(Loot!$A$2:$G$904,""Select G where A = '""&amp; $E242 &amp;""' AND D &gt;= ""&amp; R242 &amp;"" LIMIT 1""),)"),"")</f>
        <v/>
      </c>
      <c r="J242" s="61"/>
      <c r="K242" s="32" t="str">
        <f ca="1">IFERROR(__xludf.DUMMYFUNCTION("if($F242&gt;=3,QUERY(Loot!$A$2:$G$904,""Select G where A = '""&amp; $E242 &amp;""' AND D &gt;= ""&amp; S242  &amp;"" LIMIT 1""),)"),"")</f>
        <v/>
      </c>
      <c r="L242" s="61"/>
      <c r="M242" s="32" t="str">
        <f ca="1">IFERROR(__xludf.DUMMYFUNCTION("if($F242&gt;=4,QUERY(Loot!$A$2:$G$904,""Select G where A = '""&amp; $E242 &amp;""' AND D &gt;= ""&amp;T242 &amp;"" LIMIT 1""),)"),"")</f>
        <v/>
      </c>
      <c r="N242" s="61"/>
      <c r="O242" s="32" t="str">
        <f ca="1">IFERROR(__xludf.DUMMYFUNCTION("if($F242&gt;=5,QUERY(Loot!$A$2:$G$904,""Select G where A = '""&amp; $E242 &amp;""' AND D &gt;= ""&amp; U242 &amp;"" LIMIT 1""),)"),"")</f>
        <v/>
      </c>
      <c r="P242" s="61"/>
      <c r="Q242" s="62">
        <v>0.91352873491840247</v>
      </c>
      <c r="R242" s="63">
        <v>0.66844155285503382</v>
      </c>
      <c r="S242" s="63">
        <v>0.88679695930818814</v>
      </c>
      <c r="T242" s="63">
        <v>0.74038145573517944</v>
      </c>
      <c r="U242" s="63">
        <v>0.99197855703003179</v>
      </c>
    </row>
    <row r="243" spans="1:21" ht="16.2">
      <c r="A243" s="5">
        <f t="shared" ca="1" si="1"/>
        <v>242</v>
      </c>
      <c r="B243" s="5" t="str">
        <f ca="1">IFERROR(__xludf.DUMMYFUNCTION("if(ISBLANK(C243),,QUERY(MD!A244:D1242,""Select A where C = '""&amp; C243 &amp;""'""))"),"")</f>
        <v/>
      </c>
      <c r="C243" s="5"/>
      <c r="D243" s="5" t="str">
        <f ca="1">IFERROR(__xludf.DUMMYFUNCTION("if(ISBLANK(C243),,QUERY(MD!$A$2:$D$1000,""Select D where C = '""&amp; C243 &amp;""'""))"),"")</f>
        <v/>
      </c>
      <c r="E243" s="59" t="str">
        <f ca="1">IFERROR(__xludf.DUMMYFUNCTION("if(ISBLANK(C243),,QUERY(MD!$A$2:$D$1000,""Select B where C = '""&amp; C243 &amp;""'""))"),"")</f>
        <v/>
      </c>
      <c r="F243" s="5">
        <f t="shared" ca="1" si="0"/>
        <v>0</v>
      </c>
      <c r="G243" s="32" t="str">
        <f ca="1">IFERROR(__xludf.DUMMYFUNCTION("if($F243&gt;=1,QUERY(Loot!$A$2:$G$904,""Select G where A = '""&amp; $E243 &amp;""' AND D &gt;= ""&amp; Q243  &amp;"" LIMIT 1""),)"),"")</f>
        <v/>
      </c>
      <c r="H243" s="61"/>
      <c r="I243" s="32" t="str">
        <f ca="1">IFERROR(__xludf.DUMMYFUNCTION("if($F243&gt;=2,QUERY(Loot!$A$2:$G$904,""Select G where A = '""&amp; $E243 &amp;""' AND D &gt;= ""&amp; R243 &amp;"" LIMIT 1""),)"),"")</f>
        <v/>
      </c>
      <c r="J243" s="61"/>
      <c r="K243" s="32" t="str">
        <f ca="1">IFERROR(__xludf.DUMMYFUNCTION("if($F243&gt;=3,QUERY(Loot!$A$2:$G$904,""Select G where A = '""&amp; $E243 &amp;""' AND D &gt;= ""&amp; S243  &amp;"" LIMIT 1""),)"),"")</f>
        <v/>
      </c>
      <c r="L243" s="61"/>
      <c r="M243" s="32" t="str">
        <f ca="1">IFERROR(__xludf.DUMMYFUNCTION("if($F243&gt;=4,QUERY(Loot!$A$2:$G$904,""Select G where A = '""&amp; $E243 &amp;""' AND D &gt;= ""&amp;T243 &amp;"" LIMIT 1""),)"),"")</f>
        <v/>
      </c>
      <c r="N243" s="61"/>
      <c r="O243" s="32" t="str">
        <f ca="1">IFERROR(__xludf.DUMMYFUNCTION("if($F243&gt;=5,QUERY(Loot!$A$2:$G$904,""Select G where A = '""&amp; $E243 &amp;""' AND D &gt;= ""&amp; U243 &amp;"" LIMIT 1""),)"),"")</f>
        <v/>
      </c>
      <c r="P243" s="61"/>
      <c r="Q243" s="62">
        <v>0.95671860415421806</v>
      </c>
      <c r="R243" s="63">
        <v>0.20778577555709921</v>
      </c>
      <c r="S243" s="63">
        <v>0.26511047219309847</v>
      </c>
      <c r="T243" s="63">
        <v>0.1443648384381484</v>
      </c>
      <c r="U243" s="63">
        <v>0.8462056576088125</v>
      </c>
    </row>
    <row r="244" spans="1:21" ht="16.2">
      <c r="A244" s="5">
        <f t="shared" ca="1" si="1"/>
        <v>243</v>
      </c>
      <c r="B244" s="5" t="str">
        <f ca="1">IFERROR(__xludf.DUMMYFUNCTION("if(ISBLANK(C244),,QUERY(MD!A245:D1243,""Select A where C = '""&amp; C244 &amp;""'""))"),"")</f>
        <v/>
      </c>
      <c r="C244" s="5"/>
      <c r="D244" s="5" t="str">
        <f ca="1">IFERROR(__xludf.DUMMYFUNCTION("if(ISBLANK(C244),,QUERY(MD!$A$2:$D$1000,""Select D where C = '""&amp; C244 &amp;""'""))"),"")</f>
        <v/>
      </c>
      <c r="E244" s="59" t="str">
        <f ca="1">IFERROR(__xludf.DUMMYFUNCTION("if(ISBLANK(C244),,QUERY(MD!$A$2:$D$1000,""Select B where C = '""&amp; C244 &amp;""'""))"),"")</f>
        <v/>
      </c>
      <c r="F244" s="5">
        <f t="shared" ca="1" si="0"/>
        <v>0</v>
      </c>
      <c r="G244" s="32" t="str">
        <f ca="1">IFERROR(__xludf.DUMMYFUNCTION("if($F244&gt;=1,QUERY(Loot!$A$2:$G$904,""Select G where A = '""&amp; $E244 &amp;""' AND D &gt;= ""&amp; Q244  &amp;"" LIMIT 1""),)"),"")</f>
        <v/>
      </c>
      <c r="H244" s="61"/>
      <c r="I244" s="32" t="str">
        <f ca="1">IFERROR(__xludf.DUMMYFUNCTION("if($F244&gt;=2,QUERY(Loot!$A$2:$G$904,""Select G where A = '""&amp; $E244 &amp;""' AND D &gt;= ""&amp; R244 &amp;"" LIMIT 1""),)"),"")</f>
        <v/>
      </c>
      <c r="J244" s="61"/>
      <c r="K244" s="32" t="str">
        <f ca="1">IFERROR(__xludf.DUMMYFUNCTION("if($F244&gt;=3,QUERY(Loot!$A$2:$G$904,""Select G where A = '""&amp; $E244 &amp;""' AND D &gt;= ""&amp; S244  &amp;"" LIMIT 1""),)"),"")</f>
        <v/>
      </c>
      <c r="L244" s="61"/>
      <c r="M244" s="32" t="str">
        <f ca="1">IFERROR(__xludf.DUMMYFUNCTION("if($F244&gt;=4,QUERY(Loot!$A$2:$G$904,""Select G where A = '""&amp; $E244 &amp;""' AND D &gt;= ""&amp;T244 &amp;"" LIMIT 1""),)"),"")</f>
        <v/>
      </c>
      <c r="N244" s="61"/>
      <c r="O244" s="32" t="str">
        <f ca="1">IFERROR(__xludf.DUMMYFUNCTION("if($F244&gt;=5,QUERY(Loot!$A$2:$G$904,""Select G where A = '""&amp; $E244 &amp;""' AND D &gt;= ""&amp; U244 &amp;"" LIMIT 1""),)"),"")</f>
        <v/>
      </c>
      <c r="P244" s="61"/>
      <c r="Q244" s="62">
        <v>0.70744349039039078</v>
      </c>
      <c r="R244" s="63">
        <v>0.35371396185879522</v>
      </c>
      <c r="S244" s="63">
        <v>3.1785539453498601E-2</v>
      </c>
      <c r="T244" s="63">
        <v>0.95178516670809621</v>
      </c>
      <c r="U244" s="63">
        <v>8.5758763072820043E-2</v>
      </c>
    </row>
    <row r="245" spans="1:21" ht="16.2">
      <c r="A245" s="5">
        <f t="shared" ca="1" si="1"/>
        <v>244</v>
      </c>
      <c r="B245" s="5" t="str">
        <f ca="1">IFERROR(__xludf.DUMMYFUNCTION("if(ISBLANK(C245),,QUERY(MD!A246:D1244,""Select A where C = '""&amp; C245 &amp;""'""))"),"")</f>
        <v/>
      </c>
      <c r="C245" s="5"/>
      <c r="D245" s="5" t="str">
        <f ca="1">IFERROR(__xludf.DUMMYFUNCTION("if(ISBLANK(C245),,QUERY(MD!$A$2:$D$1000,""Select D where C = '""&amp; C245 &amp;""'""))"),"")</f>
        <v/>
      </c>
      <c r="E245" s="59" t="str">
        <f ca="1">IFERROR(__xludf.DUMMYFUNCTION("if(ISBLANK(C245),,QUERY(MD!$A$2:$D$1000,""Select B where C = '""&amp; C245 &amp;""'""))"),"")</f>
        <v/>
      </c>
      <c r="F245" s="5">
        <f t="shared" ca="1" si="0"/>
        <v>0</v>
      </c>
      <c r="G245" s="32" t="str">
        <f ca="1">IFERROR(__xludf.DUMMYFUNCTION("if($F245&gt;=1,QUERY(Loot!$A$2:$G$904,""Select G where A = '""&amp; $E245 &amp;""' AND D &gt;= ""&amp; Q245  &amp;"" LIMIT 1""),)"),"")</f>
        <v/>
      </c>
      <c r="H245" s="61"/>
      <c r="I245" s="32" t="str">
        <f ca="1">IFERROR(__xludf.DUMMYFUNCTION("if($F245&gt;=2,QUERY(Loot!$A$2:$G$904,""Select G where A = '""&amp; $E245 &amp;""' AND D &gt;= ""&amp; R245 &amp;"" LIMIT 1""),)"),"")</f>
        <v/>
      </c>
      <c r="J245" s="61"/>
      <c r="K245" s="32" t="str">
        <f ca="1">IFERROR(__xludf.DUMMYFUNCTION("if($F245&gt;=3,QUERY(Loot!$A$2:$G$904,""Select G where A = '""&amp; $E245 &amp;""' AND D &gt;= ""&amp; S245  &amp;"" LIMIT 1""),)"),"")</f>
        <v/>
      </c>
      <c r="L245" s="61"/>
      <c r="M245" s="32" t="str">
        <f ca="1">IFERROR(__xludf.DUMMYFUNCTION("if($F245&gt;=4,QUERY(Loot!$A$2:$G$904,""Select G where A = '""&amp; $E245 &amp;""' AND D &gt;= ""&amp;T245 &amp;"" LIMIT 1""),)"),"")</f>
        <v/>
      </c>
      <c r="N245" s="61"/>
      <c r="O245" s="32" t="str">
        <f ca="1">IFERROR(__xludf.DUMMYFUNCTION("if($F245&gt;=5,QUERY(Loot!$A$2:$G$904,""Select G where A = '""&amp; $E245 &amp;""' AND D &gt;= ""&amp; U245 &amp;"" LIMIT 1""),)"),"")</f>
        <v/>
      </c>
      <c r="P245" s="61"/>
      <c r="Q245" s="62">
        <v>0.46299572236116382</v>
      </c>
      <c r="R245" s="63">
        <v>0.38996366601767574</v>
      </c>
      <c r="S245" s="63">
        <v>0.58236709963263555</v>
      </c>
      <c r="T245" s="63">
        <v>0.55379984883160183</v>
      </c>
      <c r="U245" s="63">
        <v>0.48891123687896854</v>
      </c>
    </row>
    <row r="246" spans="1:21" ht="16.2">
      <c r="A246" s="5">
        <f t="shared" ca="1" si="1"/>
        <v>245</v>
      </c>
      <c r="B246" s="5" t="str">
        <f ca="1">IFERROR(__xludf.DUMMYFUNCTION("if(ISBLANK(C246),,QUERY(MD!A247:D1245,""Select A where C = '""&amp; C246 &amp;""'""))"),"")</f>
        <v/>
      </c>
      <c r="C246" s="5"/>
      <c r="D246" s="5" t="str">
        <f ca="1">IFERROR(__xludf.DUMMYFUNCTION("if(ISBLANK(C246),,QUERY(MD!$A$2:$D$1000,""Select D where C = '""&amp; C246 &amp;""'""))"),"")</f>
        <v/>
      </c>
      <c r="E246" s="59" t="str">
        <f ca="1">IFERROR(__xludf.DUMMYFUNCTION("if(ISBLANK(C246),,QUERY(MD!$A$2:$D$1000,""Select B where C = '""&amp; C246 &amp;""'""))"),"")</f>
        <v/>
      </c>
      <c r="F246" s="5">
        <f t="shared" ca="1" si="0"/>
        <v>0</v>
      </c>
      <c r="G246" s="32" t="str">
        <f ca="1">IFERROR(__xludf.DUMMYFUNCTION("if($F246&gt;=1,QUERY(Loot!$A$2:$G$904,""Select G where A = '""&amp; $E246 &amp;""' AND D &gt;= ""&amp; Q246  &amp;"" LIMIT 1""),)"),"")</f>
        <v/>
      </c>
      <c r="H246" s="61"/>
      <c r="I246" s="32" t="str">
        <f ca="1">IFERROR(__xludf.DUMMYFUNCTION("if($F246&gt;=2,QUERY(Loot!$A$2:$G$904,""Select G where A = '""&amp; $E246 &amp;""' AND D &gt;= ""&amp; R246 &amp;"" LIMIT 1""),)"),"")</f>
        <v/>
      </c>
      <c r="J246" s="61"/>
      <c r="K246" s="32" t="str">
        <f ca="1">IFERROR(__xludf.DUMMYFUNCTION("if($F246&gt;=3,QUERY(Loot!$A$2:$G$904,""Select G where A = '""&amp; $E246 &amp;""' AND D &gt;= ""&amp; S246  &amp;"" LIMIT 1""),)"),"")</f>
        <v/>
      </c>
      <c r="L246" s="61"/>
      <c r="M246" s="32" t="str">
        <f ca="1">IFERROR(__xludf.DUMMYFUNCTION("if($F246&gt;=4,QUERY(Loot!$A$2:$G$904,""Select G where A = '""&amp; $E246 &amp;""' AND D &gt;= ""&amp;T246 &amp;"" LIMIT 1""),)"),"")</f>
        <v/>
      </c>
      <c r="N246" s="61"/>
      <c r="O246" s="32" t="str">
        <f ca="1">IFERROR(__xludf.DUMMYFUNCTION("if($F246&gt;=5,QUERY(Loot!$A$2:$G$904,""Select G where A = '""&amp; $E246 &amp;""' AND D &gt;= ""&amp; U246 &amp;"" LIMIT 1""),)"),"")</f>
        <v/>
      </c>
      <c r="P246" s="61"/>
      <c r="Q246" s="62">
        <v>0.56554004841362671</v>
      </c>
      <c r="R246" s="63">
        <v>0.64875736123914929</v>
      </c>
      <c r="S246" s="63">
        <v>0.49054082190663462</v>
      </c>
      <c r="T246" s="63">
        <v>0.89612403166078747</v>
      </c>
      <c r="U246" s="63">
        <v>0.97086997616384119</v>
      </c>
    </row>
    <row r="247" spans="1:21" ht="16.2">
      <c r="A247" s="5">
        <f t="shared" ca="1" si="1"/>
        <v>246</v>
      </c>
      <c r="B247" s="5" t="str">
        <f ca="1">IFERROR(__xludf.DUMMYFUNCTION("if(ISBLANK(C247),,QUERY(MD!A248:D1246,""Select A where C = '""&amp; C247 &amp;""'""))"),"")</f>
        <v/>
      </c>
      <c r="C247" s="5"/>
      <c r="D247" s="5" t="str">
        <f ca="1">IFERROR(__xludf.DUMMYFUNCTION("if(ISBLANK(C247),,QUERY(MD!$A$2:$D$1000,""Select D where C = '""&amp; C247 &amp;""'""))"),"")</f>
        <v/>
      </c>
      <c r="E247" s="59" t="str">
        <f ca="1">IFERROR(__xludf.DUMMYFUNCTION("if(ISBLANK(C247),,QUERY(MD!$A$2:$D$1000,""Select B where C = '""&amp; C247 &amp;""'""))"),"")</f>
        <v/>
      </c>
      <c r="F247" s="5">
        <f t="shared" ca="1" si="0"/>
        <v>0</v>
      </c>
      <c r="G247" s="32" t="str">
        <f ca="1">IFERROR(__xludf.DUMMYFUNCTION("if($F247&gt;=1,QUERY(Loot!$A$2:$G$904,""Select G where A = '""&amp; $E247 &amp;""' AND D &gt;= ""&amp; Q247  &amp;"" LIMIT 1""),)"),"")</f>
        <v/>
      </c>
      <c r="H247" s="61"/>
      <c r="I247" s="32" t="str">
        <f ca="1">IFERROR(__xludf.DUMMYFUNCTION("if($F247&gt;=2,QUERY(Loot!$A$2:$G$904,""Select G where A = '""&amp; $E247 &amp;""' AND D &gt;= ""&amp; R247 &amp;"" LIMIT 1""),)"),"")</f>
        <v/>
      </c>
      <c r="J247" s="61"/>
      <c r="K247" s="32" t="str">
        <f ca="1">IFERROR(__xludf.DUMMYFUNCTION("if($F247&gt;=3,QUERY(Loot!$A$2:$G$904,""Select G where A = '""&amp; $E247 &amp;""' AND D &gt;= ""&amp; S247  &amp;"" LIMIT 1""),)"),"")</f>
        <v/>
      </c>
      <c r="L247" s="61"/>
      <c r="M247" s="32" t="str">
        <f ca="1">IFERROR(__xludf.DUMMYFUNCTION("if($F247&gt;=4,QUERY(Loot!$A$2:$G$904,""Select G where A = '""&amp; $E247 &amp;""' AND D &gt;= ""&amp;T247 &amp;"" LIMIT 1""),)"),"")</f>
        <v/>
      </c>
      <c r="N247" s="61"/>
      <c r="O247" s="32" t="str">
        <f ca="1">IFERROR(__xludf.DUMMYFUNCTION("if($F247&gt;=5,QUERY(Loot!$A$2:$G$904,""Select G where A = '""&amp; $E247 &amp;""' AND D &gt;= ""&amp; U247 &amp;"" LIMIT 1""),)"),"")</f>
        <v/>
      </c>
      <c r="P247" s="61"/>
      <c r="Q247" s="62">
        <v>0.38405003781351377</v>
      </c>
      <c r="R247" s="63">
        <v>0.47572646747321012</v>
      </c>
      <c r="S247" s="63">
        <v>0.99030101357491751</v>
      </c>
      <c r="T247" s="63">
        <v>0.9390433942709987</v>
      </c>
      <c r="U247" s="63">
        <v>0.66026544761586436</v>
      </c>
    </row>
    <row r="248" spans="1:21" ht="16.2">
      <c r="A248" s="5">
        <f t="shared" ca="1" si="1"/>
        <v>247</v>
      </c>
      <c r="B248" s="5" t="str">
        <f ca="1">IFERROR(__xludf.DUMMYFUNCTION("if(ISBLANK(C248),,QUERY(MD!A249:D1247,""Select A where C = '""&amp; C248 &amp;""'""))"),"")</f>
        <v/>
      </c>
      <c r="C248" s="5"/>
      <c r="D248" s="5" t="str">
        <f ca="1">IFERROR(__xludf.DUMMYFUNCTION("if(ISBLANK(C248),,QUERY(MD!$A$2:$D$1000,""Select D where C = '""&amp; C248 &amp;""'""))"),"")</f>
        <v/>
      </c>
      <c r="E248" s="59" t="str">
        <f ca="1">IFERROR(__xludf.DUMMYFUNCTION("if(ISBLANK(C248),,QUERY(MD!$A$2:$D$1000,""Select B where C = '""&amp; C248 &amp;""'""))"),"")</f>
        <v/>
      </c>
      <c r="F248" s="5">
        <f t="shared" ca="1" si="0"/>
        <v>0</v>
      </c>
      <c r="G248" s="32" t="str">
        <f ca="1">IFERROR(__xludf.DUMMYFUNCTION("if($F248&gt;=1,QUERY(Loot!$A$2:$G$904,""Select G where A = '""&amp; $E248 &amp;""' AND D &gt;= ""&amp; Q248  &amp;"" LIMIT 1""),)"),"")</f>
        <v/>
      </c>
      <c r="H248" s="61"/>
      <c r="I248" s="32" t="str">
        <f ca="1">IFERROR(__xludf.DUMMYFUNCTION("if($F248&gt;=2,QUERY(Loot!$A$2:$G$904,""Select G where A = '""&amp; $E248 &amp;""' AND D &gt;= ""&amp; R248 &amp;"" LIMIT 1""),)"),"")</f>
        <v/>
      </c>
      <c r="J248" s="61"/>
      <c r="K248" s="32" t="str">
        <f ca="1">IFERROR(__xludf.DUMMYFUNCTION("if($F248&gt;=3,QUERY(Loot!$A$2:$G$904,""Select G where A = '""&amp; $E248 &amp;""' AND D &gt;= ""&amp; S248  &amp;"" LIMIT 1""),)"),"")</f>
        <v/>
      </c>
      <c r="L248" s="61"/>
      <c r="M248" s="32" t="str">
        <f ca="1">IFERROR(__xludf.DUMMYFUNCTION("if($F248&gt;=4,QUERY(Loot!$A$2:$G$904,""Select G where A = '""&amp; $E248 &amp;""' AND D &gt;= ""&amp;T248 &amp;"" LIMIT 1""),)"),"")</f>
        <v/>
      </c>
      <c r="N248" s="61"/>
      <c r="O248" s="32" t="str">
        <f ca="1">IFERROR(__xludf.DUMMYFUNCTION("if($F248&gt;=5,QUERY(Loot!$A$2:$G$904,""Select G where A = '""&amp; $E248 &amp;""' AND D &gt;= ""&amp; U248 &amp;"" LIMIT 1""),)"),"")</f>
        <v/>
      </c>
      <c r="P248" s="61"/>
      <c r="Q248" s="62">
        <v>0.31770264896038014</v>
      </c>
      <c r="R248" s="63">
        <v>0.77360766789483126</v>
      </c>
      <c r="S248" s="63">
        <v>0.80557564483208122</v>
      </c>
      <c r="T248" s="63">
        <v>0.38124491452481546</v>
      </c>
      <c r="U248" s="63">
        <v>0.3054908331345525</v>
      </c>
    </row>
    <row r="249" spans="1:21" ht="16.2">
      <c r="A249" s="5">
        <f t="shared" ca="1" si="1"/>
        <v>248</v>
      </c>
      <c r="B249" s="5" t="str">
        <f ca="1">IFERROR(__xludf.DUMMYFUNCTION("if(ISBLANK(C249),,QUERY(MD!A250:D1248,""Select A where C = '""&amp; C249 &amp;""'""))"),"")</f>
        <v/>
      </c>
      <c r="C249" s="5"/>
      <c r="D249" s="5" t="str">
        <f ca="1">IFERROR(__xludf.DUMMYFUNCTION("if(ISBLANK(C249),,QUERY(MD!$A$2:$D$1000,""Select D where C = '""&amp; C249 &amp;""'""))"),"")</f>
        <v/>
      </c>
      <c r="E249" s="59" t="str">
        <f ca="1">IFERROR(__xludf.DUMMYFUNCTION("if(ISBLANK(C249),,QUERY(MD!$A$2:$D$1000,""Select B where C = '""&amp; C249 &amp;""'""))"),"")</f>
        <v/>
      </c>
      <c r="F249" s="5">
        <f t="shared" ca="1" si="0"/>
        <v>0</v>
      </c>
      <c r="G249" s="32" t="str">
        <f ca="1">IFERROR(__xludf.DUMMYFUNCTION("if($F249&gt;=1,QUERY(Loot!$A$2:$G$904,""Select G where A = '""&amp; $E249 &amp;""' AND D &gt;= ""&amp; Q249  &amp;"" LIMIT 1""),)"),"")</f>
        <v/>
      </c>
      <c r="H249" s="61"/>
      <c r="I249" s="32" t="str">
        <f ca="1">IFERROR(__xludf.DUMMYFUNCTION("if($F249&gt;=2,QUERY(Loot!$A$2:$G$904,""Select G where A = '""&amp; $E249 &amp;""' AND D &gt;= ""&amp; R249 &amp;"" LIMIT 1""),)"),"")</f>
        <v/>
      </c>
      <c r="J249" s="61"/>
      <c r="K249" s="32" t="str">
        <f ca="1">IFERROR(__xludf.DUMMYFUNCTION("if($F249&gt;=3,QUERY(Loot!$A$2:$G$904,""Select G where A = '""&amp; $E249 &amp;""' AND D &gt;= ""&amp; S249  &amp;"" LIMIT 1""),)"),"")</f>
        <v/>
      </c>
      <c r="L249" s="61"/>
      <c r="M249" s="32" t="str">
        <f ca="1">IFERROR(__xludf.DUMMYFUNCTION("if($F249&gt;=4,QUERY(Loot!$A$2:$G$904,""Select G where A = '""&amp; $E249 &amp;""' AND D &gt;= ""&amp;T249 &amp;"" LIMIT 1""),)"),"")</f>
        <v/>
      </c>
      <c r="N249" s="61"/>
      <c r="O249" s="32" t="str">
        <f ca="1">IFERROR(__xludf.DUMMYFUNCTION("if($F249&gt;=5,QUERY(Loot!$A$2:$G$904,""Select G where A = '""&amp; $E249 &amp;""' AND D &gt;= ""&amp; U249 &amp;"" LIMIT 1""),)"),"")</f>
        <v/>
      </c>
      <c r="P249" s="61"/>
      <c r="Q249" s="62">
        <v>0.41077663557198318</v>
      </c>
      <c r="R249" s="63">
        <v>0.16919126092448111</v>
      </c>
      <c r="S249" s="63">
        <v>0.15935231613959766</v>
      </c>
      <c r="T249" s="63">
        <v>0.80598680450135574</v>
      </c>
      <c r="U249" s="63">
        <v>0.45128874752457493</v>
      </c>
    </row>
    <row r="250" spans="1:21" ht="16.2">
      <c r="A250" s="5">
        <f t="shared" ca="1" si="1"/>
        <v>249</v>
      </c>
      <c r="B250" s="5" t="str">
        <f ca="1">IFERROR(__xludf.DUMMYFUNCTION("if(ISBLANK(C250),,QUERY(MD!A251:D1249,""Select A where C = '""&amp; C250 &amp;""'""))"),"")</f>
        <v/>
      </c>
      <c r="C250" s="5"/>
      <c r="D250" s="5" t="str">
        <f ca="1">IFERROR(__xludf.DUMMYFUNCTION("if(ISBLANK(C250),,QUERY(MD!$A$2:$D$1000,""Select D where C = '""&amp; C250 &amp;""'""))"),"")</f>
        <v/>
      </c>
      <c r="E250" s="59" t="str">
        <f ca="1">IFERROR(__xludf.DUMMYFUNCTION("if(ISBLANK(C250),,QUERY(MD!$A$2:$D$1000,""Select B where C = '""&amp; C250 &amp;""'""))"),"")</f>
        <v/>
      </c>
      <c r="F250" s="5">
        <f t="shared" ca="1" si="0"/>
        <v>0</v>
      </c>
      <c r="G250" s="32" t="str">
        <f ca="1">IFERROR(__xludf.DUMMYFUNCTION("if($F250&gt;=1,QUERY(Loot!$A$2:$G$904,""Select G where A = '""&amp; $E250 &amp;""' AND D &gt;= ""&amp; Q250  &amp;"" LIMIT 1""),)"),"")</f>
        <v/>
      </c>
      <c r="H250" s="61"/>
      <c r="I250" s="32" t="str">
        <f ca="1">IFERROR(__xludf.DUMMYFUNCTION("if($F250&gt;=2,QUERY(Loot!$A$2:$G$904,""Select G where A = '""&amp; $E250 &amp;""' AND D &gt;= ""&amp; R250 &amp;"" LIMIT 1""),)"),"")</f>
        <v/>
      </c>
      <c r="J250" s="61"/>
      <c r="K250" s="32" t="str">
        <f ca="1">IFERROR(__xludf.DUMMYFUNCTION("if($F250&gt;=3,QUERY(Loot!$A$2:$G$904,""Select G where A = '""&amp; $E250 &amp;""' AND D &gt;= ""&amp; S250  &amp;"" LIMIT 1""),)"),"")</f>
        <v/>
      </c>
      <c r="L250" s="61"/>
      <c r="M250" s="32" t="str">
        <f ca="1">IFERROR(__xludf.DUMMYFUNCTION("if($F250&gt;=4,QUERY(Loot!$A$2:$G$904,""Select G where A = '""&amp; $E250 &amp;""' AND D &gt;= ""&amp;T250 &amp;"" LIMIT 1""),)"),"")</f>
        <v/>
      </c>
      <c r="N250" s="61"/>
      <c r="O250" s="32" t="str">
        <f ca="1">IFERROR(__xludf.DUMMYFUNCTION("if($F250&gt;=5,QUERY(Loot!$A$2:$G$904,""Select G where A = '""&amp; $E250 &amp;""' AND D &gt;= ""&amp; U250 &amp;"" LIMIT 1""),)"),"")</f>
        <v/>
      </c>
      <c r="P250" s="61"/>
      <c r="Q250" s="62">
        <v>0.1913510353291541</v>
      </c>
      <c r="R250" s="63">
        <v>0.24232153819962132</v>
      </c>
      <c r="S250" s="63">
        <v>0.5000154214771747</v>
      </c>
      <c r="T250" s="63">
        <v>0.60261830422893203</v>
      </c>
      <c r="U250" s="63">
        <v>0.4826481290811635</v>
      </c>
    </row>
    <row r="251" spans="1:21" ht="16.2">
      <c r="A251" s="5">
        <f t="shared" ca="1" si="1"/>
        <v>250</v>
      </c>
      <c r="B251" s="5" t="str">
        <f ca="1">IFERROR(__xludf.DUMMYFUNCTION("if(ISBLANK(C251),,QUERY(MD!A252:D1250,""Select A where C = '""&amp; C251 &amp;""'""))"),"")</f>
        <v/>
      </c>
      <c r="C251" s="5"/>
      <c r="D251" s="5" t="str">
        <f ca="1">IFERROR(__xludf.DUMMYFUNCTION("if(ISBLANK(C251),,QUERY(MD!$A$2:$D$1000,""Select D where C = '""&amp; C251 &amp;""'""))"),"")</f>
        <v/>
      </c>
      <c r="E251" s="59" t="str">
        <f ca="1">IFERROR(__xludf.DUMMYFUNCTION("if(ISBLANK(C251),,QUERY(MD!$A$2:$D$1000,""Select B where C = '""&amp; C251 &amp;""'""))"),"")</f>
        <v/>
      </c>
      <c r="F251" s="5">
        <f t="shared" ca="1" si="0"/>
        <v>0</v>
      </c>
      <c r="G251" s="32" t="str">
        <f ca="1">IFERROR(__xludf.DUMMYFUNCTION("if($F251&gt;=1,QUERY(Loot!$A$2:$G$904,""Select G where A = '""&amp; $E251 &amp;""' AND D &gt;= ""&amp; Q251  &amp;"" LIMIT 1""),)"),"")</f>
        <v/>
      </c>
      <c r="H251" s="61"/>
      <c r="I251" s="32" t="str">
        <f ca="1">IFERROR(__xludf.DUMMYFUNCTION("if($F251&gt;=2,QUERY(Loot!$A$2:$G$904,""Select G where A = '""&amp; $E251 &amp;""' AND D &gt;= ""&amp; R251 &amp;"" LIMIT 1""),)"),"")</f>
        <v/>
      </c>
      <c r="J251" s="61"/>
      <c r="K251" s="32" t="str">
        <f ca="1">IFERROR(__xludf.DUMMYFUNCTION("if($F251&gt;=3,QUERY(Loot!$A$2:$G$904,""Select G where A = '""&amp; $E251 &amp;""' AND D &gt;= ""&amp; S251  &amp;"" LIMIT 1""),)"),"")</f>
        <v/>
      </c>
      <c r="L251" s="61"/>
      <c r="M251" s="32" t="str">
        <f ca="1">IFERROR(__xludf.DUMMYFUNCTION("if($F251&gt;=4,QUERY(Loot!$A$2:$G$904,""Select G where A = '""&amp; $E251 &amp;""' AND D &gt;= ""&amp;T251 &amp;"" LIMIT 1""),)"),"")</f>
        <v/>
      </c>
      <c r="N251" s="61"/>
      <c r="O251" s="32" t="str">
        <f ca="1">IFERROR(__xludf.DUMMYFUNCTION("if($F251&gt;=5,QUERY(Loot!$A$2:$G$904,""Select G where A = '""&amp; $E251 &amp;""' AND D &gt;= ""&amp; U251 &amp;"" LIMIT 1""),)"),"")</f>
        <v/>
      </c>
      <c r="P251" s="61"/>
      <c r="Q251" s="62">
        <v>0.44662817294458745</v>
      </c>
      <c r="R251" s="63">
        <v>5.0744418079120557E-3</v>
      </c>
      <c r="S251" s="63">
        <v>3.0159393040029792E-2</v>
      </c>
      <c r="T251" s="63">
        <v>0.59392639223671229</v>
      </c>
      <c r="U251" s="63">
        <v>0.67505228069856749</v>
      </c>
    </row>
    <row r="252" spans="1:21" ht="16.2">
      <c r="A252" s="5">
        <f t="shared" ca="1" si="1"/>
        <v>251</v>
      </c>
      <c r="B252" s="5" t="str">
        <f ca="1">IFERROR(__xludf.DUMMYFUNCTION("if(ISBLANK(C252),,QUERY(MD!A253:D1251,""Select A where C = '""&amp; C252 &amp;""'""))"),"")</f>
        <v/>
      </c>
      <c r="C252" s="5"/>
      <c r="D252" s="5" t="str">
        <f ca="1">IFERROR(__xludf.DUMMYFUNCTION("if(ISBLANK(C252),,QUERY(MD!$A$2:$D$1000,""Select D where C = '""&amp; C252 &amp;""'""))"),"")</f>
        <v/>
      </c>
      <c r="E252" s="59" t="str">
        <f ca="1">IFERROR(__xludf.DUMMYFUNCTION("if(ISBLANK(C252),,QUERY(MD!$A$2:$D$1000,""Select B where C = '""&amp; C252 &amp;""'""))"),"")</f>
        <v/>
      </c>
      <c r="F252" s="5">
        <f t="shared" ca="1" si="0"/>
        <v>0</v>
      </c>
      <c r="G252" s="32" t="str">
        <f ca="1">IFERROR(__xludf.DUMMYFUNCTION("if($F252&gt;=1,QUERY(Loot!$A$2:$G$904,""Select G where A = '""&amp; $E252 &amp;""' AND D &gt;= ""&amp; Q252  &amp;"" LIMIT 1""),)"),"")</f>
        <v/>
      </c>
      <c r="H252" s="61"/>
      <c r="I252" s="32" t="str">
        <f ca="1">IFERROR(__xludf.DUMMYFUNCTION("if($F252&gt;=2,QUERY(Loot!$A$2:$G$904,""Select G where A = '""&amp; $E252 &amp;""' AND D &gt;= ""&amp; R252 &amp;"" LIMIT 1""),)"),"")</f>
        <v/>
      </c>
      <c r="J252" s="61"/>
      <c r="K252" s="32" t="str">
        <f ca="1">IFERROR(__xludf.DUMMYFUNCTION("if($F252&gt;=3,QUERY(Loot!$A$2:$G$904,""Select G where A = '""&amp; $E252 &amp;""' AND D &gt;= ""&amp; S252  &amp;"" LIMIT 1""),)"),"")</f>
        <v/>
      </c>
      <c r="L252" s="61"/>
      <c r="M252" s="32" t="str">
        <f ca="1">IFERROR(__xludf.DUMMYFUNCTION("if($F252&gt;=4,QUERY(Loot!$A$2:$G$904,""Select G where A = '""&amp; $E252 &amp;""' AND D &gt;= ""&amp;T252 &amp;"" LIMIT 1""),)"),"")</f>
        <v/>
      </c>
      <c r="N252" s="61"/>
      <c r="O252" s="32" t="str">
        <f ca="1">IFERROR(__xludf.DUMMYFUNCTION("if($F252&gt;=5,QUERY(Loot!$A$2:$G$904,""Select G where A = '""&amp; $E252 &amp;""' AND D &gt;= ""&amp; U252 &amp;"" LIMIT 1""),)"),"")</f>
        <v/>
      </c>
      <c r="P252" s="61"/>
      <c r="Q252" s="62">
        <v>0.36795241927911237</v>
      </c>
      <c r="R252" s="63">
        <v>0.87136369730609209</v>
      </c>
      <c r="S252" s="63">
        <v>0.38094986964740385</v>
      </c>
      <c r="T252" s="63">
        <v>0.44863899689033271</v>
      </c>
      <c r="U252" s="63">
        <v>0.92700689814783788</v>
      </c>
    </row>
    <row r="253" spans="1:21" ht="16.2">
      <c r="A253" s="5">
        <f t="shared" ca="1" si="1"/>
        <v>252</v>
      </c>
      <c r="B253" s="5" t="str">
        <f ca="1">IFERROR(__xludf.DUMMYFUNCTION("if(ISBLANK(C253),,QUERY(MD!A254:D1252,""Select A where C = '""&amp; C253 &amp;""'""))"),"")</f>
        <v/>
      </c>
      <c r="C253" s="5"/>
      <c r="D253" s="5" t="str">
        <f ca="1">IFERROR(__xludf.DUMMYFUNCTION("if(ISBLANK(C253),,QUERY(MD!$A$2:$D$1000,""Select D where C = '""&amp; C253 &amp;""'""))"),"")</f>
        <v/>
      </c>
      <c r="E253" s="59" t="str">
        <f ca="1">IFERROR(__xludf.DUMMYFUNCTION("if(ISBLANK(C253),,QUERY(MD!$A$2:$D$1000,""Select B where C = '""&amp; C253 &amp;""'""))"),"")</f>
        <v/>
      </c>
      <c r="F253" s="5">
        <f t="shared" ca="1" si="0"/>
        <v>0</v>
      </c>
      <c r="G253" s="32" t="str">
        <f ca="1">IFERROR(__xludf.DUMMYFUNCTION("if($F253&gt;=1,QUERY(Loot!$A$2:$G$904,""Select G where A = '""&amp; $E253 &amp;""' AND D &gt;= ""&amp; Q253  &amp;"" LIMIT 1""),)"),"")</f>
        <v/>
      </c>
      <c r="H253" s="61"/>
      <c r="I253" s="32" t="str">
        <f ca="1">IFERROR(__xludf.DUMMYFUNCTION("if($F253&gt;=2,QUERY(Loot!$A$2:$G$904,""Select G where A = '""&amp; $E253 &amp;""' AND D &gt;= ""&amp; R253 &amp;"" LIMIT 1""),)"),"")</f>
        <v/>
      </c>
      <c r="J253" s="61"/>
      <c r="K253" s="32" t="str">
        <f ca="1">IFERROR(__xludf.DUMMYFUNCTION("if($F253&gt;=3,QUERY(Loot!$A$2:$G$904,""Select G where A = '""&amp; $E253 &amp;""' AND D &gt;= ""&amp; S253  &amp;"" LIMIT 1""),)"),"")</f>
        <v/>
      </c>
      <c r="L253" s="61"/>
      <c r="M253" s="32" t="str">
        <f ca="1">IFERROR(__xludf.DUMMYFUNCTION("if($F253&gt;=4,QUERY(Loot!$A$2:$G$904,""Select G where A = '""&amp; $E253 &amp;""' AND D &gt;= ""&amp;T253 &amp;"" LIMIT 1""),)"),"")</f>
        <v/>
      </c>
      <c r="N253" s="61"/>
      <c r="O253" s="32" t="str">
        <f ca="1">IFERROR(__xludf.DUMMYFUNCTION("if($F253&gt;=5,QUERY(Loot!$A$2:$G$904,""Select G where A = '""&amp; $E253 &amp;""' AND D &gt;= ""&amp; U253 &amp;"" LIMIT 1""),)"),"")</f>
        <v/>
      </c>
      <c r="P253" s="61"/>
      <c r="Q253" s="62">
        <v>0.89478426921146914</v>
      </c>
      <c r="R253" s="63">
        <v>0.54367969777390479</v>
      </c>
      <c r="S253" s="63">
        <v>0.76705196246648688</v>
      </c>
      <c r="T253" s="63">
        <v>0.34174111094987858</v>
      </c>
      <c r="U253" s="63">
        <v>9.1340676786706432E-3</v>
      </c>
    </row>
    <row r="254" spans="1:21" ht="16.2">
      <c r="A254" s="5">
        <f t="shared" ca="1" si="1"/>
        <v>253</v>
      </c>
      <c r="B254" s="5" t="str">
        <f ca="1">IFERROR(__xludf.DUMMYFUNCTION("if(ISBLANK(C254),,QUERY(MD!A255:D1253,""Select A where C = '""&amp; C254 &amp;""'""))"),"")</f>
        <v/>
      </c>
      <c r="C254" s="5"/>
      <c r="D254" s="5" t="str">
        <f ca="1">IFERROR(__xludf.DUMMYFUNCTION("if(ISBLANK(C254),,QUERY(MD!$A$2:$D$1000,""Select D where C = '""&amp; C254 &amp;""'""))"),"")</f>
        <v/>
      </c>
      <c r="E254" s="59" t="str">
        <f ca="1">IFERROR(__xludf.DUMMYFUNCTION("if(ISBLANK(C254),,QUERY(MD!$A$2:$D$1000,""Select B where C = '""&amp; C254 &amp;""'""))"),"")</f>
        <v/>
      </c>
      <c r="F254" s="5">
        <f t="shared" ca="1" si="0"/>
        <v>0</v>
      </c>
      <c r="G254" s="32" t="str">
        <f ca="1">IFERROR(__xludf.DUMMYFUNCTION("if($F254&gt;=1,QUERY(Loot!$A$2:$G$904,""Select G where A = '""&amp; $E254 &amp;""' AND D &gt;= ""&amp; Q254  &amp;"" LIMIT 1""),)"),"")</f>
        <v/>
      </c>
      <c r="H254" s="61"/>
      <c r="I254" s="32" t="str">
        <f ca="1">IFERROR(__xludf.DUMMYFUNCTION("if($F254&gt;=2,QUERY(Loot!$A$2:$G$904,""Select G where A = '""&amp; $E254 &amp;""' AND D &gt;= ""&amp; R254 &amp;"" LIMIT 1""),)"),"")</f>
        <v/>
      </c>
      <c r="J254" s="61"/>
      <c r="K254" s="32" t="str">
        <f ca="1">IFERROR(__xludf.DUMMYFUNCTION("if($F254&gt;=3,QUERY(Loot!$A$2:$G$904,""Select G where A = '""&amp; $E254 &amp;""' AND D &gt;= ""&amp; S254  &amp;"" LIMIT 1""),)"),"")</f>
        <v/>
      </c>
      <c r="L254" s="61"/>
      <c r="M254" s="32" t="str">
        <f ca="1">IFERROR(__xludf.DUMMYFUNCTION("if($F254&gt;=4,QUERY(Loot!$A$2:$G$904,""Select G where A = '""&amp; $E254 &amp;""' AND D &gt;= ""&amp;T254 &amp;"" LIMIT 1""),)"),"")</f>
        <v/>
      </c>
      <c r="N254" s="61"/>
      <c r="O254" s="32" t="str">
        <f ca="1">IFERROR(__xludf.DUMMYFUNCTION("if($F254&gt;=5,QUERY(Loot!$A$2:$G$904,""Select G where A = '""&amp; $E254 &amp;""' AND D &gt;= ""&amp; U254 &amp;"" LIMIT 1""),)"),"")</f>
        <v/>
      </c>
      <c r="P254" s="61"/>
      <c r="Q254" s="62">
        <v>0.45469073145498873</v>
      </c>
      <c r="R254" s="63">
        <v>0.5263542922714306</v>
      </c>
      <c r="S254" s="63">
        <v>0.16641824184971399</v>
      </c>
      <c r="T254" s="63">
        <v>0.63313186911948915</v>
      </c>
      <c r="U254" s="63">
        <v>0.98598695590533725</v>
      </c>
    </row>
    <row r="255" spans="1:21" ht="16.2">
      <c r="A255" s="5">
        <f t="shared" ca="1" si="1"/>
        <v>254</v>
      </c>
      <c r="B255" s="5" t="str">
        <f ca="1">IFERROR(__xludf.DUMMYFUNCTION("if(ISBLANK(C255),,QUERY(MD!A256:D1254,""Select A where C = '""&amp; C255 &amp;""'""))"),"")</f>
        <v/>
      </c>
      <c r="C255" s="5"/>
      <c r="D255" s="5" t="str">
        <f ca="1">IFERROR(__xludf.DUMMYFUNCTION("if(ISBLANK(C255),,QUERY(MD!$A$2:$D$1000,""Select D where C = '""&amp; C255 &amp;""'""))"),"")</f>
        <v/>
      </c>
      <c r="E255" s="59" t="str">
        <f ca="1">IFERROR(__xludf.DUMMYFUNCTION("if(ISBLANK(C255),,QUERY(MD!$A$2:$D$1000,""Select B where C = '""&amp; C255 &amp;""'""))"),"")</f>
        <v/>
      </c>
      <c r="F255" s="5">
        <f t="shared" ca="1" si="0"/>
        <v>0</v>
      </c>
      <c r="G255" s="32" t="str">
        <f ca="1">IFERROR(__xludf.DUMMYFUNCTION("if($F255&gt;=1,QUERY(Loot!$A$2:$G$904,""Select G where A = '""&amp; $E255 &amp;""' AND D &gt;= ""&amp; Q255  &amp;"" LIMIT 1""),)"),"")</f>
        <v/>
      </c>
      <c r="H255" s="61"/>
      <c r="I255" s="32" t="str">
        <f ca="1">IFERROR(__xludf.DUMMYFUNCTION("if($F255&gt;=2,QUERY(Loot!$A$2:$G$904,""Select G where A = '""&amp; $E255 &amp;""' AND D &gt;= ""&amp; R255 &amp;"" LIMIT 1""),)"),"")</f>
        <v/>
      </c>
      <c r="J255" s="61"/>
      <c r="K255" s="32" t="str">
        <f ca="1">IFERROR(__xludf.DUMMYFUNCTION("if($F255&gt;=3,QUERY(Loot!$A$2:$G$904,""Select G where A = '""&amp; $E255 &amp;""' AND D &gt;= ""&amp; S255  &amp;"" LIMIT 1""),)"),"")</f>
        <v/>
      </c>
      <c r="L255" s="61"/>
      <c r="M255" s="32" t="str">
        <f ca="1">IFERROR(__xludf.DUMMYFUNCTION("if($F255&gt;=4,QUERY(Loot!$A$2:$G$904,""Select G where A = '""&amp; $E255 &amp;""' AND D &gt;= ""&amp;T255 &amp;"" LIMIT 1""),)"),"")</f>
        <v/>
      </c>
      <c r="N255" s="61"/>
      <c r="O255" s="32" t="str">
        <f ca="1">IFERROR(__xludf.DUMMYFUNCTION("if($F255&gt;=5,QUERY(Loot!$A$2:$G$904,""Select G where A = '""&amp; $E255 &amp;""' AND D &gt;= ""&amp; U255 &amp;"" LIMIT 1""),)"),"")</f>
        <v/>
      </c>
      <c r="P255" s="61"/>
      <c r="Q255" s="62">
        <v>0.66954034654635675</v>
      </c>
      <c r="R255" s="63">
        <v>0.20480473371412755</v>
      </c>
      <c r="S255" s="63">
        <v>0.77382227681159521</v>
      </c>
      <c r="T255" s="63">
        <v>0.41945118968028283</v>
      </c>
      <c r="U255" s="63">
        <v>0.22268096179627717</v>
      </c>
    </row>
    <row r="256" spans="1:21" ht="16.2">
      <c r="A256" s="5">
        <f t="shared" ca="1" si="1"/>
        <v>255</v>
      </c>
      <c r="B256" s="5" t="str">
        <f ca="1">IFERROR(__xludf.DUMMYFUNCTION("if(ISBLANK(C256),,QUERY(MD!A257:D1255,""Select A where C = '""&amp; C256 &amp;""'""))"),"")</f>
        <v/>
      </c>
      <c r="C256" s="5"/>
      <c r="D256" s="5" t="str">
        <f ca="1">IFERROR(__xludf.DUMMYFUNCTION("if(ISBLANK(C256),,QUERY(MD!$A$2:$D$1000,""Select D where C = '""&amp; C256 &amp;""'""))"),"")</f>
        <v/>
      </c>
      <c r="E256" s="59" t="str">
        <f ca="1">IFERROR(__xludf.DUMMYFUNCTION("if(ISBLANK(C256),,QUERY(MD!$A$2:$D$1000,""Select B where C = '""&amp; C256 &amp;""'""))"),"")</f>
        <v/>
      </c>
      <c r="F256" s="5">
        <f t="shared" ca="1" si="0"/>
        <v>0</v>
      </c>
      <c r="G256" s="32" t="str">
        <f ca="1">IFERROR(__xludf.DUMMYFUNCTION("if($F256&gt;=1,QUERY(Loot!$A$2:$G$904,""Select G where A = '""&amp; $E256 &amp;""' AND D &gt;= ""&amp; Q256  &amp;"" LIMIT 1""),)"),"")</f>
        <v/>
      </c>
      <c r="H256" s="61"/>
      <c r="I256" s="32" t="str">
        <f ca="1">IFERROR(__xludf.DUMMYFUNCTION("if($F256&gt;=2,QUERY(Loot!$A$2:$G$904,""Select G where A = '""&amp; $E256 &amp;""' AND D &gt;= ""&amp; R256 &amp;"" LIMIT 1""),)"),"")</f>
        <v/>
      </c>
      <c r="J256" s="61"/>
      <c r="K256" s="32" t="str">
        <f ca="1">IFERROR(__xludf.DUMMYFUNCTION("if($F256&gt;=3,QUERY(Loot!$A$2:$G$904,""Select G where A = '""&amp; $E256 &amp;""' AND D &gt;= ""&amp; S256  &amp;"" LIMIT 1""),)"),"")</f>
        <v/>
      </c>
      <c r="L256" s="61"/>
      <c r="M256" s="32" t="str">
        <f ca="1">IFERROR(__xludf.DUMMYFUNCTION("if($F256&gt;=4,QUERY(Loot!$A$2:$G$904,""Select G where A = '""&amp; $E256 &amp;""' AND D &gt;= ""&amp;T256 &amp;"" LIMIT 1""),)"),"")</f>
        <v/>
      </c>
      <c r="N256" s="61"/>
      <c r="O256" s="32" t="str">
        <f ca="1">IFERROR(__xludf.DUMMYFUNCTION("if($F256&gt;=5,QUERY(Loot!$A$2:$G$904,""Select G where A = '""&amp; $E256 &amp;""' AND D &gt;= ""&amp; U256 &amp;"" LIMIT 1""),)"),"")</f>
        <v/>
      </c>
      <c r="P256" s="61"/>
      <c r="Q256" s="62">
        <v>2.4735127272430879E-2</v>
      </c>
      <c r="R256" s="63">
        <v>2.9220790475749214E-2</v>
      </c>
      <c r="S256" s="63">
        <v>0.68339148417362239</v>
      </c>
      <c r="T256" s="63">
        <v>0.3783337473896381</v>
      </c>
      <c r="U256" s="63">
        <v>0.43404247712900423</v>
      </c>
    </row>
    <row r="257" spans="1:21" ht="16.2">
      <c r="A257" s="5">
        <f t="shared" ca="1" si="1"/>
        <v>256</v>
      </c>
      <c r="B257" s="5" t="str">
        <f ca="1">IFERROR(__xludf.DUMMYFUNCTION("if(ISBLANK(C257),,QUERY(MD!A258:D1256,""Select A where C = '""&amp; C257 &amp;""'""))"),"")</f>
        <v/>
      </c>
      <c r="C257" s="5"/>
      <c r="D257" s="5" t="str">
        <f ca="1">IFERROR(__xludf.DUMMYFUNCTION("if(ISBLANK(C257),,QUERY(MD!$A$2:$D$1000,""Select D where C = '""&amp; C257 &amp;""'""))"),"")</f>
        <v/>
      </c>
      <c r="E257" s="59" t="str">
        <f ca="1">IFERROR(__xludf.DUMMYFUNCTION("if(ISBLANK(C257),,QUERY(MD!$A$2:$D$1000,""Select B where C = '""&amp; C257 &amp;""'""))"),"")</f>
        <v/>
      </c>
      <c r="F257" s="5">
        <f t="shared" ref="F257:F499" ca="1" si="2">IF(ISBLANK(C257),,TRUNC(1+(5-1)*(TRUNC(MOD((CELL("Row",E257)*1103515245 +12345)/ 65536, 32768),0)/32768),0))</f>
        <v>0</v>
      </c>
      <c r="G257" s="32" t="str">
        <f ca="1">IFERROR(__xludf.DUMMYFUNCTION("if($F257&gt;=1,QUERY(Loot!$A$2:$G$904,""Select G where A = '""&amp; $E257 &amp;""' AND D &gt;= ""&amp; Q257  &amp;"" LIMIT 1""),)"),"")</f>
        <v/>
      </c>
      <c r="H257" s="61"/>
      <c r="I257" s="32" t="str">
        <f ca="1">IFERROR(__xludf.DUMMYFUNCTION("if($F257&gt;=2,QUERY(Loot!$A$2:$G$904,""Select G where A = '""&amp; $E257 &amp;""' AND D &gt;= ""&amp; R257 &amp;"" LIMIT 1""),)"),"")</f>
        <v/>
      </c>
      <c r="J257" s="61"/>
      <c r="K257" s="32" t="str">
        <f ca="1">IFERROR(__xludf.DUMMYFUNCTION("if($F257&gt;=3,QUERY(Loot!$A$2:$G$904,""Select G where A = '""&amp; $E257 &amp;""' AND D &gt;= ""&amp; S257  &amp;"" LIMIT 1""),)"),"")</f>
        <v/>
      </c>
      <c r="L257" s="61"/>
      <c r="M257" s="32" t="str">
        <f ca="1">IFERROR(__xludf.DUMMYFUNCTION("if($F257&gt;=4,QUERY(Loot!$A$2:$G$904,""Select G where A = '""&amp; $E257 &amp;""' AND D &gt;= ""&amp;T257 &amp;"" LIMIT 1""),)"),"")</f>
        <v/>
      </c>
      <c r="N257" s="61"/>
      <c r="O257" s="32" t="str">
        <f ca="1">IFERROR(__xludf.DUMMYFUNCTION("if($F257&gt;=5,QUERY(Loot!$A$2:$G$904,""Select G where A = '""&amp; $E257 &amp;""' AND D &gt;= ""&amp; U257 &amp;"" LIMIT 1""),)"),"")</f>
        <v/>
      </c>
      <c r="P257" s="61"/>
      <c r="Q257" s="62">
        <v>0.63054877440267665</v>
      </c>
      <c r="R257" s="63">
        <v>9.6122618400052318E-2</v>
      </c>
      <c r="S257" s="63">
        <v>0.8279091296335267</v>
      </c>
      <c r="T257" s="63">
        <v>0.42350026849987799</v>
      </c>
      <c r="U257" s="63">
        <v>6.9987097460224024E-2</v>
      </c>
    </row>
    <row r="258" spans="1:21" ht="16.2">
      <c r="A258" s="5">
        <f t="shared" ref="A258:A512" ca="1" si="3">IF(ISBLANK(B258),,A257+1)</f>
        <v>257</v>
      </c>
      <c r="B258" s="5" t="str">
        <f ca="1">IFERROR(__xludf.DUMMYFUNCTION("if(ISBLANK(C258),,QUERY(MD!A259:D1257,""Select A where C = '""&amp; C258 &amp;""'""))"),"")</f>
        <v/>
      </c>
      <c r="C258" s="5"/>
      <c r="D258" s="5" t="str">
        <f ca="1">IFERROR(__xludf.DUMMYFUNCTION("if(ISBLANK(C258),,QUERY(MD!$A$2:$D$1000,""Select D where C = '""&amp; C258 &amp;""'""))"),"")</f>
        <v/>
      </c>
      <c r="E258" s="59" t="str">
        <f ca="1">IFERROR(__xludf.DUMMYFUNCTION("if(ISBLANK(C258),,QUERY(MD!$A$2:$D$1000,""Select B where C = '""&amp; C258 &amp;""'""))"),"")</f>
        <v/>
      </c>
      <c r="F258" s="5">
        <f t="shared" ca="1" si="2"/>
        <v>0</v>
      </c>
      <c r="G258" s="32" t="str">
        <f ca="1">IFERROR(__xludf.DUMMYFUNCTION("if($F258&gt;=1,QUERY(Loot!$A$2:$G$904,""Select G where A = '""&amp; $E258 &amp;""' AND D &gt;= ""&amp; Q258  &amp;"" LIMIT 1""),)"),"")</f>
        <v/>
      </c>
      <c r="H258" s="61"/>
      <c r="I258" s="32" t="str">
        <f ca="1">IFERROR(__xludf.DUMMYFUNCTION("if($F258&gt;=2,QUERY(Loot!$A$2:$G$904,""Select G where A = '""&amp; $E258 &amp;""' AND D &gt;= ""&amp; R258 &amp;"" LIMIT 1""),)"),"")</f>
        <v/>
      </c>
      <c r="J258" s="61"/>
      <c r="K258" s="32" t="str">
        <f ca="1">IFERROR(__xludf.DUMMYFUNCTION("if($F258&gt;=3,QUERY(Loot!$A$2:$G$904,""Select G where A = '""&amp; $E258 &amp;""' AND D &gt;= ""&amp; S258  &amp;"" LIMIT 1""),)"),"")</f>
        <v/>
      </c>
      <c r="L258" s="61"/>
      <c r="M258" s="32" t="str">
        <f ca="1">IFERROR(__xludf.DUMMYFUNCTION("if($F258&gt;=4,QUERY(Loot!$A$2:$G$904,""Select G where A = '""&amp; $E258 &amp;""' AND D &gt;= ""&amp;T258 &amp;"" LIMIT 1""),)"),"")</f>
        <v/>
      </c>
      <c r="N258" s="61"/>
      <c r="O258" s="32" t="str">
        <f ca="1">IFERROR(__xludf.DUMMYFUNCTION("if($F258&gt;=5,QUERY(Loot!$A$2:$G$904,""Select G where A = '""&amp; $E258 &amp;""' AND D &gt;= ""&amp; U258 &amp;"" LIMIT 1""),)"),"")</f>
        <v/>
      </c>
      <c r="P258" s="61"/>
      <c r="Q258" s="62">
        <v>0.51724823071691328</v>
      </c>
      <c r="R258" s="63">
        <v>0.61597180219138459</v>
      </c>
      <c r="S258" s="63">
        <v>6.777321529631275E-2</v>
      </c>
      <c r="T258" s="63">
        <v>0.82179194165753544</v>
      </c>
      <c r="U258" s="63">
        <v>0.3082853057959033</v>
      </c>
    </row>
    <row r="259" spans="1:21" ht="16.2">
      <c r="A259" s="5">
        <f t="shared" ca="1" si="3"/>
        <v>258</v>
      </c>
      <c r="B259" s="5" t="str">
        <f ca="1">IFERROR(__xludf.DUMMYFUNCTION("if(ISBLANK(C259),,QUERY(MD!A260:D1258,""Select A where C = '""&amp; C259 &amp;""'""))"),"")</f>
        <v/>
      </c>
      <c r="C259" s="5"/>
      <c r="D259" s="5" t="str">
        <f ca="1">IFERROR(__xludf.DUMMYFUNCTION("if(ISBLANK(C259),,QUERY(MD!$A$2:$D$1000,""Select D where C = '""&amp; C259 &amp;""'""))"),"")</f>
        <v/>
      </c>
      <c r="E259" s="59" t="str">
        <f ca="1">IFERROR(__xludf.DUMMYFUNCTION("if(ISBLANK(C259),,QUERY(MD!$A$2:$D$1000,""Select B where C = '""&amp; C259 &amp;""'""))"),"")</f>
        <v/>
      </c>
      <c r="F259" s="5">
        <f t="shared" ca="1" si="2"/>
        <v>0</v>
      </c>
      <c r="G259" s="32" t="str">
        <f ca="1">IFERROR(__xludf.DUMMYFUNCTION("if($F259&gt;=1,QUERY(Loot!$A$2:$G$904,""Select G where A = '""&amp; $E259 &amp;""' AND D &gt;= ""&amp; Q259  &amp;"" LIMIT 1""),)"),"")</f>
        <v/>
      </c>
      <c r="H259" s="61"/>
      <c r="I259" s="32" t="str">
        <f ca="1">IFERROR(__xludf.DUMMYFUNCTION("if($F259&gt;=2,QUERY(Loot!$A$2:$G$904,""Select G where A = '""&amp; $E259 &amp;""' AND D &gt;= ""&amp; R259 &amp;"" LIMIT 1""),)"),"")</f>
        <v/>
      </c>
      <c r="J259" s="61"/>
      <c r="K259" s="32" t="str">
        <f ca="1">IFERROR(__xludf.DUMMYFUNCTION("if($F259&gt;=3,QUERY(Loot!$A$2:$G$904,""Select G where A = '""&amp; $E259 &amp;""' AND D &gt;= ""&amp; S259  &amp;"" LIMIT 1""),)"),"")</f>
        <v/>
      </c>
      <c r="L259" s="61"/>
      <c r="M259" s="32" t="str">
        <f ca="1">IFERROR(__xludf.DUMMYFUNCTION("if($F259&gt;=4,QUERY(Loot!$A$2:$G$904,""Select G where A = '""&amp; $E259 &amp;""' AND D &gt;= ""&amp;T259 &amp;"" LIMIT 1""),)"),"")</f>
        <v/>
      </c>
      <c r="N259" s="61"/>
      <c r="O259" s="32" t="str">
        <f ca="1">IFERROR(__xludf.DUMMYFUNCTION("if($F259&gt;=5,QUERY(Loot!$A$2:$G$904,""Select G where A = '""&amp; $E259 &amp;""' AND D &gt;= ""&amp; U259 &amp;"" LIMIT 1""),)"),"")</f>
        <v/>
      </c>
      <c r="P259" s="61"/>
      <c r="Q259" s="62">
        <v>0.8919964633062345</v>
      </c>
      <c r="R259" s="63">
        <v>0.14197551848755285</v>
      </c>
      <c r="S259" s="63">
        <v>0.15777915014814792</v>
      </c>
      <c r="T259" s="63">
        <v>0.78649943568032954</v>
      </c>
      <c r="U259" s="63">
        <v>6.888575422701404E-2</v>
      </c>
    </row>
    <row r="260" spans="1:21" ht="16.2">
      <c r="A260" s="5">
        <f t="shared" ca="1" si="3"/>
        <v>259</v>
      </c>
      <c r="B260" s="5" t="str">
        <f ca="1">IFERROR(__xludf.DUMMYFUNCTION("if(ISBLANK(C260),,QUERY(MD!A261:D1259,""Select A where C = '""&amp; C260 &amp;""'""))"),"")</f>
        <v/>
      </c>
      <c r="C260" s="5"/>
      <c r="D260" s="5" t="str">
        <f ca="1">IFERROR(__xludf.DUMMYFUNCTION("if(ISBLANK(C260),,QUERY(MD!$A$2:$D$1000,""Select D where C = '""&amp; C260 &amp;""'""))"),"")</f>
        <v/>
      </c>
      <c r="E260" s="59" t="str">
        <f ca="1">IFERROR(__xludf.DUMMYFUNCTION("if(ISBLANK(C260),,QUERY(MD!$A$2:$D$1000,""Select B where C = '""&amp; C260 &amp;""'""))"),"")</f>
        <v/>
      </c>
      <c r="F260" s="5">
        <f t="shared" ca="1" si="2"/>
        <v>0</v>
      </c>
      <c r="G260" s="32" t="str">
        <f ca="1">IFERROR(__xludf.DUMMYFUNCTION("if($F260&gt;=1,QUERY(Loot!$A$2:$G$904,""Select G where A = '""&amp; $E260 &amp;""' AND D &gt;= ""&amp; Q260  &amp;"" LIMIT 1""),)"),"")</f>
        <v/>
      </c>
      <c r="H260" s="61"/>
      <c r="I260" s="32" t="str">
        <f ca="1">IFERROR(__xludf.DUMMYFUNCTION("if($F260&gt;=2,QUERY(Loot!$A$2:$G$904,""Select G where A = '""&amp; $E260 &amp;""' AND D &gt;= ""&amp; R260 &amp;"" LIMIT 1""),)"),"")</f>
        <v/>
      </c>
      <c r="J260" s="61"/>
      <c r="K260" s="32" t="str">
        <f ca="1">IFERROR(__xludf.DUMMYFUNCTION("if($F260&gt;=3,QUERY(Loot!$A$2:$G$904,""Select G where A = '""&amp; $E260 &amp;""' AND D &gt;= ""&amp; S260  &amp;"" LIMIT 1""),)"),"")</f>
        <v/>
      </c>
      <c r="L260" s="61"/>
      <c r="M260" s="32" t="str">
        <f ca="1">IFERROR(__xludf.DUMMYFUNCTION("if($F260&gt;=4,QUERY(Loot!$A$2:$G$904,""Select G where A = '""&amp; $E260 &amp;""' AND D &gt;= ""&amp;T260 &amp;"" LIMIT 1""),)"),"")</f>
        <v/>
      </c>
      <c r="N260" s="61"/>
      <c r="O260" s="32" t="str">
        <f ca="1">IFERROR(__xludf.DUMMYFUNCTION("if($F260&gt;=5,QUERY(Loot!$A$2:$G$904,""Select G where A = '""&amp; $E260 &amp;""' AND D &gt;= ""&amp; U260 &amp;"" LIMIT 1""),)"),"")</f>
        <v/>
      </c>
      <c r="P260" s="61"/>
      <c r="Q260" s="62">
        <v>0.75928732543734834</v>
      </c>
      <c r="R260" s="63">
        <v>8.2599040571085358E-2</v>
      </c>
      <c r="S260" s="63">
        <v>0.91929587230856813</v>
      </c>
      <c r="T260" s="63">
        <v>6.2597055200577123E-2</v>
      </c>
      <c r="U260" s="63">
        <v>0.16418119976422307</v>
      </c>
    </row>
    <row r="261" spans="1:21" ht="16.2">
      <c r="A261" s="5">
        <f t="shared" ca="1" si="3"/>
        <v>260</v>
      </c>
      <c r="B261" s="5" t="str">
        <f ca="1">IFERROR(__xludf.DUMMYFUNCTION("if(ISBLANK(C261),,QUERY(MD!A262:D1260,""Select A where C = '""&amp; C261 &amp;""'""))"),"")</f>
        <v/>
      </c>
      <c r="C261" s="5"/>
      <c r="D261" s="5" t="str">
        <f ca="1">IFERROR(__xludf.DUMMYFUNCTION("if(ISBLANK(C261),,QUERY(MD!$A$2:$D$1000,""Select D where C = '""&amp; C261 &amp;""'""))"),"")</f>
        <v/>
      </c>
      <c r="E261" s="59" t="str">
        <f ca="1">IFERROR(__xludf.DUMMYFUNCTION("if(ISBLANK(C261),,QUERY(MD!$A$2:$D$1000,""Select B where C = '""&amp; C261 &amp;""'""))"),"")</f>
        <v/>
      </c>
      <c r="F261" s="5">
        <f t="shared" ca="1" si="2"/>
        <v>0</v>
      </c>
      <c r="G261" s="32" t="str">
        <f ca="1">IFERROR(__xludf.DUMMYFUNCTION("if($F261&gt;=1,QUERY(Loot!$A$2:$G$904,""Select G where A = '""&amp; $E261 &amp;""' AND D &gt;= ""&amp; Q261  &amp;"" LIMIT 1""),)"),"")</f>
        <v/>
      </c>
      <c r="H261" s="61"/>
      <c r="I261" s="32" t="str">
        <f ca="1">IFERROR(__xludf.DUMMYFUNCTION("if($F261&gt;=2,QUERY(Loot!$A$2:$G$904,""Select G where A = '""&amp; $E261 &amp;""' AND D &gt;= ""&amp; R261 &amp;"" LIMIT 1""),)"),"")</f>
        <v/>
      </c>
      <c r="J261" s="61"/>
      <c r="K261" s="32" t="str">
        <f ca="1">IFERROR(__xludf.DUMMYFUNCTION("if($F261&gt;=3,QUERY(Loot!$A$2:$G$904,""Select G where A = '""&amp; $E261 &amp;""' AND D &gt;= ""&amp; S261  &amp;"" LIMIT 1""),)"),"")</f>
        <v/>
      </c>
      <c r="L261" s="61"/>
      <c r="M261" s="32" t="str">
        <f ca="1">IFERROR(__xludf.DUMMYFUNCTION("if($F261&gt;=4,QUERY(Loot!$A$2:$G$904,""Select G where A = '""&amp; $E261 &amp;""' AND D &gt;= ""&amp;T261 &amp;"" LIMIT 1""),)"),"")</f>
        <v/>
      </c>
      <c r="N261" s="61"/>
      <c r="O261" s="32" t="str">
        <f ca="1">IFERROR(__xludf.DUMMYFUNCTION("if($F261&gt;=5,QUERY(Loot!$A$2:$G$904,""Select G where A = '""&amp; $E261 &amp;""' AND D &gt;= ""&amp; U261 &amp;"" LIMIT 1""),)"),"")</f>
        <v/>
      </c>
      <c r="P261" s="61"/>
      <c r="Q261" s="62">
        <v>0.96988619791815778</v>
      </c>
      <c r="R261" s="63">
        <v>0.85123788544966905</v>
      </c>
      <c r="S261" s="63">
        <v>0.48351457159060274</v>
      </c>
      <c r="T261" s="63">
        <v>0.92616235417707804</v>
      </c>
      <c r="U261" s="63">
        <v>0.56728395571101908</v>
      </c>
    </row>
    <row r="262" spans="1:21" ht="16.2">
      <c r="A262" s="5">
        <f t="shared" ca="1" si="3"/>
        <v>261</v>
      </c>
      <c r="B262" s="5" t="str">
        <f ca="1">IFERROR(__xludf.DUMMYFUNCTION("if(ISBLANK(C262),,QUERY(MD!A263:D1261,""Select A where C = '""&amp; C262 &amp;""'""))"),"")</f>
        <v/>
      </c>
      <c r="C262" s="5"/>
      <c r="D262" s="5" t="str">
        <f ca="1">IFERROR(__xludf.DUMMYFUNCTION("if(ISBLANK(C262),,QUERY(MD!$A$2:$D$1000,""Select D where C = '""&amp; C262 &amp;""'""))"),"")</f>
        <v/>
      </c>
      <c r="E262" s="59" t="str">
        <f ca="1">IFERROR(__xludf.DUMMYFUNCTION("if(ISBLANK(C262),,QUERY(MD!$A$2:$D$1000,""Select B where C = '""&amp; C262 &amp;""'""))"),"")</f>
        <v/>
      </c>
      <c r="F262" s="5">
        <f t="shared" ca="1" si="2"/>
        <v>0</v>
      </c>
      <c r="G262" s="32" t="str">
        <f ca="1">IFERROR(__xludf.DUMMYFUNCTION("if($F262&gt;=1,QUERY(Loot!$A$2:$G$904,""Select G where A = '""&amp; $E262 &amp;""' AND D &gt;= ""&amp; Q262  &amp;"" LIMIT 1""),)"),"")</f>
        <v/>
      </c>
      <c r="H262" s="61"/>
      <c r="I262" s="32" t="str">
        <f ca="1">IFERROR(__xludf.DUMMYFUNCTION("if($F262&gt;=2,QUERY(Loot!$A$2:$G$904,""Select G where A = '""&amp; $E262 &amp;""' AND D &gt;= ""&amp; R262 &amp;"" LIMIT 1""),)"),"")</f>
        <v/>
      </c>
      <c r="J262" s="61"/>
      <c r="K262" s="32" t="str">
        <f ca="1">IFERROR(__xludf.DUMMYFUNCTION("if($F262&gt;=3,QUERY(Loot!$A$2:$G$904,""Select G where A = '""&amp; $E262 &amp;""' AND D &gt;= ""&amp; S262  &amp;"" LIMIT 1""),)"),"")</f>
        <v/>
      </c>
      <c r="L262" s="61"/>
      <c r="M262" s="32" t="str">
        <f ca="1">IFERROR(__xludf.DUMMYFUNCTION("if($F262&gt;=4,QUERY(Loot!$A$2:$G$904,""Select G where A = '""&amp; $E262 &amp;""' AND D &gt;= ""&amp;T262 &amp;"" LIMIT 1""),)"),"")</f>
        <v/>
      </c>
      <c r="N262" s="61"/>
      <c r="O262" s="32" t="str">
        <f ca="1">IFERROR(__xludf.DUMMYFUNCTION("if($F262&gt;=5,QUERY(Loot!$A$2:$G$904,""Select G where A = '""&amp; $E262 &amp;""' AND D &gt;= ""&amp; U262 &amp;"" LIMIT 1""),)"),"")</f>
        <v/>
      </c>
      <c r="P262" s="61"/>
      <c r="Q262" s="62">
        <v>0.48174045379178587</v>
      </c>
      <c r="R262" s="63">
        <v>0.87774124110571849</v>
      </c>
      <c r="S262" s="63">
        <v>0.17052753185436031</v>
      </c>
      <c r="T262" s="63">
        <v>0.65650679853985172</v>
      </c>
      <c r="U262" s="63">
        <v>0.71871407146573363</v>
      </c>
    </row>
    <row r="263" spans="1:21" ht="16.2">
      <c r="A263" s="5">
        <f t="shared" ca="1" si="3"/>
        <v>262</v>
      </c>
      <c r="B263" s="5" t="str">
        <f ca="1">IFERROR(__xludf.DUMMYFUNCTION("if(ISBLANK(C263),,QUERY(MD!A264:D1262,""Select A where C = '""&amp; C263 &amp;""'""))"),"")</f>
        <v/>
      </c>
      <c r="C263" s="5"/>
      <c r="D263" s="5" t="str">
        <f ca="1">IFERROR(__xludf.DUMMYFUNCTION("if(ISBLANK(C263),,QUERY(MD!$A$2:$D$1000,""Select D where C = '""&amp; C263 &amp;""'""))"),"")</f>
        <v/>
      </c>
      <c r="E263" s="59" t="str">
        <f ca="1">IFERROR(__xludf.DUMMYFUNCTION("if(ISBLANK(C263),,QUERY(MD!$A$2:$D$1000,""Select B where C = '""&amp; C263 &amp;""'""))"),"")</f>
        <v/>
      </c>
      <c r="F263" s="5">
        <f t="shared" ca="1" si="2"/>
        <v>0</v>
      </c>
      <c r="G263" s="32" t="str">
        <f ca="1">IFERROR(__xludf.DUMMYFUNCTION("if($F263&gt;=1,QUERY(Loot!$A$2:$G$904,""Select G where A = '""&amp; $E263 &amp;""' AND D &gt;= ""&amp; Q263  &amp;"" LIMIT 1""),)"),"")</f>
        <v/>
      </c>
      <c r="H263" s="61"/>
      <c r="I263" s="32" t="str">
        <f ca="1">IFERROR(__xludf.DUMMYFUNCTION("if($F263&gt;=2,QUERY(Loot!$A$2:$G$904,""Select G where A = '""&amp; $E263 &amp;""' AND D &gt;= ""&amp; R263 &amp;"" LIMIT 1""),)"),"")</f>
        <v/>
      </c>
      <c r="J263" s="61"/>
      <c r="K263" s="32" t="str">
        <f ca="1">IFERROR(__xludf.DUMMYFUNCTION("if($F263&gt;=3,QUERY(Loot!$A$2:$G$904,""Select G where A = '""&amp; $E263 &amp;""' AND D &gt;= ""&amp; S263  &amp;"" LIMIT 1""),)"),"")</f>
        <v/>
      </c>
      <c r="L263" s="61"/>
      <c r="M263" s="32" t="str">
        <f ca="1">IFERROR(__xludf.DUMMYFUNCTION("if($F263&gt;=4,QUERY(Loot!$A$2:$G$904,""Select G where A = '""&amp; $E263 &amp;""' AND D &gt;= ""&amp;T263 &amp;"" LIMIT 1""),)"),"")</f>
        <v/>
      </c>
      <c r="N263" s="61"/>
      <c r="O263" s="32" t="str">
        <f ca="1">IFERROR(__xludf.DUMMYFUNCTION("if($F263&gt;=5,QUERY(Loot!$A$2:$G$904,""Select G where A = '""&amp; $E263 &amp;""' AND D &gt;= ""&amp; U263 &amp;"" LIMIT 1""),)"),"")</f>
        <v/>
      </c>
      <c r="P263" s="61"/>
      <c r="Q263" s="62">
        <v>0.37527501984359624</v>
      </c>
      <c r="R263" s="63">
        <v>0.15549939929557755</v>
      </c>
      <c r="S263" s="63">
        <v>0.80401790382286509</v>
      </c>
      <c r="T263" s="63">
        <v>0.22190980682455885</v>
      </c>
      <c r="U263" s="63">
        <v>0.39207248360694336</v>
      </c>
    </row>
    <row r="264" spans="1:21" ht="16.2">
      <c r="A264" s="5">
        <f t="shared" ca="1" si="3"/>
        <v>263</v>
      </c>
      <c r="B264" s="5" t="str">
        <f ca="1">IFERROR(__xludf.DUMMYFUNCTION("if(ISBLANK(C264),,QUERY(MD!A265:D1263,""Select A where C = '""&amp; C264 &amp;""'""))"),"")</f>
        <v/>
      </c>
      <c r="C264" s="5"/>
      <c r="D264" s="5" t="str">
        <f ca="1">IFERROR(__xludf.DUMMYFUNCTION("if(ISBLANK(C264),,QUERY(MD!$A$2:$D$1000,""Select D where C = '""&amp; C264 &amp;""'""))"),"")</f>
        <v/>
      </c>
      <c r="E264" s="59" t="str">
        <f ca="1">IFERROR(__xludf.DUMMYFUNCTION("if(ISBLANK(C264),,QUERY(MD!$A$2:$D$1000,""Select B where C = '""&amp; C264 &amp;""'""))"),"")</f>
        <v/>
      </c>
      <c r="F264" s="5">
        <f t="shared" ca="1" si="2"/>
        <v>0</v>
      </c>
      <c r="G264" s="32" t="str">
        <f ca="1">IFERROR(__xludf.DUMMYFUNCTION("if($F264&gt;=1,QUERY(Loot!$A$2:$G$904,""Select G where A = '""&amp; $E264 &amp;""' AND D &gt;= ""&amp; Q264  &amp;"" LIMIT 1""),)"),"")</f>
        <v/>
      </c>
      <c r="H264" s="61"/>
      <c r="I264" s="32" t="str">
        <f ca="1">IFERROR(__xludf.DUMMYFUNCTION("if($F264&gt;=2,QUERY(Loot!$A$2:$G$904,""Select G where A = '""&amp; $E264 &amp;""' AND D &gt;= ""&amp; R264 &amp;"" LIMIT 1""),)"),"")</f>
        <v/>
      </c>
      <c r="J264" s="61"/>
      <c r="K264" s="32" t="str">
        <f ca="1">IFERROR(__xludf.DUMMYFUNCTION("if($F264&gt;=3,QUERY(Loot!$A$2:$G$904,""Select G where A = '""&amp; $E264 &amp;""' AND D &gt;= ""&amp; S264  &amp;"" LIMIT 1""),)"),"")</f>
        <v/>
      </c>
      <c r="L264" s="61"/>
      <c r="M264" s="32" t="str">
        <f ca="1">IFERROR(__xludf.DUMMYFUNCTION("if($F264&gt;=4,QUERY(Loot!$A$2:$G$904,""Select G where A = '""&amp; $E264 &amp;""' AND D &gt;= ""&amp;T264 &amp;"" LIMIT 1""),)"),"")</f>
        <v/>
      </c>
      <c r="N264" s="61"/>
      <c r="O264" s="32" t="str">
        <f ca="1">IFERROR(__xludf.DUMMYFUNCTION("if($F264&gt;=5,QUERY(Loot!$A$2:$G$904,""Select G where A = '""&amp; $E264 &amp;""' AND D &gt;= ""&amp; U264 &amp;"" LIMIT 1""),)"),"")</f>
        <v/>
      </c>
      <c r="P264" s="61"/>
      <c r="Q264" s="62">
        <v>0.45919471956808999</v>
      </c>
      <c r="R264" s="63">
        <v>0.3185635604979461</v>
      </c>
      <c r="S264" s="63">
        <v>0.41944339028895283</v>
      </c>
      <c r="T264" s="63">
        <v>0.35429195981973305</v>
      </c>
      <c r="U264" s="63">
        <v>0.27523593104050526</v>
      </c>
    </row>
    <row r="265" spans="1:21" ht="16.2">
      <c r="A265" s="5">
        <f t="shared" ca="1" si="3"/>
        <v>264</v>
      </c>
      <c r="B265" s="5" t="str">
        <f ca="1">IFERROR(__xludf.DUMMYFUNCTION("if(ISBLANK(C265),,QUERY(MD!A266:D1264,""Select A where C = '""&amp; C265 &amp;""'""))"),"")</f>
        <v/>
      </c>
      <c r="C265" s="5"/>
      <c r="D265" s="5" t="str">
        <f ca="1">IFERROR(__xludf.DUMMYFUNCTION("if(ISBLANK(C265),,QUERY(MD!$A$2:$D$1000,""Select D where C = '""&amp; C265 &amp;""'""))"),"")</f>
        <v/>
      </c>
      <c r="E265" s="59" t="str">
        <f ca="1">IFERROR(__xludf.DUMMYFUNCTION("if(ISBLANK(C265),,QUERY(MD!$A$2:$D$1000,""Select B where C = '""&amp; C265 &amp;""'""))"),"")</f>
        <v/>
      </c>
      <c r="F265" s="5">
        <f t="shared" ca="1" si="2"/>
        <v>0</v>
      </c>
      <c r="G265" s="32" t="str">
        <f ca="1">IFERROR(__xludf.DUMMYFUNCTION("if($F265&gt;=1,QUERY(Loot!$A$2:$G$904,""Select G where A = '""&amp; $E265 &amp;""' AND D &gt;= ""&amp; Q265  &amp;"" LIMIT 1""),)"),"")</f>
        <v/>
      </c>
      <c r="H265" s="61"/>
      <c r="I265" s="32" t="str">
        <f ca="1">IFERROR(__xludf.DUMMYFUNCTION("if($F265&gt;=2,QUERY(Loot!$A$2:$G$904,""Select G where A = '""&amp; $E265 &amp;""' AND D &gt;= ""&amp; R265 &amp;"" LIMIT 1""),)"),"")</f>
        <v/>
      </c>
      <c r="J265" s="61"/>
      <c r="K265" s="32" t="str">
        <f ca="1">IFERROR(__xludf.DUMMYFUNCTION("if($F265&gt;=3,QUERY(Loot!$A$2:$G$904,""Select G where A = '""&amp; $E265 &amp;""' AND D &gt;= ""&amp; S265  &amp;"" LIMIT 1""),)"),"")</f>
        <v/>
      </c>
      <c r="L265" s="61"/>
      <c r="M265" s="32" t="str">
        <f ca="1">IFERROR(__xludf.DUMMYFUNCTION("if($F265&gt;=4,QUERY(Loot!$A$2:$G$904,""Select G where A = '""&amp; $E265 &amp;""' AND D &gt;= ""&amp;T265 &amp;"" LIMIT 1""),)"),"")</f>
        <v/>
      </c>
      <c r="N265" s="61"/>
      <c r="O265" s="32" t="str">
        <f ca="1">IFERROR(__xludf.DUMMYFUNCTION("if($F265&gt;=5,QUERY(Loot!$A$2:$G$904,""Select G where A = '""&amp; $E265 &amp;""' AND D &gt;= ""&amp; U265 &amp;"" LIMIT 1""),)"),"")</f>
        <v/>
      </c>
      <c r="P265" s="61"/>
      <c r="Q265" s="62">
        <v>0.7437196777316688</v>
      </c>
      <c r="R265" s="63">
        <v>0.33195272058327385</v>
      </c>
      <c r="S265" s="63">
        <v>0.76554767539688573</v>
      </c>
      <c r="T265" s="63">
        <v>0.83241776339121532</v>
      </c>
      <c r="U265" s="63">
        <v>0.9567702478995036</v>
      </c>
    </row>
    <row r="266" spans="1:21" ht="16.2">
      <c r="A266" s="5">
        <f t="shared" ca="1" si="3"/>
        <v>265</v>
      </c>
      <c r="B266" s="5" t="str">
        <f ca="1">IFERROR(__xludf.DUMMYFUNCTION("if(ISBLANK(C266),,QUERY(MD!A267:D1265,""Select A where C = '""&amp; C266 &amp;""'""))"),"")</f>
        <v/>
      </c>
      <c r="C266" s="5"/>
      <c r="D266" s="5" t="str">
        <f ca="1">IFERROR(__xludf.DUMMYFUNCTION("if(ISBLANK(C266),,QUERY(MD!$A$2:$D$1000,""Select D where C = '""&amp; C266 &amp;""'""))"),"")</f>
        <v/>
      </c>
      <c r="E266" s="59" t="str">
        <f ca="1">IFERROR(__xludf.DUMMYFUNCTION("if(ISBLANK(C266),,QUERY(MD!$A$2:$D$1000,""Select B where C = '""&amp; C266 &amp;""'""))"),"")</f>
        <v/>
      </c>
      <c r="F266" s="5">
        <f t="shared" ca="1" si="2"/>
        <v>0</v>
      </c>
      <c r="G266" s="32" t="str">
        <f ca="1">IFERROR(__xludf.DUMMYFUNCTION("if($F266&gt;=1,QUERY(Loot!$A$2:$G$904,""Select G where A = '""&amp; $E266 &amp;""' AND D &gt;= ""&amp; Q266  &amp;"" LIMIT 1""),)"),"")</f>
        <v/>
      </c>
      <c r="H266" s="61"/>
      <c r="I266" s="32" t="str">
        <f ca="1">IFERROR(__xludf.DUMMYFUNCTION("if($F266&gt;=2,QUERY(Loot!$A$2:$G$904,""Select G where A = '""&amp; $E266 &amp;""' AND D &gt;= ""&amp; R266 &amp;"" LIMIT 1""),)"),"")</f>
        <v/>
      </c>
      <c r="J266" s="61"/>
      <c r="K266" s="32" t="str">
        <f ca="1">IFERROR(__xludf.DUMMYFUNCTION("if($F266&gt;=3,QUERY(Loot!$A$2:$G$904,""Select G where A = '""&amp; $E266 &amp;""' AND D &gt;= ""&amp; S266  &amp;"" LIMIT 1""),)"),"")</f>
        <v/>
      </c>
      <c r="L266" s="61"/>
      <c r="M266" s="32" t="str">
        <f ca="1">IFERROR(__xludf.DUMMYFUNCTION("if($F266&gt;=4,QUERY(Loot!$A$2:$G$904,""Select G where A = '""&amp; $E266 &amp;""' AND D &gt;= ""&amp;T266 &amp;"" LIMIT 1""),)"),"")</f>
        <v/>
      </c>
      <c r="N266" s="61"/>
      <c r="O266" s="32" t="str">
        <f ca="1">IFERROR(__xludf.DUMMYFUNCTION("if($F266&gt;=5,QUERY(Loot!$A$2:$G$904,""Select G where A = '""&amp; $E266 &amp;""' AND D &gt;= ""&amp; U266 &amp;"" LIMIT 1""),)"),"")</f>
        <v/>
      </c>
      <c r="P266" s="61"/>
      <c r="Q266" s="62">
        <v>0.2710696892220531</v>
      </c>
      <c r="R266" s="63">
        <v>0.32179513065610732</v>
      </c>
      <c r="S266" s="63">
        <v>0.75169161528471717</v>
      </c>
      <c r="T266" s="63">
        <v>0.2196512198802586</v>
      </c>
      <c r="U266" s="63">
        <v>0.79236376577259882</v>
      </c>
    </row>
    <row r="267" spans="1:21" ht="16.2">
      <c r="A267" s="5">
        <f t="shared" ca="1" si="3"/>
        <v>266</v>
      </c>
      <c r="B267" s="5" t="str">
        <f ca="1">IFERROR(__xludf.DUMMYFUNCTION("if(ISBLANK(C267),,QUERY(MD!A268:D1266,""Select A where C = '""&amp; C267 &amp;""'""))"),"")</f>
        <v/>
      </c>
      <c r="C267" s="5"/>
      <c r="D267" s="5" t="str">
        <f ca="1">IFERROR(__xludf.DUMMYFUNCTION("if(ISBLANK(C267),,QUERY(MD!$A$2:$D$1000,""Select D where C = '""&amp; C267 &amp;""'""))"),"")</f>
        <v/>
      </c>
      <c r="E267" s="59" t="str">
        <f ca="1">IFERROR(__xludf.DUMMYFUNCTION("if(ISBLANK(C267),,QUERY(MD!$A$2:$D$1000,""Select B where C = '""&amp; C267 &amp;""'""))"),"")</f>
        <v/>
      </c>
      <c r="F267" s="5">
        <f t="shared" ca="1" si="2"/>
        <v>0</v>
      </c>
      <c r="G267" s="32" t="str">
        <f ca="1">IFERROR(__xludf.DUMMYFUNCTION("if($F267&gt;=1,QUERY(Loot!$A$2:$G$904,""Select G where A = '""&amp; $E267 &amp;""' AND D &gt;= ""&amp; Q267  &amp;"" LIMIT 1""),)"),"")</f>
        <v/>
      </c>
      <c r="H267" s="61"/>
      <c r="I267" s="32" t="str">
        <f ca="1">IFERROR(__xludf.DUMMYFUNCTION("if($F267&gt;=2,QUERY(Loot!$A$2:$G$904,""Select G where A = '""&amp; $E267 &amp;""' AND D &gt;= ""&amp; R267 &amp;"" LIMIT 1""),)"),"")</f>
        <v/>
      </c>
      <c r="J267" s="61"/>
      <c r="K267" s="32" t="str">
        <f ca="1">IFERROR(__xludf.DUMMYFUNCTION("if($F267&gt;=3,QUERY(Loot!$A$2:$G$904,""Select G where A = '""&amp; $E267 &amp;""' AND D &gt;= ""&amp; S267  &amp;"" LIMIT 1""),)"),"")</f>
        <v/>
      </c>
      <c r="L267" s="61"/>
      <c r="M267" s="32" t="str">
        <f ca="1">IFERROR(__xludf.DUMMYFUNCTION("if($F267&gt;=4,QUERY(Loot!$A$2:$G$904,""Select G where A = '""&amp; $E267 &amp;""' AND D &gt;= ""&amp;T267 &amp;"" LIMIT 1""),)"),"")</f>
        <v/>
      </c>
      <c r="N267" s="61"/>
      <c r="O267" s="32" t="str">
        <f ca="1">IFERROR(__xludf.DUMMYFUNCTION("if($F267&gt;=5,QUERY(Loot!$A$2:$G$904,""Select G where A = '""&amp; $E267 &amp;""' AND D &gt;= ""&amp; U267 &amp;"" LIMIT 1""),)"),"")</f>
        <v/>
      </c>
      <c r="P267" s="61"/>
      <c r="Q267" s="62">
        <v>0.19350710208567912</v>
      </c>
      <c r="R267" s="63">
        <v>0.2328323400552218</v>
      </c>
      <c r="S267" s="63">
        <v>0.33335751455341922</v>
      </c>
      <c r="T267" s="63">
        <v>0.37764143572148889</v>
      </c>
      <c r="U267" s="63">
        <v>4.1088860659519111E-2</v>
      </c>
    </row>
    <row r="268" spans="1:21" ht="16.2">
      <c r="A268" s="5">
        <f t="shared" ca="1" si="3"/>
        <v>267</v>
      </c>
      <c r="B268" s="5" t="str">
        <f ca="1">IFERROR(__xludf.DUMMYFUNCTION("if(ISBLANK(C268),,QUERY(MD!A269:D1267,""Select A where C = '""&amp; C268 &amp;""'""))"),"")</f>
        <v/>
      </c>
      <c r="C268" s="5"/>
      <c r="D268" s="5" t="str">
        <f ca="1">IFERROR(__xludf.DUMMYFUNCTION("if(ISBLANK(C268),,QUERY(MD!$A$2:$D$1000,""Select D where C = '""&amp; C268 &amp;""'""))"),"")</f>
        <v/>
      </c>
      <c r="E268" s="59" t="str">
        <f ca="1">IFERROR(__xludf.DUMMYFUNCTION("if(ISBLANK(C268),,QUERY(MD!$A$2:$D$1000,""Select B where C = '""&amp; C268 &amp;""'""))"),"")</f>
        <v/>
      </c>
      <c r="F268" s="5">
        <f t="shared" ca="1" si="2"/>
        <v>0</v>
      </c>
      <c r="G268" s="32" t="str">
        <f ca="1">IFERROR(__xludf.DUMMYFUNCTION("if($F268&gt;=1,QUERY(Loot!$A$2:$G$904,""Select G where A = '""&amp; $E268 &amp;""' AND D &gt;= ""&amp; Q268  &amp;"" LIMIT 1""),)"),"")</f>
        <v/>
      </c>
      <c r="H268" s="61"/>
      <c r="I268" s="32" t="str">
        <f ca="1">IFERROR(__xludf.DUMMYFUNCTION("if($F268&gt;=2,QUERY(Loot!$A$2:$G$904,""Select G where A = '""&amp; $E268 &amp;""' AND D &gt;= ""&amp; R268 &amp;"" LIMIT 1""),)"),"")</f>
        <v/>
      </c>
      <c r="J268" s="61"/>
      <c r="K268" s="32" t="str">
        <f ca="1">IFERROR(__xludf.DUMMYFUNCTION("if($F268&gt;=3,QUERY(Loot!$A$2:$G$904,""Select G where A = '""&amp; $E268 &amp;""' AND D &gt;= ""&amp; S268  &amp;"" LIMIT 1""),)"),"")</f>
        <v/>
      </c>
      <c r="L268" s="61"/>
      <c r="M268" s="32" t="str">
        <f ca="1">IFERROR(__xludf.DUMMYFUNCTION("if($F268&gt;=4,QUERY(Loot!$A$2:$G$904,""Select G where A = '""&amp; $E268 &amp;""' AND D &gt;= ""&amp;T268 &amp;"" LIMIT 1""),)"),"")</f>
        <v/>
      </c>
      <c r="N268" s="61"/>
      <c r="O268" s="32" t="str">
        <f ca="1">IFERROR(__xludf.DUMMYFUNCTION("if($F268&gt;=5,QUERY(Loot!$A$2:$G$904,""Select G where A = '""&amp; $E268 &amp;""' AND D &gt;= ""&amp; U268 &amp;"" LIMIT 1""),)"),"")</f>
        <v/>
      </c>
      <c r="P268" s="61"/>
      <c r="Q268" s="62">
        <v>0.32350333200938064</v>
      </c>
      <c r="R268" s="63">
        <v>0.38412512923205178</v>
      </c>
      <c r="S268" s="63">
        <v>0.19746193637999743</v>
      </c>
      <c r="T268" s="63">
        <v>0.80702014390337784</v>
      </c>
      <c r="U268" s="63">
        <v>0.16503789647620626</v>
      </c>
    </row>
    <row r="269" spans="1:21" ht="16.2">
      <c r="A269" s="5">
        <f t="shared" ca="1" si="3"/>
        <v>268</v>
      </c>
      <c r="B269" s="5" t="str">
        <f ca="1">IFERROR(__xludf.DUMMYFUNCTION("if(ISBLANK(C269),,QUERY(MD!A270:D1268,""Select A where C = '""&amp; C269 &amp;""'""))"),"")</f>
        <v/>
      </c>
      <c r="C269" s="5"/>
      <c r="D269" s="5" t="str">
        <f ca="1">IFERROR(__xludf.DUMMYFUNCTION("if(ISBLANK(C269),,QUERY(MD!$A$2:$D$1000,""Select D where C = '""&amp; C269 &amp;""'""))"),"")</f>
        <v/>
      </c>
      <c r="E269" s="59" t="str">
        <f ca="1">IFERROR(__xludf.DUMMYFUNCTION("if(ISBLANK(C269),,QUERY(MD!$A$2:$D$1000,""Select B where C = '""&amp; C269 &amp;""'""))"),"")</f>
        <v/>
      </c>
      <c r="F269" s="5">
        <f t="shared" ca="1" si="2"/>
        <v>0</v>
      </c>
      <c r="G269" s="32" t="str">
        <f ca="1">IFERROR(__xludf.DUMMYFUNCTION("if($F269&gt;=1,QUERY(Loot!$A$2:$G$904,""Select G where A = '""&amp; $E269 &amp;""' AND D &gt;= ""&amp; Q269  &amp;"" LIMIT 1""),)"),"")</f>
        <v/>
      </c>
      <c r="H269" s="61"/>
      <c r="I269" s="32" t="str">
        <f ca="1">IFERROR(__xludf.DUMMYFUNCTION("if($F269&gt;=2,QUERY(Loot!$A$2:$G$904,""Select G where A = '""&amp; $E269 &amp;""' AND D &gt;= ""&amp; R269 &amp;"" LIMIT 1""),)"),"")</f>
        <v/>
      </c>
      <c r="J269" s="61"/>
      <c r="K269" s="32" t="str">
        <f ca="1">IFERROR(__xludf.DUMMYFUNCTION("if($F269&gt;=3,QUERY(Loot!$A$2:$G$904,""Select G where A = '""&amp; $E269 &amp;""' AND D &gt;= ""&amp; S269  &amp;"" LIMIT 1""),)"),"")</f>
        <v/>
      </c>
      <c r="L269" s="61"/>
      <c r="M269" s="32" t="str">
        <f ca="1">IFERROR(__xludf.DUMMYFUNCTION("if($F269&gt;=4,QUERY(Loot!$A$2:$G$904,""Select G where A = '""&amp; $E269 &amp;""' AND D &gt;= ""&amp;T269 &amp;"" LIMIT 1""),)"),"")</f>
        <v/>
      </c>
      <c r="N269" s="61"/>
      <c r="O269" s="32" t="str">
        <f ca="1">IFERROR(__xludf.DUMMYFUNCTION("if($F269&gt;=5,QUERY(Loot!$A$2:$G$904,""Select G where A = '""&amp; $E269 &amp;""' AND D &gt;= ""&amp; U269 &amp;"" LIMIT 1""),)"),"")</f>
        <v/>
      </c>
      <c r="P269" s="61"/>
      <c r="Q269" s="62">
        <v>0.43786376105405211</v>
      </c>
      <c r="R269" s="63">
        <v>0.96195673294899553</v>
      </c>
      <c r="S269" s="63">
        <v>0.83700049669146082</v>
      </c>
      <c r="T269" s="63">
        <v>3.2105526713597565E-2</v>
      </c>
      <c r="U269" s="63">
        <v>0.93873033646261705</v>
      </c>
    </row>
    <row r="270" spans="1:21" ht="16.2">
      <c r="A270" s="5">
        <f t="shared" ca="1" si="3"/>
        <v>269</v>
      </c>
      <c r="B270" s="5" t="str">
        <f ca="1">IFERROR(__xludf.DUMMYFUNCTION("if(ISBLANK(C270),,QUERY(MD!A271:D1269,""Select A where C = '""&amp; C270 &amp;""'""))"),"")</f>
        <v/>
      </c>
      <c r="C270" s="5"/>
      <c r="D270" s="5" t="str">
        <f ca="1">IFERROR(__xludf.DUMMYFUNCTION("if(ISBLANK(C270),,QUERY(MD!$A$2:$D$1000,""Select D where C = '""&amp; C270 &amp;""'""))"),"")</f>
        <v/>
      </c>
      <c r="E270" s="59" t="str">
        <f ca="1">IFERROR(__xludf.DUMMYFUNCTION("if(ISBLANK(C270),,QUERY(MD!$A$2:$D$1000,""Select B where C = '""&amp; C270 &amp;""'""))"),"")</f>
        <v/>
      </c>
      <c r="F270" s="5">
        <f t="shared" ca="1" si="2"/>
        <v>0</v>
      </c>
      <c r="G270" s="32" t="str">
        <f ca="1">IFERROR(__xludf.DUMMYFUNCTION("if($F270&gt;=1,QUERY(Loot!$A$2:$G$904,""Select G where A = '""&amp; $E270 &amp;""' AND D &gt;= ""&amp; Q270  &amp;"" LIMIT 1""),)"),"")</f>
        <v/>
      </c>
      <c r="H270" s="61"/>
      <c r="I270" s="32" t="str">
        <f ca="1">IFERROR(__xludf.DUMMYFUNCTION("if($F270&gt;=2,QUERY(Loot!$A$2:$G$904,""Select G where A = '""&amp; $E270 &amp;""' AND D &gt;= ""&amp; R270 &amp;"" LIMIT 1""),)"),"")</f>
        <v/>
      </c>
      <c r="J270" s="61"/>
      <c r="K270" s="32" t="str">
        <f ca="1">IFERROR(__xludf.DUMMYFUNCTION("if($F270&gt;=3,QUERY(Loot!$A$2:$G$904,""Select G where A = '""&amp; $E270 &amp;""' AND D &gt;= ""&amp; S270  &amp;"" LIMIT 1""),)"),"")</f>
        <v/>
      </c>
      <c r="L270" s="61"/>
      <c r="M270" s="32" t="str">
        <f ca="1">IFERROR(__xludf.DUMMYFUNCTION("if($F270&gt;=4,QUERY(Loot!$A$2:$G$904,""Select G where A = '""&amp; $E270 &amp;""' AND D &gt;= ""&amp;T270 &amp;"" LIMIT 1""),)"),"")</f>
        <v/>
      </c>
      <c r="N270" s="61"/>
      <c r="O270" s="32" t="str">
        <f ca="1">IFERROR(__xludf.DUMMYFUNCTION("if($F270&gt;=5,QUERY(Loot!$A$2:$G$904,""Select G where A = '""&amp; $E270 &amp;""' AND D &gt;= ""&amp; U270 &amp;"" LIMIT 1""),)"),"")</f>
        <v/>
      </c>
      <c r="P270" s="61"/>
      <c r="Q270" s="62">
        <v>0.30651611789522504</v>
      </c>
      <c r="R270" s="63">
        <v>0.42241336565740739</v>
      </c>
      <c r="S270" s="63">
        <v>0.18753443180250695</v>
      </c>
      <c r="T270" s="63">
        <v>0.49839698657741793</v>
      </c>
      <c r="U270" s="63">
        <v>0.37863345224339917</v>
      </c>
    </row>
    <row r="271" spans="1:21" ht="16.2">
      <c r="A271" s="5">
        <f t="shared" ca="1" si="3"/>
        <v>270</v>
      </c>
      <c r="B271" s="5" t="str">
        <f ca="1">IFERROR(__xludf.DUMMYFUNCTION("if(ISBLANK(C271),,QUERY(MD!A272:D1270,""Select A where C = '""&amp; C271 &amp;""'""))"),"")</f>
        <v/>
      </c>
      <c r="C271" s="5"/>
      <c r="D271" s="5" t="str">
        <f ca="1">IFERROR(__xludf.DUMMYFUNCTION("if(ISBLANK(C271),,QUERY(MD!$A$2:$D$1000,""Select D where C = '""&amp; C271 &amp;""'""))"),"")</f>
        <v/>
      </c>
      <c r="E271" s="59" t="str">
        <f ca="1">IFERROR(__xludf.DUMMYFUNCTION("if(ISBLANK(C271),,QUERY(MD!$A$2:$D$1000,""Select B where C = '""&amp; C271 &amp;""'""))"),"")</f>
        <v/>
      </c>
      <c r="F271" s="5">
        <f t="shared" ca="1" si="2"/>
        <v>0</v>
      </c>
      <c r="G271" s="32" t="str">
        <f ca="1">IFERROR(__xludf.DUMMYFUNCTION("if($F271&gt;=1,QUERY(Loot!$A$2:$G$904,""Select G where A = '""&amp; $E271 &amp;""' AND D &gt;= ""&amp; Q271  &amp;"" LIMIT 1""),)"),"")</f>
        <v/>
      </c>
      <c r="H271" s="61"/>
      <c r="I271" s="32" t="str">
        <f ca="1">IFERROR(__xludf.DUMMYFUNCTION("if($F271&gt;=2,QUERY(Loot!$A$2:$G$904,""Select G where A = '""&amp; $E271 &amp;""' AND D &gt;= ""&amp; R271 &amp;"" LIMIT 1""),)"),"")</f>
        <v/>
      </c>
      <c r="J271" s="61"/>
      <c r="K271" s="32" t="str">
        <f ca="1">IFERROR(__xludf.DUMMYFUNCTION("if($F271&gt;=3,QUERY(Loot!$A$2:$G$904,""Select G where A = '""&amp; $E271 &amp;""' AND D &gt;= ""&amp; S271  &amp;"" LIMIT 1""),)"),"")</f>
        <v/>
      </c>
      <c r="L271" s="61"/>
      <c r="M271" s="32" t="str">
        <f ca="1">IFERROR(__xludf.DUMMYFUNCTION("if($F271&gt;=4,QUERY(Loot!$A$2:$G$904,""Select G where A = '""&amp; $E271 &amp;""' AND D &gt;= ""&amp;T271 &amp;"" LIMIT 1""),)"),"")</f>
        <v/>
      </c>
      <c r="N271" s="61"/>
      <c r="O271" s="32" t="str">
        <f ca="1">IFERROR(__xludf.DUMMYFUNCTION("if($F271&gt;=5,QUERY(Loot!$A$2:$G$904,""Select G where A = '""&amp; $E271 &amp;""' AND D &gt;= ""&amp; U271 &amp;"" LIMIT 1""),)"),"")</f>
        <v/>
      </c>
      <c r="P271" s="61"/>
      <c r="Q271" s="62">
        <v>0.42771437466050022</v>
      </c>
      <c r="R271" s="63">
        <v>5.8912244693086868E-2</v>
      </c>
      <c r="S271" s="63">
        <v>0.22448181356046848</v>
      </c>
      <c r="T271" s="63">
        <v>0.29317382600093989</v>
      </c>
      <c r="U271" s="63">
        <v>0.26888666455645938</v>
      </c>
    </row>
    <row r="272" spans="1:21" ht="16.2">
      <c r="A272" s="5">
        <f t="shared" ca="1" si="3"/>
        <v>271</v>
      </c>
      <c r="B272" s="5" t="str">
        <f ca="1">IFERROR(__xludf.DUMMYFUNCTION("if(ISBLANK(C272),,QUERY(MD!A273:D1271,""Select A where C = '""&amp; C272 &amp;""'""))"),"")</f>
        <v/>
      </c>
      <c r="C272" s="5"/>
      <c r="D272" s="5" t="str">
        <f ca="1">IFERROR(__xludf.DUMMYFUNCTION("if(ISBLANK(C272),,QUERY(MD!$A$2:$D$1000,""Select D where C = '""&amp; C272 &amp;""'""))"),"")</f>
        <v/>
      </c>
      <c r="E272" s="59" t="str">
        <f ca="1">IFERROR(__xludf.DUMMYFUNCTION("if(ISBLANK(C272),,QUERY(MD!$A$2:$D$1000,""Select B where C = '""&amp; C272 &amp;""'""))"),"")</f>
        <v/>
      </c>
      <c r="F272" s="5">
        <f t="shared" ca="1" si="2"/>
        <v>0</v>
      </c>
      <c r="G272" s="32" t="str">
        <f ca="1">IFERROR(__xludf.DUMMYFUNCTION("if($F272&gt;=1,QUERY(Loot!$A$2:$G$904,""Select G where A = '""&amp; $E272 &amp;""' AND D &gt;= ""&amp; Q272  &amp;"" LIMIT 1""),)"),"")</f>
        <v/>
      </c>
      <c r="H272" s="61"/>
      <c r="I272" s="32" t="str">
        <f ca="1">IFERROR(__xludf.DUMMYFUNCTION("if($F272&gt;=2,QUERY(Loot!$A$2:$G$904,""Select G where A = '""&amp; $E272 &amp;""' AND D &gt;= ""&amp; R272 &amp;"" LIMIT 1""),)"),"")</f>
        <v/>
      </c>
      <c r="J272" s="61"/>
      <c r="K272" s="32" t="str">
        <f ca="1">IFERROR(__xludf.DUMMYFUNCTION("if($F272&gt;=3,QUERY(Loot!$A$2:$G$904,""Select G where A = '""&amp; $E272 &amp;""' AND D &gt;= ""&amp; S272  &amp;"" LIMIT 1""),)"),"")</f>
        <v/>
      </c>
      <c r="L272" s="61"/>
      <c r="M272" s="32" t="str">
        <f ca="1">IFERROR(__xludf.DUMMYFUNCTION("if($F272&gt;=4,QUERY(Loot!$A$2:$G$904,""Select G where A = '""&amp; $E272 &amp;""' AND D &gt;= ""&amp;T272 &amp;"" LIMIT 1""),)"),"")</f>
        <v/>
      </c>
      <c r="N272" s="61"/>
      <c r="O272" s="32" t="str">
        <f ca="1">IFERROR(__xludf.DUMMYFUNCTION("if($F272&gt;=5,QUERY(Loot!$A$2:$G$904,""Select G where A = '""&amp; $E272 &amp;""' AND D &gt;= ""&amp; U272 &amp;"" LIMIT 1""),)"),"")</f>
        <v/>
      </c>
      <c r="P272" s="61"/>
      <c r="Q272" s="62">
        <v>1.0188879791981797E-2</v>
      </c>
      <c r="R272" s="63">
        <v>0.72977419627705731</v>
      </c>
      <c r="S272" s="63">
        <v>0.90556059310533721</v>
      </c>
      <c r="T272" s="63">
        <v>0.14289705475018222</v>
      </c>
      <c r="U272" s="63">
        <v>2.9357112448806122E-2</v>
      </c>
    </row>
    <row r="273" spans="1:21" ht="16.2">
      <c r="A273" s="5">
        <f t="shared" ca="1" si="3"/>
        <v>272</v>
      </c>
      <c r="B273" s="5" t="str">
        <f ca="1">IFERROR(__xludf.DUMMYFUNCTION("if(ISBLANK(C273),,QUERY(MD!A274:D1272,""Select A where C = '""&amp; C273 &amp;""'""))"),"")</f>
        <v/>
      </c>
      <c r="C273" s="5"/>
      <c r="D273" s="5" t="str">
        <f ca="1">IFERROR(__xludf.DUMMYFUNCTION("if(ISBLANK(C273),,QUERY(MD!$A$2:$D$1000,""Select D where C = '""&amp; C273 &amp;""'""))"),"")</f>
        <v/>
      </c>
      <c r="E273" s="59" t="str">
        <f ca="1">IFERROR(__xludf.DUMMYFUNCTION("if(ISBLANK(C273),,QUERY(MD!$A$2:$D$1000,""Select B where C = '""&amp; C273 &amp;""'""))"),"")</f>
        <v/>
      </c>
      <c r="F273" s="5">
        <f t="shared" ca="1" si="2"/>
        <v>0</v>
      </c>
      <c r="G273" s="32" t="str">
        <f ca="1">IFERROR(__xludf.DUMMYFUNCTION("if($F273&gt;=1,QUERY(Loot!$A$2:$G$904,""Select G where A = '""&amp; $E273 &amp;""' AND D &gt;= ""&amp; Q273  &amp;"" LIMIT 1""),)"),"")</f>
        <v/>
      </c>
      <c r="H273" s="61"/>
      <c r="I273" s="32" t="str">
        <f ca="1">IFERROR(__xludf.DUMMYFUNCTION("if($F273&gt;=2,QUERY(Loot!$A$2:$G$904,""Select G where A = '""&amp; $E273 &amp;""' AND D &gt;= ""&amp; R273 &amp;"" LIMIT 1""),)"),"")</f>
        <v/>
      </c>
      <c r="J273" s="61"/>
      <c r="K273" s="32" t="str">
        <f ca="1">IFERROR(__xludf.DUMMYFUNCTION("if($F273&gt;=3,QUERY(Loot!$A$2:$G$904,""Select G where A = '""&amp; $E273 &amp;""' AND D &gt;= ""&amp; S273  &amp;"" LIMIT 1""),)"),"")</f>
        <v/>
      </c>
      <c r="L273" s="61"/>
      <c r="M273" s="32" t="str">
        <f ca="1">IFERROR(__xludf.DUMMYFUNCTION("if($F273&gt;=4,QUERY(Loot!$A$2:$G$904,""Select G where A = '""&amp; $E273 &amp;""' AND D &gt;= ""&amp;T273 &amp;"" LIMIT 1""),)"),"")</f>
        <v/>
      </c>
      <c r="N273" s="61"/>
      <c r="O273" s="32" t="str">
        <f ca="1">IFERROR(__xludf.DUMMYFUNCTION("if($F273&gt;=5,QUERY(Loot!$A$2:$G$904,""Select G where A = '""&amp; $E273 &amp;""' AND D &gt;= ""&amp; U273 &amp;"" LIMIT 1""),)"),"")</f>
        <v/>
      </c>
      <c r="P273" s="61"/>
      <c r="Q273" s="62">
        <v>0.4883011562583367</v>
      </c>
      <c r="R273" s="63">
        <v>0.91584952935540198</v>
      </c>
      <c r="S273" s="63">
        <v>7.3124281725784113E-2</v>
      </c>
      <c r="T273" s="63">
        <v>0.98238763331393542</v>
      </c>
      <c r="U273" s="63">
        <v>0.25994452656063494</v>
      </c>
    </row>
    <row r="274" spans="1:21" ht="16.2">
      <c r="A274" s="5">
        <f t="shared" ca="1" si="3"/>
        <v>273</v>
      </c>
      <c r="B274" s="5" t="str">
        <f ca="1">IFERROR(__xludf.DUMMYFUNCTION("if(ISBLANK(C274),,QUERY(MD!A275:D1273,""Select A where C = '""&amp; C274 &amp;""'""))"),"")</f>
        <v/>
      </c>
      <c r="C274" s="5"/>
      <c r="D274" s="5" t="str">
        <f ca="1">IFERROR(__xludf.DUMMYFUNCTION("if(ISBLANK(C274),,QUERY(MD!$A$2:$D$1000,""Select D where C = '""&amp; C274 &amp;""'""))"),"")</f>
        <v/>
      </c>
      <c r="E274" s="59" t="str">
        <f ca="1">IFERROR(__xludf.DUMMYFUNCTION("if(ISBLANK(C274),,QUERY(MD!$A$2:$D$1000,""Select B where C = '""&amp; C274 &amp;""'""))"),"")</f>
        <v/>
      </c>
      <c r="F274" s="5">
        <f t="shared" ca="1" si="2"/>
        <v>0</v>
      </c>
      <c r="G274" s="32" t="str">
        <f ca="1">IFERROR(__xludf.DUMMYFUNCTION("if($F274&gt;=1,QUERY(Loot!$A$2:$G$904,""Select G where A = '""&amp; $E274 &amp;""' AND D &gt;= ""&amp; Q274  &amp;"" LIMIT 1""),)"),"")</f>
        <v/>
      </c>
      <c r="H274" s="61"/>
      <c r="I274" s="32" t="str">
        <f ca="1">IFERROR(__xludf.DUMMYFUNCTION("if($F274&gt;=2,QUERY(Loot!$A$2:$G$904,""Select G where A = '""&amp; $E274 &amp;""' AND D &gt;= ""&amp; R274 &amp;"" LIMIT 1""),)"),"")</f>
        <v/>
      </c>
      <c r="J274" s="61"/>
      <c r="K274" s="32" t="str">
        <f ca="1">IFERROR(__xludf.DUMMYFUNCTION("if($F274&gt;=3,QUERY(Loot!$A$2:$G$904,""Select G where A = '""&amp; $E274 &amp;""' AND D &gt;= ""&amp; S274  &amp;"" LIMIT 1""),)"),"")</f>
        <v/>
      </c>
      <c r="L274" s="61"/>
      <c r="M274" s="32" t="str">
        <f ca="1">IFERROR(__xludf.DUMMYFUNCTION("if($F274&gt;=4,QUERY(Loot!$A$2:$G$904,""Select G where A = '""&amp; $E274 &amp;""' AND D &gt;= ""&amp;T274 &amp;"" LIMIT 1""),)"),"")</f>
        <v/>
      </c>
      <c r="N274" s="61"/>
      <c r="O274" s="32" t="str">
        <f ca="1">IFERROR(__xludf.DUMMYFUNCTION("if($F274&gt;=5,QUERY(Loot!$A$2:$G$904,""Select G where A = '""&amp; $E274 &amp;""' AND D &gt;= ""&amp; U274 &amp;"" LIMIT 1""),)"),"")</f>
        <v/>
      </c>
      <c r="P274" s="61"/>
      <c r="Q274" s="62">
        <v>0.66138747675114884</v>
      </c>
      <c r="R274" s="63">
        <v>3.2020562014823395E-2</v>
      </c>
      <c r="S274" s="63">
        <v>0.69394744480471171</v>
      </c>
      <c r="T274" s="63">
        <v>0.8922337638543606</v>
      </c>
      <c r="U274" s="63">
        <v>8.1728441679849828E-2</v>
      </c>
    </row>
    <row r="275" spans="1:21" ht="16.2">
      <c r="A275" s="5">
        <f t="shared" ca="1" si="3"/>
        <v>274</v>
      </c>
      <c r="B275" s="5" t="str">
        <f ca="1">IFERROR(__xludf.DUMMYFUNCTION("if(ISBLANK(C275),,QUERY(MD!A276:D1274,""Select A where C = '""&amp; C275 &amp;""'""))"),"")</f>
        <v/>
      </c>
      <c r="C275" s="5"/>
      <c r="D275" s="5" t="str">
        <f ca="1">IFERROR(__xludf.DUMMYFUNCTION("if(ISBLANK(C275),,QUERY(MD!$A$2:$D$1000,""Select D where C = '""&amp; C275 &amp;""'""))"),"")</f>
        <v/>
      </c>
      <c r="E275" s="59" t="str">
        <f ca="1">IFERROR(__xludf.DUMMYFUNCTION("if(ISBLANK(C275),,QUERY(MD!$A$2:$D$1000,""Select B where C = '""&amp; C275 &amp;""'""))"),"")</f>
        <v/>
      </c>
      <c r="F275" s="5">
        <f t="shared" ca="1" si="2"/>
        <v>0</v>
      </c>
      <c r="G275" s="32" t="str">
        <f ca="1">IFERROR(__xludf.DUMMYFUNCTION("if($F275&gt;=1,QUERY(Loot!$A$2:$G$904,""Select G where A = '""&amp; $E275 &amp;""' AND D &gt;= ""&amp; Q275  &amp;"" LIMIT 1""),)"),"")</f>
        <v/>
      </c>
      <c r="H275" s="61"/>
      <c r="I275" s="32" t="str">
        <f ca="1">IFERROR(__xludf.DUMMYFUNCTION("if($F275&gt;=2,QUERY(Loot!$A$2:$G$904,""Select G where A = '""&amp; $E275 &amp;""' AND D &gt;= ""&amp; R275 &amp;"" LIMIT 1""),)"),"")</f>
        <v/>
      </c>
      <c r="J275" s="61"/>
      <c r="K275" s="32" t="str">
        <f ca="1">IFERROR(__xludf.DUMMYFUNCTION("if($F275&gt;=3,QUERY(Loot!$A$2:$G$904,""Select G where A = '""&amp; $E275 &amp;""' AND D &gt;= ""&amp; S275  &amp;"" LIMIT 1""),)"),"")</f>
        <v/>
      </c>
      <c r="L275" s="61"/>
      <c r="M275" s="32" t="str">
        <f ca="1">IFERROR(__xludf.DUMMYFUNCTION("if($F275&gt;=4,QUERY(Loot!$A$2:$G$904,""Select G where A = '""&amp; $E275 &amp;""' AND D &gt;= ""&amp;T275 &amp;"" LIMIT 1""),)"),"")</f>
        <v/>
      </c>
      <c r="N275" s="61"/>
      <c r="O275" s="32" t="str">
        <f ca="1">IFERROR(__xludf.DUMMYFUNCTION("if($F275&gt;=5,QUERY(Loot!$A$2:$G$904,""Select G where A = '""&amp; $E275 &amp;""' AND D &gt;= ""&amp; U275 &amp;"" LIMIT 1""),)"),"")</f>
        <v/>
      </c>
      <c r="P275" s="61"/>
      <c r="Q275" s="62">
        <v>0.12980666740025937</v>
      </c>
      <c r="R275" s="63">
        <v>7.0313541646391808E-3</v>
      </c>
      <c r="S275" s="63">
        <v>0.92610214994548778</v>
      </c>
      <c r="T275" s="63">
        <v>0.24670653365130102</v>
      </c>
      <c r="U275" s="63">
        <v>0.61678928891609541</v>
      </c>
    </row>
    <row r="276" spans="1:21" ht="16.2">
      <c r="A276" s="5">
        <f t="shared" ca="1" si="3"/>
        <v>275</v>
      </c>
      <c r="B276" s="5" t="str">
        <f ca="1">IFERROR(__xludf.DUMMYFUNCTION("if(ISBLANK(C276),,QUERY(MD!A277:D1275,""Select A where C = '""&amp; C276 &amp;""'""))"),"")</f>
        <v/>
      </c>
      <c r="C276" s="5"/>
      <c r="D276" s="5" t="str">
        <f ca="1">IFERROR(__xludf.DUMMYFUNCTION("if(ISBLANK(C276),,QUERY(MD!$A$2:$D$1000,""Select D where C = '""&amp; C276 &amp;""'""))"),"")</f>
        <v/>
      </c>
      <c r="E276" s="59" t="str">
        <f ca="1">IFERROR(__xludf.DUMMYFUNCTION("if(ISBLANK(C276),,QUERY(MD!$A$2:$D$1000,""Select B where C = '""&amp; C276 &amp;""'""))"),"")</f>
        <v/>
      </c>
      <c r="F276" s="5">
        <f t="shared" ca="1" si="2"/>
        <v>0</v>
      </c>
      <c r="G276" s="32" t="str">
        <f ca="1">IFERROR(__xludf.DUMMYFUNCTION("if($F276&gt;=1,QUERY(Loot!$A$2:$G$904,""Select G where A = '""&amp; $E276 &amp;""' AND D &gt;= ""&amp; Q276  &amp;"" LIMIT 1""),)"),"")</f>
        <v/>
      </c>
      <c r="H276" s="61"/>
      <c r="I276" s="32" t="str">
        <f ca="1">IFERROR(__xludf.DUMMYFUNCTION("if($F276&gt;=2,QUERY(Loot!$A$2:$G$904,""Select G where A = '""&amp; $E276 &amp;""' AND D &gt;= ""&amp; R276 &amp;"" LIMIT 1""),)"),"")</f>
        <v/>
      </c>
      <c r="J276" s="61"/>
      <c r="K276" s="32" t="str">
        <f ca="1">IFERROR(__xludf.DUMMYFUNCTION("if($F276&gt;=3,QUERY(Loot!$A$2:$G$904,""Select G where A = '""&amp; $E276 &amp;""' AND D &gt;= ""&amp; S276  &amp;"" LIMIT 1""),)"),"")</f>
        <v/>
      </c>
      <c r="L276" s="61"/>
      <c r="M276" s="32" t="str">
        <f ca="1">IFERROR(__xludf.DUMMYFUNCTION("if($F276&gt;=4,QUERY(Loot!$A$2:$G$904,""Select G where A = '""&amp; $E276 &amp;""' AND D &gt;= ""&amp;T276 &amp;"" LIMIT 1""),)"),"")</f>
        <v/>
      </c>
      <c r="N276" s="61"/>
      <c r="O276" s="32" t="str">
        <f ca="1">IFERROR(__xludf.DUMMYFUNCTION("if($F276&gt;=5,QUERY(Loot!$A$2:$G$904,""Select G where A = '""&amp; $E276 &amp;""' AND D &gt;= ""&amp; U276 &amp;"" LIMIT 1""),)"),"")</f>
        <v/>
      </c>
      <c r="P276" s="61"/>
      <c r="Q276" s="62">
        <v>0.14648874944611334</v>
      </c>
      <c r="R276" s="63">
        <v>8.1809223876447401E-2</v>
      </c>
      <c r="S276" s="63">
        <v>0.52704255125694432</v>
      </c>
      <c r="T276" s="63">
        <v>0.23692928291387205</v>
      </c>
      <c r="U276" s="63">
        <v>0.16552830451764433</v>
      </c>
    </row>
    <row r="277" spans="1:21" ht="16.2">
      <c r="A277" s="5">
        <f t="shared" ca="1" si="3"/>
        <v>276</v>
      </c>
      <c r="B277" s="5" t="str">
        <f ca="1">IFERROR(__xludf.DUMMYFUNCTION("if(ISBLANK(C277),,QUERY(MD!A278:D1276,""Select A where C = '""&amp; C277 &amp;""'""))"),"")</f>
        <v/>
      </c>
      <c r="C277" s="5"/>
      <c r="D277" s="5" t="str">
        <f ca="1">IFERROR(__xludf.DUMMYFUNCTION("if(ISBLANK(C277),,QUERY(MD!$A$2:$D$1000,""Select D where C = '""&amp; C277 &amp;""'""))"),"")</f>
        <v/>
      </c>
      <c r="E277" s="59" t="str">
        <f ca="1">IFERROR(__xludf.DUMMYFUNCTION("if(ISBLANK(C277),,QUERY(MD!$A$2:$D$1000,""Select B where C = '""&amp; C277 &amp;""'""))"),"")</f>
        <v/>
      </c>
      <c r="F277" s="5">
        <f t="shared" ca="1" si="2"/>
        <v>0</v>
      </c>
      <c r="G277" s="32" t="str">
        <f ca="1">IFERROR(__xludf.DUMMYFUNCTION("if($F277&gt;=1,QUERY(Loot!$A$2:$G$904,""Select G where A = '""&amp; $E277 &amp;""' AND D &gt;= ""&amp; Q277  &amp;"" LIMIT 1""),)"),"")</f>
        <v/>
      </c>
      <c r="H277" s="61"/>
      <c r="I277" s="32" t="str">
        <f ca="1">IFERROR(__xludf.DUMMYFUNCTION("if($F277&gt;=2,QUERY(Loot!$A$2:$G$904,""Select G where A = '""&amp; $E277 &amp;""' AND D &gt;= ""&amp; R277 &amp;"" LIMIT 1""),)"),"")</f>
        <v/>
      </c>
      <c r="J277" s="61"/>
      <c r="K277" s="32" t="str">
        <f ca="1">IFERROR(__xludf.DUMMYFUNCTION("if($F277&gt;=3,QUERY(Loot!$A$2:$G$904,""Select G where A = '""&amp; $E277 &amp;""' AND D &gt;= ""&amp; S277  &amp;"" LIMIT 1""),)"),"")</f>
        <v/>
      </c>
      <c r="L277" s="61"/>
      <c r="M277" s="32" t="str">
        <f ca="1">IFERROR(__xludf.DUMMYFUNCTION("if($F277&gt;=4,QUERY(Loot!$A$2:$G$904,""Select G where A = '""&amp; $E277 &amp;""' AND D &gt;= ""&amp;T277 &amp;"" LIMIT 1""),)"),"")</f>
        <v/>
      </c>
      <c r="N277" s="61"/>
      <c r="O277" s="32" t="str">
        <f ca="1">IFERROR(__xludf.DUMMYFUNCTION("if($F277&gt;=5,QUERY(Loot!$A$2:$G$904,""Select G where A = '""&amp; $E277 &amp;""' AND D &gt;= ""&amp; U277 &amp;"" LIMIT 1""),)"),"")</f>
        <v/>
      </c>
      <c r="P277" s="61"/>
      <c r="Q277" s="62">
        <v>0.88189562096307572</v>
      </c>
      <c r="R277" s="63">
        <v>0.95658634326367631</v>
      </c>
      <c r="S277" s="63">
        <v>0.29157754630193267</v>
      </c>
      <c r="T277" s="63">
        <v>0.98963596392001785</v>
      </c>
      <c r="U277" s="63">
        <v>0.37995096142536955</v>
      </c>
    </row>
    <row r="278" spans="1:21" ht="16.2">
      <c r="A278" s="5">
        <f t="shared" ca="1" si="3"/>
        <v>277</v>
      </c>
      <c r="B278" s="5" t="str">
        <f ca="1">IFERROR(__xludf.DUMMYFUNCTION("if(ISBLANK(C278),,QUERY(MD!A279:D1277,""Select A where C = '""&amp; C278 &amp;""'""))"),"")</f>
        <v/>
      </c>
      <c r="C278" s="5"/>
      <c r="D278" s="5" t="str">
        <f ca="1">IFERROR(__xludf.DUMMYFUNCTION("if(ISBLANK(C278),,QUERY(MD!$A$2:$D$1000,""Select D where C = '""&amp; C278 &amp;""'""))"),"")</f>
        <v/>
      </c>
      <c r="E278" s="59" t="str">
        <f ca="1">IFERROR(__xludf.DUMMYFUNCTION("if(ISBLANK(C278),,QUERY(MD!$A$2:$D$1000,""Select B where C = '""&amp; C278 &amp;""'""))"),"")</f>
        <v/>
      </c>
      <c r="F278" s="5">
        <f t="shared" ca="1" si="2"/>
        <v>0</v>
      </c>
      <c r="G278" s="32" t="str">
        <f ca="1">IFERROR(__xludf.DUMMYFUNCTION("if($F278&gt;=1,QUERY(Loot!$A$2:$G$904,""Select G where A = '""&amp; $E278 &amp;""' AND D &gt;= ""&amp; Q278  &amp;"" LIMIT 1""),)"),"")</f>
        <v/>
      </c>
      <c r="H278" s="61"/>
      <c r="I278" s="32" t="str">
        <f ca="1">IFERROR(__xludf.DUMMYFUNCTION("if($F278&gt;=2,QUERY(Loot!$A$2:$G$904,""Select G where A = '""&amp; $E278 &amp;""' AND D &gt;= ""&amp; R278 &amp;"" LIMIT 1""),)"),"")</f>
        <v/>
      </c>
      <c r="J278" s="61"/>
      <c r="K278" s="32" t="str">
        <f ca="1">IFERROR(__xludf.DUMMYFUNCTION("if($F278&gt;=3,QUERY(Loot!$A$2:$G$904,""Select G where A = '""&amp; $E278 &amp;""' AND D &gt;= ""&amp; S278  &amp;"" LIMIT 1""),)"),"")</f>
        <v/>
      </c>
      <c r="L278" s="61"/>
      <c r="M278" s="32" t="str">
        <f ca="1">IFERROR(__xludf.DUMMYFUNCTION("if($F278&gt;=4,QUERY(Loot!$A$2:$G$904,""Select G where A = '""&amp; $E278 &amp;""' AND D &gt;= ""&amp;T278 &amp;"" LIMIT 1""),)"),"")</f>
        <v/>
      </c>
      <c r="N278" s="61"/>
      <c r="O278" s="32" t="str">
        <f ca="1">IFERROR(__xludf.DUMMYFUNCTION("if($F278&gt;=5,QUERY(Loot!$A$2:$G$904,""Select G where A = '""&amp; $E278 &amp;""' AND D &gt;= ""&amp; U278 &amp;"" LIMIT 1""),)"),"")</f>
        <v/>
      </c>
      <c r="P278" s="61"/>
      <c r="Q278" s="62">
        <v>0.58627475070112667</v>
      </c>
      <c r="R278" s="63">
        <v>0.6248351564864375</v>
      </c>
      <c r="S278" s="63">
        <v>0.588942380450731</v>
      </c>
      <c r="T278" s="63">
        <v>0.20713937463326448</v>
      </c>
      <c r="U278" s="63">
        <v>0.66211093224624495</v>
      </c>
    </row>
    <row r="279" spans="1:21" ht="16.2">
      <c r="A279" s="5">
        <f t="shared" ca="1" si="3"/>
        <v>278</v>
      </c>
      <c r="B279" s="5" t="str">
        <f ca="1">IFERROR(__xludf.DUMMYFUNCTION("if(ISBLANK(C279),,QUERY(MD!A280:D1278,""Select A where C = '""&amp; C279 &amp;""'""))"),"")</f>
        <v/>
      </c>
      <c r="C279" s="5"/>
      <c r="D279" s="5" t="str">
        <f ca="1">IFERROR(__xludf.DUMMYFUNCTION("if(ISBLANK(C279),,QUERY(MD!$A$2:$D$1000,""Select D where C = '""&amp; C279 &amp;""'""))"),"")</f>
        <v/>
      </c>
      <c r="E279" s="59" t="str">
        <f ca="1">IFERROR(__xludf.DUMMYFUNCTION("if(ISBLANK(C279),,QUERY(MD!$A$2:$D$1000,""Select B where C = '""&amp; C279 &amp;""'""))"),"")</f>
        <v/>
      </c>
      <c r="F279" s="5">
        <f t="shared" ca="1" si="2"/>
        <v>0</v>
      </c>
      <c r="G279" s="32" t="str">
        <f ca="1">IFERROR(__xludf.DUMMYFUNCTION("if($F279&gt;=1,QUERY(Loot!$A$2:$G$904,""Select G where A = '""&amp; $E279 &amp;""' AND D &gt;= ""&amp; Q279  &amp;"" LIMIT 1""),)"),"")</f>
        <v/>
      </c>
      <c r="H279" s="61"/>
      <c r="I279" s="32" t="str">
        <f ca="1">IFERROR(__xludf.DUMMYFUNCTION("if($F279&gt;=2,QUERY(Loot!$A$2:$G$904,""Select G where A = '""&amp; $E279 &amp;""' AND D &gt;= ""&amp; R279 &amp;"" LIMIT 1""),)"),"")</f>
        <v/>
      </c>
      <c r="J279" s="61"/>
      <c r="K279" s="32" t="str">
        <f ca="1">IFERROR(__xludf.DUMMYFUNCTION("if($F279&gt;=3,QUERY(Loot!$A$2:$G$904,""Select G where A = '""&amp; $E279 &amp;""' AND D &gt;= ""&amp; S279  &amp;"" LIMIT 1""),)"),"")</f>
        <v/>
      </c>
      <c r="L279" s="61"/>
      <c r="M279" s="32" t="str">
        <f ca="1">IFERROR(__xludf.DUMMYFUNCTION("if($F279&gt;=4,QUERY(Loot!$A$2:$G$904,""Select G where A = '""&amp; $E279 &amp;""' AND D &gt;= ""&amp;T279 &amp;"" LIMIT 1""),)"),"")</f>
        <v/>
      </c>
      <c r="N279" s="61"/>
      <c r="O279" s="32" t="str">
        <f ca="1">IFERROR(__xludf.DUMMYFUNCTION("if($F279&gt;=5,QUERY(Loot!$A$2:$G$904,""Select G where A = '""&amp; $E279 &amp;""' AND D &gt;= ""&amp; U279 &amp;"" LIMIT 1""),)"),"")</f>
        <v/>
      </c>
      <c r="P279" s="61"/>
      <c r="Q279" s="62">
        <v>0.62578326293846676</v>
      </c>
      <c r="R279" s="63">
        <v>0.10792752544556539</v>
      </c>
      <c r="S279" s="63">
        <v>0.92284133596675433</v>
      </c>
      <c r="T279" s="63">
        <v>0.27294738062186485</v>
      </c>
      <c r="U279" s="63">
        <v>0.25786658302219678</v>
      </c>
    </row>
    <row r="280" spans="1:21" ht="16.2">
      <c r="A280" s="5">
        <f t="shared" ca="1" si="3"/>
        <v>279</v>
      </c>
      <c r="B280" s="5" t="str">
        <f ca="1">IFERROR(__xludf.DUMMYFUNCTION("if(ISBLANK(C280),,QUERY(MD!A281:D1279,""Select A where C = '""&amp; C280 &amp;""'""))"),"")</f>
        <v/>
      </c>
      <c r="C280" s="5"/>
      <c r="D280" s="5" t="str">
        <f ca="1">IFERROR(__xludf.DUMMYFUNCTION("if(ISBLANK(C280),,QUERY(MD!$A$2:$D$1000,""Select D where C = '""&amp; C280 &amp;""'""))"),"")</f>
        <v/>
      </c>
      <c r="E280" s="59" t="str">
        <f ca="1">IFERROR(__xludf.DUMMYFUNCTION("if(ISBLANK(C280),,QUERY(MD!$A$2:$D$1000,""Select B where C = '""&amp; C280 &amp;""'""))"),"")</f>
        <v/>
      </c>
      <c r="F280" s="5">
        <f t="shared" ca="1" si="2"/>
        <v>0</v>
      </c>
      <c r="G280" s="32" t="str">
        <f ca="1">IFERROR(__xludf.DUMMYFUNCTION("if($F280&gt;=1,QUERY(Loot!$A$2:$G$904,""Select G where A = '""&amp; $E280 &amp;""' AND D &gt;= ""&amp; Q280  &amp;"" LIMIT 1""),)"),"")</f>
        <v/>
      </c>
      <c r="H280" s="61"/>
      <c r="I280" s="32" t="str">
        <f ca="1">IFERROR(__xludf.DUMMYFUNCTION("if($F280&gt;=2,QUERY(Loot!$A$2:$G$904,""Select G where A = '""&amp; $E280 &amp;""' AND D &gt;= ""&amp; R280 &amp;"" LIMIT 1""),)"),"")</f>
        <v/>
      </c>
      <c r="J280" s="61"/>
      <c r="K280" s="32" t="str">
        <f ca="1">IFERROR(__xludf.DUMMYFUNCTION("if($F280&gt;=3,QUERY(Loot!$A$2:$G$904,""Select G where A = '""&amp; $E280 &amp;""' AND D &gt;= ""&amp; S280  &amp;"" LIMIT 1""),)"),"")</f>
        <v/>
      </c>
      <c r="L280" s="61"/>
      <c r="M280" s="32" t="str">
        <f ca="1">IFERROR(__xludf.DUMMYFUNCTION("if($F280&gt;=4,QUERY(Loot!$A$2:$G$904,""Select G where A = '""&amp; $E280 &amp;""' AND D &gt;= ""&amp;T280 &amp;"" LIMIT 1""),)"),"")</f>
        <v/>
      </c>
      <c r="N280" s="61"/>
      <c r="O280" s="32" t="str">
        <f ca="1">IFERROR(__xludf.DUMMYFUNCTION("if($F280&gt;=5,QUERY(Loot!$A$2:$G$904,""Select G where A = '""&amp; $E280 &amp;""' AND D &gt;= ""&amp; U280 &amp;"" LIMIT 1""),)"),"")</f>
        <v/>
      </c>
      <c r="P280" s="61"/>
      <c r="Q280" s="62">
        <v>0.36045237444333911</v>
      </c>
      <c r="R280" s="63">
        <v>0.96143419544058906</v>
      </c>
      <c r="S280" s="63">
        <v>0.70858183289725585</v>
      </c>
      <c r="T280" s="63">
        <v>7.2004708337813139E-2</v>
      </c>
      <c r="U280" s="63">
        <v>0.95845855642188471</v>
      </c>
    </row>
    <row r="281" spans="1:21" ht="16.2">
      <c r="A281" s="5">
        <f t="shared" ca="1" si="3"/>
        <v>280</v>
      </c>
      <c r="B281" s="5" t="str">
        <f ca="1">IFERROR(__xludf.DUMMYFUNCTION("if(ISBLANK(C281),,QUERY(MD!A282:D1280,""Select A where C = '""&amp; C281 &amp;""'""))"),"")</f>
        <v/>
      </c>
      <c r="C281" s="5"/>
      <c r="D281" s="5" t="str">
        <f ca="1">IFERROR(__xludf.DUMMYFUNCTION("if(ISBLANK(C281),,QUERY(MD!$A$2:$D$1000,""Select D where C = '""&amp; C281 &amp;""'""))"),"")</f>
        <v/>
      </c>
      <c r="E281" s="59" t="str">
        <f ca="1">IFERROR(__xludf.DUMMYFUNCTION("if(ISBLANK(C281),,QUERY(MD!$A$2:$D$1000,""Select B where C = '""&amp; C281 &amp;""'""))"),"")</f>
        <v/>
      </c>
      <c r="F281" s="5">
        <f t="shared" ca="1" si="2"/>
        <v>0</v>
      </c>
      <c r="G281" s="32" t="str">
        <f ca="1">IFERROR(__xludf.DUMMYFUNCTION("if($F281&gt;=1,QUERY(Loot!$A$2:$G$904,""Select G where A = '""&amp; $E281 &amp;""' AND D &gt;= ""&amp; Q281  &amp;"" LIMIT 1""),)"),"")</f>
        <v/>
      </c>
      <c r="H281" s="61"/>
      <c r="I281" s="32" t="str">
        <f ca="1">IFERROR(__xludf.DUMMYFUNCTION("if($F281&gt;=2,QUERY(Loot!$A$2:$G$904,""Select G where A = '""&amp; $E281 &amp;""' AND D &gt;= ""&amp; R281 &amp;"" LIMIT 1""),)"),"")</f>
        <v/>
      </c>
      <c r="J281" s="61"/>
      <c r="K281" s="32" t="str">
        <f ca="1">IFERROR(__xludf.DUMMYFUNCTION("if($F281&gt;=3,QUERY(Loot!$A$2:$G$904,""Select G where A = '""&amp; $E281 &amp;""' AND D &gt;= ""&amp; S281  &amp;"" LIMIT 1""),)"),"")</f>
        <v/>
      </c>
      <c r="L281" s="61"/>
      <c r="M281" s="32" t="str">
        <f ca="1">IFERROR(__xludf.DUMMYFUNCTION("if($F281&gt;=4,QUERY(Loot!$A$2:$G$904,""Select G where A = '""&amp; $E281 &amp;""' AND D &gt;= ""&amp;T281 &amp;"" LIMIT 1""),)"),"")</f>
        <v/>
      </c>
      <c r="N281" s="61"/>
      <c r="O281" s="32" t="str">
        <f ca="1">IFERROR(__xludf.DUMMYFUNCTION("if($F281&gt;=5,QUERY(Loot!$A$2:$G$904,""Select G where A = '""&amp; $E281 &amp;""' AND D &gt;= ""&amp; U281 &amp;"" LIMIT 1""),)"),"")</f>
        <v/>
      </c>
      <c r="P281" s="61"/>
      <c r="Q281" s="62">
        <v>0.30414881910224012</v>
      </c>
      <c r="R281" s="63">
        <v>0.14465163863650166</v>
      </c>
      <c r="S281" s="63">
        <v>0.13754314999956629</v>
      </c>
      <c r="T281" s="63">
        <v>0.48427832691135897</v>
      </c>
      <c r="U281" s="63">
        <v>0.37310240558632712</v>
      </c>
    </row>
    <row r="282" spans="1:21" ht="16.2">
      <c r="A282" s="5">
        <f t="shared" ca="1" si="3"/>
        <v>281</v>
      </c>
      <c r="B282" s="5" t="str">
        <f ca="1">IFERROR(__xludf.DUMMYFUNCTION("if(ISBLANK(C282),,QUERY(MD!A283:D1281,""Select A where C = '""&amp; C282 &amp;""'""))"),"")</f>
        <v/>
      </c>
      <c r="C282" s="5"/>
      <c r="D282" s="5" t="str">
        <f ca="1">IFERROR(__xludf.DUMMYFUNCTION("if(ISBLANK(C282),,QUERY(MD!$A$2:$D$1000,""Select D where C = '""&amp; C282 &amp;""'""))"),"")</f>
        <v/>
      </c>
      <c r="E282" s="59" t="str">
        <f ca="1">IFERROR(__xludf.DUMMYFUNCTION("if(ISBLANK(C282),,QUERY(MD!$A$2:$D$1000,""Select B where C = '""&amp; C282 &amp;""'""))"),"")</f>
        <v/>
      </c>
      <c r="F282" s="5">
        <f t="shared" ca="1" si="2"/>
        <v>0</v>
      </c>
      <c r="G282" s="32" t="str">
        <f ca="1">IFERROR(__xludf.DUMMYFUNCTION("if($F282&gt;=1,QUERY(Loot!$A$2:$G$904,""Select G where A = '""&amp; $E282 &amp;""' AND D &gt;= ""&amp; Q282  &amp;"" LIMIT 1""),)"),"")</f>
        <v/>
      </c>
      <c r="H282" s="61"/>
      <c r="I282" s="32" t="str">
        <f ca="1">IFERROR(__xludf.DUMMYFUNCTION("if($F282&gt;=2,QUERY(Loot!$A$2:$G$904,""Select G where A = '""&amp; $E282 &amp;""' AND D &gt;= ""&amp; R282 &amp;"" LIMIT 1""),)"),"")</f>
        <v/>
      </c>
      <c r="J282" s="61"/>
      <c r="K282" s="32" t="str">
        <f ca="1">IFERROR(__xludf.DUMMYFUNCTION("if($F282&gt;=3,QUERY(Loot!$A$2:$G$904,""Select G where A = '""&amp; $E282 &amp;""' AND D &gt;= ""&amp; S282  &amp;"" LIMIT 1""),)"),"")</f>
        <v/>
      </c>
      <c r="L282" s="61"/>
      <c r="M282" s="32" t="str">
        <f ca="1">IFERROR(__xludf.DUMMYFUNCTION("if($F282&gt;=4,QUERY(Loot!$A$2:$G$904,""Select G where A = '""&amp; $E282 &amp;""' AND D &gt;= ""&amp;T282 &amp;"" LIMIT 1""),)"),"")</f>
        <v/>
      </c>
      <c r="N282" s="61"/>
      <c r="O282" s="32" t="str">
        <f ca="1">IFERROR(__xludf.DUMMYFUNCTION("if($F282&gt;=5,QUERY(Loot!$A$2:$G$904,""Select G where A = '""&amp; $E282 &amp;""' AND D &gt;= ""&amp; U282 &amp;"" LIMIT 1""),)"),"")</f>
        <v/>
      </c>
      <c r="P282" s="61"/>
      <c r="Q282" s="62">
        <v>0.42803873674411586</v>
      </c>
      <c r="R282" s="63">
        <v>0.83394610407086445</v>
      </c>
      <c r="S282" s="63">
        <v>0.53934963105992362</v>
      </c>
      <c r="T282" s="63">
        <v>0.54402301140685916</v>
      </c>
      <c r="U282" s="63">
        <v>0.67497384697871299</v>
      </c>
    </row>
    <row r="283" spans="1:21" ht="16.2">
      <c r="A283" s="5">
        <f t="shared" ca="1" si="3"/>
        <v>282</v>
      </c>
      <c r="B283" s="5" t="str">
        <f ca="1">IFERROR(__xludf.DUMMYFUNCTION("if(ISBLANK(C283),,QUERY(MD!A284:D1282,""Select A where C = '""&amp; C283 &amp;""'""))"),"")</f>
        <v/>
      </c>
      <c r="C283" s="5"/>
      <c r="D283" s="5" t="str">
        <f ca="1">IFERROR(__xludf.DUMMYFUNCTION("if(ISBLANK(C283),,QUERY(MD!$A$2:$D$1000,""Select D where C = '""&amp; C283 &amp;""'""))"),"")</f>
        <v/>
      </c>
      <c r="E283" s="59" t="str">
        <f ca="1">IFERROR(__xludf.DUMMYFUNCTION("if(ISBLANK(C283),,QUERY(MD!$A$2:$D$1000,""Select B where C = '""&amp; C283 &amp;""'""))"),"")</f>
        <v/>
      </c>
      <c r="F283" s="5">
        <f t="shared" ca="1" si="2"/>
        <v>0</v>
      </c>
      <c r="G283" s="32" t="str">
        <f ca="1">IFERROR(__xludf.DUMMYFUNCTION("if($F283&gt;=1,QUERY(Loot!$A$2:$G$904,""Select G where A = '""&amp; $E283 &amp;""' AND D &gt;= ""&amp; Q283  &amp;"" LIMIT 1""),)"),"")</f>
        <v/>
      </c>
      <c r="H283" s="61"/>
      <c r="I283" s="32" t="str">
        <f ca="1">IFERROR(__xludf.DUMMYFUNCTION("if($F283&gt;=2,QUERY(Loot!$A$2:$G$904,""Select G where A = '""&amp; $E283 &amp;""' AND D &gt;= ""&amp; R283 &amp;"" LIMIT 1""),)"),"")</f>
        <v/>
      </c>
      <c r="J283" s="61"/>
      <c r="K283" s="32" t="str">
        <f ca="1">IFERROR(__xludf.DUMMYFUNCTION("if($F283&gt;=3,QUERY(Loot!$A$2:$G$904,""Select G where A = '""&amp; $E283 &amp;""' AND D &gt;= ""&amp; S283  &amp;"" LIMIT 1""),)"),"")</f>
        <v/>
      </c>
      <c r="L283" s="61"/>
      <c r="M283" s="32" t="str">
        <f ca="1">IFERROR(__xludf.DUMMYFUNCTION("if($F283&gt;=4,QUERY(Loot!$A$2:$G$904,""Select G where A = '""&amp; $E283 &amp;""' AND D &gt;= ""&amp;T283 &amp;"" LIMIT 1""),)"),"")</f>
        <v/>
      </c>
      <c r="N283" s="61"/>
      <c r="O283" s="32" t="str">
        <f ca="1">IFERROR(__xludf.DUMMYFUNCTION("if($F283&gt;=5,QUERY(Loot!$A$2:$G$904,""Select G where A = '""&amp; $E283 &amp;""' AND D &gt;= ""&amp; U283 &amp;"" LIMIT 1""),)"),"")</f>
        <v/>
      </c>
      <c r="P283" s="61"/>
      <c r="Q283" s="62">
        <v>0.48617156162306774</v>
      </c>
      <c r="R283" s="63">
        <v>0.20623148622254317</v>
      </c>
      <c r="S283" s="63">
        <v>0.10484437438169547</v>
      </c>
      <c r="T283" s="63">
        <v>0.11375547599708957</v>
      </c>
      <c r="U283" s="63">
        <v>0.89795839481088469</v>
      </c>
    </row>
    <row r="284" spans="1:21" ht="16.2">
      <c r="A284" s="5">
        <f t="shared" ca="1" si="3"/>
        <v>283</v>
      </c>
      <c r="B284" s="5" t="str">
        <f ca="1">IFERROR(__xludf.DUMMYFUNCTION("if(ISBLANK(C284),,QUERY(MD!A285:D1283,""Select A where C = '""&amp; C284 &amp;""'""))"),"")</f>
        <v/>
      </c>
      <c r="C284" s="5"/>
      <c r="D284" s="5" t="str">
        <f ca="1">IFERROR(__xludf.DUMMYFUNCTION("if(ISBLANK(C284),,QUERY(MD!$A$2:$D$1000,""Select D where C = '""&amp; C284 &amp;""'""))"),"")</f>
        <v/>
      </c>
      <c r="E284" s="59" t="str">
        <f ca="1">IFERROR(__xludf.DUMMYFUNCTION("if(ISBLANK(C284),,QUERY(MD!$A$2:$D$1000,""Select B where C = '""&amp; C284 &amp;""'""))"),"")</f>
        <v/>
      </c>
      <c r="F284" s="5">
        <f t="shared" ca="1" si="2"/>
        <v>0</v>
      </c>
      <c r="G284" s="32" t="str">
        <f ca="1">IFERROR(__xludf.DUMMYFUNCTION("if($F284&gt;=1,QUERY(Loot!$A$2:$G$904,""Select G where A = '""&amp; $E284 &amp;""' AND D &gt;= ""&amp; Q284  &amp;"" LIMIT 1""),)"),"")</f>
        <v/>
      </c>
      <c r="H284" s="61"/>
      <c r="I284" s="32" t="str">
        <f ca="1">IFERROR(__xludf.DUMMYFUNCTION("if($F284&gt;=2,QUERY(Loot!$A$2:$G$904,""Select G where A = '""&amp; $E284 &amp;""' AND D &gt;= ""&amp; R284 &amp;"" LIMIT 1""),)"),"")</f>
        <v/>
      </c>
      <c r="J284" s="61"/>
      <c r="K284" s="32" t="str">
        <f ca="1">IFERROR(__xludf.DUMMYFUNCTION("if($F284&gt;=3,QUERY(Loot!$A$2:$G$904,""Select G where A = '""&amp; $E284 &amp;""' AND D &gt;= ""&amp; S284  &amp;"" LIMIT 1""),)"),"")</f>
        <v/>
      </c>
      <c r="L284" s="61"/>
      <c r="M284" s="32" t="str">
        <f ca="1">IFERROR(__xludf.DUMMYFUNCTION("if($F284&gt;=4,QUERY(Loot!$A$2:$G$904,""Select G where A = '""&amp; $E284 &amp;""' AND D &gt;= ""&amp;T284 &amp;"" LIMIT 1""),)"),"")</f>
        <v/>
      </c>
      <c r="N284" s="61"/>
      <c r="O284" s="32" t="str">
        <f ca="1">IFERROR(__xludf.DUMMYFUNCTION("if($F284&gt;=5,QUERY(Loot!$A$2:$G$904,""Select G where A = '""&amp; $E284 &amp;""' AND D &gt;= ""&amp; U284 &amp;"" LIMIT 1""),)"),"")</f>
        <v/>
      </c>
      <c r="P284" s="61"/>
      <c r="Q284" s="62">
        <v>0.44616711545293664</v>
      </c>
      <c r="R284" s="63">
        <v>0.44926406480769832</v>
      </c>
      <c r="S284" s="63">
        <v>0.10497502270870995</v>
      </c>
      <c r="T284" s="63">
        <v>0.93979413784290677</v>
      </c>
      <c r="U284" s="63">
        <v>0.22104408743670978</v>
      </c>
    </row>
    <row r="285" spans="1:21" ht="16.2">
      <c r="A285" s="5">
        <f t="shared" ca="1" si="3"/>
        <v>284</v>
      </c>
      <c r="B285" s="5" t="str">
        <f ca="1">IFERROR(__xludf.DUMMYFUNCTION("if(ISBLANK(C285),,QUERY(MD!A286:D1284,""Select A where C = '""&amp; C285 &amp;""'""))"),"")</f>
        <v/>
      </c>
      <c r="C285" s="5"/>
      <c r="D285" s="5" t="str">
        <f ca="1">IFERROR(__xludf.DUMMYFUNCTION("if(ISBLANK(C285),,QUERY(MD!$A$2:$D$1000,""Select D where C = '""&amp; C285 &amp;""'""))"),"")</f>
        <v/>
      </c>
      <c r="E285" s="59" t="str">
        <f ca="1">IFERROR(__xludf.DUMMYFUNCTION("if(ISBLANK(C285),,QUERY(MD!$A$2:$D$1000,""Select B where C = '""&amp; C285 &amp;""'""))"),"")</f>
        <v/>
      </c>
      <c r="F285" s="5">
        <f t="shared" ca="1" si="2"/>
        <v>0</v>
      </c>
      <c r="G285" s="32" t="str">
        <f ca="1">IFERROR(__xludf.DUMMYFUNCTION("if($F285&gt;=1,QUERY(Loot!$A$2:$G$904,""Select G where A = '""&amp; $E285 &amp;""' AND D &gt;= ""&amp; Q285  &amp;"" LIMIT 1""),)"),"")</f>
        <v/>
      </c>
      <c r="H285" s="61"/>
      <c r="I285" s="32" t="str">
        <f ca="1">IFERROR(__xludf.DUMMYFUNCTION("if($F285&gt;=2,QUERY(Loot!$A$2:$G$904,""Select G where A = '""&amp; $E285 &amp;""' AND D &gt;= ""&amp; R285 &amp;"" LIMIT 1""),)"),"")</f>
        <v/>
      </c>
      <c r="J285" s="61"/>
      <c r="K285" s="32" t="str">
        <f ca="1">IFERROR(__xludf.DUMMYFUNCTION("if($F285&gt;=3,QUERY(Loot!$A$2:$G$904,""Select G where A = '""&amp; $E285 &amp;""' AND D &gt;= ""&amp; S285  &amp;"" LIMIT 1""),)"),"")</f>
        <v/>
      </c>
      <c r="L285" s="61"/>
      <c r="M285" s="32" t="str">
        <f ca="1">IFERROR(__xludf.DUMMYFUNCTION("if($F285&gt;=4,QUERY(Loot!$A$2:$G$904,""Select G where A = '""&amp; $E285 &amp;""' AND D &gt;= ""&amp;T285 &amp;"" LIMIT 1""),)"),"")</f>
        <v/>
      </c>
      <c r="N285" s="61"/>
      <c r="O285" s="32" t="str">
        <f ca="1">IFERROR(__xludf.DUMMYFUNCTION("if($F285&gt;=5,QUERY(Loot!$A$2:$G$904,""Select G where A = '""&amp; $E285 &amp;""' AND D &gt;= ""&amp; U285 &amp;"" LIMIT 1""),)"),"")</f>
        <v/>
      </c>
      <c r="P285" s="61"/>
      <c r="Q285" s="62">
        <v>0.78752241793096511</v>
      </c>
      <c r="R285" s="63">
        <v>0.55436719014073144</v>
      </c>
      <c r="S285" s="63">
        <v>0.48212172229989469</v>
      </c>
      <c r="T285" s="63">
        <v>0.67645127084070367</v>
      </c>
      <c r="U285" s="63">
        <v>0.68107269327399023</v>
      </c>
    </row>
    <row r="286" spans="1:21" ht="16.2">
      <c r="A286" s="5">
        <f t="shared" ca="1" si="3"/>
        <v>285</v>
      </c>
      <c r="B286" s="5" t="str">
        <f ca="1">IFERROR(__xludf.DUMMYFUNCTION("if(ISBLANK(C286),,QUERY(MD!A287:D1285,""Select A where C = '""&amp; C286 &amp;""'""))"),"")</f>
        <v/>
      </c>
      <c r="C286" s="5"/>
      <c r="D286" s="5" t="str">
        <f ca="1">IFERROR(__xludf.DUMMYFUNCTION("if(ISBLANK(C286),,QUERY(MD!$A$2:$D$1000,""Select D where C = '""&amp; C286 &amp;""'""))"),"")</f>
        <v/>
      </c>
      <c r="E286" s="59" t="str">
        <f ca="1">IFERROR(__xludf.DUMMYFUNCTION("if(ISBLANK(C286),,QUERY(MD!$A$2:$D$1000,""Select B where C = '""&amp; C286 &amp;""'""))"),"")</f>
        <v/>
      </c>
      <c r="F286" s="5">
        <f t="shared" ca="1" si="2"/>
        <v>0</v>
      </c>
      <c r="G286" s="32" t="str">
        <f ca="1">IFERROR(__xludf.DUMMYFUNCTION("if($F286&gt;=1,QUERY(Loot!$A$2:$G$904,""Select G where A = '""&amp; $E286 &amp;""' AND D &gt;= ""&amp; Q286  &amp;"" LIMIT 1""),)"),"")</f>
        <v/>
      </c>
      <c r="H286" s="61"/>
      <c r="I286" s="32" t="str">
        <f ca="1">IFERROR(__xludf.DUMMYFUNCTION("if($F286&gt;=2,QUERY(Loot!$A$2:$G$904,""Select G where A = '""&amp; $E286 &amp;""' AND D &gt;= ""&amp; R286 &amp;"" LIMIT 1""),)"),"")</f>
        <v/>
      </c>
      <c r="J286" s="61"/>
      <c r="K286" s="32" t="str">
        <f ca="1">IFERROR(__xludf.DUMMYFUNCTION("if($F286&gt;=3,QUERY(Loot!$A$2:$G$904,""Select G where A = '""&amp; $E286 &amp;""' AND D &gt;= ""&amp; S286  &amp;"" LIMIT 1""),)"),"")</f>
        <v/>
      </c>
      <c r="L286" s="61"/>
      <c r="M286" s="32" t="str">
        <f ca="1">IFERROR(__xludf.DUMMYFUNCTION("if($F286&gt;=4,QUERY(Loot!$A$2:$G$904,""Select G where A = '""&amp; $E286 &amp;""' AND D &gt;= ""&amp;T286 &amp;"" LIMIT 1""),)"),"")</f>
        <v/>
      </c>
      <c r="N286" s="61"/>
      <c r="O286" s="32" t="str">
        <f ca="1">IFERROR(__xludf.DUMMYFUNCTION("if($F286&gt;=5,QUERY(Loot!$A$2:$G$904,""Select G where A = '""&amp; $E286 &amp;""' AND D &gt;= ""&amp; U286 &amp;"" LIMIT 1""),)"),"")</f>
        <v/>
      </c>
      <c r="P286" s="61"/>
      <c r="Q286" s="62">
        <v>0.99687981082641774</v>
      </c>
      <c r="R286" s="63">
        <v>0.12938160197425974</v>
      </c>
      <c r="S286" s="63">
        <v>0.55163516374019306</v>
      </c>
      <c r="T286" s="63">
        <v>0.26347844510064633</v>
      </c>
      <c r="U286" s="63">
        <v>0.47528523901582787</v>
      </c>
    </row>
    <row r="287" spans="1:21" ht="16.2">
      <c r="A287" s="5">
        <f t="shared" ca="1" si="3"/>
        <v>286</v>
      </c>
      <c r="B287" s="5" t="str">
        <f ca="1">IFERROR(__xludf.DUMMYFUNCTION("if(ISBLANK(C287),,QUERY(MD!A288:D1286,""Select A where C = '""&amp; C287 &amp;""'""))"),"")</f>
        <v/>
      </c>
      <c r="C287" s="5"/>
      <c r="D287" s="5" t="str">
        <f ca="1">IFERROR(__xludf.DUMMYFUNCTION("if(ISBLANK(C287),,QUERY(MD!$A$2:$D$1000,""Select D where C = '""&amp; C287 &amp;""'""))"),"")</f>
        <v/>
      </c>
      <c r="E287" s="59" t="str">
        <f ca="1">IFERROR(__xludf.DUMMYFUNCTION("if(ISBLANK(C287),,QUERY(MD!$A$2:$D$1000,""Select B where C = '""&amp; C287 &amp;""'""))"),"")</f>
        <v/>
      </c>
      <c r="F287" s="5">
        <f t="shared" ca="1" si="2"/>
        <v>0</v>
      </c>
      <c r="G287" s="32" t="str">
        <f ca="1">IFERROR(__xludf.DUMMYFUNCTION("if($F287&gt;=1,QUERY(Loot!$A$2:$G$904,""Select G where A = '""&amp; $E287 &amp;""' AND D &gt;= ""&amp; Q287  &amp;"" LIMIT 1""),)"),"")</f>
        <v/>
      </c>
      <c r="H287" s="61"/>
      <c r="I287" s="32" t="str">
        <f ca="1">IFERROR(__xludf.DUMMYFUNCTION("if($F287&gt;=2,QUERY(Loot!$A$2:$G$904,""Select G where A = '""&amp; $E287 &amp;""' AND D &gt;= ""&amp; R287 &amp;"" LIMIT 1""),)"),"")</f>
        <v/>
      </c>
      <c r="J287" s="61"/>
      <c r="K287" s="32" t="str">
        <f ca="1">IFERROR(__xludf.DUMMYFUNCTION("if($F287&gt;=3,QUERY(Loot!$A$2:$G$904,""Select G where A = '""&amp; $E287 &amp;""' AND D &gt;= ""&amp; S287  &amp;"" LIMIT 1""),)"),"")</f>
        <v/>
      </c>
      <c r="L287" s="61"/>
      <c r="M287" s="32" t="str">
        <f ca="1">IFERROR(__xludf.DUMMYFUNCTION("if($F287&gt;=4,QUERY(Loot!$A$2:$G$904,""Select G where A = '""&amp; $E287 &amp;""' AND D &gt;= ""&amp;T287 &amp;"" LIMIT 1""),)"),"")</f>
        <v/>
      </c>
      <c r="N287" s="61"/>
      <c r="O287" s="32" t="str">
        <f ca="1">IFERROR(__xludf.DUMMYFUNCTION("if($F287&gt;=5,QUERY(Loot!$A$2:$G$904,""Select G where A = '""&amp; $E287 &amp;""' AND D &gt;= ""&amp; U287 &amp;"" LIMIT 1""),)"),"")</f>
        <v/>
      </c>
      <c r="P287" s="61"/>
      <c r="Q287" s="62">
        <v>0.40677553820751688</v>
      </c>
      <c r="R287" s="63">
        <v>9.2508790384996598E-2</v>
      </c>
      <c r="S287" s="63">
        <v>9.678685400594722E-2</v>
      </c>
      <c r="T287" s="63">
        <v>0.96263124664550714</v>
      </c>
      <c r="U287" s="63">
        <v>0.27917705587348007</v>
      </c>
    </row>
    <row r="288" spans="1:21" ht="16.2">
      <c r="A288" s="5">
        <f t="shared" ca="1" si="3"/>
        <v>287</v>
      </c>
      <c r="B288" s="5" t="str">
        <f ca="1">IFERROR(__xludf.DUMMYFUNCTION("if(ISBLANK(C288),,QUERY(MD!A289:D1287,""Select A where C = '""&amp; C288 &amp;""'""))"),"")</f>
        <v/>
      </c>
      <c r="C288" s="5"/>
      <c r="D288" s="5" t="str">
        <f ca="1">IFERROR(__xludf.DUMMYFUNCTION("if(ISBLANK(C288),,QUERY(MD!$A$2:$D$1000,""Select D where C = '""&amp; C288 &amp;""'""))"),"")</f>
        <v/>
      </c>
      <c r="E288" s="59" t="str">
        <f ca="1">IFERROR(__xludf.DUMMYFUNCTION("if(ISBLANK(C288),,QUERY(MD!$A$2:$D$1000,""Select B where C = '""&amp; C288 &amp;""'""))"),"")</f>
        <v/>
      </c>
      <c r="F288" s="5">
        <f t="shared" ca="1" si="2"/>
        <v>0</v>
      </c>
      <c r="G288" s="32" t="str">
        <f ca="1">IFERROR(__xludf.DUMMYFUNCTION("if($F288&gt;=1,QUERY(Loot!$A$2:$G$904,""Select G where A = '""&amp; $E288 &amp;""' AND D &gt;= ""&amp; Q288  &amp;"" LIMIT 1""),)"),"")</f>
        <v/>
      </c>
      <c r="H288" s="61"/>
      <c r="I288" s="32" t="str">
        <f ca="1">IFERROR(__xludf.DUMMYFUNCTION("if($F288&gt;=2,QUERY(Loot!$A$2:$G$904,""Select G where A = '""&amp; $E288 &amp;""' AND D &gt;= ""&amp; R288 &amp;"" LIMIT 1""),)"),"")</f>
        <v/>
      </c>
      <c r="J288" s="61"/>
      <c r="K288" s="32" t="str">
        <f ca="1">IFERROR(__xludf.DUMMYFUNCTION("if($F288&gt;=3,QUERY(Loot!$A$2:$G$904,""Select G where A = '""&amp; $E288 &amp;""' AND D &gt;= ""&amp; S288  &amp;"" LIMIT 1""),)"),"")</f>
        <v/>
      </c>
      <c r="L288" s="61"/>
      <c r="M288" s="32" t="str">
        <f ca="1">IFERROR(__xludf.DUMMYFUNCTION("if($F288&gt;=4,QUERY(Loot!$A$2:$G$904,""Select G where A = '""&amp; $E288 &amp;""' AND D &gt;= ""&amp;T288 &amp;"" LIMIT 1""),)"),"")</f>
        <v/>
      </c>
      <c r="N288" s="61"/>
      <c r="O288" s="32" t="str">
        <f ca="1">IFERROR(__xludf.DUMMYFUNCTION("if($F288&gt;=5,QUERY(Loot!$A$2:$G$904,""Select G where A = '""&amp; $E288 &amp;""' AND D &gt;= ""&amp; U288 &amp;"" LIMIT 1""),)"),"")</f>
        <v/>
      </c>
      <c r="P288" s="61"/>
      <c r="Q288" s="62">
        <v>0.13546853376348322</v>
      </c>
      <c r="R288" s="63">
        <v>0.23079144127528273</v>
      </c>
      <c r="S288" s="63">
        <v>0.48505583142347142</v>
      </c>
      <c r="T288" s="63">
        <v>0.14040268300742909</v>
      </c>
      <c r="U288" s="63">
        <v>0.70262550472594987</v>
      </c>
    </row>
    <row r="289" spans="1:21" ht="16.2">
      <c r="A289" s="5">
        <f t="shared" ca="1" si="3"/>
        <v>288</v>
      </c>
      <c r="B289" s="5" t="str">
        <f ca="1">IFERROR(__xludf.DUMMYFUNCTION("if(ISBLANK(C289),,QUERY(MD!A290:D1288,""Select A where C = '""&amp; C289 &amp;""'""))"),"")</f>
        <v/>
      </c>
      <c r="C289" s="5"/>
      <c r="D289" s="5" t="str">
        <f ca="1">IFERROR(__xludf.DUMMYFUNCTION("if(ISBLANK(C289),,QUERY(MD!$A$2:$D$1000,""Select D where C = '""&amp; C289 &amp;""'""))"),"")</f>
        <v/>
      </c>
      <c r="E289" s="59" t="str">
        <f ca="1">IFERROR(__xludf.DUMMYFUNCTION("if(ISBLANK(C289),,QUERY(MD!$A$2:$D$1000,""Select B where C = '""&amp; C289 &amp;""'""))"),"")</f>
        <v/>
      </c>
      <c r="F289" s="5">
        <f t="shared" ca="1" si="2"/>
        <v>0</v>
      </c>
      <c r="G289" s="32" t="str">
        <f ca="1">IFERROR(__xludf.DUMMYFUNCTION("if($F289&gt;=1,QUERY(Loot!$A$2:$G$904,""Select G where A = '""&amp; $E289 &amp;""' AND D &gt;= ""&amp; Q289  &amp;"" LIMIT 1""),)"),"")</f>
        <v/>
      </c>
      <c r="H289" s="61"/>
      <c r="I289" s="32" t="str">
        <f ca="1">IFERROR(__xludf.DUMMYFUNCTION("if($F289&gt;=2,QUERY(Loot!$A$2:$G$904,""Select G where A = '""&amp; $E289 &amp;""' AND D &gt;= ""&amp; R289 &amp;"" LIMIT 1""),)"),"")</f>
        <v/>
      </c>
      <c r="J289" s="61"/>
      <c r="K289" s="32" t="str">
        <f ca="1">IFERROR(__xludf.DUMMYFUNCTION("if($F289&gt;=3,QUERY(Loot!$A$2:$G$904,""Select G where A = '""&amp; $E289 &amp;""' AND D &gt;= ""&amp; S289  &amp;"" LIMIT 1""),)"),"")</f>
        <v/>
      </c>
      <c r="L289" s="61"/>
      <c r="M289" s="32" t="str">
        <f ca="1">IFERROR(__xludf.DUMMYFUNCTION("if($F289&gt;=4,QUERY(Loot!$A$2:$G$904,""Select G where A = '""&amp; $E289 &amp;""' AND D &gt;= ""&amp;T289 &amp;"" LIMIT 1""),)"),"")</f>
        <v/>
      </c>
      <c r="N289" s="61"/>
      <c r="O289" s="32" t="str">
        <f ca="1">IFERROR(__xludf.DUMMYFUNCTION("if($F289&gt;=5,QUERY(Loot!$A$2:$G$904,""Select G where A = '""&amp; $E289 &amp;""' AND D &gt;= ""&amp; U289 &amp;"" LIMIT 1""),)"),"")</f>
        <v/>
      </c>
      <c r="P289" s="61"/>
      <c r="Q289" s="62">
        <v>0.18201178108139071</v>
      </c>
      <c r="R289" s="63">
        <v>0.28996751948822008</v>
      </c>
      <c r="S289" s="63">
        <v>0.70109695756895873</v>
      </c>
      <c r="T289" s="63">
        <v>0.40315951402764238</v>
      </c>
      <c r="U289" s="63">
        <v>0.22988125765471434</v>
      </c>
    </row>
    <row r="290" spans="1:21" ht="16.2">
      <c r="A290" s="5">
        <f t="shared" ca="1" si="3"/>
        <v>289</v>
      </c>
      <c r="B290" s="5" t="str">
        <f ca="1">IFERROR(__xludf.DUMMYFUNCTION("if(ISBLANK(C290),,QUERY(MD!A291:D1289,""Select A where C = '""&amp; C290 &amp;""'""))"),"")</f>
        <v/>
      </c>
      <c r="C290" s="5"/>
      <c r="D290" s="5" t="str">
        <f ca="1">IFERROR(__xludf.DUMMYFUNCTION("if(ISBLANK(C290),,QUERY(MD!$A$2:$D$1000,""Select D where C = '""&amp; C290 &amp;""'""))"),"")</f>
        <v/>
      </c>
      <c r="E290" s="59" t="str">
        <f ca="1">IFERROR(__xludf.DUMMYFUNCTION("if(ISBLANK(C290),,QUERY(MD!$A$2:$D$1000,""Select B where C = '""&amp; C290 &amp;""'""))"),"")</f>
        <v/>
      </c>
      <c r="F290" s="5">
        <f t="shared" ca="1" si="2"/>
        <v>0</v>
      </c>
      <c r="G290" s="32" t="str">
        <f ca="1">IFERROR(__xludf.DUMMYFUNCTION("if($F290&gt;=1,QUERY(Loot!$A$2:$G$904,""Select G where A = '""&amp; $E290 &amp;""' AND D &gt;= ""&amp; Q290  &amp;"" LIMIT 1""),)"),"")</f>
        <v/>
      </c>
      <c r="H290" s="61"/>
      <c r="I290" s="32" t="str">
        <f ca="1">IFERROR(__xludf.DUMMYFUNCTION("if($F290&gt;=2,QUERY(Loot!$A$2:$G$904,""Select G where A = '""&amp; $E290 &amp;""' AND D &gt;= ""&amp; R290 &amp;"" LIMIT 1""),)"),"")</f>
        <v/>
      </c>
      <c r="J290" s="61"/>
      <c r="K290" s="32" t="str">
        <f ca="1">IFERROR(__xludf.DUMMYFUNCTION("if($F290&gt;=3,QUERY(Loot!$A$2:$G$904,""Select G where A = '""&amp; $E290 &amp;""' AND D &gt;= ""&amp; S290  &amp;"" LIMIT 1""),)"),"")</f>
        <v/>
      </c>
      <c r="L290" s="61"/>
      <c r="M290" s="32" t="str">
        <f ca="1">IFERROR(__xludf.DUMMYFUNCTION("if($F290&gt;=4,QUERY(Loot!$A$2:$G$904,""Select G where A = '""&amp; $E290 &amp;""' AND D &gt;= ""&amp;T290 &amp;"" LIMIT 1""),)"),"")</f>
        <v/>
      </c>
      <c r="N290" s="61"/>
      <c r="O290" s="32" t="str">
        <f ca="1">IFERROR(__xludf.DUMMYFUNCTION("if($F290&gt;=5,QUERY(Loot!$A$2:$G$904,""Select G where A = '""&amp; $E290 &amp;""' AND D &gt;= ""&amp; U290 &amp;"" LIMIT 1""),)"),"")</f>
        <v/>
      </c>
      <c r="P290" s="61"/>
      <c r="Q290" s="62">
        <v>0.37431877414185122</v>
      </c>
      <c r="R290" s="63">
        <v>0.52477383622767737</v>
      </c>
      <c r="S290" s="63">
        <v>0.17085591918627419</v>
      </c>
      <c r="T290" s="63">
        <v>0.63954898436091201</v>
      </c>
      <c r="U290" s="63">
        <v>0.4386767644746109</v>
      </c>
    </row>
    <row r="291" spans="1:21" ht="16.2">
      <c r="A291" s="5">
        <f t="shared" ca="1" si="3"/>
        <v>290</v>
      </c>
      <c r="B291" s="5" t="str">
        <f ca="1">IFERROR(__xludf.DUMMYFUNCTION("if(ISBLANK(C291),,QUERY(MD!A292:D1290,""Select A where C = '""&amp; C291 &amp;""'""))"),"")</f>
        <v/>
      </c>
      <c r="C291" s="5"/>
      <c r="D291" s="5" t="str">
        <f ca="1">IFERROR(__xludf.DUMMYFUNCTION("if(ISBLANK(C291),,QUERY(MD!$A$2:$D$1000,""Select D where C = '""&amp; C291 &amp;""'""))"),"")</f>
        <v/>
      </c>
      <c r="E291" s="59" t="str">
        <f ca="1">IFERROR(__xludf.DUMMYFUNCTION("if(ISBLANK(C291),,QUERY(MD!$A$2:$D$1000,""Select B where C = '""&amp; C291 &amp;""'""))"),"")</f>
        <v/>
      </c>
      <c r="F291" s="5">
        <f t="shared" ca="1" si="2"/>
        <v>0</v>
      </c>
      <c r="G291" s="32" t="str">
        <f ca="1">IFERROR(__xludf.DUMMYFUNCTION("if($F291&gt;=1,QUERY(Loot!$A$2:$G$904,""Select G where A = '""&amp; $E291 &amp;""' AND D &gt;= ""&amp; Q291  &amp;"" LIMIT 1""),)"),"")</f>
        <v/>
      </c>
      <c r="H291" s="61"/>
      <c r="I291" s="32" t="str">
        <f ca="1">IFERROR(__xludf.DUMMYFUNCTION("if($F291&gt;=2,QUERY(Loot!$A$2:$G$904,""Select G where A = '""&amp; $E291 &amp;""' AND D &gt;= ""&amp; R291 &amp;"" LIMIT 1""),)"),"")</f>
        <v/>
      </c>
      <c r="J291" s="61"/>
      <c r="K291" s="32" t="str">
        <f ca="1">IFERROR(__xludf.DUMMYFUNCTION("if($F291&gt;=3,QUERY(Loot!$A$2:$G$904,""Select G where A = '""&amp; $E291 &amp;""' AND D &gt;= ""&amp; S291  &amp;"" LIMIT 1""),)"),"")</f>
        <v/>
      </c>
      <c r="L291" s="61"/>
      <c r="M291" s="32" t="str">
        <f ca="1">IFERROR(__xludf.DUMMYFUNCTION("if($F291&gt;=4,QUERY(Loot!$A$2:$G$904,""Select G where A = '""&amp; $E291 &amp;""' AND D &gt;= ""&amp;T291 &amp;"" LIMIT 1""),)"),"")</f>
        <v/>
      </c>
      <c r="N291" s="61"/>
      <c r="O291" s="32" t="str">
        <f ca="1">IFERROR(__xludf.DUMMYFUNCTION("if($F291&gt;=5,QUERY(Loot!$A$2:$G$904,""Select G where A = '""&amp; $E291 &amp;""' AND D &gt;= ""&amp; U291 &amp;"" LIMIT 1""),)"),"")</f>
        <v/>
      </c>
      <c r="P291" s="61"/>
      <c r="Q291" s="62">
        <v>0.31409539680682219</v>
      </c>
      <c r="R291" s="63">
        <v>0.38448619423463271</v>
      </c>
      <c r="S291" s="63">
        <v>0.16386474543928387</v>
      </c>
      <c r="T291" s="63">
        <v>0.86502264566350784</v>
      </c>
      <c r="U291" s="63">
        <v>0.43325838952851348</v>
      </c>
    </row>
    <row r="292" spans="1:21" ht="16.2">
      <c r="A292" s="5">
        <f t="shared" ca="1" si="3"/>
        <v>291</v>
      </c>
      <c r="B292" s="5" t="str">
        <f ca="1">IFERROR(__xludf.DUMMYFUNCTION("if(ISBLANK(C292),,QUERY(MD!A293:D1291,""Select A where C = '""&amp; C292 &amp;""'""))"),"")</f>
        <v/>
      </c>
      <c r="C292" s="5"/>
      <c r="D292" s="5" t="str">
        <f ca="1">IFERROR(__xludf.DUMMYFUNCTION("if(ISBLANK(C292),,QUERY(MD!$A$2:$D$1000,""Select D where C = '""&amp; C292 &amp;""'""))"),"")</f>
        <v/>
      </c>
      <c r="E292" s="59" t="str">
        <f ca="1">IFERROR(__xludf.DUMMYFUNCTION("if(ISBLANK(C292),,QUERY(MD!$A$2:$D$1000,""Select B where C = '""&amp; C292 &amp;""'""))"),"")</f>
        <v/>
      </c>
      <c r="F292" s="5">
        <f t="shared" ca="1" si="2"/>
        <v>0</v>
      </c>
      <c r="G292" s="32" t="str">
        <f ca="1">IFERROR(__xludf.DUMMYFUNCTION("if($F292&gt;=1,QUERY(Loot!$A$2:$G$904,""Select G where A = '""&amp; $E292 &amp;""' AND D &gt;= ""&amp; Q292  &amp;"" LIMIT 1""),)"),"")</f>
        <v/>
      </c>
      <c r="H292" s="61"/>
      <c r="I292" s="32" t="str">
        <f ca="1">IFERROR(__xludf.DUMMYFUNCTION("if($F292&gt;=2,QUERY(Loot!$A$2:$G$904,""Select G where A = '""&amp; $E292 &amp;""' AND D &gt;= ""&amp; R292 &amp;"" LIMIT 1""),)"),"")</f>
        <v/>
      </c>
      <c r="J292" s="61"/>
      <c r="K292" s="32" t="str">
        <f ca="1">IFERROR(__xludf.DUMMYFUNCTION("if($F292&gt;=3,QUERY(Loot!$A$2:$G$904,""Select G where A = '""&amp; $E292 &amp;""' AND D &gt;= ""&amp; S292  &amp;"" LIMIT 1""),)"),"")</f>
        <v/>
      </c>
      <c r="L292" s="61"/>
      <c r="M292" s="32" t="str">
        <f ca="1">IFERROR(__xludf.DUMMYFUNCTION("if($F292&gt;=4,QUERY(Loot!$A$2:$G$904,""Select G where A = '""&amp; $E292 &amp;""' AND D &gt;= ""&amp;T292 &amp;"" LIMIT 1""),)"),"")</f>
        <v/>
      </c>
      <c r="N292" s="61"/>
      <c r="O292" s="32" t="str">
        <f ca="1">IFERROR(__xludf.DUMMYFUNCTION("if($F292&gt;=5,QUERY(Loot!$A$2:$G$904,""Select G where A = '""&amp; $E292 &amp;""' AND D &gt;= ""&amp; U292 &amp;"" LIMIT 1""),)"),"")</f>
        <v/>
      </c>
      <c r="P292" s="61"/>
      <c r="Q292" s="62">
        <v>0.21554556376212586</v>
      </c>
      <c r="R292" s="63">
        <v>0.45153115638093599</v>
      </c>
      <c r="S292" s="63">
        <v>0.62968656855620497</v>
      </c>
      <c r="T292" s="63">
        <v>0.56739811670855245</v>
      </c>
      <c r="U292" s="63">
        <v>0.12696195130701105</v>
      </c>
    </row>
    <row r="293" spans="1:21" ht="16.2">
      <c r="A293" s="5">
        <f t="shared" ca="1" si="3"/>
        <v>292</v>
      </c>
      <c r="B293" s="5" t="str">
        <f ca="1">IFERROR(__xludf.DUMMYFUNCTION("if(ISBLANK(C293),,QUERY(MD!A294:D1292,""Select A where C = '""&amp; C293 &amp;""'""))"),"")</f>
        <v/>
      </c>
      <c r="C293" s="5"/>
      <c r="D293" s="5" t="str">
        <f ca="1">IFERROR(__xludf.DUMMYFUNCTION("if(ISBLANK(C293),,QUERY(MD!$A$2:$D$1000,""Select D where C = '""&amp; C293 &amp;""'""))"),"")</f>
        <v/>
      </c>
      <c r="E293" s="59" t="str">
        <f ca="1">IFERROR(__xludf.DUMMYFUNCTION("if(ISBLANK(C293),,QUERY(MD!$A$2:$D$1000,""Select B where C = '""&amp; C293 &amp;""'""))"),"")</f>
        <v/>
      </c>
      <c r="F293" s="5">
        <f t="shared" ca="1" si="2"/>
        <v>0</v>
      </c>
      <c r="G293" s="32" t="str">
        <f ca="1">IFERROR(__xludf.DUMMYFUNCTION("if($F293&gt;=1,QUERY(Loot!$A$2:$G$904,""Select G where A = '""&amp; $E293 &amp;""' AND D &gt;= ""&amp; Q293  &amp;"" LIMIT 1""),)"),"")</f>
        <v/>
      </c>
      <c r="H293" s="61"/>
      <c r="I293" s="32" t="str">
        <f ca="1">IFERROR(__xludf.DUMMYFUNCTION("if($F293&gt;=2,QUERY(Loot!$A$2:$G$904,""Select G where A = '""&amp; $E293 &amp;""' AND D &gt;= ""&amp; R293 &amp;"" LIMIT 1""),)"),"")</f>
        <v/>
      </c>
      <c r="J293" s="61"/>
      <c r="K293" s="32" t="str">
        <f ca="1">IFERROR(__xludf.DUMMYFUNCTION("if($F293&gt;=3,QUERY(Loot!$A$2:$G$904,""Select G where A = '""&amp; $E293 &amp;""' AND D &gt;= ""&amp; S293  &amp;"" LIMIT 1""),)"),"")</f>
        <v/>
      </c>
      <c r="L293" s="61"/>
      <c r="M293" s="32" t="str">
        <f ca="1">IFERROR(__xludf.DUMMYFUNCTION("if($F293&gt;=4,QUERY(Loot!$A$2:$G$904,""Select G where A = '""&amp; $E293 &amp;""' AND D &gt;= ""&amp;T293 &amp;"" LIMIT 1""),)"),"")</f>
        <v/>
      </c>
      <c r="N293" s="61"/>
      <c r="O293" s="32" t="str">
        <f ca="1">IFERROR(__xludf.DUMMYFUNCTION("if($F293&gt;=5,QUERY(Loot!$A$2:$G$904,""Select G where A = '""&amp; $E293 &amp;""' AND D &gt;= ""&amp; U293 &amp;"" LIMIT 1""),)"),"")</f>
        <v/>
      </c>
      <c r="P293" s="61"/>
      <c r="Q293" s="62">
        <v>0.79407062070145984</v>
      </c>
      <c r="R293" s="63">
        <v>0.15755258347680212</v>
      </c>
      <c r="S293" s="63">
        <v>0.86620803620529618</v>
      </c>
      <c r="T293" s="63">
        <v>0.8067425281949292</v>
      </c>
      <c r="U293" s="63">
        <v>0.98116860748600565</v>
      </c>
    </row>
    <row r="294" spans="1:21" ht="16.2">
      <c r="A294" s="5">
        <f t="shared" ca="1" si="3"/>
        <v>293</v>
      </c>
      <c r="B294" s="5" t="str">
        <f ca="1">IFERROR(__xludf.DUMMYFUNCTION("if(ISBLANK(C294),,QUERY(MD!A295:D1293,""Select A where C = '""&amp; C294 &amp;""'""))"),"")</f>
        <v/>
      </c>
      <c r="C294" s="5"/>
      <c r="D294" s="5" t="str">
        <f ca="1">IFERROR(__xludf.DUMMYFUNCTION("if(ISBLANK(C294),,QUERY(MD!$A$2:$D$1000,""Select D where C = '""&amp; C294 &amp;""'""))"),"")</f>
        <v/>
      </c>
      <c r="E294" s="59" t="str">
        <f ca="1">IFERROR(__xludf.DUMMYFUNCTION("if(ISBLANK(C294),,QUERY(MD!$A$2:$D$1000,""Select B where C = '""&amp; C294 &amp;""'""))"),"")</f>
        <v/>
      </c>
      <c r="F294" s="5">
        <f t="shared" ca="1" si="2"/>
        <v>0</v>
      </c>
      <c r="G294" s="32" t="str">
        <f ca="1">IFERROR(__xludf.DUMMYFUNCTION("if($F294&gt;=1,QUERY(Loot!$A$2:$G$904,""Select G where A = '""&amp; $E294 &amp;""' AND D &gt;= ""&amp; Q294  &amp;"" LIMIT 1""),)"),"")</f>
        <v/>
      </c>
      <c r="H294" s="61"/>
      <c r="I294" s="32" t="str">
        <f ca="1">IFERROR(__xludf.DUMMYFUNCTION("if($F294&gt;=2,QUERY(Loot!$A$2:$G$904,""Select G where A = '""&amp; $E294 &amp;""' AND D &gt;= ""&amp; R294 &amp;"" LIMIT 1""),)"),"")</f>
        <v/>
      </c>
      <c r="J294" s="61"/>
      <c r="K294" s="32" t="str">
        <f ca="1">IFERROR(__xludf.DUMMYFUNCTION("if($F294&gt;=3,QUERY(Loot!$A$2:$G$904,""Select G where A = '""&amp; $E294 &amp;""' AND D &gt;= ""&amp; S294  &amp;"" LIMIT 1""),)"),"")</f>
        <v/>
      </c>
      <c r="L294" s="61"/>
      <c r="M294" s="32" t="str">
        <f ca="1">IFERROR(__xludf.DUMMYFUNCTION("if($F294&gt;=4,QUERY(Loot!$A$2:$G$904,""Select G where A = '""&amp; $E294 &amp;""' AND D &gt;= ""&amp;T294 &amp;"" LIMIT 1""),)"),"")</f>
        <v/>
      </c>
      <c r="N294" s="61"/>
      <c r="O294" s="32" t="str">
        <f ca="1">IFERROR(__xludf.DUMMYFUNCTION("if($F294&gt;=5,QUERY(Loot!$A$2:$G$904,""Select G where A = '""&amp; $E294 &amp;""' AND D &gt;= ""&amp; U294 &amp;"" LIMIT 1""),)"),"")</f>
        <v/>
      </c>
      <c r="P294" s="61"/>
      <c r="Q294" s="62">
        <v>0.99964403130318136</v>
      </c>
      <c r="R294" s="63">
        <v>0.39651246524200456</v>
      </c>
      <c r="S294" s="63">
        <v>0.46212516655200031</v>
      </c>
      <c r="T294" s="63">
        <v>0.90211936006067284</v>
      </c>
      <c r="U294" s="63">
        <v>0.87342665392321672</v>
      </c>
    </row>
    <row r="295" spans="1:21" ht="16.2">
      <c r="A295" s="5">
        <f t="shared" ca="1" si="3"/>
        <v>294</v>
      </c>
      <c r="B295" s="5" t="str">
        <f ca="1">IFERROR(__xludf.DUMMYFUNCTION("if(ISBLANK(C295),,QUERY(MD!A296:D1294,""Select A where C = '""&amp; C295 &amp;""'""))"),"")</f>
        <v/>
      </c>
      <c r="C295" s="5"/>
      <c r="D295" s="5" t="str">
        <f ca="1">IFERROR(__xludf.DUMMYFUNCTION("if(ISBLANK(C295),,QUERY(MD!$A$2:$D$1000,""Select D where C = '""&amp; C295 &amp;""'""))"),"")</f>
        <v/>
      </c>
      <c r="E295" s="59" t="str">
        <f ca="1">IFERROR(__xludf.DUMMYFUNCTION("if(ISBLANK(C295),,QUERY(MD!$A$2:$D$1000,""Select B where C = '""&amp; C295 &amp;""'""))"),"")</f>
        <v/>
      </c>
      <c r="F295" s="5">
        <f t="shared" ca="1" si="2"/>
        <v>0</v>
      </c>
      <c r="G295" s="32" t="str">
        <f ca="1">IFERROR(__xludf.DUMMYFUNCTION("if($F295&gt;=1,QUERY(Loot!$A$2:$G$904,""Select G where A = '""&amp; $E295 &amp;""' AND D &gt;= ""&amp; Q295  &amp;"" LIMIT 1""),)"),"")</f>
        <v/>
      </c>
      <c r="H295" s="61"/>
      <c r="I295" s="32" t="str">
        <f ca="1">IFERROR(__xludf.DUMMYFUNCTION("if($F295&gt;=2,QUERY(Loot!$A$2:$G$904,""Select G where A = '""&amp; $E295 &amp;""' AND D &gt;= ""&amp; R295 &amp;"" LIMIT 1""),)"),"")</f>
        <v/>
      </c>
      <c r="J295" s="61"/>
      <c r="K295" s="32" t="str">
        <f ca="1">IFERROR(__xludf.DUMMYFUNCTION("if($F295&gt;=3,QUERY(Loot!$A$2:$G$904,""Select G where A = '""&amp; $E295 &amp;""' AND D &gt;= ""&amp; S295  &amp;"" LIMIT 1""),)"),"")</f>
        <v/>
      </c>
      <c r="L295" s="61"/>
      <c r="M295" s="32" t="str">
        <f ca="1">IFERROR(__xludf.DUMMYFUNCTION("if($F295&gt;=4,QUERY(Loot!$A$2:$G$904,""Select G where A = '""&amp; $E295 &amp;""' AND D &gt;= ""&amp;T295 &amp;"" LIMIT 1""),)"),"")</f>
        <v/>
      </c>
      <c r="N295" s="61"/>
      <c r="O295" s="32" t="str">
        <f ca="1">IFERROR(__xludf.DUMMYFUNCTION("if($F295&gt;=5,QUERY(Loot!$A$2:$G$904,""Select G where A = '""&amp; $E295 &amp;""' AND D &gt;= ""&amp; U295 &amp;"" LIMIT 1""),)"),"")</f>
        <v/>
      </c>
      <c r="P295" s="61"/>
      <c r="Q295" s="62">
        <v>0.2373194936485753</v>
      </c>
      <c r="R295" s="63">
        <v>0.32265440913212529</v>
      </c>
      <c r="S295" s="63">
        <v>0.93051392606049976</v>
      </c>
      <c r="T295" s="63">
        <v>4.364283562708382E-2</v>
      </c>
      <c r="U295" s="63">
        <v>9.0919225514006774E-2</v>
      </c>
    </row>
    <row r="296" spans="1:21" ht="16.2">
      <c r="A296" s="5">
        <f t="shared" ca="1" si="3"/>
        <v>295</v>
      </c>
      <c r="B296" s="5" t="str">
        <f ca="1">IFERROR(__xludf.DUMMYFUNCTION("if(ISBLANK(C296),,QUERY(MD!A297:D1295,""Select A where C = '""&amp; C296 &amp;""'""))"),"")</f>
        <v/>
      </c>
      <c r="C296" s="5"/>
      <c r="D296" s="5" t="str">
        <f ca="1">IFERROR(__xludf.DUMMYFUNCTION("if(ISBLANK(C296),,QUERY(MD!$A$2:$D$1000,""Select D where C = '""&amp; C296 &amp;""'""))"),"")</f>
        <v/>
      </c>
      <c r="E296" s="59" t="str">
        <f ca="1">IFERROR(__xludf.DUMMYFUNCTION("if(ISBLANK(C296),,QUERY(MD!$A$2:$D$1000,""Select B where C = '""&amp; C296 &amp;""'""))"),"")</f>
        <v/>
      </c>
      <c r="F296" s="5">
        <f t="shared" ca="1" si="2"/>
        <v>0</v>
      </c>
      <c r="G296" s="32" t="str">
        <f ca="1">IFERROR(__xludf.DUMMYFUNCTION("if($F296&gt;=1,QUERY(Loot!$A$2:$G$904,""Select G where A = '""&amp; $E296 &amp;""' AND D &gt;= ""&amp; Q296  &amp;"" LIMIT 1""),)"),"")</f>
        <v/>
      </c>
      <c r="H296" s="61"/>
      <c r="I296" s="32" t="str">
        <f ca="1">IFERROR(__xludf.DUMMYFUNCTION("if($F296&gt;=2,QUERY(Loot!$A$2:$G$904,""Select G where A = '""&amp; $E296 &amp;""' AND D &gt;= ""&amp; R296 &amp;"" LIMIT 1""),)"),"")</f>
        <v/>
      </c>
      <c r="J296" s="61"/>
      <c r="K296" s="32" t="str">
        <f ca="1">IFERROR(__xludf.DUMMYFUNCTION("if($F296&gt;=3,QUERY(Loot!$A$2:$G$904,""Select G where A = '""&amp; $E296 &amp;""' AND D &gt;= ""&amp; S296  &amp;"" LIMIT 1""),)"),"")</f>
        <v/>
      </c>
      <c r="L296" s="61"/>
      <c r="M296" s="32" t="str">
        <f ca="1">IFERROR(__xludf.DUMMYFUNCTION("if($F296&gt;=4,QUERY(Loot!$A$2:$G$904,""Select G where A = '""&amp; $E296 &amp;""' AND D &gt;= ""&amp;T296 &amp;"" LIMIT 1""),)"),"")</f>
        <v/>
      </c>
      <c r="N296" s="61"/>
      <c r="O296" s="32" t="str">
        <f ca="1">IFERROR(__xludf.DUMMYFUNCTION("if($F296&gt;=5,QUERY(Loot!$A$2:$G$904,""Select G where A = '""&amp; $E296 &amp;""' AND D &gt;= ""&amp; U296 &amp;"" LIMIT 1""),)"),"")</f>
        <v/>
      </c>
      <c r="P296" s="61"/>
      <c r="Q296" s="62">
        <v>0.40470233756765184</v>
      </c>
      <c r="R296" s="63">
        <v>5.9974118079065386E-2</v>
      </c>
      <c r="S296" s="63">
        <v>0.24121774596288026</v>
      </c>
      <c r="T296" s="63">
        <v>0.85488237668741163</v>
      </c>
      <c r="U296" s="63">
        <v>7.5306900110109987E-2</v>
      </c>
    </row>
    <row r="297" spans="1:21" ht="16.2">
      <c r="A297" s="5">
        <f t="shared" ca="1" si="3"/>
        <v>296</v>
      </c>
      <c r="B297" s="5" t="str">
        <f ca="1">IFERROR(__xludf.DUMMYFUNCTION("if(ISBLANK(C297),,QUERY(MD!A298:D1296,""Select A where C = '""&amp; C297 &amp;""'""))"),"")</f>
        <v/>
      </c>
      <c r="C297" s="5"/>
      <c r="D297" s="5" t="str">
        <f ca="1">IFERROR(__xludf.DUMMYFUNCTION("if(ISBLANK(C297),,QUERY(MD!$A$2:$D$1000,""Select D where C = '""&amp; C297 &amp;""'""))"),"")</f>
        <v/>
      </c>
      <c r="E297" s="59" t="str">
        <f ca="1">IFERROR(__xludf.DUMMYFUNCTION("if(ISBLANK(C297),,QUERY(MD!$A$2:$D$1000,""Select B where C = '""&amp; C297 &amp;""'""))"),"")</f>
        <v/>
      </c>
      <c r="F297" s="5">
        <f t="shared" ca="1" si="2"/>
        <v>0</v>
      </c>
      <c r="G297" s="32" t="str">
        <f ca="1">IFERROR(__xludf.DUMMYFUNCTION("if($F297&gt;=1,QUERY(Loot!$A$2:$G$904,""Select G where A = '""&amp; $E297 &amp;""' AND D &gt;= ""&amp; Q297  &amp;"" LIMIT 1""),)"),"")</f>
        <v/>
      </c>
      <c r="H297" s="61"/>
      <c r="I297" s="32" t="str">
        <f ca="1">IFERROR(__xludf.DUMMYFUNCTION("if($F297&gt;=2,QUERY(Loot!$A$2:$G$904,""Select G where A = '""&amp; $E297 &amp;""' AND D &gt;= ""&amp; R297 &amp;"" LIMIT 1""),)"),"")</f>
        <v/>
      </c>
      <c r="J297" s="61"/>
      <c r="K297" s="32" t="str">
        <f ca="1">IFERROR(__xludf.DUMMYFUNCTION("if($F297&gt;=3,QUERY(Loot!$A$2:$G$904,""Select G where A = '""&amp; $E297 &amp;""' AND D &gt;= ""&amp; S297  &amp;"" LIMIT 1""),)"),"")</f>
        <v/>
      </c>
      <c r="L297" s="61"/>
      <c r="M297" s="32" t="str">
        <f ca="1">IFERROR(__xludf.DUMMYFUNCTION("if($F297&gt;=4,QUERY(Loot!$A$2:$G$904,""Select G where A = '""&amp; $E297 &amp;""' AND D &gt;= ""&amp;T297 &amp;"" LIMIT 1""),)"),"")</f>
        <v/>
      </c>
      <c r="N297" s="61"/>
      <c r="O297" s="32" t="str">
        <f ca="1">IFERROR(__xludf.DUMMYFUNCTION("if($F297&gt;=5,QUERY(Loot!$A$2:$G$904,""Select G where A = '""&amp; $E297 &amp;""' AND D &gt;= ""&amp; U297 &amp;"" LIMIT 1""),)"),"")</f>
        <v/>
      </c>
      <c r="P297" s="61"/>
      <c r="Q297" s="62">
        <v>0.22065095349767683</v>
      </c>
      <c r="R297" s="63">
        <v>0.31875365323590399</v>
      </c>
      <c r="S297" s="63">
        <v>0.20235311208304507</v>
      </c>
      <c r="T297" s="63">
        <v>0.71980131667590819</v>
      </c>
      <c r="U297" s="63">
        <v>0.19936916766062773</v>
      </c>
    </row>
    <row r="298" spans="1:21" ht="16.2">
      <c r="A298" s="5">
        <f t="shared" ca="1" si="3"/>
        <v>297</v>
      </c>
      <c r="B298" s="5" t="str">
        <f ca="1">IFERROR(__xludf.DUMMYFUNCTION("if(ISBLANK(C298),,QUERY(MD!A299:D1297,""Select A where C = '""&amp; C298 &amp;""'""))"),"")</f>
        <v/>
      </c>
      <c r="C298" s="5"/>
      <c r="D298" s="5" t="str">
        <f ca="1">IFERROR(__xludf.DUMMYFUNCTION("if(ISBLANK(C298),,QUERY(MD!$A$2:$D$1000,""Select D where C = '""&amp; C298 &amp;""'""))"),"")</f>
        <v/>
      </c>
      <c r="E298" s="59" t="str">
        <f ca="1">IFERROR(__xludf.DUMMYFUNCTION("if(ISBLANK(C298),,QUERY(MD!$A$2:$D$1000,""Select B where C = '""&amp; C298 &amp;""'""))"),"")</f>
        <v/>
      </c>
      <c r="F298" s="5">
        <f t="shared" ca="1" si="2"/>
        <v>0</v>
      </c>
      <c r="G298" s="32" t="str">
        <f ca="1">IFERROR(__xludf.DUMMYFUNCTION("if($F298&gt;=1,QUERY(Loot!$A$2:$G$904,""Select G where A = '""&amp; $E298 &amp;""' AND D &gt;= ""&amp; Q298  &amp;"" LIMIT 1""),)"),"")</f>
        <v/>
      </c>
      <c r="H298" s="61"/>
      <c r="I298" s="32" t="str">
        <f ca="1">IFERROR(__xludf.DUMMYFUNCTION("if($F298&gt;=2,QUERY(Loot!$A$2:$G$904,""Select G where A = '""&amp; $E298 &amp;""' AND D &gt;= ""&amp; R298 &amp;"" LIMIT 1""),)"),"")</f>
        <v/>
      </c>
      <c r="J298" s="61"/>
      <c r="K298" s="32" t="str">
        <f ca="1">IFERROR(__xludf.DUMMYFUNCTION("if($F298&gt;=3,QUERY(Loot!$A$2:$G$904,""Select G where A = '""&amp; $E298 &amp;""' AND D &gt;= ""&amp; S298  &amp;"" LIMIT 1""),)"),"")</f>
        <v/>
      </c>
      <c r="L298" s="61"/>
      <c r="M298" s="32" t="str">
        <f ca="1">IFERROR(__xludf.DUMMYFUNCTION("if($F298&gt;=4,QUERY(Loot!$A$2:$G$904,""Select G where A = '""&amp; $E298 &amp;""' AND D &gt;= ""&amp;T298 &amp;"" LIMIT 1""),)"),"")</f>
        <v/>
      </c>
      <c r="N298" s="61"/>
      <c r="O298" s="32" t="str">
        <f ca="1">IFERROR(__xludf.DUMMYFUNCTION("if($F298&gt;=5,QUERY(Loot!$A$2:$G$904,""Select G where A = '""&amp; $E298 &amp;""' AND D &gt;= ""&amp; U298 &amp;"" LIMIT 1""),)"),"")</f>
        <v/>
      </c>
      <c r="P298" s="61"/>
      <c r="Q298" s="62">
        <v>0.62335645869103473</v>
      </c>
      <c r="R298" s="63">
        <v>0.85181861599631259</v>
      </c>
      <c r="S298" s="63">
        <v>0.86556037802720853</v>
      </c>
      <c r="T298" s="63">
        <v>0.11071427157736013</v>
      </c>
      <c r="U298" s="63">
        <v>0.63101379611115893</v>
      </c>
    </row>
    <row r="299" spans="1:21" ht="16.2">
      <c r="A299" s="5">
        <f t="shared" ca="1" si="3"/>
        <v>298</v>
      </c>
      <c r="B299" s="5" t="str">
        <f ca="1">IFERROR(__xludf.DUMMYFUNCTION("if(ISBLANK(C299),,QUERY(MD!A300:D1298,""Select A where C = '""&amp; C299 &amp;""'""))"),"")</f>
        <v/>
      </c>
      <c r="C299" s="5"/>
      <c r="D299" s="5" t="str">
        <f ca="1">IFERROR(__xludf.DUMMYFUNCTION("if(ISBLANK(C299),,QUERY(MD!$A$2:$D$1000,""Select D where C = '""&amp; C299 &amp;""'""))"),"")</f>
        <v/>
      </c>
      <c r="E299" s="59" t="str">
        <f ca="1">IFERROR(__xludf.DUMMYFUNCTION("if(ISBLANK(C299),,QUERY(MD!$A$2:$D$1000,""Select B where C = '""&amp; C299 &amp;""'""))"),"")</f>
        <v/>
      </c>
      <c r="F299" s="5">
        <f t="shared" ca="1" si="2"/>
        <v>0</v>
      </c>
      <c r="G299" s="32" t="str">
        <f ca="1">IFERROR(__xludf.DUMMYFUNCTION("if($F299&gt;=1,QUERY(Loot!$A$2:$G$904,""Select G where A = '""&amp; $E299 &amp;""' AND D &gt;= ""&amp; Q299  &amp;"" LIMIT 1""),)"),"")</f>
        <v/>
      </c>
      <c r="H299" s="61"/>
      <c r="I299" s="32" t="str">
        <f ca="1">IFERROR(__xludf.DUMMYFUNCTION("if($F299&gt;=2,QUERY(Loot!$A$2:$G$904,""Select G where A = '""&amp; $E299 &amp;""' AND D &gt;= ""&amp; R299 &amp;"" LIMIT 1""),)"),"")</f>
        <v/>
      </c>
      <c r="J299" s="61"/>
      <c r="K299" s="32" t="str">
        <f ca="1">IFERROR(__xludf.DUMMYFUNCTION("if($F299&gt;=3,QUERY(Loot!$A$2:$G$904,""Select G where A = '""&amp; $E299 &amp;""' AND D &gt;= ""&amp; S299  &amp;"" LIMIT 1""),)"),"")</f>
        <v/>
      </c>
      <c r="L299" s="61"/>
      <c r="M299" s="32" t="str">
        <f ca="1">IFERROR(__xludf.DUMMYFUNCTION("if($F299&gt;=4,QUERY(Loot!$A$2:$G$904,""Select G where A = '""&amp; $E299 &amp;""' AND D &gt;= ""&amp;T299 &amp;"" LIMIT 1""),)"),"")</f>
        <v/>
      </c>
      <c r="N299" s="61"/>
      <c r="O299" s="32" t="str">
        <f ca="1">IFERROR(__xludf.DUMMYFUNCTION("if($F299&gt;=5,QUERY(Loot!$A$2:$G$904,""Select G where A = '""&amp; $E299 &amp;""' AND D &gt;= ""&amp; U299 &amp;"" LIMIT 1""),)"),"")</f>
        <v/>
      </c>
      <c r="P299" s="61"/>
      <c r="Q299" s="62">
        <v>0.87257777054150876</v>
      </c>
      <c r="R299" s="63">
        <v>0.44329020439861</v>
      </c>
      <c r="S299" s="63">
        <v>0.42202211514174259</v>
      </c>
      <c r="T299" s="63">
        <v>0.73147175257448149</v>
      </c>
      <c r="U299" s="63">
        <v>6.8419551250545219E-2</v>
      </c>
    </row>
    <row r="300" spans="1:21" ht="16.2">
      <c r="A300" s="5">
        <f t="shared" ca="1" si="3"/>
        <v>299</v>
      </c>
      <c r="B300" s="5" t="str">
        <f ca="1">IFERROR(__xludf.DUMMYFUNCTION("if(ISBLANK(C300),,QUERY(MD!A301:D1299,""Select A where C = '""&amp; C300 &amp;""'""))"),"")</f>
        <v/>
      </c>
      <c r="C300" s="5"/>
      <c r="D300" s="5" t="str">
        <f ca="1">IFERROR(__xludf.DUMMYFUNCTION("if(ISBLANK(C300),,QUERY(MD!$A$2:$D$1000,""Select D where C = '""&amp; C300 &amp;""'""))"),"")</f>
        <v/>
      </c>
      <c r="E300" s="59" t="str">
        <f ca="1">IFERROR(__xludf.DUMMYFUNCTION("if(ISBLANK(C300),,QUERY(MD!$A$2:$D$1000,""Select B where C = '""&amp; C300 &amp;""'""))"),"")</f>
        <v/>
      </c>
      <c r="F300" s="5">
        <f t="shared" ca="1" si="2"/>
        <v>0</v>
      </c>
      <c r="G300" s="32" t="str">
        <f ca="1">IFERROR(__xludf.DUMMYFUNCTION("if($F300&gt;=1,QUERY(Loot!$A$2:$G$904,""Select G where A = '""&amp; $E300 &amp;""' AND D &gt;= ""&amp; Q300  &amp;"" LIMIT 1""),)"),"")</f>
        <v/>
      </c>
      <c r="H300" s="61"/>
      <c r="I300" s="32" t="str">
        <f ca="1">IFERROR(__xludf.DUMMYFUNCTION("if($F300&gt;=2,QUERY(Loot!$A$2:$G$904,""Select G where A = '""&amp; $E300 &amp;""' AND D &gt;= ""&amp; R300 &amp;"" LIMIT 1""),)"),"")</f>
        <v/>
      </c>
      <c r="J300" s="61"/>
      <c r="K300" s="32" t="str">
        <f ca="1">IFERROR(__xludf.DUMMYFUNCTION("if($F300&gt;=3,QUERY(Loot!$A$2:$G$904,""Select G where A = '""&amp; $E300 &amp;""' AND D &gt;= ""&amp; S300  &amp;"" LIMIT 1""),)"),"")</f>
        <v/>
      </c>
      <c r="L300" s="61"/>
      <c r="M300" s="32" t="str">
        <f ca="1">IFERROR(__xludf.DUMMYFUNCTION("if($F300&gt;=4,QUERY(Loot!$A$2:$G$904,""Select G where A = '""&amp; $E300 &amp;""' AND D &gt;= ""&amp;T300 &amp;"" LIMIT 1""),)"),"")</f>
        <v/>
      </c>
      <c r="N300" s="61"/>
      <c r="O300" s="32" t="str">
        <f ca="1">IFERROR(__xludf.DUMMYFUNCTION("if($F300&gt;=5,QUERY(Loot!$A$2:$G$904,""Select G where A = '""&amp; $E300 &amp;""' AND D &gt;= ""&amp; U300 &amp;"" LIMIT 1""),)"),"")</f>
        <v/>
      </c>
      <c r="P300" s="61"/>
      <c r="Q300" s="62">
        <v>0.4776404709707871</v>
      </c>
      <c r="R300" s="63">
        <v>0.12214549305583267</v>
      </c>
      <c r="S300" s="63">
        <v>0.17853284858573926</v>
      </c>
      <c r="T300" s="63">
        <v>0.20956155347594019</v>
      </c>
      <c r="U300" s="63">
        <v>0.39051878622344927</v>
      </c>
    </row>
    <row r="301" spans="1:21" ht="16.2">
      <c r="A301" s="5">
        <f t="shared" ca="1" si="3"/>
        <v>300</v>
      </c>
      <c r="B301" s="5" t="str">
        <f ca="1">IFERROR(__xludf.DUMMYFUNCTION("if(ISBLANK(C301),,QUERY(MD!A302:D1300,""Select A where C = '""&amp; C301 &amp;""'""))"),"")</f>
        <v/>
      </c>
      <c r="C301" s="5"/>
      <c r="D301" s="5" t="str">
        <f ca="1">IFERROR(__xludf.DUMMYFUNCTION("if(ISBLANK(C301),,QUERY(MD!$A$2:$D$1000,""Select D where C = '""&amp; C301 &amp;""'""))"),"")</f>
        <v/>
      </c>
      <c r="E301" s="59" t="str">
        <f ca="1">IFERROR(__xludf.DUMMYFUNCTION("if(ISBLANK(C301),,QUERY(MD!$A$2:$D$1000,""Select B where C = '""&amp; C301 &amp;""'""))"),"")</f>
        <v/>
      </c>
      <c r="F301" s="5">
        <f t="shared" ca="1" si="2"/>
        <v>0</v>
      </c>
      <c r="G301" s="32" t="str">
        <f ca="1">IFERROR(__xludf.DUMMYFUNCTION("if($F301&gt;=1,QUERY(Loot!$A$2:$G$904,""Select G where A = '""&amp; $E301 &amp;""' AND D &gt;= ""&amp; Q301  &amp;"" LIMIT 1""),)"),"")</f>
        <v/>
      </c>
      <c r="H301" s="61"/>
      <c r="I301" s="32" t="str">
        <f ca="1">IFERROR(__xludf.DUMMYFUNCTION("if($F301&gt;=2,QUERY(Loot!$A$2:$G$904,""Select G where A = '""&amp; $E301 &amp;""' AND D &gt;= ""&amp; R301 &amp;"" LIMIT 1""),)"),"")</f>
        <v/>
      </c>
      <c r="J301" s="61"/>
      <c r="K301" s="32" t="str">
        <f ca="1">IFERROR(__xludf.DUMMYFUNCTION("if($F301&gt;=3,QUERY(Loot!$A$2:$G$904,""Select G where A = '""&amp; $E301 &amp;""' AND D &gt;= ""&amp; S301  &amp;"" LIMIT 1""),)"),"")</f>
        <v/>
      </c>
      <c r="L301" s="61"/>
      <c r="M301" s="32" t="str">
        <f ca="1">IFERROR(__xludf.DUMMYFUNCTION("if($F301&gt;=4,QUERY(Loot!$A$2:$G$904,""Select G where A = '""&amp; $E301 &amp;""' AND D &gt;= ""&amp;T301 &amp;"" LIMIT 1""),)"),"")</f>
        <v/>
      </c>
      <c r="N301" s="61"/>
      <c r="O301" s="32" t="str">
        <f ca="1">IFERROR(__xludf.DUMMYFUNCTION("if($F301&gt;=5,QUERY(Loot!$A$2:$G$904,""Select G where A = '""&amp; $E301 &amp;""' AND D &gt;= ""&amp; U301 &amp;"" LIMIT 1""),)"),"")</f>
        <v/>
      </c>
      <c r="P301" s="61"/>
      <c r="Q301" s="62">
        <v>0.74203587726554876</v>
      </c>
      <c r="R301" s="63">
        <v>0.12792539304426964</v>
      </c>
      <c r="S301" s="63">
        <v>0.64168720496891296</v>
      </c>
      <c r="T301" s="63">
        <v>0.27333928144131492</v>
      </c>
      <c r="U301" s="63">
        <v>0.5845927394037701</v>
      </c>
    </row>
    <row r="302" spans="1:21" ht="16.2">
      <c r="A302" s="5">
        <f t="shared" ca="1" si="3"/>
        <v>301</v>
      </c>
      <c r="B302" s="5" t="str">
        <f ca="1">IFERROR(__xludf.DUMMYFUNCTION("if(ISBLANK(C302),,QUERY(MD!A303:D1301,""Select A where C = '""&amp; C302 &amp;""'""))"),"")</f>
        <v/>
      </c>
      <c r="C302" s="5"/>
      <c r="D302" s="5" t="str">
        <f ca="1">IFERROR(__xludf.DUMMYFUNCTION("if(ISBLANK(C302),,QUERY(MD!$A$2:$D$1000,""Select D where C = '""&amp; C302 &amp;""'""))"),"")</f>
        <v/>
      </c>
      <c r="E302" s="59" t="str">
        <f ca="1">IFERROR(__xludf.DUMMYFUNCTION("if(ISBLANK(C302),,QUERY(MD!$A$2:$D$1000,""Select B where C = '""&amp; C302 &amp;""'""))"),"")</f>
        <v/>
      </c>
      <c r="F302" s="5">
        <f t="shared" ca="1" si="2"/>
        <v>0</v>
      </c>
      <c r="G302" s="32" t="str">
        <f ca="1">IFERROR(__xludf.DUMMYFUNCTION("if($F302&gt;=1,QUERY(Loot!$A$2:$G$904,""Select G where A = '""&amp; $E302 &amp;""' AND D &gt;= ""&amp; Q302  &amp;"" LIMIT 1""),)"),"")</f>
        <v/>
      </c>
      <c r="H302" s="61"/>
      <c r="I302" s="32" t="str">
        <f ca="1">IFERROR(__xludf.DUMMYFUNCTION("if($F302&gt;=2,QUERY(Loot!$A$2:$G$904,""Select G where A = '""&amp; $E302 &amp;""' AND D &gt;= ""&amp; R302 &amp;"" LIMIT 1""),)"),"")</f>
        <v/>
      </c>
      <c r="J302" s="61"/>
      <c r="K302" s="32" t="str">
        <f ca="1">IFERROR(__xludf.DUMMYFUNCTION("if($F302&gt;=3,QUERY(Loot!$A$2:$G$904,""Select G where A = '""&amp; $E302 &amp;""' AND D &gt;= ""&amp; S302  &amp;"" LIMIT 1""),)"),"")</f>
        <v/>
      </c>
      <c r="L302" s="61"/>
      <c r="M302" s="32" t="str">
        <f ca="1">IFERROR(__xludf.DUMMYFUNCTION("if($F302&gt;=4,QUERY(Loot!$A$2:$G$904,""Select G where A = '""&amp; $E302 &amp;""' AND D &gt;= ""&amp;T302 &amp;"" LIMIT 1""),)"),"")</f>
        <v/>
      </c>
      <c r="N302" s="61"/>
      <c r="O302" s="32" t="str">
        <f ca="1">IFERROR(__xludf.DUMMYFUNCTION("if($F302&gt;=5,QUERY(Loot!$A$2:$G$904,""Select G where A = '""&amp; $E302 &amp;""' AND D &gt;= ""&amp; U302 &amp;"" LIMIT 1""),)"),"")</f>
        <v/>
      </c>
      <c r="P302" s="61"/>
      <c r="Q302" s="62">
        <v>0.37337003484995646</v>
      </c>
      <c r="R302" s="63">
        <v>0.59096064766224143</v>
      </c>
      <c r="S302" s="63">
        <v>0.93853840625435958</v>
      </c>
      <c r="T302" s="63">
        <v>0.70189703680659543</v>
      </c>
      <c r="U302" s="63">
        <v>0.86119654663173173</v>
      </c>
    </row>
    <row r="303" spans="1:21" ht="16.2">
      <c r="A303" s="5">
        <f t="shared" ca="1" si="3"/>
        <v>302</v>
      </c>
      <c r="B303" s="5" t="str">
        <f ca="1">IFERROR(__xludf.DUMMYFUNCTION("if(ISBLANK(C303),,QUERY(MD!A304:D1302,""Select A where C = '""&amp; C303 &amp;""'""))"),"")</f>
        <v/>
      </c>
      <c r="C303" s="5"/>
      <c r="D303" s="5" t="str">
        <f ca="1">IFERROR(__xludf.DUMMYFUNCTION("if(ISBLANK(C303),,QUERY(MD!$A$2:$D$1000,""Select D where C = '""&amp; C303 &amp;""'""))"),"")</f>
        <v/>
      </c>
      <c r="E303" s="59" t="str">
        <f ca="1">IFERROR(__xludf.DUMMYFUNCTION("if(ISBLANK(C303),,QUERY(MD!$A$2:$D$1000,""Select B where C = '""&amp; C303 &amp;""'""))"),"")</f>
        <v/>
      </c>
      <c r="F303" s="5">
        <f t="shared" ca="1" si="2"/>
        <v>0</v>
      </c>
      <c r="G303" s="32" t="str">
        <f ca="1">IFERROR(__xludf.DUMMYFUNCTION("if($F303&gt;=1,QUERY(Loot!$A$2:$G$904,""Select G where A = '""&amp; $E303 &amp;""' AND D &gt;= ""&amp; Q303  &amp;"" LIMIT 1""),)"),"")</f>
        <v/>
      </c>
      <c r="H303" s="61"/>
      <c r="I303" s="32" t="str">
        <f ca="1">IFERROR(__xludf.DUMMYFUNCTION("if($F303&gt;=2,QUERY(Loot!$A$2:$G$904,""Select G where A = '""&amp; $E303 &amp;""' AND D &gt;= ""&amp; R303 &amp;"" LIMIT 1""),)"),"")</f>
        <v/>
      </c>
      <c r="J303" s="61"/>
      <c r="K303" s="32" t="str">
        <f ca="1">IFERROR(__xludf.DUMMYFUNCTION("if($F303&gt;=3,QUERY(Loot!$A$2:$G$904,""Select G where A = '""&amp; $E303 &amp;""' AND D &gt;= ""&amp; S303  &amp;"" LIMIT 1""),)"),"")</f>
        <v/>
      </c>
      <c r="L303" s="61"/>
      <c r="M303" s="32" t="str">
        <f ca="1">IFERROR(__xludf.DUMMYFUNCTION("if($F303&gt;=4,QUERY(Loot!$A$2:$G$904,""Select G where A = '""&amp; $E303 &amp;""' AND D &gt;= ""&amp;T303 &amp;"" LIMIT 1""),)"),"")</f>
        <v/>
      </c>
      <c r="N303" s="61"/>
      <c r="O303" s="32" t="str">
        <f ca="1">IFERROR(__xludf.DUMMYFUNCTION("if($F303&gt;=5,QUERY(Loot!$A$2:$G$904,""Select G where A = '""&amp; $E303 &amp;""' AND D &gt;= ""&amp; U303 &amp;"" LIMIT 1""),)"),"")</f>
        <v/>
      </c>
      <c r="P303" s="61"/>
      <c r="Q303" s="62">
        <v>0.30518562085960221</v>
      </c>
      <c r="R303" s="63">
        <v>0.29604297416599668</v>
      </c>
      <c r="S303" s="63">
        <v>0.86985924631849465</v>
      </c>
      <c r="T303" s="63">
        <v>0.31484001921166416</v>
      </c>
      <c r="U303" s="63">
        <v>2.381541582234814E-2</v>
      </c>
    </row>
    <row r="304" spans="1:21" ht="16.2">
      <c r="A304" s="5">
        <f t="shared" ca="1" si="3"/>
        <v>303</v>
      </c>
      <c r="B304" s="5" t="str">
        <f ca="1">IFERROR(__xludf.DUMMYFUNCTION("if(ISBLANK(C304),,QUERY(MD!A305:D1303,""Select A where C = '""&amp; C304 &amp;""'""))"),"")</f>
        <v/>
      </c>
      <c r="C304" s="5"/>
      <c r="D304" s="5" t="str">
        <f ca="1">IFERROR(__xludf.DUMMYFUNCTION("if(ISBLANK(C304),,QUERY(MD!$A$2:$D$1000,""Select D where C = '""&amp; C304 &amp;""'""))"),"")</f>
        <v/>
      </c>
      <c r="E304" s="59" t="str">
        <f ca="1">IFERROR(__xludf.DUMMYFUNCTION("if(ISBLANK(C304),,QUERY(MD!$A$2:$D$1000,""Select B where C = '""&amp; C304 &amp;""'""))"),"")</f>
        <v/>
      </c>
      <c r="F304" s="5">
        <f t="shared" ca="1" si="2"/>
        <v>0</v>
      </c>
      <c r="G304" s="32" t="str">
        <f ca="1">IFERROR(__xludf.DUMMYFUNCTION("if($F304&gt;=1,QUERY(Loot!$A$2:$G$904,""Select G where A = '""&amp; $E304 &amp;""' AND D &gt;= ""&amp; Q304  &amp;"" LIMIT 1""),)"),"")</f>
        <v/>
      </c>
      <c r="H304" s="61"/>
      <c r="I304" s="32" t="str">
        <f ca="1">IFERROR(__xludf.DUMMYFUNCTION("if($F304&gt;=2,QUERY(Loot!$A$2:$G$904,""Select G where A = '""&amp; $E304 &amp;""' AND D &gt;= ""&amp; R304 &amp;"" LIMIT 1""),)"),"")</f>
        <v/>
      </c>
      <c r="J304" s="61"/>
      <c r="K304" s="32" t="str">
        <f ca="1">IFERROR(__xludf.DUMMYFUNCTION("if($F304&gt;=3,QUERY(Loot!$A$2:$G$904,""Select G where A = '""&amp; $E304 &amp;""' AND D &gt;= ""&amp; S304  &amp;"" LIMIT 1""),)"),"")</f>
        <v/>
      </c>
      <c r="L304" s="61"/>
      <c r="M304" s="32" t="str">
        <f ca="1">IFERROR(__xludf.DUMMYFUNCTION("if($F304&gt;=4,QUERY(Loot!$A$2:$G$904,""Select G where A = '""&amp; $E304 &amp;""' AND D &gt;= ""&amp;T304 &amp;"" LIMIT 1""),)"),"")</f>
        <v/>
      </c>
      <c r="N304" s="61"/>
      <c r="O304" s="32" t="str">
        <f ca="1">IFERROR(__xludf.DUMMYFUNCTION("if($F304&gt;=5,QUERY(Loot!$A$2:$G$904,""Select G where A = '""&amp; $E304 &amp;""' AND D &gt;= ""&amp; U304 &amp;"" LIMIT 1""),)"),"")</f>
        <v/>
      </c>
      <c r="P304" s="61"/>
      <c r="Q304" s="62">
        <v>0.61697659229864066</v>
      </c>
      <c r="R304" s="63">
        <v>5.3476496982973409E-2</v>
      </c>
      <c r="S304" s="63">
        <v>0.33277264024051623</v>
      </c>
      <c r="T304" s="63">
        <v>0.6533087800587617</v>
      </c>
      <c r="U304" s="63">
        <v>0.54474258880930171</v>
      </c>
    </row>
    <row r="305" spans="1:21" ht="16.2">
      <c r="A305" s="5">
        <f t="shared" ca="1" si="3"/>
        <v>304</v>
      </c>
      <c r="B305" s="5" t="str">
        <f ca="1">IFERROR(__xludf.DUMMYFUNCTION("if(ISBLANK(C305),,QUERY(MD!A306:D1304,""Select A where C = '""&amp; C305 &amp;""'""))"),"")</f>
        <v/>
      </c>
      <c r="C305" s="5"/>
      <c r="D305" s="5" t="str">
        <f ca="1">IFERROR(__xludf.DUMMYFUNCTION("if(ISBLANK(C305),,QUERY(MD!$A$2:$D$1000,""Select D where C = '""&amp; C305 &amp;""'""))"),"")</f>
        <v/>
      </c>
      <c r="E305" s="59" t="str">
        <f ca="1">IFERROR(__xludf.DUMMYFUNCTION("if(ISBLANK(C305),,QUERY(MD!$A$2:$D$1000,""Select B where C = '""&amp; C305 &amp;""'""))"),"")</f>
        <v/>
      </c>
      <c r="F305" s="5">
        <f t="shared" ca="1" si="2"/>
        <v>0</v>
      </c>
      <c r="G305" s="32" t="str">
        <f ca="1">IFERROR(__xludf.DUMMYFUNCTION("if($F305&gt;=1,QUERY(Loot!$A$2:$G$904,""Select G where A = '""&amp; $E305 &amp;""' AND D &gt;= ""&amp; Q305  &amp;"" LIMIT 1""),)"),"")</f>
        <v/>
      </c>
      <c r="H305" s="61"/>
      <c r="I305" s="32" t="str">
        <f ca="1">IFERROR(__xludf.DUMMYFUNCTION("if($F305&gt;=2,QUERY(Loot!$A$2:$G$904,""Select G where A = '""&amp; $E305 &amp;""' AND D &gt;= ""&amp; R305 &amp;"" LIMIT 1""),)"),"")</f>
        <v/>
      </c>
      <c r="J305" s="61"/>
      <c r="K305" s="32" t="str">
        <f ca="1">IFERROR(__xludf.DUMMYFUNCTION("if($F305&gt;=3,QUERY(Loot!$A$2:$G$904,""Select G where A = '""&amp; $E305 &amp;""' AND D &gt;= ""&amp; S305  &amp;"" LIMIT 1""),)"),"")</f>
        <v/>
      </c>
      <c r="L305" s="61"/>
      <c r="M305" s="32" t="str">
        <f ca="1">IFERROR(__xludf.DUMMYFUNCTION("if($F305&gt;=4,QUERY(Loot!$A$2:$G$904,""Select G where A = '""&amp; $E305 &amp;""' AND D &gt;= ""&amp;T305 &amp;"" LIMIT 1""),)"),"")</f>
        <v/>
      </c>
      <c r="N305" s="61"/>
      <c r="O305" s="32" t="str">
        <f ca="1">IFERROR(__xludf.DUMMYFUNCTION("if($F305&gt;=5,QUERY(Loot!$A$2:$G$904,""Select G where A = '""&amp; $E305 &amp;""' AND D &gt;= ""&amp; U305 &amp;"" LIMIT 1""),)"),"")</f>
        <v/>
      </c>
      <c r="P305" s="61"/>
      <c r="Q305" s="62">
        <v>0.63030768211205235</v>
      </c>
      <c r="R305" s="63">
        <v>0.13690303549891281</v>
      </c>
      <c r="S305" s="63">
        <v>0.93936640113945669</v>
      </c>
      <c r="T305" s="63">
        <v>0.29272285497653194</v>
      </c>
      <c r="U305" s="63">
        <v>0.94543888005903909</v>
      </c>
    </row>
    <row r="306" spans="1:21" ht="16.2">
      <c r="A306" s="5">
        <f t="shared" ca="1" si="3"/>
        <v>305</v>
      </c>
      <c r="B306" s="5" t="str">
        <f ca="1">IFERROR(__xludf.DUMMYFUNCTION("if(ISBLANK(C306),,QUERY(MD!A307:D1305,""Select A where C = '""&amp; C306 &amp;""'""))"),"")</f>
        <v/>
      </c>
      <c r="C306" s="5"/>
      <c r="D306" s="5" t="str">
        <f ca="1">IFERROR(__xludf.DUMMYFUNCTION("if(ISBLANK(C306),,QUERY(MD!$A$2:$D$1000,""Select D where C = '""&amp; C306 &amp;""'""))"),"")</f>
        <v/>
      </c>
      <c r="E306" s="59" t="str">
        <f ca="1">IFERROR(__xludf.DUMMYFUNCTION("if(ISBLANK(C306),,QUERY(MD!$A$2:$D$1000,""Select B where C = '""&amp; C306 &amp;""'""))"),"")</f>
        <v/>
      </c>
      <c r="F306" s="5">
        <f t="shared" ca="1" si="2"/>
        <v>0</v>
      </c>
      <c r="G306" s="32" t="str">
        <f ca="1">IFERROR(__xludf.DUMMYFUNCTION("if($F306&gt;=1,QUERY(Loot!$A$2:$G$904,""Select G where A = '""&amp; $E306 &amp;""' AND D &gt;= ""&amp; Q306  &amp;"" LIMIT 1""),)"),"")</f>
        <v/>
      </c>
      <c r="H306" s="61"/>
      <c r="I306" s="32" t="str">
        <f ca="1">IFERROR(__xludf.DUMMYFUNCTION("if($F306&gt;=2,QUERY(Loot!$A$2:$G$904,""Select G where A = '""&amp; $E306 &amp;""' AND D &gt;= ""&amp; R306 &amp;"" LIMIT 1""),)"),"")</f>
        <v/>
      </c>
      <c r="J306" s="61"/>
      <c r="K306" s="32" t="str">
        <f ca="1">IFERROR(__xludf.DUMMYFUNCTION("if($F306&gt;=3,QUERY(Loot!$A$2:$G$904,""Select G where A = '""&amp; $E306 &amp;""' AND D &gt;= ""&amp; S306  &amp;"" LIMIT 1""),)"),"")</f>
        <v/>
      </c>
      <c r="L306" s="61"/>
      <c r="M306" s="32" t="str">
        <f ca="1">IFERROR(__xludf.DUMMYFUNCTION("if($F306&gt;=4,QUERY(Loot!$A$2:$G$904,""Select G where A = '""&amp; $E306 &amp;""' AND D &gt;= ""&amp;T306 &amp;"" LIMIT 1""),)"),"")</f>
        <v/>
      </c>
      <c r="N306" s="61"/>
      <c r="O306" s="32" t="str">
        <f ca="1">IFERROR(__xludf.DUMMYFUNCTION("if($F306&gt;=5,QUERY(Loot!$A$2:$G$904,""Select G where A = '""&amp; $E306 &amp;""' AND D &gt;= ""&amp; U306 &amp;"" LIMIT 1""),)"),"")</f>
        <v/>
      </c>
      <c r="P306" s="61"/>
      <c r="Q306" s="62">
        <v>0.74320288099462306</v>
      </c>
      <c r="R306" s="63">
        <v>0.87387135905703384</v>
      </c>
      <c r="S306" s="63">
        <v>0.32818376442126851</v>
      </c>
      <c r="T306" s="63">
        <v>0.60812627606359027</v>
      </c>
      <c r="U306" s="63">
        <v>0.70229575235836883</v>
      </c>
    </row>
    <row r="307" spans="1:21" ht="16.2">
      <c r="A307" s="5">
        <f t="shared" ca="1" si="3"/>
        <v>306</v>
      </c>
      <c r="B307" s="5" t="str">
        <f ca="1">IFERROR(__xludf.DUMMYFUNCTION("if(ISBLANK(C307),,QUERY(MD!A308:D1306,""Select A where C = '""&amp; C307 &amp;""'""))"),"")</f>
        <v/>
      </c>
      <c r="C307" s="5"/>
      <c r="D307" s="5" t="str">
        <f ca="1">IFERROR(__xludf.DUMMYFUNCTION("if(ISBLANK(C307),,QUERY(MD!$A$2:$D$1000,""Select D where C = '""&amp; C307 &amp;""'""))"),"")</f>
        <v/>
      </c>
      <c r="E307" s="59" t="str">
        <f ca="1">IFERROR(__xludf.DUMMYFUNCTION("if(ISBLANK(C307),,QUERY(MD!$A$2:$D$1000,""Select B where C = '""&amp; C307 &amp;""'""))"),"")</f>
        <v/>
      </c>
      <c r="F307" s="5">
        <f t="shared" ca="1" si="2"/>
        <v>0</v>
      </c>
      <c r="G307" s="32" t="str">
        <f ca="1">IFERROR(__xludf.DUMMYFUNCTION("if($F307&gt;=1,QUERY(Loot!$A$2:$G$904,""Select G where A = '""&amp; $E307 &amp;""' AND D &gt;= ""&amp; Q307  &amp;"" LIMIT 1""),)"),"")</f>
        <v/>
      </c>
      <c r="H307" s="61"/>
      <c r="I307" s="32" t="str">
        <f ca="1">IFERROR(__xludf.DUMMYFUNCTION("if($F307&gt;=2,QUERY(Loot!$A$2:$G$904,""Select G where A = '""&amp; $E307 &amp;""' AND D &gt;= ""&amp; R307 &amp;"" LIMIT 1""),)"),"")</f>
        <v/>
      </c>
      <c r="J307" s="61"/>
      <c r="K307" s="32" t="str">
        <f ca="1">IFERROR(__xludf.DUMMYFUNCTION("if($F307&gt;=3,QUERY(Loot!$A$2:$G$904,""Select G where A = '""&amp; $E307 &amp;""' AND D &gt;= ""&amp; S307  &amp;"" LIMIT 1""),)"),"")</f>
        <v/>
      </c>
      <c r="L307" s="61"/>
      <c r="M307" s="32" t="str">
        <f ca="1">IFERROR(__xludf.DUMMYFUNCTION("if($F307&gt;=4,QUERY(Loot!$A$2:$G$904,""Select G where A = '""&amp; $E307 &amp;""' AND D &gt;= ""&amp;T307 &amp;"" LIMIT 1""),)"),"")</f>
        <v/>
      </c>
      <c r="N307" s="61"/>
      <c r="O307" s="32" t="str">
        <f ca="1">IFERROR(__xludf.DUMMYFUNCTION("if($F307&gt;=5,QUERY(Loot!$A$2:$G$904,""Select G where A = '""&amp; $E307 &amp;""' AND D &gt;= ""&amp; U307 &amp;"" LIMIT 1""),)"),"")</f>
        <v/>
      </c>
      <c r="P307" s="61"/>
      <c r="Q307" s="62">
        <v>5.18962378379213E-2</v>
      </c>
      <c r="R307" s="63">
        <v>0.98358159542591972</v>
      </c>
      <c r="S307" s="63">
        <v>0.30846695535436885</v>
      </c>
      <c r="T307" s="63">
        <v>0.71497070371728744</v>
      </c>
      <c r="U307" s="63">
        <v>0.70292829881131713</v>
      </c>
    </row>
    <row r="308" spans="1:21" ht="16.2">
      <c r="A308" s="5">
        <f t="shared" ca="1" si="3"/>
        <v>307</v>
      </c>
      <c r="B308" s="5" t="str">
        <f ca="1">IFERROR(__xludf.DUMMYFUNCTION("if(ISBLANK(C308),,QUERY(MD!A309:D1307,""Select A where C = '""&amp; C308 &amp;""'""))"),"")</f>
        <v/>
      </c>
      <c r="C308" s="5"/>
      <c r="D308" s="5" t="str">
        <f ca="1">IFERROR(__xludf.DUMMYFUNCTION("if(ISBLANK(C308),,QUERY(MD!$A$2:$D$1000,""Select D where C = '""&amp; C308 &amp;""'""))"),"")</f>
        <v/>
      </c>
      <c r="E308" s="59" t="str">
        <f ca="1">IFERROR(__xludf.DUMMYFUNCTION("if(ISBLANK(C308),,QUERY(MD!$A$2:$D$1000,""Select B where C = '""&amp; C308 &amp;""'""))"),"")</f>
        <v/>
      </c>
      <c r="F308" s="5">
        <f t="shared" ca="1" si="2"/>
        <v>0</v>
      </c>
      <c r="G308" s="32" t="str">
        <f ca="1">IFERROR(__xludf.DUMMYFUNCTION("if($F308&gt;=1,QUERY(Loot!$A$2:$G$904,""Select G where A = '""&amp; $E308 &amp;""' AND D &gt;= ""&amp; Q308  &amp;"" LIMIT 1""),)"),"")</f>
        <v/>
      </c>
      <c r="H308" s="61"/>
      <c r="I308" s="32" t="str">
        <f ca="1">IFERROR(__xludf.DUMMYFUNCTION("if($F308&gt;=2,QUERY(Loot!$A$2:$G$904,""Select G where A = '""&amp; $E308 &amp;""' AND D &gt;= ""&amp; R308 &amp;"" LIMIT 1""),)"),"")</f>
        <v/>
      </c>
      <c r="J308" s="61"/>
      <c r="K308" s="32" t="str">
        <f ca="1">IFERROR(__xludf.DUMMYFUNCTION("if($F308&gt;=3,QUERY(Loot!$A$2:$G$904,""Select G where A = '""&amp; $E308 &amp;""' AND D &gt;= ""&amp; S308  &amp;"" LIMIT 1""),)"),"")</f>
        <v/>
      </c>
      <c r="L308" s="61"/>
      <c r="M308" s="32" t="str">
        <f ca="1">IFERROR(__xludf.DUMMYFUNCTION("if($F308&gt;=4,QUERY(Loot!$A$2:$G$904,""Select G where A = '""&amp; $E308 &amp;""' AND D &gt;= ""&amp;T308 &amp;"" LIMIT 1""),)"),"")</f>
        <v/>
      </c>
      <c r="N308" s="61"/>
      <c r="O308" s="32" t="str">
        <f ca="1">IFERROR(__xludf.DUMMYFUNCTION("if($F308&gt;=5,QUERY(Loot!$A$2:$G$904,""Select G where A = '""&amp; $E308 &amp;""' AND D &gt;= ""&amp; U308 &amp;"" LIMIT 1""),)"),"")</f>
        <v/>
      </c>
      <c r="P308" s="61"/>
      <c r="Q308" s="62">
        <v>0.85931197516059155</v>
      </c>
      <c r="R308" s="63">
        <v>0.83186291715444172</v>
      </c>
      <c r="S308" s="63">
        <v>0.36605924022453529</v>
      </c>
      <c r="T308" s="63">
        <v>0.16050365525458743</v>
      </c>
      <c r="U308" s="63">
        <v>0.58604868574892399</v>
      </c>
    </row>
    <row r="309" spans="1:21" ht="16.2">
      <c r="A309" s="5">
        <f t="shared" ca="1" si="3"/>
        <v>308</v>
      </c>
      <c r="B309" s="5" t="str">
        <f ca="1">IFERROR(__xludf.DUMMYFUNCTION("if(ISBLANK(C309),,QUERY(MD!A310:D1308,""Select A where C = '""&amp; C309 &amp;""'""))"),"")</f>
        <v/>
      </c>
      <c r="C309" s="5"/>
      <c r="D309" s="5" t="str">
        <f ca="1">IFERROR(__xludf.DUMMYFUNCTION("if(ISBLANK(C309),,QUERY(MD!$A$2:$D$1000,""Select D where C = '""&amp; C309 &amp;""'""))"),"")</f>
        <v/>
      </c>
      <c r="E309" s="59" t="str">
        <f ca="1">IFERROR(__xludf.DUMMYFUNCTION("if(ISBLANK(C309),,QUERY(MD!$A$2:$D$1000,""Select B where C = '""&amp; C309 &amp;""'""))"),"")</f>
        <v/>
      </c>
      <c r="F309" s="5">
        <f t="shared" ca="1" si="2"/>
        <v>0</v>
      </c>
      <c r="G309" s="32" t="str">
        <f ca="1">IFERROR(__xludf.DUMMYFUNCTION("if($F309&gt;=1,QUERY(Loot!$A$2:$G$904,""Select G where A = '""&amp; $E309 &amp;""' AND D &gt;= ""&amp; Q309  &amp;"" LIMIT 1""),)"),"")</f>
        <v/>
      </c>
      <c r="H309" s="61"/>
      <c r="I309" s="32" t="str">
        <f ca="1">IFERROR(__xludf.DUMMYFUNCTION("if($F309&gt;=2,QUERY(Loot!$A$2:$G$904,""Select G where A = '""&amp; $E309 &amp;""' AND D &gt;= ""&amp; R309 &amp;"" LIMIT 1""),)"),"")</f>
        <v/>
      </c>
      <c r="J309" s="61"/>
      <c r="K309" s="32" t="str">
        <f ca="1">IFERROR(__xludf.DUMMYFUNCTION("if($F309&gt;=3,QUERY(Loot!$A$2:$G$904,""Select G where A = '""&amp; $E309 &amp;""' AND D &gt;= ""&amp; S309  &amp;"" LIMIT 1""),)"),"")</f>
        <v/>
      </c>
      <c r="L309" s="61"/>
      <c r="M309" s="32" t="str">
        <f ca="1">IFERROR(__xludf.DUMMYFUNCTION("if($F309&gt;=4,QUERY(Loot!$A$2:$G$904,""Select G where A = '""&amp; $E309 &amp;""' AND D &gt;= ""&amp;T309 &amp;"" LIMIT 1""),)"),"")</f>
        <v/>
      </c>
      <c r="N309" s="61"/>
      <c r="O309" s="32" t="str">
        <f ca="1">IFERROR(__xludf.DUMMYFUNCTION("if($F309&gt;=5,QUERY(Loot!$A$2:$G$904,""Select G where A = '""&amp; $E309 &amp;""' AND D &gt;= ""&amp; U309 &amp;"" LIMIT 1""),)"),"")</f>
        <v/>
      </c>
      <c r="P309" s="61"/>
      <c r="Q309" s="62">
        <v>0.37970699816967513</v>
      </c>
      <c r="R309" s="63">
        <v>0.9398410144894932</v>
      </c>
      <c r="S309" s="63">
        <v>0.60572982881658699</v>
      </c>
      <c r="T309" s="63">
        <v>0.50016947822342883</v>
      </c>
      <c r="U309" s="63">
        <v>0.26663367045168396</v>
      </c>
    </row>
    <row r="310" spans="1:21" ht="16.2">
      <c r="A310" s="5">
        <f t="shared" ca="1" si="3"/>
        <v>309</v>
      </c>
      <c r="B310" s="5" t="str">
        <f ca="1">IFERROR(__xludf.DUMMYFUNCTION("if(ISBLANK(C310),,QUERY(MD!A311:D1309,""Select A where C = '""&amp; C310 &amp;""'""))"),"")</f>
        <v/>
      </c>
      <c r="C310" s="5"/>
      <c r="D310" s="5" t="str">
        <f ca="1">IFERROR(__xludf.DUMMYFUNCTION("if(ISBLANK(C310),,QUERY(MD!$A$2:$D$1000,""Select D where C = '""&amp; C310 &amp;""'""))"),"")</f>
        <v/>
      </c>
      <c r="E310" s="59" t="str">
        <f ca="1">IFERROR(__xludf.DUMMYFUNCTION("if(ISBLANK(C310),,QUERY(MD!$A$2:$D$1000,""Select B where C = '""&amp; C310 &amp;""'""))"),"")</f>
        <v/>
      </c>
      <c r="F310" s="5">
        <f t="shared" ca="1" si="2"/>
        <v>0</v>
      </c>
      <c r="G310" s="32" t="str">
        <f ca="1">IFERROR(__xludf.DUMMYFUNCTION("if($F310&gt;=1,QUERY(Loot!$A$2:$G$904,""Select G where A = '""&amp; $E310 &amp;""' AND D &gt;= ""&amp; Q310  &amp;"" LIMIT 1""),)"),"")</f>
        <v/>
      </c>
      <c r="H310" s="61"/>
      <c r="I310" s="32" t="str">
        <f ca="1">IFERROR(__xludf.DUMMYFUNCTION("if($F310&gt;=2,QUERY(Loot!$A$2:$G$904,""Select G where A = '""&amp; $E310 &amp;""' AND D &gt;= ""&amp; R310 &amp;"" LIMIT 1""),)"),"")</f>
        <v/>
      </c>
      <c r="J310" s="61"/>
      <c r="K310" s="32" t="str">
        <f ca="1">IFERROR(__xludf.DUMMYFUNCTION("if($F310&gt;=3,QUERY(Loot!$A$2:$G$904,""Select G where A = '""&amp; $E310 &amp;""' AND D &gt;= ""&amp; S310  &amp;"" LIMIT 1""),)"),"")</f>
        <v/>
      </c>
      <c r="L310" s="61"/>
      <c r="M310" s="32" t="str">
        <f ca="1">IFERROR(__xludf.DUMMYFUNCTION("if($F310&gt;=4,QUERY(Loot!$A$2:$G$904,""Select G where A = '""&amp; $E310 &amp;""' AND D &gt;= ""&amp;T310 &amp;"" LIMIT 1""),)"),"")</f>
        <v/>
      </c>
      <c r="N310" s="61"/>
      <c r="O310" s="32" t="str">
        <f ca="1">IFERROR(__xludf.DUMMYFUNCTION("if($F310&gt;=5,QUERY(Loot!$A$2:$G$904,""Select G where A = '""&amp; $E310 &amp;""' AND D &gt;= ""&amp; U310 &amp;"" LIMIT 1""),)"),"")</f>
        <v/>
      </c>
      <c r="P310" s="61"/>
      <c r="Q310" s="62">
        <v>0.78111991772178357</v>
      </c>
      <c r="R310" s="63">
        <v>2.2715915565228229E-2</v>
      </c>
      <c r="S310" s="63">
        <v>5.2367708927115619E-2</v>
      </c>
      <c r="T310" s="63">
        <v>0.55784198324351075</v>
      </c>
      <c r="U310" s="63">
        <v>0.94833917534579593</v>
      </c>
    </row>
    <row r="311" spans="1:21" ht="16.2">
      <c r="A311" s="5">
        <f t="shared" ca="1" si="3"/>
        <v>310</v>
      </c>
      <c r="B311" s="5" t="str">
        <f ca="1">IFERROR(__xludf.DUMMYFUNCTION("if(ISBLANK(C311),,QUERY(MD!A312:D1310,""Select A where C = '""&amp; C311 &amp;""'""))"),"")</f>
        <v/>
      </c>
      <c r="C311" s="5"/>
      <c r="D311" s="5" t="str">
        <f ca="1">IFERROR(__xludf.DUMMYFUNCTION("if(ISBLANK(C311),,QUERY(MD!$A$2:$D$1000,""Select D where C = '""&amp; C311 &amp;""'""))"),"")</f>
        <v/>
      </c>
      <c r="E311" s="59" t="str">
        <f ca="1">IFERROR(__xludf.DUMMYFUNCTION("if(ISBLANK(C311),,QUERY(MD!$A$2:$D$1000,""Select B where C = '""&amp; C311 &amp;""'""))"),"")</f>
        <v/>
      </c>
      <c r="F311" s="5">
        <f t="shared" ca="1" si="2"/>
        <v>0</v>
      </c>
      <c r="G311" s="32" t="str">
        <f ca="1">IFERROR(__xludf.DUMMYFUNCTION("if($F311&gt;=1,QUERY(Loot!$A$2:$G$904,""Select G where A = '""&amp; $E311 &amp;""' AND D &gt;= ""&amp; Q311  &amp;"" LIMIT 1""),)"),"")</f>
        <v/>
      </c>
      <c r="H311" s="61"/>
      <c r="I311" s="32" t="str">
        <f ca="1">IFERROR(__xludf.DUMMYFUNCTION("if($F311&gt;=2,QUERY(Loot!$A$2:$G$904,""Select G where A = '""&amp; $E311 &amp;""' AND D &gt;= ""&amp; R311 &amp;"" LIMIT 1""),)"),"")</f>
        <v/>
      </c>
      <c r="J311" s="61"/>
      <c r="K311" s="32" t="str">
        <f ca="1">IFERROR(__xludf.DUMMYFUNCTION("if($F311&gt;=3,QUERY(Loot!$A$2:$G$904,""Select G where A = '""&amp; $E311 &amp;""' AND D &gt;= ""&amp; S311  &amp;"" LIMIT 1""),)"),"")</f>
        <v/>
      </c>
      <c r="L311" s="61"/>
      <c r="M311" s="32" t="str">
        <f ca="1">IFERROR(__xludf.DUMMYFUNCTION("if($F311&gt;=4,QUERY(Loot!$A$2:$G$904,""Select G where A = '""&amp; $E311 &amp;""' AND D &gt;= ""&amp;T311 &amp;"" LIMIT 1""),)"),"")</f>
        <v/>
      </c>
      <c r="N311" s="61"/>
      <c r="O311" s="32" t="str">
        <f ca="1">IFERROR(__xludf.DUMMYFUNCTION("if($F311&gt;=5,QUERY(Loot!$A$2:$G$904,""Select G where A = '""&amp; $E311 &amp;""' AND D &gt;= ""&amp; U311 &amp;"" LIMIT 1""),)"),"")</f>
        <v/>
      </c>
      <c r="P311" s="61"/>
      <c r="Q311" s="62">
        <v>0.43771784857983176</v>
      </c>
      <c r="R311" s="63">
        <v>0.31740004452371362</v>
      </c>
      <c r="S311" s="63">
        <v>0.23441175979986806</v>
      </c>
      <c r="T311" s="63">
        <v>0.96858028285848807</v>
      </c>
      <c r="U311" s="63">
        <v>0.67884586514226675</v>
      </c>
    </row>
    <row r="312" spans="1:21" ht="16.2">
      <c r="A312" s="5">
        <f t="shared" ca="1" si="3"/>
        <v>311</v>
      </c>
      <c r="B312" s="5" t="str">
        <f ca="1">IFERROR(__xludf.DUMMYFUNCTION("if(ISBLANK(C312),,QUERY(MD!A313:D1311,""Select A where C = '""&amp; C312 &amp;""'""))"),"")</f>
        <v/>
      </c>
      <c r="C312" s="5"/>
      <c r="D312" s="5" t="str">
        <f ca="1">IFERROR(__xludf.DUMMYFUNCTION("if(ISBLANK(C312),,QUERY(MD!$A$2:$D$1000,""Select D where C = '""&amp; C312 &amp;""'""))"),"")</f>
        <v/>
      </c>
      <c r="E312" s="59" t="str">
        <f ca="1">IFERROR(__xludf.DUMMYFUNCTION("if(ISBLANK(C312),,QUERY(MD!$A$2:$D$1000,""Select B where C = '""&amp; C312 &amp;""'""))"),"")</f>
        <v/>
      </c>
      <c r="F312" s="5">
        <f t="shared" ca="1" si="2"/>
        <v>0</v>
      </c>
      <c r="G312" s="32" t="str">
        <f ca="1">IFERROR(__xludf.DUMMYFUNCTION("if($F312&gt;=1,QUERY(Loot!$A$2:$G$904,""Select G where A = '""&amp; $E312 &amp;""' AND D &gt;= ""&amp; Q312  &amp;"" LIMIT 1""),)"),"")</f>
        <v/>
      </c>
      <c r="H312" s="61"/>
      <c r="I312" s="32" t="str">
        <f ca="1">IFERROR(__xludf.DUMMYFUNCTION("if($F312&gt;=2,QUERY(Loot!$A$2:$G$904,""Select G where A = '""&amp; $E312 &amp;""' AND D &gt;= ""&amp; R312 &amp;"" LIMIT 1""),)"),"")</f>
        <v/>
      </c>
      <c r="J312" s="61"/>
      <c r="K312" s="32" t="str">
        <f ca="1">IFERROR(__xludf.DUMMYFUNCTION("if($F312&gt;=3,QUERY(Loot!$A$2:$G$904,""Select G where A = '""&amp; $E312 &amp;""' AND D &gt;= ""&amp; S312  &amp;"" LIMIT 1""),)"),"")</f>
        <v/>
      </c>
      <c r="L312" s="61"/>
      <c r="M312" s="32" t="str">
        <f ca="1">IFERROR(__xludf.DUMMYFUNCTION("if($F312&gt;=4,QUERY(Loot!$A$2:$G$904,""Select G where A = '""&amp; $E312 &amp;""' AND D &gt;= ""&amp;T312 &amp;"" LIMIT 1""),)"),"")</f>
        <v/>
      </c>
      <c r="N312" s="61"/>
      <c r="O312" s="32" t="str">
        <f ca="1">IFERROR(__xludf.DUMMYFUNCTION("if($F312&gt;=5,QUERY(Loot!$A$2:$G$904,""Select G where A = '""&amp; $E312 &amp;""' AND D &gt;= ""&amp; U312 &amp;"" LIMIT 1""),)"),"")</f>
        <v/>
      </c>
      <c r="P312" s="61"/>
      <c r="Q312" s="62">
        <v>0.80202242980268956</v>
      </c>
      <c r="R312" s="63">
        <v>3.0198074666238806E-2</v>
      </c>
      <c r="S312" s="63">
        <v>0.34901733778591704</v>
      </c>
      <c r="T312" s="63">
        <v>8.9470153808737352E-2</v>
      </c>
      <c r="U312" s="63">
        <v>0.85851793382623331</v>
      </c>
    </row>
    <row r="313" spans="1:21" ht="16.2">
      <c r="A313" s="5">
        <f t="shared" ca="1" si="3"/>
        <v>312</v>
      </c>
      <c r="B313" s="5" t="str">
        <f ca="1">IFERROR(__xludf.DUMMYFUNCTION("if(ISBLANK(C313),,QUERY(MD!A314:D1312,""Select A where C = '""&amp; C313 &amp;""'""))"),"")</f>
        <v/>
      </c>
      <c r="C313" s="5"/>
      <c r="D313" s="5" t="str">
        <f ca="1">IFERROR(__xludf.DUMMYFUNCTION("if(ISBLANK(C313),,QUERY(MD!$A$2:$D$1000,""Select D where C = '""&amp; C313 &amp;""'""))"),"")</f>
        <v/>
      </c>
      <c r="E313" s="59" t="str">
        <f ca="1">IFERROR(__xludf.DUMMYFUNCTION("if(ISBLANK(C313),,QUERY(MD!$A$2:$D$1000,""Select B where C = '""&amp; C313 &amp;""'""))"),"")</f>
        <v/>
      </c>
      <c r="F313" s="5">
        <f t="shared" ca="1" si="2"/>
        <v>0</v>
      </c>
      <c r="G313" s="32" t="str">
        <f ca="1">IFERROR(__xludf.DUMMYFUNCTION("if($F313&gt;=1,QUERY(Loot!$A$2:$G$904,""Select G where A = '""&amp; $E313 &amp;""' AND D &gt;= ""&amp; Q313  &amp;"" LIMIT 1""),)"),"")</f>
        <v/>
      </c>
      <c r="H313" s="61"/>
      <c r="I313" s="32" t="str">
        <f ca="1">IFERROR(__xludf.DUMMYFUNCTION("if($F313&gt;=2,QUERY(Loot!$A$2:$G$904,""Select G where A = '""&amp; $E313 &amp;""' AND D &gt;= ""&amp; R313 &amp;"" LIMIT 1""),)"),"")</f>
        <v/>
      </c>
      <c r="J313" s="61"/>
      <c r="K313" s="32" t="str">
        <f ca="1">IFERROR(__xludf.DUMMYFUNCTION("if($F313&gt;=3,QUERY(Loot!$A$2:$G$904,""Select G where A = '""&amp; $E313 &amp;""' AND D &gt;= ""&amp; S313  &amp;"" LIMIT 1""),)"),"")</f>
        <v/>
      </c>
      <c r="L313" s="61"/>
      <c r="M313" s="32" t="str">
        <f ca="1">IFERROR(__xludf.DUMMYFUNCTION("if($F313&gt;=4,QUERY(Loot!$A$2:$G$904,""Select G where A = '""&amp; $E313 &amp;""' AND D &gt;= ""&amp;T313 &amp;"" LIMIT 1""),)"),"")</f>
        <v/>
      </c>
      <c r="N313" s="61"/>
      <c r="O313" s="32" t="str">
        <f ca="1">IFERROR(__xludf.DUMMYFUNCTION("if($F313&gt;=5,QUERY(Loot!$A$2:$G$904,""Select G where A = '""&amp; $E313 &amp;""' AND D &gt;= ""&amp; U313 &amp;"" LIMIT 1""),)"),"")</f>
        <v/>
      </c>
      <c r="P313" s="61"/>
      <c r="Q313" s="62">
        <v>0.17080350133958744</v>
      </c>
      <c r="R313" s="63">
        <v>0.12537507580727314</v>
      </c>
      <c r="S313" s="63">
        <v>0.85599972364061461</v>
      </c>
      <c r="T313" s="63">
        <v>0.40282132739015131</v>
      </c>
      <c r="U313" s="63">
        <v>0.86329130841451329</v>
      </c>
    </row>
    <row r="314" spans="1:21" ht="16.2">
      <c r="A314" s="5">
        <f t="shared" ca="1" si="3"/>
        <v>313</v>
      </c>
      <c r="B314" s="5" t="str">
        <f ca="1">IFERROR(__xludf.DUMMYFUNCTION("if(ISBLANK(C314),,QUERY(MD!A315:D1313,""Select A where C = '""&amp; C314 &amp;""'""))"),"")</f>
        <v/>
      </c>
      <c r="C314" s="5"/>
      <c r="D314" s="5" t="str">
        <f ca="1">IFERROR(__xludf.DUMMYFUNCTION("if(ISBLANK(C314),,QUERY(MD!$A$2:$D$1000,""Select D where C = '""&amp; C314 &amp;""'""))"),"")</f>
        <v/>
      </c>
      <c r="E314" s="59" t="str">
        <f ca="1">IFERROR(__xludf.DUMMYFUNCTION("if(ISBLANK(C314),,QUERY(MD!$A$2:$D$1000,""Select B where C = '""&amp; C314 &amp;""'""))"),"")</f>
        <v/>
      </c>
      <c r="F314" s="5">
        <f t="shared" ca="1" si="2"/>
        <v>0</v>
      </c>
      <c r="G314" s="32" t="str">
        <f ca="1">IFERROR(__xludf.DUMMYFUNCTION("if($F314&gt;=1,QUERY(Loot!$A$2:$G$904,""Select G where A = '""&amp; $E314 &amp;""' AND D &gt;= ""&amp; Q314  &amp;"" LIMIT 1""),)"),"")</f>
        <v/>
      </c>
      <c r="H314" s="61"/>
      <c r="I314" s="32" t="str">
        <f ca="1">IFERROR(__xludf.DUMMYFUNCTION("if($F314&gt;=2,QUERY(Loot!$A$2:$G$904,""Select G where A = '""&amp; $E314 &amp;""' AND D &gt;= ""&amp; R314 &amp;"" LIMIT 1""),)"),"")</f>
        <v/>
      </c>
      <c r="J314" s="61"/>
      <c r="K314" s="32" t="str">
        <f ca="1">IFERROR(__xludf.DUMMYFUNCTION("if($F314&gt;=3,QUERY(Loot!$A$2:$G$904,""Select G where A = '""&amp; $E314 &amp;""' AND D &gt;= ""&amp; S314  &amp;"" LIMIT 1""),)"),"")</f>
        <v/>
      </c>
      <c r="L314" s="61"/>
      <c r="M314" s="32" t="str">
        <f ca="1">IFERROR(__xludf.DUMMYFUNCTION("if($F314&gt;=4,QUERY(Loot!$A$2:$G$904,""Select G where A = '""&amp; $E314 &amp;""' AND D &gt;= ""&amp;T314 &amp;"" LIMIT 1""),)"),"")</f>
        <v/>
      </c>
      <c r="N314" s="61"/>
      <c r="O314" s="32" t="str">
        <f ca="1">IFERROR(__xludf.DUMMYFUNCTION("if($F314&gt;=5,QUERY(Loot!$A$2:$G$904,""Select G where A = '""&amp; $E314 &amp;""' AND D &gt;= ""&amp; U314 &amp;"" LIMIT 1""),)"),"")</f>
        <v/>
      </c>
      <c r="P314" s="61"/>
      <c r="Q314" s="62">
        <v>0.13516470508133871</v>
      </c>
      <c r="R314" s="63">
        <v>0.86949858112052991</v>
      </c>
      <c r="S314" s="63">
        <v>0.30909731153812481</v>
      </c>
      <c r="T314" s="63">
        <v>0.53471715455619862</v>
      </c>
      <c r="U314" s="63">
        <v>0.89194958177311978</v>
      </c>
    </row>
    <row r="315" spans="1:21" ht="16.2">
      <c r="A315" s="5">
        <f t="shared" ca="1" si="3"/>
        <v>314</v>
      </c>
      <c r="B315" s="5" t="str">
        <f ca="1">IFERROR(__xludf.DUMMYFUNCTION("if(ISBLANK(C315),,QUERY(MD!A316:D1314,""Select A where C = '""&amp; C315 &amp;""'""))"),"")</f>
        <v/>
      </c>
      <c r="C315" s="5"/>
      <c r="D315" s="5" t="str">
        <f ca="1">IFERROR(__xludf.DUMMYFUNCTION("if(ISBLANK(C315),,QUERY(MD!$A$2:$D$1000,""Select D where C = '""&amp; C315 &amp;""'""))"),"")</f>
        <v/>
      </c>
      <c r="E315" s="59" t="str">
        <f ca="1">IFERROR(__xludf.DUMMYFUNCTION("if(ISBLANK(C315),,QUERY(MD!$A$2:$D$1000,""Select B where C = '""&amp; C315 &amp;""'""))"),"")</f>
        <v/>
      </c>
      <c r="F315" s="5">
        <f t="shared" ca="1" si="2"/>
        <v>0</v>
      </c>
      <c r="G315" s="32" t="str">
        <f ca="1">IFERROR(__xludf.DUMMYFUNCTION("if($F315&gt;=1,QUERY(Loot!$A$2:$G$904,""Select G where A = '""&amp; $E315 &amp;""' AND D &gt;= ""&amp; Q315  &amp;"" LIMIT 1""),)"),"")</f>
        <v/>
      </c>
      <c r="H315" s="61"/>
      <c r="I315" s="32" t="str">
        <f ca="1">IFERROR(__xludf.DUMMYFUNCTION("if($F315&gt;=2,QUERY(Loot!$A$2:$G$904,""Select G where A = '""&amp; $E315 &amp;""' AND D &gt;= ""&amp; R315 &amp;"" LIMIT 1""),)"),"")</f>
        <v/>
      </c>
      <c r="J315" s="61"/>
      <c r="K315" s="32" t="str">
        <f ca="1">IFERROR(__xludf.DUMMYFUNCTION("if($F315&gt;=3,QUERY(Loot!$A$2:$G$904,""Select G where A = '""&amp; $E315 &amp;""' AND D &gt;= ""&amp; S315  &amp;"" LIMIT 1""),)"),"")</f>
        <v/>
      </c>
      <c r="L315" s="61"/>
      <c r="M315" s="32" t="str">
        <f ca="1">IFERROR(__xludf.DUMMYFUNCTION("if($F315&gt;=4,QUERY(Loot!$A$2:$G$904,""Select G where A = '""&amp; $E315 &amp;""' AND D &gt;= ""&amp;T315 &amp;"" LIMIT 1""),)"),"")</f>
        <v/>
      </c>
      <c r="N315" s="61"/>
      <c r="O315" s="32" t="str">
        <f ca="1">IFERROR(__xludf.DUMMYFUNCTION("if($F315&gt;=5,QUERY(Loot!$A$2:$G$904,""Select G where A = '""&amp; $E315 &amp;""' AND D &gt;= ""&amp; U315 &amp;"" LIMIT 1""),)"),"")</f>
        <v/>
      </c>
      <c r="P315" s="61"/>
      <c r="Q315" s="62">
        <v>0.33064231977903258</v>
      </c>
      <c r="R315" s="63">
        <v>0.80673075266526273</v>
      </c>
      <c r="S315" s="63">
        <v>0.49822041372048664</v>
      </c>
      <c r="T315" s="63">
        <v>0.90661777063961679</v>
      </c>
      <c r="U315" s="63">
        <v>0.62880755113303188</v>
      </c>
    </row>
    <row r="316" spans="1:21" ht="16.2">
      <c r="A316" s="5">
        <f t="shared" ca="1" si="3"/>
        <v>315</v>
      </c>
      <c r="B316" s="5" t="str">
        <f ca="1">IFERROR(__xludf.DUMMYFUNCTION("if(ISBLANK(C316),,QUERY(MD!A317:D1315,""Select A where C = '""&amp; C316 &amp;""'""))"),"")</f>
        <v/>
      </c>
      <c r="C316" s="5"/>
      <c r="D316" s="5" t="str">
        <f ca="1">IFERROR(__xludf.DUMMYFUNCTION("if(ISBLANK(C316),,QUERY(MD!$A$2:$D$1000,""Select D where C = '""&amp; C316 &amp;""'""))"),"")</f>
        <v/>
      </c>
      <c r="E316" s="59" t="str">
        <f ca="1">IFERROR(__xludf.DUMMYFUNCTION("if(ISBLANK(C316),,QUERY(MD!$A$2:$D$1000,""Select B where C = '""&amp; C316 &amp;""'""))"),"")</f>
        <v/>
      </c>
      <c r="F316" s="5">
        <f t="shared" ca="1" si="2"/>
        <v>0</v>
      </c>
      <c r="G316" s="32" t="str">
        <f ca="1">IFERROR(__xludf.DUMMYFUNCTION("if($F316&gt;=1,QUERY(Loot!$A$2:$G$904,""Select G where A = '""&amp; $E316 &amp;""' AND D &gt;= ""&amp; Q316  &amp;"" LIMIT 1""),)"),"")</f>
        <v/>
      </c>
      <c r="H316" s="61"/>
      <c r="I316" s="32" t="str">
        <f ca="1">IFERROR(__xludf.DUMMYFUNCTION("if($F316&gt;=2,QUERY(Loot!$A$2:$G$904,""Select G where A = '""&amp; $E316 &amp;""' AND D &gt;= ""&amp; R316 &amp;"" LIMIT 1""),)"),"")</f>
        <v/>
      </c>
      <c r="J316" s="61"/>
      <c r="K316" s="32" t="str">
        <f ca="1">IFERROR(__xludf.DUMMYFUNCTION("if($F316&gt;=3,QUERY(Loot!$A$2:$G$904,""Select G where A = '""&amp; $E316 &amp;""' AND D &gt;= ""&amp; S316  &amp;"" LIMIT 1""),)"),"")</f>
        <v/>
      </c>
      <c r="L316" s="61"/>
      <c r="M316" s="32" t="str">
        <f ca="1">IFERROR(__xludf.DUMMYFUNCTION("if($F316&gt;=4,QUERY(Loot!$A$2:$G$904,""Select G where A = '""&amp; $E316 &amp;""' AND D &gt;= ""&amp;T316 &amp;"" LIMIT 1""),)"),"")</f>
        <v/>
      </c>
      <c r="N316" s="61"/>
      <c r="O316" s="32" t="str">
        <f ca="1">IFERROR(__xludf.DUMMYFUNCTION("if($F316&gt;=5,QUERY(Loot!$A$2:$G$904,""Select G where A = '""&amp; $E316 &amp;""' AND D &gt;= ""&amp; U316 &amp;"" LIMIT 1""),)"),"")</f>
        <v/>
      </c>
      <c r="P316" s="61"/>
      <c r="Q316" s="62">
        <v>0.44103823358392524</v>
      </c>
      <c r="R316" s="63">
        <v>0.93733119772910345</v>
      </c>
      <c r="S316" s="63">
        <v>5.2616160327593975E-2</v>
      </c>
      <c r="T316" s="63">
        <v>0.37862530931797556</v>
      </c>
      <c r="U316" s="63">
        <v>0.67561298168005957</v>
      </c>
    </row>
    <row r="317" spans="1:21" ht="16.2">
      <c r="A317" s="5">
        <f t="shared" ca="1" si="3"/>
        <v>316</v>
      </c>
      <c r="B317" s="5" t="str">
        <f ca="1">IFERROR(__xludf.DUMMYFUNCTION("if(ISBLANK(C317),,QUERY(MD!A318:D1316,""Select A where C = '""&amp; C317 &amp;""'""))"),"")</f>
        <v/>
      </c>
      <c r="C317" s="5"/>
      <c r="D317" s="5" t="str">
        <f ca="1">IFERROR(__xludf.DUMMYFUNCTION("if(ISBLANK(C317),,QUERY(MD!$A$2:$D$1000,""Select D where C = '""&amp; C317 &amp;""'""))"),"")</f>
        <v/>
      </c>
      <c r="E317" s="59" t="str">
        <f ca="1">IFERROR(__xludf.DUMMYFUNCTION("if(ISBLANK(C317),,QUERY(MD!$A$2:$D$1000,""Select B where C = '""&amp; C317 &amp;""'""))"),"")</f>
        <v/>
      </c>
      <c r="F317" s="5">
        <f t="shared" ca="1" si="2"/>
        <v>0</v>
      </c>
      <c r="G317" s="32" t="str">
        <f ca="1">IFERROR(__xludf.DUMMYFUNCTION("if($F317&gt;=1,QUERY(Loot!$A$2:$G$904,""Select G where A = '""&amp; $E317 &amp;""' AND D &gt;= ""&amp; Q317  &amp;"" LIMIT 1""),)"),"")</f>
        <v/>
      </c>
      <c r="H317" s="61"/>
      <c r="I317" s="32" t="str">
        <f ca="1">IFERROR(__xludf.DUMMYFUNCTION("if($F317&gt;=2,QUERY(Loot!$A$2:$G$904,""Select G where A = '""&amp; $E317 &amp;""' AND D &gt;= ""&amp; R317 &amp;"" LIMIT 1""),)"),"")</f>
        <v/>
      </c>
      <c r="J317" s="61"/>
      <c r="K317" s="32" t="str">
        <f ca="1">IFERROR(__xludf.DUMMYFUNCTION("if($F317&gt;=3,QUERY(Loot!$A$2:$G$904,""Select G where A = '""&amp; $E317 &amp;""' AND D &gt;= ""&amp; S317  &amp;"" LIMIT 1""),)"),"")</f>
        <v/>
      </c>
      <c r="L317" s="61"/>
      <c r="M317" s="32" t="str">
        <f ca="1">IFERROR(__xludf.DUMMYFUNCTION("if($F317&gt;=4,QUERY(Loot!$A$2:$G$904,""Select G where A = '""&amp; $E317 &amp;""' AND D &gt;= ""&amp;T317 &amp;"" LIMIT 1""),)"),"")</f>
        <v/>
      </c>
      <c r="N317" s="61"/>
      <c r="O317" s="32" t="str">
        <f ca="1">IFERROR(__xludf.DUMMYFUNCTION("if($F317&gt;=5,QUERY(Loot!$A$2:$G$904,""Select G where A = '""&amp; $E317 &amp;""' AND D &gt;= ""&amp; U317 &amp;"" LIMIT 1""),)"),"")</f>
        <v/>
      </c>
      <c r="P317" s="61"/>
      <c r="Q317" s="62">
        <v>0.84231199143615576</v>
      </c>
      <c r="R317" s="63">
        <v>0.10432714965854384</v>
      </c>
      <c r="S317" s="63">
        <v>0.88111889747882399</v>
      </c>
      <c r="T317" s="63">
        <v>1.2065553032019727E-2</v>
      </c>
      <c r="U317" s="63">
        <v>0.80676813604593633</v>
      </c>
    </row>
    <row r="318" spans="1:21" ht="16.2">
      <c r="A318" s="5">
        <f t="shared" ca="1" si="3"/>
        <v>317</v>
      </c>
      <c r="B318" s="5" t="str">
        <f ca="1">IFERROR(__xludf.DUMMYFUNCTION("if(ISBLANK(C318),,QUERY(MD!A319:D1317,""Select A where C = '""&amp; C318 &amp;""'""))"),"")</f>
        <v/>
      </c>
      <c r="C318" s="5"/>
      <c r="D318" s="5" t="str">
        <f ca="1">IFERROR(__xludf.DUMMYFUNCTION("if(ISBLANK(C318),,QUERY(MD!$A$2:$D$1000,""Select D where C = '""&amp; C318 &amp;""'""))"),"")</f>
        <v/>
      </c>
      <c r="E318" s="59" t="str">
        <f ca="1">IFERROR(__xludf.DUMMYFUNCTION("if(ISBLANK(C318),,QUERY(MD!$A$2:$D$1000,""Select B where C = '""&amp; C318 &amp;""'""))"),"")</f>
        <v/>
      </c>
      <c r="F318" s="5">
        <f t="shared" ca="1" si="2"/>
        <v>0</v>
      </c>
      <c r="G318" s="32" t="str">
        <f ca="1">IFERROR(__xludf.DUMMYFUNCTION("if($F318&gt;=1,QUERY(Loot!$A$2:$G$904,""Select G where A = '""&amp; $E318 &amp;""' AND D &gt;= ""&amp; Q318  &amp;"" LIMIT 1""),)"),"")</f>
        <v/>
      </c>
      <c r="H318" s="61"/>
      <c r="I318" s="32" t="str">
        <f ca="1">IFERROR(__xludf.DUMMYFUNCTION("if($F318&gt;=2,QUERY(Loot!$A$2:$G$904,""Select G where A = '""&amp; $E318 &amp;""' AND D &gt;= ""&amp; R318 &amp;"" LIMIT 1""),)"),"")</f>
        <v/>
      </c>
      <c r="J318" s="61"/>
      <c r="K318" s="32" t="str">
        <f ca="1">IFERROR(__xludf.DUMMYFUNCTION("if($F318&gt;=3,QUERY(Loot!$A$2:$G$904,""Select G where A = '""&amp; $E318 &amp;""' AND D &gt;= ""&amp; S318  &amp;"" LIMIT 1""),)"),"")</f>
        <v/>
      </c>
      <c r="L318" s="61"/>
      <c r="M318" s="32" t="str">
        <f ca="1">IFERROR(__xludf.DUMMYFUNCTION("if($F318&gt;=4,QUERY(Loot!$A$2:$G$904,""Select G where A = '""&amp; $E318 &amp;""' AND D &gt;= ""&amp;T318 &amp;"" LIMIT 1""),)"),"")</f>
        <v/>
      </c>
      <c r="N318" s="61"/>
      <c r="O318" s="32" t="str">
        <f ca="1">IFERROR(__xludf.DUMMYFUNCTION("if($F318&gt;=5,QUERY(Loot!$A$2:$G$904,""Select G where A = '""&amp; $E318 &amp;""' AND D &gt;= ""&amp; U318 &amp;"" LIMIT 1""),)"),"")</f>
        <v/>
      </c>
      <c r="P318" s="61"/>
      <c r="Q318" s="62">
        <v>0.89124509131275498</v>
      </c>
      <c r="R318" s="63">
        <v>0.69158540457629469</v>
      </c>
      <c r="S318" s="63">
        <v>0.58202509485133602</v>
      </c>
      <c r="T318" s="63">
        <v>0.39842447989480012</v>
      </c>
      <c r="U318" s="63">
        <v>0.60533677566139843</v>
      </c>
    </row>
    <row r="319" spans="1:21" ht="16.2">
      <c r="A319" s="5">
        <f t="shared" ca="1" si="3"/>
        <v>318</v>
      </c>
      <c r="B319" s="5" t="str">
        <f ca="1">IFERROR(__xludf.DUMMYFUNCTION("if(ISBLANK(C319),,QUERY(MD!A320:D1318,""Select A where C = '""&amp; C319 &amp;""'""))"),"")</f>
        <v/>
      </c>
      <c r="C319" s="5"/>
      <c r="D319" s="5" t="str">
        <f ca="1">IFERROR(__xludf.DUMMYFUNCTION("if(ISBLANK(C319),,QUERY(MD!$A$2:$D$1000,""Select D where C = '""&amp; C319 &amp;""'""))"),"")</f>
        <v/>
      </c>
      <c r="E319" s="59" t="str">
        <f ca="1">IFERROR(__xludf.DUMMYFUNCTION("if(ISBLANK(C319),,QUERY(MD!$A$2:$D$1000,""Select B where C = '""&amp; C319 &amp;""'""))"),"")</f>
        <v/>
      </c>
      <c r="F319" s="5">
        <f t="shared" ca="1" si="2"/>
        <v>0</v>
      </c>
      <c r="G319" s="32" t="str">
        <f ca="1">IFERROR(__xludf.DUMMYFUNCTION("if($F319&gt;=1,QUERY(Loot!$A$2:$G$904,""Select G where A = '""&amp; $E319 &amp;""' AND D &gt;= ""&amp; Q319  &amp;"" LIMIT 1""),)"),"")</f>
        <v/>
      </c>
      <c r="H319" s="61"/>
      <c r="I319" s="32" t="str">
        <f ca="1">IFERROR(__xludf.DUMMYFUNCTION("if($F319&gt;=2,QUERY(Loot!$A$2:$G$904,""Select G where A = '""&amp; $E319 &amp;""' AND D &gt;= ""&amp; R319 &amp;"" LIMIT 1""),)"),"")</f>
        <v/>
      </c>
      <c r="J319" s="61"/>
      <c r="K319" s="32" t="str">
        <f ca="1">IFERROR(__xludf.DUMMYFUNCTION("if($F319&gt;=3,QUERY(Loot!$A$2:$G$904,""Select G where A = '""&amp; $E319 &amp;""' AND D &gt;= ""&amp; S319  &amp;"" LIMIT 1""),)"),"")</f>
        <v/>
      </c>
      <c r="L319" s="61"/>
      <c r="M319" s="32" t="str">
        <f ca="1">IFERROR(__xludf.DUMMYFUNCTION("if($F319&gt;=4,QUERY(Loot!$A$2:$G$904,""Select G where A = '""&amp; $E319 &amp;""' AND D &gt;= ""&amp;T319 &amp;"" LIMIT 1""),)"),"")</f>
        <v/>
      </c>
      <c r="N319" s="61"/>
      <c r="O319" s="32" t="str">
        <f ca="1">IFERROR(__xludf.DUMMYFUNCTION("if($F319&gt;=5,QUERY(Loot!$A$2:$G$904,""Select G where A = '""&amp; $E319 &amp;""' AND D &gt;= ""&amp; U319 &amp;"" LIMIT 1""),)"),"")</f>
        <v/>
      </c>
      <c r="P319" s="61"/>
      <c r="Q319" s="62">
        <v>0.42266967767140518</v>
      </c>
      <c r="R319" s="63">
        <v>0.52661710586562205</v>
      </c>
      <c r="S319" s="63">
        <v>0.1548801331852282</v>
      </c>
      <c r="T319" s="63">
        <v>0.67494639738771312</v>
      </c>
      <c r="U319" s="63">
        <v>0.38861809883369347</v>
      </c>
    </row>
    <row r="320" spans="1:21" ht="16.2">
      <c r="A320" s="5">
        <f t="shared" ca="1" si="3"/>
        <v>319</v>
      </c>
      <c r="B320" s="5" t="str">
        <f ca="1">IFERROR(__xludf.DUMMYFUNCTION("if(ISBLANK(C320),,QUERY(MD!A321:D1319,""Select A where C = '""&amp; C320 &amp;""'""))"),"")</f>
        <v/>
      </c>
      <c r="C320" s="5"/>
      <c r="D320" s="5" t="str">
        <f ca="1">IFERROR(__xludf.DUMMYFUNCTION("if(ISBLANK(C320),,QUERY(MD!$A$2:$D$1000,""Select D where C = '""&amp; C320 &amp;""'""))"),"")</f>
        <v/>
      </c>
      <c r="E320" s="59" t="str">
        <f ca="1">IFERROR(__xludf.DUMMYFUNCTION("if(ISBLANK(C320),,QUERY(MD!$A$2:$D$1000,""Select B where C = '""&amp; C320 &amp;""'""))"),"")</f>
        <v/>
      </c>
      <c r="F320" s="5">
        <f t="shared" ca="1" si="2"/>
        <v>0</v>
      </c>
      <c r="G320" s="32" t="str">
        <f ca="1">IFERROR(__xludf.DUMMYFUNCTION("if($F320&gt;=1,QUERY(Loot!$A$2:$G$904,""Select G where A = '""&amp; $E320 &amp;""' AND D &gt;= ""&amp; Q320  &amp;"" LIMIT 1""),)"),"")</f>
        <v/>
      </c>
      <c r="H320" s="61"/>
      <c r="I320" s="32" t="str">
        <f ca="1">IFERROR(__xludf.DUMMYFUNCTION("if($F320&gt;=2,QUERY(Loot!$A$2:$G$904,""Select G where A = '""&amp; $E320 &amp;""' AND D &gt;= ""&amp; R320 &amp;"" LIMIT 1""),)"),"")</f>
        <v/>
      </c>
      <c r="J320" s="61"/>
      <c r="K320" s="32" t="str">
        <f ca="1">IFERROR(__xludf.DUMMYFUNCTION("if($F320&gt;=3,QUERY(Loot!$A$2:$G$904,""Select G where A = '""&amp; $E320 &amp;""' AND D &gt;= ""&amp; S320  &amp;"" LIMIT 1""),)"),"")</f>
        <v/>
      </c>
      <c r="L320" s="61"/>
      <c r="M320" s="32" t="str">
        <f ca="1">IFERROR(__xludf.DUMMYFUNCTION("if($F320&gt;=4,QUERY(Loot!$A$2:$G$904,""Select G where A = '""&amp; $E320 &amp;""' AND D &gt;= ""&amp;T320 &amp;"" LIMIT 1""),)"),"")</f>
        <v/>
      </c>
      <c r="N320" s="61"/>
      <c r="O320" s="32" t="str">
        <f ca="1">IFERROR(__xludf.DUMMYFUNCTION("if($F320&gt;=5,QUERY(Loot!$A$2:$G$904,""Select G where A = '""&amp; $E320 &amp;""' AND D &gt;= ""&amp; U320 &amp;"" LIMIT 1""),)"),"")</f>
        <v/>
      </c>
      <c r="P320" s="61"/>
      <c r="Q320" s="62">
        <v>0.12023533225101923</v>
      </c>
      <c r="R320" s="63">
        <v>0.12331707427586069</v>
      </c>
      <c r="S320" s="63">
        <v>0.27583211639831495</v>
      </c>
      <c r="T320" s="63">
        <v>0.20548880121018254</v>
      </c>
      <c r="U320" s="63">
        <v>0.5182771644876818</v>
      </c>
    </row>
    <row r="321" spans="1:21" ht="16.2">
      <c r="A321" s="5">
        <f t="shared" ca="1" si="3"/>
        <v>320</v>
      </c>
      <c r="B321" s="5" t="str">
        <f ca="1">IFERROR(__xludf.DUMMYFUNCTION("if(ISBLANK(C321),,QUERY(MD!A322:D1320,""Select A where C = '""&amp; C321 &amp;""'""))"),"")</f>
        <v/>
      </c>
      <c r="C321" s="5"/>
      <c r="D321" s="5" t="str">
        <f ca="1">IFERROR(__xludf.DUMMYFUNCTION("if(ISBLANK(C321),,QUERY(MD!$A$2:$D$1000,""Select D where C = '""&amp; C321 &amp;""'""))"),"")</f>
        <v/>
      </c>
      <c r="E321" s="59" t="str">
        <f ca="1">IFERROR(__xludf.DUMMYFUNCTION("if(ISBLANK(C321),,QUERY(MD!$A$2:$D$1000,""Select B where C = '""&amp; C321 &amp;""'""))"),"")</f>
        <v/>
      </c>
      <c r="F321" s="5">
        <f t="shared" ca="1" si="2"/>
        <v>0</v>
      </c>
      <c r="G321" s="32" t="str">
        <f ca="1">IFERROR(__xludf.DUMMYFUNCTION("if($F321&gt;=1,QUERY(Loot!$A$2:$G$904,""Select G where A = '""&amp; $E321 &amp;""' AND D &gt;= ""&amp; Q321  &amp;"" LIMIT 1""),)"),"")</f>
        <v/>
      </c>
      <c r="H321" s="61"/>
      <c r="I321" s="32" t="str">
        <f ca="1">IFERROR(__xludf.DUMMYFUNCTION("if($F321&gt;=2,QUERY(Loot!$A$2:$G$904,""Select G where A = '""&amp; $E321 &amp;""' AND D &gt;= ""&amp; R321 &amp;"" LIMIT 1""),)"),"")</f>
        <v/>
      </c>
      <c r="J321" s="61"/>
      <c r="K321" s="32" t="str">
        <f ca="1">IFERROR(__xludf.DUMMYFUNCTION("if($F321&gt;=3,QUERY(Loot!$A$2:$G$904,""Select G where A = '""&amp; $E321 &amp;""' AND D &gt;= ""&amp; S321  &amp;"" LIMIT 1""),)"),"")</f>
        <v/>
      </c>
      <c r="L321" s="61"/>
      <c r="M321" s="32" t="str">
        <f ca="1">IFERROR(__xludf.DUMMYFUNCTION("if($F321&gt;=4,QUERY(Loot!$A$2:$G$904,""Select G where A = '""&amp; $E321 &amp;""' AND D &gt;= ""&amp;T321 &amp;"" LIMIT 1""),)"),"")</f>
        <v/>
      </c>
      <c r="N321" s="61"/>
      <c r="O321" s="32" t="str">
        <f ca="1">IFERROR(__xludf.DUMMYFUNCTION("if($F321&gt;=5,QUERY(Loot!$A$2:$G$904,""Select G where A = '""&amp; $E321 &amp;""' AND D &gt;= ""&amp; U321 &amp;"" LIMIT 1""),)"),"")</f>
        <v/>
      </c>
      <c r="P321" s="61"/>
      <c r="Q321" s="62">
        <v>0.26255262678595714</v>
      </c>
      <c r="R321" s="63">
        <v>0.98839832353945978</v>
      </c>
      <c r="S321" s="63">
        <v>2.133982016535696E-3</v>
      </c>
      <c r="T321" s="63">
        <v>0.21261287809756979</v>
      </c>
      <c r="U321" s="63">
        <v>0.95648966489676335</v>
      </c>
    </row>
    <row r="322" spans="1:21" ht="16.2">
      <c r="A322" s="5">
        <f t="shared" ca="1" si="3"/>
        <v>321</v>
      </c>
      <c r="B322" s="5" t="str">
        <f ca="1">IFERROR(__xludf.DUMMYFUNCTION("if(ISBLANK(C322),,QUERY(MD!A323:D1321,""Select A where C = '""&amp; C322 &amp;""'""))"),"")</f>
        <v/>
      </c>
      <c r="C322" s="5"/>
      <c r="D322" s="5" t="str">
        <f ca="1">IFERROR(__xludf.DUMMYFUNCTION("if(ISBLANK(C322),,QUERY(MD!$A$2:$D$1000,""Select D where C = '""&amp; C322 &amp;""'""))"),"")</f>
        <v/>
      </c>
      <c r="E322" s="59" t="str">
        <f ca="1">IFERROR(__xludf.DUMMYFUNCTION("if(ISBLANK(C322),,QUERY(MD!$A$2:$D$1000,""Select B where C = '""&amp; C322 &amp;""'""))"),"")</f>
        <v/>
      </c>
      <c r="F322" s="5">
        <f t="shared" ca="1" si="2"/>
        <v>0</v>
      </c>
      <c r="G322" s="32" t="str">
        <f ca="1">IFERROR(__xludf.DUMMYFUNCTION("if($F322&gt;=1,QUERY(Loot!$A$2:$G$904,""Select G where A = '""&amp; $E322 &amp;""' AND D &gt;= ""&amp; Q322  &amp;"" LIMIT 1""),)"),"")</f>
        <v/>
      </c>
      <c r="H322" s="61"/>
      <c r="I322" s="32" t="str">
        <f ca="1">IFERROR(__xludf.DUMMYFUNCTION("if($F322&gt;=2,QUERY(Loot!$A$2:$G$904,""Select G where A = '""&amp; $E322 &amp;""' AND D &gt;= ""&amp; R322 &amp;"" LIMIT 1""),)"),"")</f>
        <v/>
      </c>
      <c r="J322" s="61"/>
      <c r="K322" s="32" t="str">
        <f ca="1">IFERROR(__xludf.DUMMYFUNCTION("if($F322&gt;=3,QUERY(Loot!$A$2:$G$904,""Select G where A = '""&amp; $E322 &amp;""' AND D &gt;= ""&amp; S322  &amp;"" LIMIT 1""),)"),"")</f>
        <v/>
      </c>
      <c r="L322" s="61"/>
      <c r="M322" s="32" t="str">
        <f ca="1">IFERROR(__xludf.DUMMYFUNCTION("if($F322&gt;=4,QUERY(Loot!$A$2:$G$904,""Select G where A = '""&amp; $E322 &amp;""' AND D &gt;= ""&amp;T322 &amp;"" LIMIT 1""),)"),"")</f>
        <v/>
      </c>
      <c r="N322" s="61"/>
      <c r="O322" s="32" t="str">
        <f ca="1">IFERROR(__xludf.DUMMYFUNCTION("if($F322&gt;=5,QUERY(Loot!$A$2:$G$904,""Select G where A = '""&amp; $E322 &amp;""' AND D &gt;= ""&amp; U322 &amp;"" LIMIT 1""),)"),"")</f>
        <v/>
      </c>
      <c r="P322" s="61"/>
      <c r="Q322" s="62">
        <v>0.32991326266139653</v>
      </c>
      <c r="R322" s="63">
        <v>0.46805911869911443</v>
      </c>
      <c r="S322" s="63">
        <v>0.76391159830924038</v>
      </c>
      <c r="T322" s="63">
        <v>0.34993244957555281</v>
      </c>
      <c r="U322" s="63">
        <v>0.89147939440126289</v>
      </c>
    </row>
    <row r="323" spans="1:21" ht="16.2">
      <c r="A323" s="5">
        <f t="shared" ca="1" si="3"/>
        <v>322</v>
      </c>
      <c r="B323" s="5" t="str">
        <f ca="1">IFERROR(__xludf.DUMMYFUNCTION("if(ISBLANK(C323),,QUERY(MD!A324:D1322,""Select A where C = '""&amp; C323 &amp;""'""))"),"")</f>
        <v/>
      </c>
      <c r="C323" s="5"/>
      <c r="D323" s="5" t="str">
        <f ca="1">IFERROR(__xludf.DUMMYFUNCTION("if(ISBLANK(C323),,QUERY(MD!$A$2:$D$1000,""Select D where C = '""&amp; C323 &amp;""'""))"),"")</f>
        <v/>
      </c>
      <c r="E323" s="59" t="str">
        <f ca="1">IFERROR(__xludf.DUMMYFUNCTION("if(ISBLANK(C323),,QUERY(MD!$A$2:$D$1000,""Select B where C = '""&amp; C323 &amp;""'""))"),"")</f>
        <v/>
      </c>
      <c r="F323" s="5">
        <f t="shared" ca="1" si="2"/>
        <v>0</v>
      </c>
      <c r="G323" s="32" t="str">
        <f ca="1">IFERROR(__xludf.DUMMYFUNCTION("if($F323&gt;=1,QUERY(Loot!$A$2:$G$904,""Select G where A = '""&amp; $E323 &amp;""' AND D &gt;= ""&amp; Q323  &amp;"" LIMIT 1""),)"),"")</f>
        <v/>
      </c>
      <c r="H323" s="61"/>
      <c r="I323" s="32" t="str">
        <f ca="1">IFERROR(__xludf.DUMMYFUNCTION("if($F323&gt;=2,QUERY(Loot!$A$2:$G$904,""Select G where A = '""&amp; $E323 &amp;""' AND D &gt;= ""&amp; R323 &amp;"" LIMIT 1""),)"),"")</f>
        <v/>
      </c>
      <c r="J323" s="61"/>
      <c r="K323" s="32" t="str">
        <f ca="1">IFERROR(__xludf.DUMMYFUNCTION("if($F323&gt;=3,QUERY(Loot!$A$2:$G$904,""Select G where A = '""&amp; $E323 &amp;""' AND D &gt;= ""&amp; S323  &amp;"" LIMIT 1""),)"),"")</f>
        <v/>
      </c>
      <c r="L323" s="61"/>
      <c r="M323" s="32" t="str">
        <f ca="1">IFERROR(__xludf.DUMMYFUNCTION("if($F323&gt;=4,QUERY(Loot!$A$2:$G$904,""Select G where A = '""&amp; $E323 &amp;""' AND D &gt;= ""&amp;T323 &amp;"" LIMIT 1""),)"),"")</f>
        <v/>
      </c>
      <c r="N323" s="61"/>
      <c r="O323" s="32" t="str">
        <f ca="1">IFERROR(__xludf.DUMMYFUNCTION("if($F323&gt;=5,QUERY(Loot!$A$2:$G$904,""Select G where A = '""&amp; $E323 &amp;""' AND D &gt;= ""&amp; U323 &amp;"" LIMIT 1""),)"),"")</f>
        <v/>
      </c>
      <c r="P323" s="61"/>
      <c r="Q323" s="62">
        <v>0.56680292984822822</v>
      </c>
      <c r="R323" s="63">
        <v>0.14654737409954455</v>
      </c>
      <c r="S323" s="63">
        <v>0.21090048942925776</v>
      </c>
      <c r="T323" s="63">
        <v>0.59174965625731524</v>
      </c>
      <c r="U323" s="63">
        <v>0.37727071050829375</v>
      </c>
    </row>
    <row r="324" spans="1:21" ht="16.2">
      <c r="A324" s="5">
        <f t="shared" ca="1" si="3"/>
        <v>323</v>
      </c>
      <c r="B324" s="5" t="str">
        <f ca="1">IFERROR(__xludf.DUMMYFUNCTION("if(ISBLANK(C324),,QUERY(MD!A325:D1323,""Select A where C = '""&amp; C324 &amp;""'""))"),"")</f>
        <v/>
      </c>
      <c r="C324" s="5"/>
      <c r="D324" s="5" t="str">
        <f ca="1">IFERROR(__xludf.DUMMYFUNCTION("if(ISBLANK(C324),,QUERY(MD!$A$2:$D$1000,""Select D where C = '""&amp; C324 &amp;""'""))"),"")</f>
        <v/>
      </c>
      <c r="E324" s="59" t="str">
        <f ca="1">IFERROR(__xludf.DUMMYFUNCTION("if(ISBLANK(C324),,QUERY(MD!$A$2:$D$1000,""Select B where C = '""&amp; C324 &amp;""'""))"),"")</f>
        <v/>
      </c>
      <c r="F324" s="5">
        <f t="shared" ca="1" si="2"/>
        <v>0</v>
      </c>
      <c r="G324" s="32" t="str">
        <f ca="1">IFERROR(__xludf.DUMMYFUNCTION("if($F324&gt;=1,QUERY(Loot!$A$2:$G$904,""Select G where A = '""&amp; $E324 &amp;""' AND D &gt;= ""&amp; Q324  &amp;"" LIMIT 1""),)"),"")</f>
        <v/>
      </c>
      <c r="H324" s="61"/>
      <c r="I324" s="32" t="str">
        <f ca="1">IFERROR(__xludf.DUMMYFUNCTION("if($F324&gt;=2,QUERY(Loot!$A$2:$G$904,""Select G where A = '""&amp; $E324 &amp;""' AND D &gt;= ""&amp; R324 &amp;"" LIMIT 1""),)"),"")</f>
        <v/>
      </c>
      <c r="J324" s="61"/>
      <c r="K324" s="32" t="str">
        <f ca="1">IFERROR(__xludf.DUMMYFUNCTION("if($F324&gt;=3,QUERY(Loot!$A$2:$G$904,""Select G where A = '""&amp; $E324 &amp;""' AND D &gt;= ""&amp; S324  &amp;"" LIMIT 1""),)"),"")</f>
        <v/>
      </c>
      <c r="L324" s="61"/>
      <c r="M324" s="32" t="str">
        <f ca="1">IFERROR(__xludf.DUMMYFUNCTION("if($F324&gt;=4,QUERY(Loot!$A$2:$G$904,""Select G where A = '""&amp; $E324 &amp;""' AND D &gt;= ""&amp;T324 &amp;"" LIMIT 1""),)"),"")</f>
        <v/>
      </c>
      <c r="N324" s="61"/>
      <c r="O324" s="32" t="str">
        <f ca="1">IFERROR(__xludf.DUMMYFUNCTION("if($F324&gt;=5,QUERY(Loot!$A$2:$G$904,""Select G where A = '""&amp; $E324 &amp;""' AND D &gt;= ""&amp; U324 &amp;"" LIMIT 1""),)"),"")</f>
        <v/>
      </c>
      <c r="P324" s="61"/>
      <c r="Q324" s="62">
        <v>8.966100568211155E-2</v>
      </c>
      <c r="R324" s="63">
        <v>0.54798628129864069</v>
      </c>
      <c r="S324" s="63">
        <v>0.12285963284270052</v>
      </c>
      <c r="T324" s="63">
        <v>0.19049330011467669</v>
      </c>
      <c r="U324" s="63">
        <v>0.12705470344632463</v>
      </c>
    </row>
    <row r="325" spans="1:21" ht="16.2">
      <c r="A325" s="5">
        <f t="shared" ca="1" si="3"/>
        <v>324</v>
      </c>
      <c r="B325" s="5" t="str">
        <f ca="1">IFERROR(__xludf.DUMMYFUNCTION("if(ISBLANK(C325),,QUERY(MD!A326:D1324,""Select A where C = '""&amp; C325 &amp;""'""))"),"")</f>
        <v/>
      </c>
      <c r="C325" s="5"/>
      <c r="D325" s="5" t="str">
        <f ca="1">IFERROR(__xludf.DUMMYFUNCTION("if(ISBLANK(C325),,QUERY(MD!$A$2:$D$1000,""Select D where C = '""&amp; C325 &amp;""'""))"),"")</f>
        <v/>
      </c>
      <c r="E325" s="59" t="str">
        <f ca="1">IFERROR(__xludf.DUMMYFUNCTION("if(ISBLANK(C325),,QUERY(MD!$A$2:$D$1000,""Select B where C = '""&amp; C325 &amp;""'""))"),"")</f>
        <v/>
      </c>
      <c r="F325" s="5">
        <f t="shared" ca="1" si="2"/>
        <v>0</v>
      </c>
      <c r="G325" s="32" t="str">
        <f ca="1">IFERROR(__xludf.DUMMYFUNCTION("if($F325&gt;=1,QUERY(Loot!$A$2:$G$904,""Select G where A = '""&amp; $E325 &amp;""' AND D &gt;= ""&amp; Q325  &amp;"" LIMIT 1""),)"),"")</f>
        <v/>
      </c>
      <c r="H325" s="61"/>
      <c r="I325" s="32" t="str">
        <f ca="1">IFERROR(__xludf.DUMMYFUNCTION("if($F325&gt;=2,QUERY(Loot!$A$2:$G$904,""Select G where A = '""&amp; $E325 &amp;""' AND D &gt;= ""&amp; R325 &amp;"" LIMIT 1""),)"),"")</f>
        <v/>
      </c>
      <c r="J325" s="61"/>
      <c r="K325" s="32" t="str">
        <f ca="1">IFERROR(__xludf.DUMMYFUNCTION("if($F325&gt;=3,QUERY(Loot!$A$2:$G$904,""Select G where A = '""&amp; $E325 &amp;""' AND D &gt;= ""&amp; S325  &amp;"" LIMIT 1""),)"),"")</f>
        <v/>
      </c>
      <c r="L325" s="61"/>
      <c r="M325" s="32" t="str">
        <f ca="1">IFERROR(__xludf.DUMMYFUNCTION("if($F325&gt;=4,QUERY(Loot!$A$2:$G$904,""Select G where A = '""&amp; $E325 &amp;""' AND D &gt;= ""&amp;T325 &amp;"" LIMIT 1""),)"),"")</f>
        <v/>
      </c>
      <c r="N325" s="61"/>
      <c r="O325" s="32" t="str">
        <f ca="1">IFERROR(__xludf.DUMMYFUNCTION("if($F325&gt;=5,QUERY(Loot!$A$2:$G$904,""Select G where A = '""&amp; $E325 &amp;""' AND D &gt;= ""&amp; U325 &amp;"" LIMIT 1""),)"),"")</f>
        <v/>
      </c>
      <c r="P325" s="61"/>
      <c r="Q325" s="62">
        <v>0.26696724408881123</v>
      </c>
      <c r="R325" s="63">
        <v>8.7721989263123135E-3</v>
      </c>
      <c r="S325" s="63">
        <v>0.68557226462245457</v>
      </c>
      <c r="T325" s="63">
        <v>0.67894792124928149</v>
      </c>
      <c r="U325" s="63">
        <v>0.73779612458144506</v>
      </c>
    </row>
    <row r="326" spans="1:21" ht="16.2">
      <c r="A326" s="5">
        <f t="shared" ca="1" si="3"/>
        <v>325</v>
      </c>
      <c r="B326" s="5" t="str">
        <f ca="1">IFERROR(__xludf.DUMMYFUNCTION("if(ISBLANK(C326),,QUERY(MD!A327:D1325,""Select A where C = '""&amp; C326 &amp;""'""))"),"")</f>
        <v/>
      </c>
      <c r="C326" s="5"/>
      <c r="D326" s="5" t="str">
        <f ca="1">IFERROR(__xludf.DUMMYFUNCTION("if(ISBLANK(C326),,QUERY(MD!$A$2:$D$1000,""Select D where C = '""&amp; C326 &amp;""'""))"),"")</f>
        <v/>
      </c>
      <c r="E326" s="59" t="str">
        <f ca="1">IFERROR(__xludf.DUMMYFUNCTION("if(ISBLANK(C326),,QUERY(MD!$A$2:$D$1000,""Select B where C = '""&amp; C326 &amp;""'""))"),"")</f>
        <v/>
      </c>
      <c r="F326" s="5">
        <f t="shared" ca="1" si="2"/>
        <v>0</v>
      </c>
      <c r="G326" s="32" t="str">
        <f ca="1">IFERROR(__xludf.DUMMYFUNCTION("if($F326&gt;=1,QUERY(Loot!$A$2:$G$904,""Select G where A = '""&amp; $E326 &amp;""' AND D &gt;= ""&amp; Q326  &amp;"" LIMIT 1""),)"),"")</f>
        <v/>
      </c>
      <c r="H326" s="61"/>
      <c r="I326" s="32" t="str">
        <f ca="1">IFERROR(__xludf.DUMMYFUNCTION("if($F326&gt;=2,QUERY(Loot!$A$2:$G$904,""Select G where A = '""&amp; $E326 &amp;""' AND D &gt;= ""&amp; R326 &amp;"" LIMIT 1""),)"),"")</f>
        <v/>
      </c>
      <c r="J326" s="61"/>
      <c r="K326" s="32" t="str">
        <f ca="1">IFERROR(__xludf.DUMMYFUNCTION("if($F326&gt;=3,QUERY(Loot!$A$2:$G$904,""Select G where A = '""&amp; $E326 &amp;""' AND D &gt;= ""&amp; S326  &amp;"" LIMIT 1""),)"),"")</f>
        <v/>
      </c>
      <c r="L326" s="61"/>
      <c r="M326" s="32" t="str">
        <f ca="1">IFERROR(__xludf.DUMMYFUNCTION("if($F326&gt;=4,QUERY(Loot!$A$2:$G$904,""Select G where A = '""&amp; $E326 &amp;""' AND D &gt;= ""&amp;T326 &amp;"" LIMIT 1""),)"),"")</f>
        <v/>
      </c>
      <c r="N326" s="61"/>
      <c r="O326" s="32" t="str">
        <f ca="1">IFERROR(__xludf.DUMMYFUNCTION("if($F326&gt;=5,QUERY(Loot!$A$2:$G$904,""Select G where A = '""&amp; $E326 &amp;""' AND D &gt;= ""&amp; U326 &amp;"" LIMIT 1""),)"),"")</f>
        <v/>
      </c>
      <c r="P326" s="61"/>
      <c r="Q326" s="62">
        <v>0.82220767441011267</v>
      </c>
      <c r="R326" s="63">
        <v>0.7361118280079717</v>
      </c>
      <c r="S326" s="63">
        <v>0.38022477140243782</v>
      </c>
      <c r="T326" s="63">
        <v>0.2612582221347548</v>
      </c>
      <c r="U326" s="63">
        <v>1.3559262582182874E-2</v>
      </c>
    </row>
    <row r="327" spans="1:21" ht="16.2">
      <c r="A327" s="5">
        <f t="shared" ca="1" si="3"/>
        <v>326</v>
      </c>
      <c r="B327" s="5" t="str">
        <f ca="1">IFERROR(__xludf.DUMMYFUNCTION("if(ISBLANK(C327),,QUERY(MD!A328:D1326,""Select A where C = '""&amp; C327 &amp;""'""))"),"")</f>
        <v/>
      </c>
      <c r="C327" s="5"/>
      <c r="D327" s="5" t="str">
        <f ca="1">IFERROR(__xludf.DUMMYFUNCTION("if(ISBLANK(C327),,QUERY(MD!$A$2:$D$1000,""Select D where C = '""&amp; C327 &amp;""'""))"),"")</f>
        <v/>
      </c>
      <c r="E327" s="59" t="str">
        <f ca="1">IFERROR(__xludf.DUMMYFUNCTION("if(ISBLANK(C327),,QUERY(MD!$A$2:$D$1000,""Select B where C = '""&amp; C327 &amp;""'""))"),"")</f>
        <v/>
      </c>
      <c r="F327" s="5">
        <f t="shared" ca="1" si="2"/>
        <v>0</v>
      </c>
      <c r="G327" s="32" t="str">
        <f ca="1">IFERROR(__xludf.DUMMYFUNCTION("if($F327&gt;=1,QUERY(Loot!$A$2:$G$904,""Select G where A = '""&amp; $E327 &amp;""' AND D &gt;= ""&amp; Q327  &amp;"" LIMIT 1""),)"),"")</f>
        <v/>
      </c>
      <c r="H327" s="61"/>
      <c r="I327" s="32" t="str">
        <f ca="1">IFERROR(__xludf.DUMMYFUNCTION("if($F327&gt;=2,QUERY(Loot!$A$2:$G$904,""Select G where A = '""&amp; $E327 &amp;""' AND D &gt;= ""&amp; R327 &amp;"" LIMIT 1""),)"),"")</f>
        <v/>
      </c>
      <c r="J327" s="61"/>
      <c r="K327" s="32" t="str">
        <f ca="1">IFERROR(__xludf.DUMMYFUNCTION("if($F327&gt;=3,QUERY(Loot!$A$2:$G$904,""Select G where A = '""&amp; $E327 &amp;""' AND D &gt;= ""&amp; S327  &amp;"" LIMIT 1""),)"),"")</f>
        <v/>
      </c>
      <c r="L327" s="61"/>
      <c r="M327" s="32" t="str">
        <f ca="1">IFERROR(__xludf.DUMMYFUNCTION("if($F327&gt;=4,QUERY(Loot!$A$2:$G$904,""Select G where A = '""&amp; $E327 &amp;""' AND D &gt;= ""&amp;T327 &amp;"" LIMIT 1""),)"),"")</f>
        <v/>
      </c>
      <c r="N327" s="61"/>
      <c r="O327" s="32" t="str">
        <f ca="1">IFERROR(__xludf.DUMMYFUNCTION("if($F327&gt;=5,QUERY(Loot!$A$2:$G$904,""Select G where A = '""&amp; $E327 &amp;""' AND D &gt;= ""&amp; U327 &amp;"" LIMIT 1""),)"),"")</f>
        <v/>
      </c>
      <c r="P327" s="61"/>
      <c r="Q327" s="62">
        <v>0.15722621515046176</v>
      </c>
      <c r="R327" s="63">
        <v>4.2654444930291135E-2</v>
      </c>
      <c r="S327" s="63">
        <v>7.3997726731684588E-2</v>
      </c>
      <c r="T327" s="63">
        <v>0.49366980066579813</v>
      </c>
      <c r="U327" s="63">
        <v>0.49325078050409699</v>
      </c>
    </row>
    <row r="328" spans="1:21" ht="16.2">
      <c r="A328" s="5">
        <f t="shared" ca="1" si="3"/>
        <v>327</v>
      </c>
      <c r="B328" s="5" t="str">
        <f ca="1">IFERROR(__xludf.DUMMYFUNCTION("if(ISBLANK(C328),,QUERY(MD!A329:D1327,""Select A where C = '""&amp; C328 &amp;""'""))"),"")</f>
        <v/>
      </c>
      <c r="C328" s="5"/>
      <c r="D328" s="5" t="str">
        <f ca="1">IFERROR(__xludf.DUMMYFUNCTION("if(ISBLANK(C328),,QUERY(MD!$A$2:$D$1000,""Select D where C = '""&amp; C328 &amp;""'""))"),"")</f>
        <v/>
      </c>
      <c r="E328" s="59" t="str">
        <f ca="1">IFERROR(__xludf.DUMMYFUNCTION("if(ISBLANK(C328),,QUERY(MD!$A$2:$D$1000,""Select B where C = '""&amp; C328 &amp;""'""))"),"")</f>
        <v/>
      </c>
      <c r="F328" s="5">
        <f t="shared" ca="1" si="2"/>
        <v>0</v>
      </c>
      <c r="G328" s="32" t="str">
        <f ca="1">IFERROR(__xludf.DUMMYFUNCTION("if($F328&gt;=1,QUERY(Loot!$A$2:$G$904,""Select G where A = '""&amp; $E328 &amp;""' AND D &gt;= ""&amp; Q328  &amp;"" LIMIT 1""),)"),"")</f>
        <v/>
      </c>
      <c r="H328" s="61"/>
      <c r="I328" s="32" t="str">
        <f ca="1">IFERROR(__xludf.DUMMYFUNCTION("if($F328&gt;=2,QUERY(Loot!$A$2:$G$904,""Select G where A = '""&amp; $E328 &amp;""' AND D &gt;= ""&amp; R328 &amp;"" LIMIT 1""),)"),"")</f>
        <v/>
      </c>
      <c r="J328" s="61"/>
      <c r="K328" s="32" t="str">
        <f ca="1">IFERROR(__xludf.DUMMYFUNCTION("if($F328&gt;=3,QUERY(Loot!$A$2:$G$904,""Select G where A = '""&amp; $E328 &amp;""' AND D &gt;= ""&amp; S328  &amp;"" LIMIT 1""),)"),"")</f>
        <v/>
      </c>
      <c r="L328" s="61"/>
      <c r="M328" s="32" t="str">
        <f ca="1">IFERROR(__xludf.DUMMYFUNCTION("if($F328&gt;=4,QUERY(Loot!$A$2:$G$904,""Select G where A = '""&amp; $E328 &amp;""' AND D &gt;= ""&amp;T328 &amp;"" LIMIT 1""),)"),"")</f>
        <v/>
      </c>
      <c r="N328" s="61"/>
      <c r="O328" s="32" t="str">
        <f ca="1">IFERROR(__xludf.DUMMYFUNCTION("if($F328&gt;=5,QUERY(Loot!$A$2:$G$904,""Select G where A = '""&amp; $E328 &amp;""' AND D &gt;= ""&amp; U328 &amp;"" LIMIT 1""),)"),"")</f>
        <v/>
      </c>
      <c r="P328" s="61"/>
      <c r="Q328" s="62">
        <v>9.2668040367317572E-2</v>
      </c>
      <c r="R328" s="63">
        <v>0.71127970901746429</v>
      </c>
      <c r="S328" s="63">
        <v>0.58207284185105879</v>
      </c>
      <c r="T328" s="63">
        <v>0.76757425546828673</v>
      </c>
      <c r="U328" s="63">
        <v>6.1626582879510616E-2</v>
      </c>
    </row>
    <row r="329" spans="1:21" ht="16.2">
      <c r="A329" s="5">
        <f t="shared" ca="1" si="3"/>
        <v>328</v>
      </c>
      <c r="B329" s="5" t="str">
        <f ca="1">IFERROR(__xludf.DUMMYFUNCTION("if(ISBLANK(C329),,QUERY(MD!A330:D1328,""Select A where C = '""&amp; C329 &amp;""'""))"),"")</f>
        <v/>
      </c>
      <c r="C329" s="5"/>
      <c r="D329" s="5" t="str">
        <f ca="1">IFERROR(__xludf.DUMMYFUNCTION("if(ISBLANK(C329),,QUERY(MD!$A$2:$D$1000,""Select D where C = '""&amp; C329 &amp;""'""))"),"")</f>
        <v/>
      </c>
      <c r="E329" s="59" t="str">
        <f ca="1">IFERROR(__xludf.DUMMYFUNCTION("if(ISBLANK(C329),,QUERY(MD!$A$2:$D$1000,""Select B where C = '""&amp; C329 &amp;""'""))"),"")</f>
        <v/>
      </c>
      <c r="F329" s="5">
        <f t="shared" ca="1" si="2"/>
        <v>0</v>
      </c>
      <c r="G329" s="32" t="str">
        <f ca="1">IFERROR(__xludf.DUMMYFUNCTION("if($F329&gt;=1,QUERY(Loot!$A$2:$G$904,""Select G where A = '""&amp; $E329 &amp;""' AND D &gt;= ""&amp; Q329  &amp;"" LIMIT 1""),)"),"")</f>
        <v/>
      </c>
      <c r="H329" s="61"/>
      <c r="I329" s="32" t="str">
        <f ca="1">IFERROR(__xludf.DUMMYFUNCTION("if($F329&gt;=2,QUERY(Loot!$A$2:$G$904,""Select G where A = '""&amp; $E329 &amp;""' AND D &gt;= ""&amp; R329 &amp;"" LIMIT 1""),)"),"")</f>
        <v/>
      </c>
      <c r="J329" s="61"/>
      <c r="K329" s="32" t="str">
        <f ca="1">IFERROR(__xludf.DUMMYFUNCTION("if($F329&gt;=3,QUERY(Loot!$A$2:$G$904,""Select G where A = '""&amp; $E329 &amp;""' AND D &gt;= ""&amp; S329  &amp;"" LIMIT 1""),)"),"")</f>
        <v/>
      </c>
      <c r="L329" s="61"/>
      <c r="M329" s="32" t="str">
        <f ca="1">IFERROR(__xludf.DUMMYFUNCTION("if($F329&gt;=4,QUERY(Loot!$A$2:$G$904,""Select G where A = '""&amp; $E329 &amp;""' AND D &gt;= ""&amp;T329 &amp;"" LIMIT 1""),)"),"")</f>
        <v/>
      </c>
      <c r="N329" s="61"/>
      <c r="O329" s="32" t="str">
        <f ca="1">IFERROR(__xludf.DUMMYFUNCTION("if($F329&gt;=5,QUERY(Loot!$A$2:$G$904,""Select G where A = '""&amp; $E329 &amp;""' AND D &gt;= ""&amp; U329 &amp;"" LIMIT 1""),)"),"")</f>
        <v/>
      </c>
      <c r="P329" s="61"/>
      <c r="Q329" s="62">
        <v>0.25876832023391505</v>
      </c>
      <c r="R329" s="63">
        <v>0.18327721622280357</v>
      </c>
      <c r="S329" s="63">
        <v>0.96854826290349372</v>
      </c>
      <c r="T329" s="63">
        <v>0.72211667201679586</v>
      </c>
      <c r="U329" s="63">
        <v>0.2677656586178877</v>
      </c>
    </row>
    <row r="330" spans="1:21" ht="16.2">
      <c r="A330" s="5">
        <f t="shared" ca="1" si="3"/>
        <v>329</v>
      </c>
      <c r="B330" s="5" t="str">
        <f ca="1">IFERROR(__xludf.DUMMYFUNCTION("if(ISBLANK(C330),,QUERY(MD!A331:D1329,""Select A where C = '""&amp; C330 &amp;""'""))"),"")</f>
        <v/>
      </c>
      <c r="C330" s="5"/>
      <c r="D330" s="5" t="str">
        <f ca="1">IFERROR(__xludf.DUMMYFUNCTION("if(ISBLANK(C330),,QUERY(MD!$A$2:$D$1000,""Select D where C = '""&amp; C330 &amp;""'""))"),"")</f>
        <v/>
      </c>
      <c r="E330" s="59" t="str">
        <f ca="1">IFERROR(__xludf.DUMMYFUNCTION("if(ISBLANK(C330),,QUERY(MD!$A$2:$D$1000,""Select B where C = '""&amp; C330 &amp;""'""))"),"")</f>
        <v/>
      </c>
      <c r="F330" s="5">
        <f t="shared" ca="1" si="2"/>
        <v>0</v>
      </c>
      <c r="G330" s="32" t="str">
        <f ca="1">IFERROR(__xludf.DUMMYFUNCTION("if($F330&gt;=1,QUERY(Loot!$A$2:$G$904,""Select G where A = '""&amp; $E330 &amp;""' AND D &gt;= ""&amp; Q330  &amp;"" LIMIT 1""),)"),"")</f>
        <v/>
      </c>
      <c r="H330" s="61"/>
      <c r="I330" s="32" t="str">
        <f ca="1">IFERROR(__xludf.DUMMYFUNCTION("if($F330&gt;=2,QUERY(Loot!$A$2:$G$904,""Select G where A = '""&amp; $E330 &amp;""' AND D &gt;= ""&amp; R330 &amp;"" LIMIT 1""),)"),"")</f>
        <v/>
      </c>
      <c r="J330" s="61"/>
      <c r="K330" s="32" t="str">
        <f ca="1">IFERROR(__xludf.DUMMYFUNCTION("if($F330&gt;=3,QUERY(Loot!$A$2:$G$904,""Select G where A = '""&amp; $E330 &amp;""' AND D &gt;= ""&amp; S330  &amp;"" LIMIT 1""),)"),"")</f>
        <v/>
      </c>
      <c r="L330" s="61"/>
      <c r="M330" s="32" t="str">
        <f ca="1">IFERROR(__xludf.DUMMYFUNCTION("if($F330&gt;=4,QUERY(Loot!$A$2:$G$904,""Select G where A = '""&amp; $E330 &amp;""' AND D &gt;= ""&amp;T330 &amp;"" LIMIT 1""),)"),"")</f>
        <v/>
      </c>
      <c r="N330" s="61"/>
      <c r="O330" s="32" t="str">
        <f ca="1">IFERROR(__xludf.DUMMYFUNCTION("if($F330&gt;=5,QUERY(Loot!$A$2:$G$904,""Select G where A = '""&amp; $E330 &amp;""' AND D &gt;= ""&amp; U330 &amp;"" LIMIT 1""),)"),"")</f>
        <v/>
      </c>
      <c r="P330" s="61"/>
      <c r="Q330" s="62">
        <v>8.5901034007446309E-2</v>
      </c>
      <c r="R330" s="63">
        <v>0.92921935195494387</v>
      </c>
      <c r="S330" s="63">
        <v>0.76166146037005322</v>
      </c>
      <c r="T330" s="63">
        <v>0.88277004352440747</v>
      </c>
      <c r="U330" s="63">
        <v>9.2937748985825186E-2</v>
      </c>
    </row>
    <row r="331" spans="1:21" ht="16.2">
      <c r="A331" s="5">
        <f t="shared" ca="1" si="3"/>
        <v>330</v>
      </c>
      <c r="B331" s="5" t="str">
        <f ca="1">IFERROR(__xludf.DUMMYFUNCTION("if(ISBLANK(C331),,QUERY(MD!A332:D1330,""Select A where C = '""&amp; C331 &amp;""'""))"),"")</f>
        <v/>
      </c>
      <c r="C331" s="5"/>
      <c r="D331" s="5" t="str">
        <f ca="1">IFERROR(__xludf.DUMMYFUNCTION("if(ISBLANK(C331),,QUERY(MD!$A$2:$D$1000,""Select D where C = '""&amp; C331 &amp;""'""))"),"")</f>
        <v/>
      </c>
      <c r="E331" s="59" t="str">
        <f ca="1">IFERROR(__xludf.DUMMYFUNCTION("if(ISBLANK(C331),,QUERY(MD!$A$2:$D$1000,""Select B where C = '""&amp; C331 &amp;""'""))"),"")</f>
        <v/>
      </c>
      <c r="F331" s="5">
        <f t="shared" ca="1" si="2"/>
        <v>0</v>
      </c>
      <c r="G331" s="32" t="str">
        <f ca="1">IFERROR(__xludf.DUMMYFUNCTION("if($F331&gt;=1,QUERY(Loot!$A$2:$G$904,""Select G where A = '""&amp; $E331 &amp;""' AND D &gt;= ""&amp; Q331  &amp;"" LIMIT 1""),)"),"")</f>
        <v/>
      </c>
      <c r="H331" s="61"/>
      <c r="I331" s="32" t="str">
        <f ca="1">IFERROR(__xludf.DUMMYFUNCTION("if($F331&gt;=2,QUERY(Loot!$A$2:$G$904,""Select G where A = '""&amp; $E331 &amp;""' AND D &gt;= ""&amp; R331 &amp;"" LIMIT 1""),)"),"")</f>
        <v/>
      </c>
      <c r="J331" s="61"/>
      <c r="K331" s="32" t="str">
        <f ca="1">IFERROR(__xludf.DUMMYFUNCTION("if($F331&gt;=3,QUERY(Loot!$A$2:$G$904,""Select G where A = '""&amp; $E331 &amp;""' AND D &gt;= ""&amp; S331  &amp;"" LIMIT 1""),)"),"")</f>
        <v/>
      </c>
      <c r="L331" s="61"/>
      <c r="M331" s="32" t="str">
        <f ca="1">IFERROR(__xludf.DUMMYFUNCTION("if($F331&gt;=4,QUERY(Loot!$A$2:$G$904,""Select G where A = '""&amp; $E331 &amp;""' AND D &gt;= ""&amp;T331 &amp;"" LIMIT 1""),)"),"")</f>
        <v/>
      </c>
      <c r="N331" s="61"/>
      <c r="O331" s="32" t="str">
        <f ca="1">IFERROR(__xludf.DUMMYFUNCTION("if($F331&gt;=5,QUERY(Loot!$A$2:$G$904,""Select G where A = '""&amp; $E331 &amp;""' AND D &gt;= ""&amp; U331 &amp;"" LIMIT 1""),)"),"")</f>
        <v/>
      </c>
      <c r="P331" s="61"/>
      <c r="Q331" s="62">
        <v>0.17366840885362533</v>
      </c>
      <c r="R331" s="63">
        <v>0.46433689282714197</v>
      </c>
      <c r="S331" s="63">
        <v>3.5876259895311291E-2</v>
      </c>
      <c r="T331" s="63">
        <v>0.28616303513126806</v>
      </c>
      <c r="U331" s="63">
        <v>0.24903040290731371</v>
      </c>
    </row>
    <row r="332" spans="1:21" ht="16.2">
      <c r="A332" s="5">
        <f t="shared" ca="1" si="3"/>
        <v>331</v>
      </c>
      <c r="B332" s="5" t="str">
        <f ca="1">IFERROR(__xludf.DUMMYFUNCTION("if(ISBLANK(C332),,QUERY(MD!A333:D1331,""Select A where C = '""&amp; C332 &amp;""'""))"),"")</f>
        <v/>
      </c>
      <c r="C332" s="5"/>
      <c r="D332" s="5" t="str">
        <f ca="1">IFERROR(__xludf.DUMMYFUNCTION("if(ISBLANK(C332),,QUERY(MD!$A$2:$D$1000,""Select D where C = '""&amp; C332 &amp;""'""))"),"")</f>
        <v/>
      </c>
      <c r="E332" s="59" t="str">
        <f ca="1">IFERROR(__xludf.DUMMYFUNCTION("if(ISBLANK(C332),,QUERY(MD!$A$2:$D$1000,""Select B where C = '""&amp; C332 &amp;""'""))"),"")</f>
        <v/>
      </c>
      <c r="F332" s="5">
        <f t="shared" ca="1" si="2"/>
        <v>0</v>
      </c>
      <c r="G332" s="32" t="str">
        <f ca="1">IFERROR(__xludf.DUMMYFUNCTION("if($F332&gt;=1,QUERY(Loot!$A$2:$G$904,""Select G where A = '""&amp; $E332 &amp;""' AND D &gt;= ""&amp; Q332  &amp;"" LIMIT 1""),)"),"")</f>
        <v/>
      </c>
      <c r="H332" s="61"/>
      <c r="I332" s="32" t="str">
        <f ca="1">IFERROR(__xludf.DUMMYFUNCTION("if($F332&gt;=2,QUERY(Loot!$A$2:$G$904,""Select G where A = '""&amp; $E332 &amp;""' AND D &gt;= ""&amp; R332 &amp;"" LIMIT 1""),)"),"")</f>
        <v/>
      </c>
      <c r="J332" s="61"/>
      <c r="K332" s="32" t="str">
        <f ca="1">IFERROR(__xludf.DUMMYFUNCTION("if($F332&gt;=3,QUERY(Loot!$A$2:$G$904,""Select G where A = '""&amp; $E332 &amp;""' AND D &gt;= ""&amp; S332  &amp;"" LIMIT 1""),)"),"")</f>
        <v/>
      </c>
      <c r="L332" s="61"/>
      <c r="M332" s="32" t="str">
        <f ca="1">IFERROR(__xludf.DUMMYFUNCTION("if($F332&gt;=4,QUERY(Loot!$A$2:$G$904,""Select G where A = '""&amp; $E332 &amp;""' AND D &gt;= ""&amp;T332 &amp;"" LIMIT 1""),)"),"")</f>
        <v/>
      </c>
      <c r="N332" s="61"/>
      <c r="O332" s="32" t="str">
        <f ca="1">IFERROR(__xludf.DUMMYFUNCTION("if($F332&gt;=5,QUERY(Loot!$A$2:$G$904,""Select G where A = '""&amp; $E332 &amp;""' AND D &gt;= ""&amp; U332 &amp;"" LIMIT 1""),)"),"")</f>
        <v/>
      </c>
      <c r="P332" s="61"/>
      <c r="Q332" s="62">
        <v>0.73113373419414218</v>
      </c>
      <c r="R332" s="63">
        <v>0.39945496032009919</v>
      </c>
      <c r="S332" s="63">
        <v>0.10366836545029456</v>
      </c>
      <c r="T332" s="63">
        <v>3.9807339531796826E-2</v>
      </c>
      <c r="U332" s="63">
        <v>0.91150851755433082</v>
      </c>
    </row>
    <row r="333" spans="1:21" ht="16.2">
      <c r="A333" s="5">
        <f t="shared" ca="1" si="3"/>
        <v>332</v>
      </c>
      <c r="B333" s="5" t="str">
        <f ca="1">IFERROR(__xludf.DUMMYFUNCTION("if(ISBLANK(C333),,QUERY(MD!A334:D1332,""Select A where C = '""&amp; C333 &amp;""'""))"),"")</f>
        <v/>
      </c>
      <c r="C333" s="5"/>
      <c r="D333" s="5" t="str">
        <f ca="1">IFERROR(__xludf.DUMMYFUNCTION("if(ISBLANK(C333),,QUERY(MD!$A$2:$D$1000,""Select D where C = '""&amp; C333 &amp;""'""))"),"")</f>
        <v/>
      </c>
      <c r="E333" s="59" t="str">
        <f ca="1">IFERROR(__xludf.DUMMYFUNCTION("if(ISBLANK(C333),,QUERY(MD!$A$2:$D$1000,""Select B where C = '""&amp; C333 &amp;""'""))"),"")</f>
        <v/>
      </c>
      <c r="F333" s="5">
        <f t="shared" ca="1" si="2"/>
        <v>0</v>
      </c>
      <c r="G333" s="32" t="str">
        <f ca="1">IFERROR(__xludf.DUMMYFUNCTION("if($F333&gt;=1,QUERY(Loot!$A$2:$G$904,""Select G where A = '""&amp; $E333 &amp;""' AND D &gt;= ""&amp; Q333  &amp;"" LIMIT 1""),)"),"")</f>
        <v/>
      </c>
      <c r="H333" s="61"/>
      <c r="I333" s="32" t="str">
        <f ca="1">IFERROR(__xludf.DUMMYFUNCTION("if($F333&gt;=2,QUERY(Loot!$A$2:$G$904,""Select G where A = '""&amp; $E333 &amp;""' AND D &gt;= ""&amp; R333 &amp;"" LIMIT 1""),)"),"")</f>
        <v/>
      </c>
      <c r="J333" s="61"/>
      <c r="K333" s="32" t="str">
        <f ca="1">IFERROR(__xludf.DUMMYFUNCTION("if($F333&gt;=3,QUERY(Loot!$A$2:$G$904,""Select G where A = '""&amp; $E333 &amp;""' AND D &gt;= ""&amp; S333  &amp;"" LIMIT 1""),)"),"")</f>
        <v/>
      </c>
      <c r="L333" s="61"/>
      <c r="M333" s="32" t="str">
        <f ca="1">IFERROR(__xludf.DUMMYFUNCTION("if($F333&gt;=4,QUERY(Loot!$A$2:$G$904,""Select G where A = '""&amp; $E333 &amp;""' AND D &gt;= ""&amp;T333 &amp;"" LIMIT 1""),)"),"")</f>
        <v/>
      </c>
      <c r="N333" s="61"/>
      <c r="O333" s="32" t="str">
        <f ca="1">IFERROR(__xludf.DUMMYFUNCTION("if($F333&gt;=5,QUERY(Loot!$A$2:$G$904,""Select G where A = '""&amp; $E333 &amp;""' AND D &gt;= ""&amp; U333 &amp;"" LIMIT 1""),)"),"")</f>
        <v/>
      </c>
      <c r="P333" s="61"/>
      <c r="Q333" s="62">
        <v>0.15671127682764596</v>
      </c>
      <c r="R333" s="63">
        <v>6.6733187761654933E-2</v>
      </c>
      <c r="S333" s="63">
        <v>0.56987603367177753</v>
      </c>
      <c r="T333" s="63">
        <v>0.34141731237861406</v>
      </c>
      <c r="U333" s="63">
        <v>0.54913841906531768</v>
      </c>
    </row>
    <row r="334" spans="1:21" ht="16.2">
      <c r="A334" s="5">
        <f t="shared" ca="1" si="3"/>
        <v>333</v>
      </c>
      <c r="B334" s="5" t="str">
        <f ca="1">IFERROR(__xludf.DUMMYFUNCTION("if(ISBLANK(C334),,QUERY(MD!A335:D1333,""Select A where C = '""&amp; C334 &amp;""'""))"),"")</f>
        <v/>
      </c>
      <c r="C334" s="5"/>
      <c r="D334" s="5" t="str">
        <f ca="1">IFERROR(__xludf.DUMMYFUNCTION("if(ISBLANK(C334),,QUERY(MD!$A$2:$D$1000,""Select D where C = '""&amp; C334 &amp;""'""))"),"")</f>
        <v/>
      </c>
      <c r="E334" s="59" t="str">
        <f ca="1">IFERROR(__xludf.DUMMYFUNCTION("if(ISBLANK(C334),,QUERY(MD!$A$2:$D$1000,""Select B where C = '""&amp; C334 &amp;""'""))"),"")</f>
        <v/>
      </c>
      <c r="F334" s="5">
        <f t="shared" ca="1" si="2"/>
        <v>0</v>
      </c>
      <c r="G334" s="32" t="str">
        <f ca="1">IFERROR(__xludf.DUMMYFUNCTION("if($F334&gt;=1,QUERY(Loot!$A$2:$G$904,""Select G where A = '""&amp; $E334 &amp;""' AND D &gt;= ""&amp; Q334  &amp;"" LIMIT 1""),)"),"")</f>
        <v/>
      </c>
      <c r="H334" s="61"/>
      <c r="I334" s="32" t="str">
        <f ca="1">IFERROR(__xludf.DUMMYFUNCTION("if($F334&gt;=2,QUERY(Loot!$A$2:$G$904,""Select G where A = '""&amp; $E334 &amp;""' AND D &gt;= ""&amp; R334 &amp;"" LIMIT 1""),)"),"")</f>
        <v/>
      </c>
      <c r="J334" s="61"/>
      <c r="K334" s="32" t="str">
        <f ca="1">IFERROR(__xludf.DUMMYFUNCTION("if($F334&gt;=3,QUERY(Loot!$A$2:$G$904,""Select G where A = '""&amp; $E334 &amp;""' AND D &gt;= ""&amp; S334  &amp;"" LIMIT 1""),)"),"")</f>
        <v/>
      </c>
      <c r="L334" s="61"/>
      <c r="M334" s="32" t="str">
        <f ca="1">IFERROR(__xludf.DUMMYFUNCTION("if($F334&gt;=4,QUERY(Loot!$A$2:$G$904,""Select G where A = '""&amp; $E334 &amp;""' AND D &gt;= ""&amp;T334 &amp;"" LIMIT 1""),)"),"")</f>
        <v/>
      </c>
      <c r="N334" s="61"/>
      <c r="O334" s="32" t="str">
        <f ca="1">IFERROR(__xludf.DUMMYFUNCTION("if($F334&gt;=5,QUERY(Loot!$A$2:$G$904,""Select G where A = '""&amp; $E334 &amp;""' AND D &gt;= ""&amp; U334 &amp;"" LIMIT 1""),)"),"")</f>
        <v/>
      </c>
      <c r="P334" s="61"/>
      <c r="Q334" s="62">
        <v>0.93072459861378254</v>
      </c>
      <c r="R334" s="63">
        <v>0.83763116882195754</v>
      </c>
      <c r="S334" s="63">
        <v>0.18722801600135464</v>
      </c>
      <c r="T334" s="63">
        <v>0.5905445995967723</v>
      </c>
      <c r="U334" s="63">
        <v>0.75443982928698117</v>
      </c>
    </row>
    <row r="335" spans="1:21" ht="16.2">
      <c r="A335" s="5">
        <f t="shared" ca="1" si="3"/>
        <v>334</v>
      </c>
      <c r="B335" s="5" t="str">
        <f ca="1">IFERROR(__xludf.DUMMYFUNCTION("if(ISBLANK(C335),,QUERY(MD!A336:D1334,""Select A where C = '""&amp; C335 &amp;""'""))"),"")</f>
        <v/>
      </c>
      <c r="C335" s="5"/>
      <c r="D335" s="5" t="str">
        <f ca="1">IFERROR(__xludf.DUMMYFUNCTION("if(ISBLANK(C335),,QUERY(MD!$A$2:$D$1000,""Select D where C = '""&amp; C335 &amp;""'""))"),"")</f>
        <v/>
      </c>
      <c r="E335" s="59" t="str">
        <f ca="1">IFERROR(__xludf.DUMMYFUNCTION("if(ISBLANK(C335),,QUERY(MD!$A$2:$D$1000,""Select B where C = '""&amp; C335 &amp;""'""))"),"")</f>
        <v/>
      </c>
      <c r="F335" s="5">
        <f t="shared" ca="1" si="2"/>
        <v>0</v>
      </c>
      <c r="G335" s="32" t="str">
        <f ca="1">IFERROR(__xludf.DUMMYFUNCTION("if($F335&gt;=1,QUERY(Loot!$A$2:$G$904,""Select G where A = '""&amp; $E335 &amp;""' AND D &gt;= ""&amp; Q335  &amp;"" LIMIT 1""),)"),"")</f>
        <v/>
      </c>
      <c r="H335" s="61"/>
      <c r="I335" s="32" t="str">
        <f ca="1">IFERROR(__xludf.DUMMYFUNCTION("if($F335&gt;=2,QUERY(Loot!$A$2:$G$904,""Select G where A = '""&amp; $E335 &amp;""' AND D &gt;= ""&amp; R335 &amp;"" LIMIT 1""),)"),"")</f>
        <v/>
      </c>
      <c r="J335" s="61"/>
      <c r="K335" s="32" t="str">
        <f ca="1">IFERROR(__xludf.DUMMYFUNCTION("if($F335&gt;=3,QUERY(Loot!$A$2:$G$904,""Select G where A = '""&amp; $E335 &amp;""' AND D &gt;= ""&amp; S335  &amp;"" LIMIT 1""),)"),"")</f>
        <v/>
      </c>
      <c r="L335" s="61"/>
      <c r="M335" s="32" t="str">
        <f ca="1">IFERROR(__xludf.DUMMYFUNCTION("if($F335&gt;=4,QUERY(Loot!$A$2:$G$904,""Select G where A = '""&amp; $E335 &amp;""' AND D &gt;= ""&amp;T335 &amp;"" LIMIT 1""),)"),"")</f>
        <v/>
      </c>
      <c r="N335" s="61"/>
      <c r="O335" s="32" t="str">
        <f ca="1">IFERROR(__xludf.DUMMYFUNCTION("if($F335&gt;=5,QUERY(Loot!$A$2:$G$904,""Select G where A = '""&amp; $E335 &amp;""' AND D &gt;= ""&amp; U335 &amp;"" LIMIT 1""),)"),"")</f>
        <v/>
      </c>
      <c r="P335" s="61"/>
      <c r="Q335" s="62">
        <v>0.30099362042452349</v>
      </c>
      <c r="R335" s="63">
        <v>0.18025885036740141</v>
      </c>
      <c r="S335" s="63">
        <v>0.29924652920978312</v>
      </c>
      <c r="T335" s="63">
        <v>0.88328310898843976</v>
      </c>
      <c r="U335" s="63">
        <v>0.73155257346308999</v>
      </c>
    </row>
    <row r="336" spans="1:21" ht="16.2">
      <c r="A336" s="5">
        <f t="shared" ca="1" si="3"/>
        <v>335</v>
      </c>
      <c r="B336" s="5" t="str">
        <f ca="1">IFERROR(__xludf.DUMMYFUNCTION("if(ISBLANK(C336),,QUERY(MD!A337:D1335,""Select A where C = '""&amp; C336 &amp;""'""))"),"")</f>
        <v/>
      </c>
      <c r="C336" s="5"/>
      <c r="D336" s="5" t="str">
        <f ca="1">IFERROR(__xludf.DUMMYFUNCTION("if(ISBLANK(C336),,QUERY(MD!$A$2:$D$1000,""Select D where C = '""&amp; C336 &amp;""'""))"),"")</f>
        <v/>
      </c>
      <c r="E336" s="59" t="str">
        <f ca="1">IFERROR(__xludf.DUMMYFUNCTION("if(ISBLANK(C336),,QUERY(MD!$A$2:$D$1000,""Select B where C = '""&amp; C336 &amp;""'""))"),"")</f>
        <v/>
      </c>
      <c r="F336" s="5">
        <f t="shared" ca="1" si="2"/>
        <v>0</v>
      </c>
      <c r="G336" s="32" t="str">
        <f ca="1">IFERROR(__xludf.DUMMYFUNCTION("if($F336&gt;=1,QUERY(Loot!$A$2:$G$904,""Select G where A = '""&amp; $E336 &amp;""' AND D &gt;= ""&amp; Q336  &amp;"" LIMIT 1""),)"),"")</f>
        <v/>
      </c>
      <c r="H336" s="61"/>
      <c r="I336" s="32" t="str">
        <f ca="1">IFERROR(__xludf.DUMMYFUNCTION("if($F336&gt;=2,QUERY(Loot!$A$2:$G$904,""Select G where A = '""&amp; $E336 &amp;""' AND D &gt;= ""&amp; R336 &amp;"" LIMIT 1""),)"),"")</f>
        <v/>
      </c>
      <c r="J336" s="61"/>
      <c r="K336" s="32" t="str">
        <f ca="1">IFERROR(__xludf.DUMMYFUNCTION("if($F336&gt;=3,QUERY(Loot!$A$2:$G$904,""Select G where A = '""&amp; $E336 &amp;""' AND D &gt;= ""&amp; S336  &amp;"" LIMIT 1""),)"),"")</f>
        <v/>
      </c>
      <c r="L336" s="61"/>
      <c r="M336" s="32" t="str">
        <f ca="1">IFERROR(__xludf.DUMMYFUNCTION("if($F336&gt;=4,QUERY(Loot!$A$2:$G$904,""Select G where A = '""&amp; $E336 &amp;""' AND D &gt;= ""&amp;T336 &amp;"" LIMIT 1""),)"),"")</f>
        <v/>
      </c>
      <c r="N336" s="61"/>
      <c r="O336" s="32" t="str">
        <f ca="1">IFERROR(__xludf.DUMMYFUNCTION("if($F336&gt;=5,QUERY(Loot!$A$2:$G$904,""Select G where A = '""&amp; $E336 &amp;""' AND D &gt;= ""&amp; U336 &amp;"" LIMIT 1""),)"),"")</f>
        <v/>
      </c>
      <c r="P336" s="61"/>
      <c r="Q336" s="62">
        <v>9.329139292238775E-2</v>
      </c>
      <c r="R336" s="63">
        <v>0.29318644869677035</v>
      </c>
      <c r="S336" s="63">
        <v>0.12389576691953219</v>
      </c>
      <c r="T336" s="63">
        <v>0.29089968346116235</v>
      </c>
      <c r="U336" s="63">
        <v>0.35825913892026107</v>
      </c>
    </row>
    <row r="337" spans="1:21" ht="16.2">
      <c r="A337" s="5">
        <f t="shared" ca="1" si="3"/>
        <v>336</v>
      </c>
      <c r="B337" s="5" t="str">
        <f ca="1">IFERROR(__xludf.DUMMYFUNCTION("if(ISBLANK(C337),,QUERY(MD!A338:D1336,""Select A where C = '""&amp; C337 &amp;""'""))"),"")</f>
        <v/>
      </c>
      <c r="C337" s="5"/>
      <c r="D337" s="5" t="str">
        <f ca="1">IFERROR(__xludf.DUMMYFUNCTION("if(ISBLANK(C337),,QUERY(MD!$A$2:$D$1000,""Select D where C = '""&amp; C337 &amp;""'""))"),"")</f>
        <v/>
      </c>
      <c r="E337" s="59" t="str">
        <f ca="1">IFERROR(__xludf.DUMMYFUNCTION("if(ISBLANK(C337),,QUERY(MD!$A$2:$D$1000,""Select B where C = '""&amp; C337 &amp;""'""))"),"")</f>
        <v/>
      </c>
      <c r="F337" s="5">
        <f t="shared" ca="1" si="2"/>
        <v>0</v>
      </c>
      <c r="G337" s="32" t="str">
        <f ca="1">IFERROR(__xludf.DUMMYFUNCTION("if($F337&gt;=1,QUERY(Loot!$A$2:$G$904,""Select G where A = '""&amp; $E337 &amp;""' AND D &gt;= ""&amp; Q337  &amp;"" LIMIT 1""),)"),"")</f>
        <v/>
      </c>
      <c r="H337" s="61"/>
      <c r="I337" s="32" t="str">
        <f ca="1">IFERROR(__xludf.DUMMYFUNCTION("if($F337&gt;=2,QUERY(Loot!$A$2:$G$904,""Select G where A = '""&amp; $E337 &amp;""' AND D &gt;= ""&amp; R337 &amp;"" LIMIT 1""),)"),"")</f>
        <v/>
      </c>
      <c r="J337" s="61"/>
      <c r="K337" s="32" t="str">
        <f ca="1">IFERROR(__xludf.DUMMYFUNCTION("if($F337&gt;=3,QUERY(Loot!$A$2:$G$904,""Select G where A = '""&amp; $E337 &amp;""' AND D &gt;= ""&amp; S337  &amp;"" LIMIT 1""),)"),"")</f>
        <v/>
      </c>
      <c r="L337" s="61"/>
      <c r="M337" s="32" t="str">
        <f ca="1">IFERROR(__xludf.DUMMYFUNCTION("if($F337&gt;=4,QUERY(Loot!$A$2:$G$904,""Select G where A = '""&amp; $E337 &amp;""' AND D &gt;= ""&amp;T337 &amp;"" LIMIT 1""),)"),"")</f>
        <v/>
      </c>
      <c r="N337" s="61"/>
      <c r="O337" s="32" t="str">
        <f ca="1">IFERROR(__xludf.DUMMYFUNCTION("if($F337&gt;=5,QUERY(Loot!$A$2:$G$904,""Select G where A = '""&amp; $E337 &amp;""' AND D &gt;= ""&amp; U337 &amp;"" LIMIT 1""),)"),"")</f>
        <v/>
      </c>
      <c r="P337" s="61"/>
      <c r="Q337" s="62">
        <v>0.61714420530894487</v>
      </c>
      <c r="R337" s="63">
        <v>0.45133397545750742</v>
      </c>
      <c r="S337" s="63">
        <v>0.84725178031982196</v>
      </c>
      <c r="T337" s="63">
        <v>5.3413109934426384E-2</v>
      </c>
      <c r="U337" s="63">
        <v>0.22687891740893218</v>
      </c>
    </row>
    <row r="338" spans="1:21" ht="16.2">
      <c r="A338" s="5">
        <f t="shared" ca="1" si="3"/>
        <v>337</v>
      </c>
      <c r="B338" s="5" t="str">
        <f ca="1">IFERROR(__xludf.DUMMYFUNCTION("if(ISBLANK(C338),,QUERY(MD!A339:D1337,""Select A where C = '""&amp; C338 &amp;""'""))"),"")</f>
        <v/>
      </c>
      <c r="C338" s="5"/>
      <c r="D338" s="5" t="str">
        <f ca="1">IFERROR(__xludf.DUMMYFUNCTION("if(ISBLANK(C338),,QUERY(MD!$A$2:$D$1000,""Select D where C = '""&amp; C338 &amp;""'""))"),"")</f>
        <v/>
      </c>
      <c r="E338" s="59" t="str">
        <f ca="1">IFERROR(__xludf.DUMMYFUNCTION("if(ISBLANK(C338),,QUERY(MD!$A$2:$D$1000,""Select B where C = '""&amp; C338 &amp;""'""))"),"")</f>
        <v/>
      </c>
      <c r="F338" s="5">
        <f t="shared" ca="1" si="2"/>
        <v>0</v>
      </c>
      <c r="G338" s="32" t="str">
        <f ca="1">IFERROR(__xludf.DUMMYFUNCTION("if($F338&gt;=1,QUERY(Loot!$A$2:$G$904,""Select G where A = '""&amp; $E338 &amp;""' AND D &gt;= ""&amp; Q338  &amp;"" LIMIT 1""),)"),"")</f>
        <v/>
      </c>
      <c r="H338" s="61"/>
      <c r="I338" s="32" t="str">
        <f ca="1">IFERROR(__xludf.DUMMYFUNCTION("if($F338&gt;=2,QUERY(Loot!$A$2:$G$904,""Select G where A = '""&amp; $E338 &amp;""' AND D &gt;= ""&amp; R338 &amp;"" LIMIT 1""),)"),"")</f>
        <v/>
      </c>
      <c r="J338" s="61"/>
      <c r="K338" s="32" t="str">
        <f ca="1">IFERROR(__xludf.DUMMYFUNCTION("if($F338&gt;=3,QUERY(Loot!$A$2:$G$904,""Select G where A = '""&amp; $E338 &amp;""' AND D &gt;= ""&amp; S338  &amp;"" LIMIT 1""),)"),"")</f>
        <v/>
      </c>
      <c r="L338" s="61"/>
      <c r="M338" s="32" t="str">
        <f ca="1">IFERROR(__xludf.DUMMYFUNCTION("if($F338&gt;=4,QUERY(Loot!$A$2:$G$904,""Select G where A = '""&amp; $E338 &amp;""' AND D &gt;= ""&amp;T338 &amp;"" LIMIT 1""),)"),"")</f>
        <v/>
      </c>
      <c r="N338" s="61"/>
      <c r="O338" s="32" t="str">
        <f ca="1">IFERROR(__xludf.DUMMYFUNCTION("if($F338&gt;=5,QUERY(Loot!$A$2:$G$904,""Select G where A = '""&amp; $E338 &amp;""' AND D &gt;= ""&amp; U338 &amp;"" LIMIT 1""),)"),"")</f>
        <v/>
      </c>
      <c r="P338" s="61"/>
      <c r="Q338" s="62">
        <v>0.43461622535184552</v>
      </c>
      <c r="R338" s="63">
        <v>0.7467482863198962</v>
      </c>
      <c r="S338" s="63">
        <v>0.59861856230694732</v>
      </c>
      <c r="T338" s="63">
        <v>0.64195018895951084</v>
      </c>
      <c r="U338" s="63">
        <v>0.19243837767107053</v>
      </c>
    </row>
    <row r="339" spans="1:21" ht="16.2">
      <c r="A339" s="5">
        <f t="shared" ca="1" si="3"/>
        <v>338</v>
      </c>
      <c r="B339" s="5" t="str">
        <f ca="1">IFERROR(__xludf.DUMMYFUNCTION("if(ISBLANK(C339),,QUERY(MD!A340:D1338,""Select A where C = '""&amp; C339 &amp;""'""))"),"")</f>
        <v/>
      </c>
      <c r="C339" s="5"/>
      <c r="D339" s="5" t="str">
        <f ca="1">IFERROR(__xludf.DUMMYFUNCTION("if(ISBLANK(C339),,QUERY(MD!$A$2:$D$1000,""Select D where C = '""&amp; C339 &amp;""'""))"),"")</f>
        <v/>
      </c>
      <c r="E339" s="59" t="str">
        <f ca="1">IFERROR(__xludf.DUMMYFUNCTION("if(ISBLANK(C339),,QUERY(MD!$A$2:$D$1000,""Select B where C = '""&amp; C339 &amp;""'""))"),"")</f>
        <v/>
      </c>
      <c r="F339" s="5">
        <f t="shared" ca="1" si="2"/>
        <v>0</v>
      </c>
      <c r="G339" s="32" t="str">
        <f ca="1">IFERROR(__xludf.DUMMYFUNCTION("if($F339&gt;=1,QUERY(Loot!$A$2:$G$904,""Select G where A = '""&amp; $E339 &amp;""' AND D &gt;= ""&amp; Q339  &amp;"" LIMIT 1""),)"),"")</f>
        <v/>
      </c>
      <c r="H339" s="61"/>
      <c r="I339" s="32" t="str">
        <f ca="1">IFERROR(__xludf.DUMMYFUNCTION("if($F339&gt;=2,QUERY(Loot!$A$2:$G$904,""Select G where A = '""&amp; $E339 &amp;""' AND D &gt;= ""&amp; R339 &amp;"" LIMIT 1""),)"),"")</f>
        <v/>
      </c>
      <c r="J339" s="61"/>
      <c r="K339" s="32" t="str">
        <f ca="1">IFERROR(__xludf.DUMMYFUNCTION("if($F339&gt;=3,QUERY(Loot!$A$2:$G$904,""Select G where A = '""&amp; $E339 &amp;""' AND D &gt;= ""&amp; S339  &amp;"" LIMIT 1""),)"),"")</f>
        <v/>
      </c>
      <c r="L339" s="61"/>
      <c r="M339" s="32" t="str">
        <f ca="1">IFERROR(__xludf.DUMMYFUNCTION("if($F339&gt;=4,QUERY(Loot!$A$2:$G$904,""Select G where A = '""&amp; $E339 &amp;""' AND D &gt;= ""&amp;T339 &amp;"" LIMIT 1""),)"),"")</f>
        <v/>
      </c>
      <c r="N339" s="61"/>
      <c r="O339" s="32" t="str">
        <f ca="1">IFERROR(__xludf.DUMMYFUNCTION("if($F339&gt;=5,QUERY(Loot!$A$2:$G$904,""Select G where A = '""&amp; $E339 &amp;""' AND D &gt;= ""&amp; U339 &amp;"" LIMIT 1""),)"),"")</f>
        <v/>
      </c>
      <c r="P339" s="61"/>
      <c r="Q339" s="62">
        <v>0.48134861641273274</v>
      </c>
      <c r="R339" s="63">
        <v>0.88903731183463264</v>
      </c>
      <c r="S339" s="63">
        <v>0.89713173390563794</v>
      </c>
      <c r="T339" s="63">
        <v>9.8080638457698988E-2</v>
      </c>
      <c r="U339" s="63">
        <v>0.95404317181694465</v>
      </c>
    </row>
    <row r="340" spans="1:21" ht="16.2">
      <c r="A340" s="5">
        <f t="shared" ca="1" si="3"/>
        <v>339</v>
      </c>
      <c r="B340" s="5" t="str">
        <f ca="1">IFERROR(__xludf.DUMMYFUNCTION("if(ISBLANK(C340),,QUERY(MD!A341:D1339,""Select A where C = '""&amp; C340 &amp;""'""))"),"")</f>
        <v/>
      </c>
      <c r="C340" s="5"/>
      <c r="D340" s="5" t="str">
        <f ca="1">IFERROR(__xludf.DUMMYFUNCTION("if(ISBLANK(C340),,QUERY(MD!$A$2:$D$1000,""Select D where C = '""&amp; C340 &amp;""'""))"),"")</f>
        <v/>
      </c>
      <c r="E340" s="59" t="str">
        <f ca="1">IFERROR(__xludf.DUMMYFUNCTION("if(ISBLANK(C340),,QUERY(MD!$A$2:$D$1000,""Select B where C = '""&amp; C340 &amp;""'""))"),"")</f>
        <v/>
      </c>
      <c r="F340" s="5">
        <f t="shared" ca="1" si="2"/>
        <v>0</v>
      </c>
      <c r="G340" s="32" t="str">
        <f ca="1">IFERROR(__xludf.DUMMYFUNCTION("if($F340&gt;=1,QUERY(Loot!$A$2:$G$904,""Select G where A = '""&amp; $E340 &amp;""' AND D &gt;= ""&amp; Q340  &amp;"" LIMIT 1""),)"),"")</f>
        <v/>
      </c>
      <c r="H340" s="61"/>
      <c r="I340" s="32" t="str">
        <f ca="1">IFERROR(__xludf.DUMMYFUNCTION("if($F340&gt;=2,QUERY(Loot!$A$2:$G$904,""Select G where A = '""&amp; $E340 &amp;""' AND D &gt;= ""&amp; R340 &amp;"" LIMIT 1""),)"),"")</f>
        <v/>
      </c>
      <c r="J340" s="61"/>
      <c r="K340" s="32" t="str">
        <f ca="1">IFERROR(__xludf.DUMMYFUNCTION("if($F340&gt;=3,QUERY(Loot!$A$2:$G$904,""Select G where A = '""&amp; $E340 &amp;""' AND D &gt;= ""&amp; S340  &amp;"" LIMIT 1""),)"),"")</f>
        <v/>
      </c>
      <c r="L340" s="61"/>
      <c r="M340" s="32" t="str">
        <f ca="1">IFERROR(__xludf.DUMMYFUNCTION("if($F340&gt;=4,QUERY(Loot!$A$2:$G$904,""Select G where A = '""&amp; $E340 &amp;""' AND D &gt;= ""&amp;T340 &amp;"" LIMIT 1""),)"),"")</f>
        <v/>
      </c>
      <c r="N340" s="61"/>
      <c r="O340" s="32" t="str">
        <f ca="1">IFERROR(__xludf.DUMMYFUNCTION("if($F340&gt;=5,QUERY(Loot!$A$2:$G$904,""Select G where A = '""&amp; $E340 &amp;""' AND D &gt;= ""&amp; U340 &amp;"" LIMIT 1""),)"),"")</f>
        <v/>
      </c>
      <c r="P340" s="61"/>
      <c r="Q340" s="62">
        <v>0.27030307732222125</v>
      </c>
      <c r="R340" s="63">
        <v>7.1744970570000954E-2</v>
      </c>
      <c r="S340" s="63">
        <v>0.64100849769208879</v>
      </c>
      <c r="T340" s="63">
        <v>0.3321316154200229</v>
      </c>
      <c r="U340" s="63">
        <v>0.71239747443529433</v>
      </c>
    </row>
    <row r="341" spans="1:21" ht="16.2">
      <c r="A341" s="5">
        <f t="shared" ca="1" si="3"/>
        <v>340</v>
      </c>
      <c r="B341" s="5" t="str">
        <f ca="1">IFERROR(__xludf.DUMMYFUNCTION("if(ISBLANK(C341),,QUERY(MD!A342:D1340,""Select A where C = '""&amp; C341 &amp;""'""))"),"")</f>
        <v/>
      </c>
      <c r="C341" s="5"/>
      <c r="D341" s="5" t="str">
        <f ca="1">IFERROR(__xludf.DUMMYFUNCTION("if(ISBLANK(C341),,QUERY(MD!$A$2:$D$1000,""Select D where C = '""&amp; C341 &amp;""'""))"),"")</f>
        <v/>
      </c>
      <c r="E341" s="59" t="str">
        <f ca="1">IFERROR(__xludf.DUMMYFUNCTION("if(ISBLANK(C341),,QUERY(MD!$A$2:$D$1000,""Select B where C = '""&amp; C341 &amp;""'""))"),"")</f>
        <v/>
      </c>
      <c r="F341" s="5">
        <f t="shared" ca="1" si="2"/>
        <v>0</v>
      </c>
      <c r="G341" s="32" t="str">
        <f ca="1">IFERROR(__xludf.DUMMYFUNCTION("if($F341&gt;=1,QUERY(Loot!$A$2:$G$904,""Select G where A = '""&amp; $E341 &amp;""' AND D &gt;= ""&amp; Q341  &amp;"" LIMIT 1""),)"),"")</f>
        <v/>
      </c>
      <c r="H341" s="61"/>
      <c r="I341" s="32" t="str">
        <f ca="1">IFERROR(__xludf.DUMMYFUNCTION("if($F341&gt;=2,QUERY(Loot!$A$2:$G$904,""Select G where A = '""&amp; $E341 &amp;""' AND D &gt;= ""&amp; R341 &amp;"" LIMIT 1""),)"),"")</f>
        <v/>
      </c>
      <c r="J341" s="61"/>
      <c r="K341" s="32" t="str">
        <f ca="1">IFERROR(__xludf.DUMMYFUNCTION("if($F341&gt;=3,QUERY(Loot!$A$2:$G$904,""Select G where A = '""&amp; $E341 &amp;""' AND D &gt;= ""&amp; S341  &amp;"" LIMIT 1""),)"),"")</f>
        <v/>
      </c>
      <c r="L341" s="61"/>
      <c r="M341" s="32" t="str">
        <f ca="1">IFERROR(__xludf.DUMMYFUNCTION("if($F341&gt;=4,QUERY(Loot!$A$2:$G$904,""Select G where A = '""&amp; $E341 &amp;""' AND D &gt;= ""&amp;T341 &amp;"" LIMIT 1""),)"),"")</f>
        <v/>
      </c>
      <c r="N341" s="61"/>
      <c r="O341" s="32" t="str">
        <f ca="1">IFERROR(__xludf.DUMMYFUNCTION("if($F341&gt;=5,QUERY(Loot!$A$2:$G$904,""Select G where A = '""&amp; $E341 &amp;""' AND D &gt;= ""&amp; U341 &amp;"" LIMIT 1""),)"),"")</f>
        <v/>
      </c>
      <c r="P341" s="61"/>
      <c r="Q341" s="62">
        <v>0.35690412959267115</v>
      </c>
      <c r="R341" s="63">
        <v>0.82239449621323502</v>
      </c>
      <c r="S341" s="63">
        <v>0.80061032347253702</v>
      </c>
      <c r="T341" s="63">
        <v>0.77478680974451153</v>
      </c>
      <c r="U341" s="63">
        <v>0.83257811783673197</v>
      </c>
    </row>
    <row r="342" spans="1:21" ht="16.2">
      <c r="A342" s="5">
        <f t="shared" ca="1" si="3"/>
        <v>341</v>
      </c>
      <c r="B342" s="5" t="str">
        <f ca="1">IFERROR(__xludf.DUMMYFUNCTION("if(ISBLANK(C342),,QUERY(MD!A343:D1341,""Select A where C = '""&amp; C342 &amp;""'""))"),"")</f>
        <v/>
      </c>
      <c r="C342" s="5"/>
      <c r="D342" s="5" t="str">
        <f ca="1">IFERROR(__xludf.DUMMYFUNCTION("if(ISBLANK(C342),,QUERY(MD!$A$2:$D$1000,""Select D where C = '""&amp; C342 &amp;""'""))"),"")</f>
        <v/>
      </c>
      <c r="E342" s="59" t="str">
        <f ca="1">IFERROR(__xludf.DUMMYFUNCTION("if(ISBLANK(C342),,QUERY(MD!$A$2:$D$1000,""Select B where C = '""&amp; C342 &amp;""'""))"),"")</f>
        <v/>
      </c>
      <c r="F342" s="5">
        <f t="shared" ca="1" si="2"/>
        <v>0</v>
      </c>
      <c r="G342" s="32" t="str">
        <f ca="1">IFERROR(__xludf.DUMMYFUNCTION("if($F342&gt;=1,QUERY(Loot!$A$2:$G$904,""Select G where A = '""&amp; $E342 &amp;""' AND D &gt;= ""&amp; Q342  &amp;"" LIMIT 1""),)"),"")</f>
        <v/>
      </c>
      <c r="H342" s="61"/>
      <c r="I342" s="32" t="str">
        <f ca="1">IFERROR(__xludf.DUMMYFUNCTION("if($F342&gt;=2,QUERY(Loot!$A$2:$G$904,""Select G where A = '""&amp; $E342 &amp;""' AND D &gt;= ""&amp; R342 &amp;"" LIMIT 1""),)"),"")</f>
        <v/>
      </c>
      <c r="J342" s="61"/>
      <c r="K342" s="32" t="str">
        <f ca="1">IFERROR(__xludf.DUMMYFUNCTION("if($F342&gt;=3,QUERY(Loot!$A$2:$G$904,""Select G where A = '""&amp; $E342 &amp;""' AND D &gt;= ""&amp; S342  &amp;"" LIMIT 1""),)"),"")</f>
        <v/>
      </c>
      <c r="L342" s="61"/>
      <c r="M342" s="32" t="str">
        <f ca="1">IFERROR(__xludf.DUMMYFUNCTION("if($F342&gt;=4,QUERY(Loot!$A$2:$G$904,""Select G where A = '""&amp; $E342 &amp;""' AND D &gt;= ""&amp;T342 &amp;"" LIMIT 1""),)"),"")</f>
        <v/>
      </c>
      <c r="N342" s="61"/>
      <c r="O342" s="32" t="str">
        <f ca="1">IFERROR(__xludf.DUMMYFUNCTION("if($F342&gt;=5,QUERY(Loot!$A$2:$G$904,""Select G where A = '""&amp; $E342 &amp;""' AND D &gt;= ""&amp; U342 &amp;"" LIMIT 1""),)"),"")</f>
        <v/>
      </c>
      <c r="P342" s="61"/>
      <c r="Q342" s="62">
        <v>0.21276566766632399</v>
      </c>
      <c r="R342" s="63">
        <v>0.88025046120957007</v>
      </c>
      <c r="S342" s="63">
        <v>0.47198099708495367</v>
      </c>
      <c r="T342" s="63">
        <v>0.8695391063561857</v>
      </c>
      <c r="U342" s="63">
        <v>0.33220767035525867</v>
      </c>
    </row>
    <row r="343" spans="1:21" ht="16.2">
      <c r="A343" s="5">
        <f t="shared" ca="1" si="3"/>
        <v>342</v>
      </c>
      <c r="B343" s="5" t="str">
        <f ca="1">IFERROR(__xludf.DUMMYFUNCTION("if(ISBLANK(C343),,QUERY(MD!A344:D1342,""Select A where C = '""&amp; C343 &amp;""'""))"),"")</f>
        <v/>
      </c>
      <c r="C343" s="5"/>
      <c r="D343" s="5" t="str">
        <f ca="1">IFERROR(__xludf.DUMMYFUNCTION("if(ISBLANK(C343),,QUERY(MD!$A$2:$D$1000,""Select D where C = '""&amp; C343 &amp;""'""))"),"")</f>
        <v/>
      </c>
      <c r="E343" s="59" t="str">
        <f ca="1">IFERROR(__xludf.DUMMYFUNCTION("if(ISBLANK(C343),,QUERY(MD!$A$2:$D$1000,""Select B where C = '""&amp; C343 &amp;""'""))"),"")</f>
        <v/>
      </c>
      <c r="F343" s="5">
        <f t="shared" ca="1" si="2"/>
        <v>0</v>
      </c>
      <c r="G343" s="32" t="str">
        <f ca="1">IFERROR(__xludf.DUMMYFUNCTION("if($F343&gt;=1,QUERY(Loot!$A$2:$G$904,""Select G where A = '""&amp; $E343 &amp;""' AND D &gt;= ""&amp; Q343  &amp;"" LIMIT 1""),)"),"")</f>
        <v/>
      </c>
      <c r="H343" s="61"/>
      <c r="I343" s="32" t="str">
        <f ca="1">IFERROR(__xludf.DUMMYFUNCTION("if($F343&gt;=2,QUERY(Loot!$A$2:$G$904,""Select G where A = '""&amp; $E343 &amp;""' AND D &gt;= ""&amp; R343 &amp;"" LIMIT 1""),)"),"")</f>
        <v/>
      </c>
      <c r="J343" s="61"/>
      <c r="K343" s="32" t="str">
        <f ca="1">IFERROR(__xludf.DUMMYFUNCTION("if($F343&gt;=3,QUERY(Loot!$A$2:$G$904,""Select G where A = '""&amp; $E343 &amp;""' AND D &gt;= ""&amp; S343  &amp;"" LIMIT 1""),)"),"")</f>
        <v/>
      </c>
      <c r="L343" s="61"/>
      <c r="M343" s="32" t="str">
        <f ca="1">IFERROR(__xludf.DUMMYFUNCTION("if($F343&gt;=4,QUERY(Loot!$A$2:$G$904,""Select G where A = '""&amp; $E343 &amp;""' AND D &gt;= ""&amp;T343 &amp;"" LIMIT 1""),)"),"")</f>
        <v/>
      </c>
      <c r="N343" s="61"/>
      <c r="O343" s="32" t="str">
        <f ca="1">IFERROR(__xludf.DUMMYFUNCTION("if($F343&gt;=5,QUERY(Loot!$A$2:$G$904,""Select G where A = '""&amp; $E343 &amp;""' AND D &gt;= ""&amp; U343 &amp;"" LIMIT 1""),)"),"")</f>
        <v/>
      </c>
      <c r="P343" s="61"/>
      <c r="Q343" s="62">
        <v>0.35873698887997907</v>
      </c>
      <c r="R343" s="63">
        <v>0.94652748779561768</v>
      </c>
      <c r="S343" s="63">
        <v>0.34568110428841781</v>
      </c>
      <c r="T343" s="63">
        <v>0.32703264500346452</v>
      </c>
      <c r="U343" s="63">
        <v>0.29827808248800369</v>
      </c>
    </row>
    <row r="344" spans="1:21" ht="16.2">
      <c r="A344" s="5">
        <f t="shared" ca="1" si="3"/>
        <v>343</v>
      </c>
      <c r="B344" s="5" t="str">
        <f ca="1">IFERROR(__xludf.DUMMYFUNCTION("if(ISBLANK(C344),,QUERY(MD!A345:D1343,""Select A where C = '""&amp; C344 &amp;""'""))"),"")</f>
        <v/>
      </c>
      <c r="C344" s="5"/>
      <c r="D344" s="5" t="str">
        <f ca="1">IFERROR(__xludf.DUMMYFUNCTION("if(ISBLANK(C344),,QUERY(MD!$A$2:$D$1000,""Select D where C = '""&amp; C344 &amp;""'""))"),"")</f>
        <v/>
      </c>
      <c r="E344" s="59" t="str">
        <f ca="1">IFERROR(__xludf.DUMMYFUNCTION("if(ISBLANK(C344),,QUERY(MD!$A$2:$D$1000,""Select B where C = '""&amp; C344 &amp;""'""))"),"")</f>
        <v/>
      </c>
      <c r="F344" s="5">
        <f t="shared" ca="1" si="2"/>
        <v>0</v>
      </c>
      <c r="G344" s="32" t="str">
        <f ca="1">IFERROR(__xludf.DUMMYFUNCTION("if($F344&gt;=1,QUERY(Loot!$A$2:$G$904,""Select G where A = '""&amp; $E344 &amp;""' AND D &gt;= ""&amp; Q344  &amp;"" LIMIT 1""),)"),"")</f>
        <v/>
      </c>
      <c r="H344" s="61"/>
      <c r="I344" s="32" t="str">
        <f ca="1">IFERROR(__xludf.DUMMYFUNCTION("if($F344&gt;=2,QUERY(Loot!$A$2:$G$904,""Select G where A = '""&amp; $E344 &amp;""' AND D &gt;= ""&amp; R344 &amp;"" LIMIT 1""),)"),"")</f>
        <v/>
      </c>
      <c r="J344" s="61"/>
      <c r="K344" s="32" t="str">
        <f ca="1">IFERROR(__xludf.DUMMYFUNCTION("if($F344&gt;=3,QUERY(Loot!$A$2:$G$904,""Select G where A = '""&amp; $E344 &amp;""' AND D &gt;= ""&amp; S344  &amp;"" LIMIT 1""),)"),"")</f>
        <v/>
      </c>
      <c r="L344" s="61"/>
      <c r="M344" s="32" t="str">
        <f ca="1">IFERROR(__xludf.DUMMYFUNCTION("if($F344&gt;=4,QUERY(Loot!$A$2:$G$904,""Select G where A = '""&amp; $E344 &amp;""' AND D &gt;= ""&amp;T344 &amp;"" LIMIT 1""),)"),"")</f>
        <v/>
      </c>
      <c r="N344" s="61"/>
      <c r="O344" s="32" t="str">
        <f ca="1">IFERROR(__xludf.DUMMYFUNCTION("if($F344&gt;=5,QUERY(Loot!$A$2:$G$904,""Select G where A = '""&amp; $E344 &amp;""' AND D &gt;= ""&amp; U344 &amp;"" LIMIT 1""),)"),"")</f>
        <v/>
      </c>
      <c r="P344" s="61"/>
      <c r="Q344" s="62">
        <v>0.93555471542658186</v>
      </c>
      <c r="R344" s="63">
        <v>0.67185647361163869</v>
      </c>
      <c r="S344" s="63">
        <v>1.1545243687685836E-2</v>
      </c>
      <c r="T344" s="63">
        <v>2.9383413911847511E-2</v>
      </c>
      <c r="U344" s="63">
        <v>0.37733120410504306</v>
      </c>
    </row>
    <row r="345" spans="1:21" ht="16.2">
      <c r="A345" s="5">
        <f t="shared" ca="1" si="3"/>
        <v>344</v>
      </c>
      <c r="B345" s="5" t="str">
        <f ca="1">IFERROR(__xludf.DUMMYFUNCTION("if(ISBLANK(C345),,QUERY(MD!A346:D1344,""Select A where C = '""&amp; C345 &amp;""'""))"),"")</f>
        <v/>
      </c>
      <c r="C345" s="5"/>
      <c r="D345" s="5" t="str">
        <f ca="1">IFERROR(__xludf.DUMMYFUNCTION("if(ISBLANK(C345),,QUERY(MD!$A$2:$D$1000,""Select D where C = '""&amp; C345 &amp;""'""))"),"")</f>
        <v/>
      </c>
      <c r="E345" s="59" t="str">
        <f ca="1">IFERROR(__xludf.DUMMYFUNCTION("if(ISBLANK(C345),,QUERY(MD!$A$2:$D$1000,""Select B where C = '""&amp; C345 &amp;""'""))"),"")</f>
        <v/>
      </c>
      <c r="F345" s="5">
        <f t="shared" ca="1" si="2"/>
        <v>0</v>
      </c>
      <c r="G345" s="32" t="str">
        <f ca="1">IFERROR(__xludf.DUMMYFUNCTION("if($F345&gt;=1,QUERY(Loot!$A$2:$G$904,""Select G where A = '""&amp; $E345 &amp;""' AND D &gt;= ""&amp; Q345  &amp;"" LIMIT 1""),)"),"")</f>
        <v/>
      </c>
      <c r="H345" s="61"/>
      <c r="I345" s="32" t="str">
        <f ca="1">IFERROR(__xludf.DUMMYFUNCTION("if($F345&gt;=2,QUERY(Loot!$A$2:$G$904,""Select G where A = '""&amp; $E345 &amp;""' AND D &gt;= ""&amp; R345 &amp;"" LIMIT 1""),)"),"")</f>
        <v/>
      </c>
      <c r="J345" s="61"/>
      <c r="K345" s="32" t="str">
        <f ca="1">IFERROR(__xludf.DUMMYFUNCTION("if($F345&gt;=3,QUERY(Loot!$A$2:$G$904,""Select G where A = '""&amp; $E345 &amp;""' AND D &gt;= ""&amp; S345  &amp;"" LIMIT 1""),)"),"")</f>
        <v/>
      </c>
      <c r="L345" s="61"/>
      <c r="M345" s="32" t="str">
        <f ca="1">IFERROR(__xludf.DUMMYFUNCTION("if($F345&gt;=4,QUERY(Loot!$A$2:$G$904,""Select G where A = '""&amp; $E345 &amp;""' AND D &gt;= ""&amp;T345 &amp;"" LIMIT 1""),)"),"")</f>
        <v/>
      </c>
      <c r="N345" s="61"/>
      <c r="O345" s="32" t="str">
        <f ca="1">IFERROR(__xludf.DUMMYFUNCTION("if($F345&gt;=5,QUERY(Loot!$A$2:$G$904,""Select G where A = '""&amp; $E345 &amp;""' AND D &gt;= ""&amp; U345 &amp;"" LIMIT 1""),)"),"")</f>
        <v/>
      </c>
      <c r="P345" s="61"/>
      <c r="Q345" s="62">
        <v>0.95929204791224643</v>
      </c>
      <c r="R345" s="63">
        <v>0.21951710727609053</v>
      </c>
      <c r="S345" s="63">
        <v>0.5180487461810489</v>
      </c>
      <c r="T345" s="63">
        <v>0.14590777560496715</v>
      </c>
      <c r="U345" s="63">
        <v>0.52881073175406534</v>
      </c>
    </row>
    <row r="346" spans="1:21" ht="16.2">
      <c r="A346" s="5">
        <f t="shared" ca="1" si="3"/>
        <v>345</v>
      </c>
      <c r="B346" s="5" t="str">
        <f ca="1">IFERROR(__xludf.DUMMYFUNCTION("if(ISBLANK(C346),,QUERY(MD!A347:D1345,""Select A where C = '""&amp; C346 &amp;""'""))"),"")</f>
        <v/>
      </c>
      <c r="C346" s="5"/>
      <c r="D346" s="5" t="str">
        <f ca="1">IFERROR(__xludf.DUMMYFUNCTION("if(ISBLANK(C346),,QUERY(MD!$A$2:$D$1000,""Select D where C = '""&amp; C346 &amp;""'""))"),"")</f>
        <v/>
      </c>
      <c r="E346" s="59" t="str">
        <f ca="1">IFERROR(__xludf.DUMMYFUNCTION("if(ISBLANK(C346),,QUERY(MD!$A$2:$D$1000,""Select B where C = '""&amp; C346 &amp;""'""))"),"")</f>
        <v/>
      </c>
      <c r="F346" s="5">
        <f t="shared" ca="1" si="2"/>
        <v>0</v>
      </c>
      <c r="G346" s="32" t="str">
        <f ca="1">IFERROR(__xludf.DUMMYFUNCTION("if($F346&gt;=1,QUERY(Loot!$A$2:$G$904,""Select G where A = '""&amp; $E346 &amp;""' AND D &gt;= ""&amp; Q346  &amp;"" LIMIT 1""),)"),"")</f>
        <v/>
      </c>
      <c r="H346" s="61"/>
      <c r="I346" s="32" t="str">
        <f ca="1">IFERROR(__xludf.DUMMYFUNCTION("if($F346&gt;=2,QUERY(Loot!$A$2:$G$904,""Select G where A = '""&amp; $E346 &amp;""' AND D &gt;= ""&amp; R346 &amp;"" LIMIT 1""),)"),"")</f>
        <v/>
      </c>
      <c r="J346" s="61"/>
      <c r="K346" s="32" t="str">
        <f ca="1">IFERROR(__xludf.DUMMYFUNCTION("if($F346&gt;=3,QUERY(Loot!$A$2:$G$904,""Select G where A = '""&amp; $E346 &amp;""' AND D &gt;= ""&amp; S346  &amp;"" LIMIT 1""),)"),"")</f>
        <v/>
      </c>
      <c r="L346" s="61"/>
      <c r="M346" s="32" t="str">
        <f ca="1">IFERROR(__xludf.DUMMYFUNCTION("if($F346&gt;=4,QUERY(Loot!$A$2:$G$904,""Select G where A = '""&amp; $E346 &amp;""' AND D &gt;= ""&amp;T346 &amp;"" LIMIT 1""),)"),"")</f>
        <v/>
      </c>
      <c r="N346" s="61"/>
      <c r="O346" s="32" t="str">
        <f ca="1">IFERROR(__xludf.DUMMYFUNCTION("if($F346&gt;=5,QUERY(Loot!$A$2:$G$904,""Select G where A = '""&amp; $E346 &amp;""' AND D &gt;= ""&amp; U346 &amp;"" LIMIT 1""),)"),"")</f>
        <v/>
      </c>
      <c r="P346" s="61"/>
      <c r="Q346" s="62">
        <v>6.7207229300273785E-2</v>
      </c>
      <c r="R346" s="63">
        <v>2.3736595919476855E-3</v>
      </c>
      <c r="S346" s="63">
        <v>0.82476240536138379</v>
      </c>
      <c r="T346" s="63">
        <v>0.3614984159717135</v>
      </c>
      <c r="U346" s="63">
        <v>0.16824168953023599</v>
      </c>
    </row>
    <row r="347" spans="1:21" ht="16.2">
      <c r="A347" s="5">
        <f t="shared" ca="1" si="3"/>
        <v>346</v>
      </c>
      <c r="B347" s="5" t="str">
        <f ca="1">IFERROR(__xludf.DUMMYFUNCTION("if(ISBLANK(C347),,QUERY(MD!A348:D1346,""Select A where C = '""&amp; C347 &amp;""'""))"),"")</f>
        <v/>
      </c>
      <c r="C347" s="5"/>
      <c r="D347" s="5" t="str">
        <f ca="1">IFERROR(__xludf.DUMMYFUNCTION("if(ISBLANK(C347),,QUERY(MD!$A$2:$D$1000,""Select D where C = '""&amp; C347 &amp;""'""))"),"")</f>
        <v/>
      </c>
      <c r="E347" s="59" t="str">
        <f ca="1">IFERROR(__xludf.DUMMYFUNCTION("if(ISBLANK(C347),,QUERY(MD!$A$2:$D$1000,""Select B where C = '""&amp; C347 &amp;""'""))"),"")</f>
        <v/>
      </c>
      <c r="F347" s="5">
        <f t="shared" ca="1" si="2"/>
        <v>0</v>
      </c>
      <c r="G347" s="32" t="str">
        <f ca="1">IFERROR(__xludf.DUMMYFUNCTION("if($F347&gt;=1,QUERY(Loot!$A$2:$G$904,""Select G where A = '""&amp; $E347 &amp;""' AND D &gt;= ""&amp; Q347  &amp;"" LIMIT 1""),)"),"")</f>
        <v/>
      </c>
      <c r="H347" s="61"/>
      <c r="I347" s="32" t="str">
        <f ca="1">IFERROR(__xludf.DUMMYFUNCTION("if($F347&gt;=2,QUERY(Loot!$A$2:$G$904,""Select G where A = '""&amp; $E347 &amp;""' AND D &gt;= ""&amp; R347 &amp;"" LIMIT 1""),)"),"")</f>
        <v/>
      </c>
      <c r="J347" s="61"/>
      <c r="K347" s="32" t="str">
        <f ca="1">IFERROR(__xludf.DUMMYFUNCTION("if($F347&gt;=3,QUERY(Loot!$A$2:$G$904,""Select G where A = '""&amp; $E347 &amp;""' AND D &gt;= ""&amp; S347  &amp;"" LIMIT 1""),)"),"")</f>
        <v/>
      </c>
      <c r="L347" s="61"/>
      <c r="M347" s="32" t="str">
        <f ca="1">IFERROR(__xludf.DUMMYFUNCTION("if($F347&gt;=4,QUERY(Loot!$A$2:$G$904,""Select G where A = '""&amp; $E347 &amp;""' AND D &gt;= ""&amp;T347 &amp;"" LIMIT 1""),)"),"")</f>
        <v/>
      </c>
      <c r="N347" s="61"/>
      <c r="O347" s="32" t="str">
        <f ca="1">IFERROR(__xludf.DUMMYFUNCTION("if($F347&gt;=5,QUERY(Loot!$A$2:$G$904,""Select G where A = '""&amp; $E347 &amp;""' AND D &gt;= ""&amp; U347 &amp;"" LIMIT 1""),)"),"")</f>
        <v/>
      </c>
      <c r="P347" s="61"/>
      <c r="Q347" s="62">
        <v>0.33467800914635426</v>
      </c>
      <c r="R347" s="63">
        <v>0.63446795723290428</v>
      </c>
      <c r="S347" s="63">
        <v>2.1120239962234777E-2</v>
      </c>
      <c r="T347" s="63">
        <v>6.0393271665835857E-2</v>
      </c>
      <c r="U347" s="63">
        <v>3.6471594064895752E-2</v>
      </c>
    </row>
    <row r="348" spans="1:21" ht="16.2">
      <c r="A348" s="5">
        <f t="shared" ca="1" si="3"/>
        <v>347</v>
      </c>
      <c r="B348" s="5" t="str">
        <f ca="1">IFERROR(__xludf.DUMMYFUNCTION("if(ISBLANK(C348),,QUERY(MD!A349:D1347,""Select A where C = '""&amp; C348 &amp;""'""))"),"")</f>
        <v/>
      </c>
      <c r="C348" s="5"/>
      <c r="D348" s="5" t="str">
        <f ca="1">IFERROR(__xludf.DUMMYFUNCTION("if(ISBLANK(C348),,QUERY(MD!$A$2:$D$1000,""Select D where C = '""&amp; C348 &amp;""'""))"),"")</f>
        <v/>
      </c>
      <c r="E348" s="59" t="str">
        <f ca="1">IFERROR(__xludf.DUMMYFUNCTION("if(ISBLANK(C348),,QUERY(MD!$A$2:$D$1000,""Select B where C = '""&amp; C348 &amp;""'""))"),"")</f>
        <v/>
      </c>
      <c r="F348" s="5">
        <f t="shared" ca="1" si="2"/>
        <v>0</v>
      </c>
      <c r="G348" s="32" t="str">
        <f ca="1">IFERROR(__xludf.DUMMYFUNCTION("if($F348&gt;=1,QUERY(Loot!$A$2:$G$904,""Select G where A = '""&amp; $E348 &amp;""' AND D &gt;= ""&amp; Q348  &amp;"" LIMIT 1""),)"),"")</f>
        <v/>
      </c>
      <c r="H348" s="61"/>
      <c r="I348" s="32" t="str">
        <f ca="1">IFERROR(__xludf.DUMMYFUNCTION("if($F348&gt;=2,QUERY(Loot!$A$2:$G$904,""Select G where A = '""&amp; $E348 &amp;""' AND D &gt;= ""&amp; R348 &amp;"" LIMIT 1""),)"),"")</f>
        <v/>
      </c>
      <c r="J348" s="61"/>
      <c r="K348" s="32" t="str">
        <f ca="1">IFERROR(__xludf.DUMMYFUNCTION("if($F348&gt;=3,QUERY(Loot!$A$2:$G$904,""Select G where A = '""&amp; $E348 &amp;""' AND D &gt;= ""&amp; S348  &amp;"" LIMIT 1""),)"),"")</f>
        <v/>
      </c>
      <c r="L348" s="61"/>
      <c r="M348" s="32" t="str">
        <f ca="1">IFERROR(__xludf.DUMMYFUNCTION("if($F348&gt;=4,QUERY(Loot!$A$2:$G$904,""Select G where A = '""&amp; $E348 &amp;""' AND D &gt;= ""&amp;T348 &amp;"" LIMIT 1""),)"),"")</f>
        <v/>
      </c>
      <c r="N348" s="61"/>
      <c r="O348" s="32" t="str">
        <f ca="1">IFERROR(__xludf.DUMMYFUNCTION("if($F348&gt;=5,QUERY(Loot!$A$2:$G$904,""Select G where A = '""&amp; $E348 &amp;""' AND D &gt;= ""&amp; U348 &amp;"" LIMIT 1""),)"),"")</f>
        <v/>
      </c>
      <c r="P348" s="61"/>
      <c r="Q348" s="62">
        <v>0.11475566820958472</v>
      </c>
      <c r="R348" s="63">
        <v>4.0504113479654102E-2</v>
      </c>
      <c r="S348" s="63">
        <v>0.10527748485083877</v>
      </c>
      <c r="T348" s="63">
        <v>0.67617137502195368</v>
      </c>
      <c r="U348" s="63">
        <v>0.92794781927312442</v>
      </c>
    </row>
    <row r="349" spans="1:21" ht="16.2">
      <c r="A349" s="5">
        <f t="shared" ca="1" si="3"/>
        <v>348</v>
      </c>
      <c r="B349" s="5" t="str">
        <f ca="1">IFERROR(__xludf.DUMMYFUNCTION("if(ISBLANK(C349),,QUERY(MD!A350:D1348,""Select A where C = '""&amp; C349 &amp;""'""))"),"")</f>
        <v/>
      </c>
      <c r="C349" s="5"/>
      <c r="D349" s="5" t="str">
        <f ca="1">IFERROR(__xludf.DUMMYFUNCTION("if(ISBLANK(C349),,QUERY(MD!$A$2:$D$1000,""Select D where C = '""&amp; C349 &amp;""'""))"),"")</f>
        <v/>
      </c>
      <c r="E349" s="59" t="str">
        <f ca="1">IFERROR(__xludf.DUMMYFUNCTION("if(ISBLANK(C349),,QUERY(MD!$A$2:$D$1000,""Select B where C = '""&amp; C349 &amp;""'""))"),"")</f>
        <v/>
      </c>
      <c r="F349" s="5">
        <f t="shared" ca="1" si="2"/>
        <v>0</v>
      </c>
      <c r="G349" s="32" t="str">
        <f ca="1">IFERROR(__xludf.DUMMYFUNCTION("if($F349&gt;=1,QUERY(Loot!$A$2:$G$904,""Select G where A = '""&amp; $E349 &amp;""' AND D &gt;= ""&amp; Q349  &amp;"" LIMIT 1""),)"),"")</f>
        <v/>
      </c>
      <c r="H349" s="61"/>
      <c r="I349" s="32" t="str">
        <f ca="1">IFERROR(__xludf.DUMMYFUNCTION("if($F349&gt;=2,QUERY(Loot!$A$2:$G$904,""Select G where A = '""&amp; $E349 &amp;""' AND D &gt;= ""&amp; R349 &amp;"" LIMIT 1""),)"),"")</f>
        <v/>
      </c>
      <c r="J349" s="61"/>
      <c r="K349" s="32" t="str">
        <f ca="1">IFERROR(__xludf.DUMMYFUNCTION("if($F349&gt;=3,QUERY(Loot!$A$2:$G$904,""Select G where A = '""&amp; $E349 &amp;""' AND D &gt;= ""&amp; S349  &amp;"" LIMIT 1""),)"),"")</f>
        <v/>
      </c>
      <c r="L349" s="61"/>
      <c r="M349" s="32" t="str">
        <f ca="1">IFERROR(__xludf.DUMMYFUNCTION("if($F349&gt;=4,QUERY(Loot!$A$2:$G$904,""Select G where A = '""&amp; $E349 &amp;""' AND D &gt;= ""&amp;T349 &amp;"" LIMIT 1""),)"),"")</f>
        <v/>
      </c>
      <c r="N349" s="61"/>
      <c r="O349" s="32" t="str">
        <f ca="1">IFERROR(__xludf.DUMMYFUNCTION("if($F349&gt;=5,QUERY(Loot!$A$2:$G$904,""Select G where A = '""&amp; $E349 &amp;""' AND D &gt;= ""&amp; U349 &amp;"" LIMIT 1""),)"),"")</f>
        <v/>
      </c>
      <c r="P349" s="61"/>
      <c r="Q349" s="62">
        <v>0.75727376730780493</v>
      </c>
      <c r="R349" s="63">
        <v>0.90420887234226699</v>
      </c>
      <c r="S349" s="63">
        <v>0.81324845384370137</v>
      </c>
      <c r="T349" s="63">
        <v>0.19858533193984396</v>
      </c>
      <c r="U349" s="63">
        <v>0.10872715299778435</v>
      </c>
    </row>
    <row r="350" spans="1:21" ht="16.2">
      <c r="A350" s="5">
        <f t="shared" ca="1" si="3"/>
        <v>349</v>
      </c>
      <c r="B350" s="5" t="str">
        <f ca="1">IFERROR(__xludf.DUMMYFUNCTION("if(ISBLANK(C350),,QUERY(MD!A351:D1349,""Select A where C = '""&amp; C350 &amp;""'""))"),"")</f>
        <v/>
      </c>
      <c r="C350" s="5"/>
      <c r="D350" s="5" t="str">
        <f ca="1">IFERROR(__xludf.DUMMYFUNCTION("if(ISBLANK(C350),,QUERY(MD!$A$2:$D$1000,""Select D where C = '""&amp; C350 &amp;""'""))"),"")</f>
        <v/>
      </c>
      <c r="E350" s="59" t="str">
        <f ca="1">IFERROR(__xludf.DUMMYFUNCTION("if(ISBLANK(C350),,QUERY(MD!$A$2:$D$1000,""Select B where C = '""&amp; C350 &amp;""'""))"),"")</f>
        <v/>
      </c>
      <c r="F350" s="5">
        <f t="shared" ca="1" si="2"/>
        <v>0</v>
      </c>
      <c r="G350" s="32" t="str">
        <f ca="1">IFERROR(__xludf.DUMMYFUNCTION("if($F350&gt;=1,QUERY(Loot!$A$2:$G$904,""Select G where A = '""&amp; $E350 &amp;""' AND D &gt;= ""&amp; Q350  &amp;"" LIMIT 1""),)"),"")</f>
        <v/>
      </c>
      <c r="H350" s="61"/>
      <c r="I350" s="32" t="str">
        <f ca="1">IFERROR(__xludf.DUMMYFUNCTION("if($F350&gt;=2,QUERY(Loot!$A$2:$G$904,""Select G where A = '""&amp; $E350 &amp;""' AND D &gt;= ""&amp; R350 &amp;"" LIMIT 1""),)"),"")</f>
        <v/>
      </c>
      <c r="J350" s="61"/>
      <c r="K350" s="32" t="str">
        <f ca="1">IFERROR(__xludf.DUMMYFUNCTION("if($F350&gt;=3,QUERY(Loot!$A$2:$G$904,""Select G where A = '""&amp; $E350 &amp;""' AND D &gt;= ""&amp; S350  &amp;"" LIMIT 1""),)"),"")</f>
        <v/>
      </c>
      <c r="L350" s="61"/>
      <c r="M350" s="32" t="str">
        <f ca="1">IFERROR(__xludf.DUMMYFUNCTION("if($F350&gt;=4,QUERY(Loot!$A$2:$G$904,""Select G where A = '""&amp; $E350 &amp;""' AND D &gt;= ""&amp;T350 &amp;"" LIMIT 1""),)"),"")</f>
        <v/>
      </c>
      <c r="N350" s="61"/>
      <c r="O350" s="32" t="str">
        <f ca="1">IFERROR(__xludf.DUMMYFUNCTION("if($F350&gt;=5,QUERY(Loot!$A$2:$G$904,""Select G where A = '""&amp; $E350 &amp;""' AND D &gt;= ""&amp; U350 &amp;"" LIMIT 1""),)"),"")</f>
        <v/>
      </c>
      <c r="P350" s="61"/>
      <c r="Q350" s="62">
        <v>0.83693700887866529</v>
      </c>
      <c r="R350" s="63">
        <v>0.41752734444822603</v>
      </c>
      <c r="S350" s="63">
        <v>0.13317700201471494</v>
      </c>
      <c r="T350" s="63">
        <v>0.95132076826446743</v>
      </c>
      <c r="U350" s="63">
        <v>0.6747091800915167</v>
      </c>
    </row>
    <row r="351" spans="1:21" ht="16.2">
      <c r="A351" s="5">
        <f t="shared" ca="1" si="3"/>
        <v>350</v>
      </c>
      <c r="B351" s="5" t="str">
        <f ca="1">IFERROR(__xludf.DUMMYFUNCTION("if(ISBLANK(C351),,QUERY(MD!A352:D1350,""Select A where C = '""&amp; C351 &amp;""'""))"),"")</f>
        <v/>
      </c>
      <c r="C351" s="5"/>
      <c r="D351" s="5" t="str">
        <f ca="1">IFERROR(__xludf.DUMMYFUNCTION("if(ISBLANK(C351),,QUERY(MD!$A$2:$D$1000,""Select D where C = '""&amp; C351 &amp;""'""))"),"")</f>
        <v/>
      </c>
      <c r="E351" s="59" t="str">
        <f ca="1">IFERROR(__xludf.DUMMYFUNCTION("if(ISBLANK(C351),,QUERY(MD!$A$2:$D$1000,""Select B where C = '""&amp; C351 &amp;""'""))"),"")</f>
        <v/>
      </c>
      <c r="F351" s="5">
        <f t="shared" ca="1" si="2"/>
        <v>0</v>
      </c>
      <c r="G351" s="32" t="str">
        <f ca="1">IFERROR(__xludf.DUMMYFUNCTION("if($F351&gt;=1,QUERY(Loot!$A$2:$G$904,""Select G where A = '""&amp; $E351 &amp;""' AND D &gt;= ""&amp; Q351  &amp;"" LIMIT 1""),)"),"")</f>
        <v/>
      </c>
      <c r="H351" s="61"/>
      <c r="I351" s="32" t="str">
        <f ca="1">IFERROR(__xludf.DUMMYFUNCTION("if($F351&gt;=2,QUERY(Loot!$A$2:$G$904,""Select G where A = '""&amp; $E351 &amp;""' AND D &gt;= ""&amp; R351 &amp;"" LIMIT 1""),)"),"")</f>
        <v/>
      </c>
      <c r="J351" s="61"/>
      <c r="K351" s="32" t="str">
        <f ca="1">IFERROR(__xludf.DUMMYFUNCTION("if($F351&gt;=3,QUERY(Loot!$A$2:$G$904,""Select G where A = '""&amp; $E351 &amp;""' AND D &gt;= ""&amp; S351  &amp;"" LIMIT 1""),)"),"")</f>
        <v/>
      </c>
      <c r="L351" s="61"/>
      <c r="M351" s="32" t="str">
        <f ca="1">IFERROR(__xludf.DUMMYFUNCTION("if($F351&gt;=4,QUERY(Loot!$A$2:$G$904,""Select G where A = '""&amp; $E351 &amp;""' AND D &gt;= ""&amp;T351 &amp;"" LIMIT 1""),)"),"")</f>
        <v/>
      </c>
      <c r="N351" s="61"/>
      <c r="O351" s="32" t="str">
        <f ca="1">IFERROR(__xludf.DUMMYFUNCTION("if($F351&gt;=5,QUERY(Loot!$A$2:$G$904,""Select G where A = '""&amp; $E351 &amp;""' AND D &gt;= ""&amp; U351 &amp;"" LIMIT 1""),)"),"")</f>
        <v/>
      </c>
      <c r="P351" s="61"/>
      <c r="Q351" s="62">
        <v>0.36864807421779333</v>
      </c>
      <c r="R351" s="63">
        <v>0.2743493155589779</v>
      </c>
      <c r="S351" s="63">
        <v>5.7133973048907216E-2</v>
      </c>
      <c r="T351" s="63">
        <v>0.34508269230523736</v>
      </c>
      <c r="U351" s="63">
        <v>0.36824141489385576</v>
      </c>
    </row>
    <row r="352" spans="1:21" ht="16.2">
      <c r="A352" s="5">
        <f t="shared" ca="1" si="3"/>
        <v>351</v>
      </c>
      <c r="B352" s="5" t="str">
        <f ca="1">IFERROR(__xludf.DUMMYFUNCTION("if(ISBLANK(C352),,QUERY(MD!A353:D1351,""Select A where C = '""&amp; C352 &amp;""'""))"),"")</f>
        <v/>
      </c>
      <c r="C352" s="5"/>
      <c r="D352" s="5" t="str">
        <f ca="1">IFERROR(__xludf.DUMMYFUNCTION("if(ISBLANK(C352),,QUERY(MD!$A$2:$D$1000,""Select D where C = '""&amp; C352 &amp;""'""))"),"")</f>
        <v/>
      </c>
      <c r="E352" s="59" t="str">
        <f ca="1">IFERROR(__xludf.DUMMYFUNCTION("if(ISBLANK(C352),,QUERY(MD!$A$2:$D$1000,""Select B where C = '""&amp; C352 &amp;""'""))"),"")</f>
        <v/>
      </c>
      <c r="F352" s="5">
        <f t="shared" ca="1" si="2"/>
        <v>0</v>
      </c>
      <c r="G352" s="32" t="str">
        <f ca="1">IFERROR(__xludf.DUMMYFUNCTION("if($F352&gt;=1,QUERY(Loot!$A$2:$G$904,""Select G where A = '""&amp; $E352 &amp;""' AND D &gt;= ""&amp; Q352  &amp;"" LIMIT 1""),)"),"")</f>
        <v/>
      </c>
      <c r="H352" s="61"/>
      <c r="I352" s="32" t="str">
        <f ca="1">IFERROR(__xludf.DUMMYFUNCTION("if($F352&gt;=2,QUERY(Loot!$A$2:$G$904,""Select G where A = '""&amp; $E352 &amp;""' AND D &gt;= ""&amp; R352 &amp;"" LIMIT 1""),)"),"")</f>
        <v/>
      </c>
      <c r="J352" s="61"/>
      <c r="K352" s="32" t="str">
        <f ca="1">IFERROR(__xludf.DUMMYFUNCTION("if($F352&gt;=3,QUERY(Loot!$A$2:$G$904,""Select G where A = '""&amp; $E352 &amp;""' AND D &gt;= ""&amp; S352  &amp;"" LIMIT 1""),)"),"")</f>
        <v/>
      </c>
      <c r="L352" s="61"/>
      <c r="M352" s="32" t="str">
        <f ca="1">IFERROR(__xludf.DUMMYFUNCTION("if($F352&gt;=4,QUERY(Loot!$A$2:$G$904,""Select G where A = '""&amp; $E352 &amp;""' AND D &gt;= ""&amp;T352 &amp;"" LIMIT 1""),)"),"")</f>
        <v/>
      </c>
      <c r="N352" s="61"/>
      <c r="O352" s="32" t="str">
        <f ca="1">IFERROR(__xludf.DUMMYFUNCTION("if($F352&gt;=5,QUERY(Loot!$A$2:$G$904,""Select G where A = '""&amp; $E352 &amp;""' AND D &gt;= ""&amp; U352 &amp;"" LIMIT 1""),)"),"")</f>
        <v/>
      </c>
      <c r="P352" s="61"/>
      <c r="Q352" s="62">
        <v>0.63527654521090726</v>
      </c>
      <c r="R352" s="63">
        <v>5.7851563524588312E-2</v>
      </c>
      <c r="S352" s="63">
        <v>0.83313640385409649</v>
      </c>
      <c r="T352" s="63">
        <v>0.35615626495825226</v>
      </c>
      <c r="U352" s="63">
        <v>0.13312325684525272</v>
      </c>
    </row>
    <row r="353" spans="1:21" ht="16.2">
      <c r="A353" s="5">
        <f t="shared" ca="1" si="3"/>
        <v>352</v>
      </c>
      <c r="B353" s="5" t="str">
        <f ca="1">IFERROR(__xludf.DUMMYFUNCTION("if(ISBLANK(C353),,QUERY(MD!A354:D1352,""Select A where C = '""&amp; C353 &amp;""'""))"),"")</f>
        <v/>
      </c>
      <c r="C353" s="5"/>
      <c r="D353" s="5" t="str">
        <f ca="1">IFERROR(__xludf.DUMMYFUNCTION("if(ISBLANK(C353),,QUERY(MD!$A$2:$D$1000,""Select D where C = '""&amp; C353 &amp;""'""))"),"")</f>
        <v/>
      </c>
      <c r="E353" s="59" t="str">
        <f ca="1">IFERROR(__xludf.DUMMYFUNCTION("if(ISBLANK(C353),,QUERY(MD!$A$2:$D$1000,""Select B where C = '""&amp; C353 &amp;""'""))"),"")</f>
        <v/>
      </c>
      <c r="F353" s="5">
        <f t="shared" ca="1" si="2"/>
        <v>0</v>
      </c>
      <c r="G353" s="32" t="str">
        <f ca="1">IFERROR(__xludf.DUMMYFUNCTION("if($F353&gt;=1,QUERY(Loot!$A$2:$G$904,""Select G where A = '""&amp; $E353 &amp;""' AND D &gt;= ""&amp; Q353  &amp;"" LIMIT 1""),)"),"")</f>
        <v/>
      </c>
      <c r="H353" s="61"/>
      <c r="I353" s="32" t="str">
        <f ca="1">IFERROR(__xludf.DUMMYFUNCTION("if($F353&gt;=2,QUERY(Loot!$A$2:$G$904,""Select G where A = '""&amp; $E353 &amp;""' AND D &gt;= ""&amp; R353 &amp;"" LIMIT 1""),)"),"")</f>
        <v/>
      </c>
      <c r="J353" s="61"/>
      <c r="K353" s="32" t="str">
        <f ca="1">IFERROR(__xludf.DUMMYFUNCTION("if($F353&gt;=3,QUERY(Loot!$A$2:$G$904,""Select G where A = '""&amp; $E353 &amp;""' AND D &gt;= ""&amp; S353  &amp;"" LIMIT 1""),)"),"")</f>
        <v/>
      </c>
      <c r="L353" s="61"/>
      <c r="M353" s="32" t="str">
        <f ca="1">IFERROR(__xludf.DUMMYFUNCTION("if($F353&gt;=4,QUERY(Loot!$A$2:$G$904,""Select G where A = '""&amp; $E353 &amp;""' AND D &gt;= ""&amp;T353 &amp;"" LIMIT 1""),)"),"")</f>
        <v/>
      </c>
      <c r="N353" s="61"/>
      <c r="O353" s="32" t="str">
        <f ca="1">IFERROR(__xludf.DUMMYFUNCTION("if($F353&gt;=5,QUERY(Loot!$A$2:$G$904,""Select G where A = '""&amp; $E353 &amp;""' AND D &gt;= ""&amp; U353 &amp;"" LIMIT 1""),)"),"")</f>
        <v/>
      </c>
      <c r="P353" s="61"/>
      <c r="Q353" s="62">
        <v>0.25621714670547646</v>
      </c>
      <c r="R353" s="63">
        <v>0.8922076545509845</v>
      </c>
      <c r="S353" s="63">
        <v>0.31211729201836624</v>
      </c>
      <c r="T353" s="63">
        <v>0.19433201004239709</v>
      </c>
      <c r="U353" s="63">
        <v>0.40557374486659115</v>
      </c>
    </row>
    <row r="354" spans="1:21" ht="16.2">
      <c r="A354" s="5">
        <f t="shared" ca="1" si="3"/>
        <v>353</v>
      </c>
      <c r="B354" s="5" t="str">
        <f ca="1">IFERROR(__xludf.DUMMYFUNCTION("if(ISBLANK(C354),,QUERY(MD!A355:D1353,""Select A where C = '""&amp; C354 &amp;""'""))"),"")</f>
        <v/>
      </c>
      <c r="C354" s="5"/>
      <c r="D354" s="5" t="str">
        <f ca="1">IFERROR(__xludf.DUMMYFUNCTION("if(ISBLANK(C354),,QUERY(MD!$A$2:$D$1000,""Select D where C = '""&amp; C354 &amp;""'""))"),"")</f>
        <v/>
      </c>
      <c r="E354" s="59" t="str">
        <f ca="1">IFERROR(__xludf.DUMMYFUNCTION("if(ISBLANK(C354),,QUERY(MD!$A$2:$D$1000,""Select B where C = '""&amp; C354 &amp;""'""))"),"")</f>
        <v/>
      </c>
      <c r="F354" s="5">
        <f t="shared" ca="1" si="2"/>
        <v>0</v>
      </c>
      <c r="G354" s="32" t="str">
        <f ca="1">IFERROR(__xludf.DUMMYFUNCTION("if($F354&gt;=1,QUERY(Loot!$A$2:$G$904,""Select G where A = '""&amp; $E354 &amp;""' AND D &gt;= ""&amp; Q354  &amp;"" LIMIT 1""),)"),"")</f>
        <v/>
      </c>
      <c r="H354" s="61"/>
      <c r="I354" s="32" t="str">
        <f ca="1">IFERROR(__xludf.DUMMYFUNCTION("if($F354&gt;=2,QUERY(Loot!$A$2:$G$904,""Select G where A = '""&amp; $E354 &amp;""' AND D &gt;= ""&amp; R354 &amp;"" LIMIT 1""),)"),"")</f>
        <v/>
      </c>
      <c r="J354" s="61"/>
      <c r="K354" s="32" t="str">
        <f ca="1">IFERROR(__xludf.DUMMYFUNCTION("if($F354&gt;=3,QUERY(Loot!$A$2:$G$904,""Select G where A = '""&amp; $E354 &amp;""' AND D &gt;= ""&amp; S354  &amp;"" LIMIT 1""),)"),"")</f>
        <v/>
      </c>
      <c r="L354" s="61"/>
      <c r="M354" s="32" t="str">
        <f ca="1">IFERROR(__xludf.DUMMYFUNCTION("if($F354&gt;=4,QUERY(Loot!$A$2:$G$904,""Select G where A = '""&amp; $E354 &amp;""' AND D &gt;= ""&amp;T354 &amp;"" LIMIT 1""),)"),"")</f>
        <v/>
      </c>
      <c r="N354" s="61"/>
      <c r="O354" s="32" t="str">
        <f ca="1">IFERROR(__xludf.DUMMYFUNCTION("if($F354&gt;=5,QUERY(Loot!$A$2:$G$904,""Select G where A = '""&amp; $E354 &amp;""' AND D &gt;= ""&amp; U354 &amp;"" LIMIT 1""),)"),"")</f>
        <v/>
      </c>
      <c r="P354" s="61"/>
      <c r="Q354" s="62">
        <v>0.70700767070222192</v>
      </c>
      <c r="R354" s="63">
        <v>0.1454802598393361</v>
      </c>
      <c r="S354" s="63">
        <v>0.13994150214317191</v>
      </c>
      <c r="T354" s="63">
        <v>0.27002206335293455</v>
      </c>
      <c r="U354" s="63">
        <v>0.90294438306889491</v>
      </c>
    </row>
    <row r="355" spans="1:21" ht="16.2">
      <c r="A355" s="5">
        <f t="shared" ca="1" si="3"/>
        <v>354</v>
      </c>
      <c r="B355" s="5" t="str">
        <f ca="1">IFERROR(__xludf.DUMMYFUNCTION("if(ISBLANK(C355),,QUERY(MD!A356:D1354,""Select A where C = '""&amp; C355 &amp;""'""))"),"")</f>
        <v/>
      </c>
      <c r="C355" s="5"/>
      <c r="D355" s="5" t="str">
        <f ca="1">IFERROR(__xludf.DUMMYFUNCTION("if(ISBLANK(C355),,QUERY(MD!$A$2:$D$1000,""Select D where C = '""&amp; C355 &amp;""'""))"),"")</f>
        <v/>
      </c>
      <c r="E355" s="59" t="str">
        <f ca="1">IFERROR(__xludf.DUMMYFUNCTION("if(ISBLANK(C355),,QUERY(MD!$A$2:$D$1000,""Select B where C = '""&amp; C355 &amp;""'""))"),"")</f>
        <v/>
      </c>
      <c r="F355" s="5">
        <f t="shared" ca="1" si="2"/>
        <v>0</v>
      </c>
      <c r="G355" s="32" t="str">
        <f ca="1">IFERROR(__xludf.DUMMYFUNCTION("if($F355&gt;=1,QUERY(Loot!$A$2:$G$904,""Select G where A = '""&amp; $E355 &amp;""' AND D &gt;= ""&amp; Q355  &amp;"" LIMIT 1""),)"),"")</f>
        <v/>
      </c>
      <c r="H355" s="61"/>
      <c r="I355" s="32" t="str">
        <f ca="1">IFERROR(__xludf.DUMMYFUNCTION("if($F355&gt;=2,QUERY(Loot!$A$2:$G$904,""Select G where A = '""&amp; $E355 &amp;""' AND D &gt;= ""&amp; R355 &amp;"" LIMIT 1""),)"),"")</f>
        <v/>
      </c>
      <c r="J355" s="61"/>
      <c r="K355" s="32" t="str">
        <f ca="1">IFERROR(__xludf.DUMMYFUNCTION("if($F355&gt;=3,QUERY(Loot!$A$2:$G$904,""Select G where A = '""&amp; $E355 &amp;""' AND D &gt;= ""&amp; S355  &amp;"" LIMIT 1""),)"),"")</f>
        <v/>
      </c>
      <c r="L355" s="61"/>
      <c r="M355" s="32" t="str">
        <f ca="1">IFERROR(__xludf.DUMMYFUNCTION("if($F355&gt;=4,QUERY(Loot!$A$2:$G$904,""Select G where A = '""&amp; $E355 &amp;""' AND D &gt;= ""&amp;T355 &amp;"" LIMIT 1""),)"),"")</f>
        <v/>
      </c>
      <c r="N355" s="61"/>
      <c r="O355" s="32" t="str">
        <f ca="1">IFERROR(__xludf.DUMMYFUNCTION("if($F355&gt;=5,QUERY(Loot!$A$2:$G$904,""Select G where A = '""&amp; $E355 &amp;""' AND D &gt;= ""&amp; U355 &amp;"" LIMIT 1""),)"),"")</f>
        <v/>
      </c>
      <c r="P355" s="61"/>
      <c r="Q355" s="62">
        <v>0.22829122060121665</v>
      </c>
      <c r="R355" s="63">
        <v>0.97572125752249628</v>
      </c>
      <c r="S355" s="63">
        <v>2.0891022233493928E-2</v>
      </c>
      <c r="T355" s="63">
        <v>0.32770894762592118</v>
      </c>
      <c r="U355" s="63">
        <v>1.0644812970611817E-2</v>
      </c>
    </row>
    <row r="356" spans="1:21" ht="16.2">
      <c r="A356" s="5">
        <f t="shared" ca="1" si="3"/>
        <v>355</v>
      </c>
      <c r="B356" s="5" t="str">
        <f ca="1">IFERROR(__xludf.DUMMYFUNCTION("if(ISBLANK(C356),,QUERY(MD!A357:D1355,""Select A where C = '""&amp; C356 &amp;""'""))"),"")</f>
        <v/>
      </c>
      <c r="C356" s="5"/>
      <c r="D356" s="5" t="str">
        <f ca="1">IFERROR(__xludf.DUMMYFUNCTION("if(ISBLANK(C356),,QUERY(MD!$A$2:$D$1000,""Select D where C = '""&amp; C356 &amp;""'""))"),"")</f>
        <v/>
      </c>
      <c r="E356" s="59" t="str">
        <f ca="1">IFERROR(__xludf.DUMMYFUNCTION("if(ISBLANK(C356),,QUERY(MD!$A$2:$D$1000,""Select B where C = '""&amp; C356 &amp;""'""))"),"")</f>
        <v/>
      </c>
      <c r="F356" s="5">
        <f t="shared" ca="1" si="2"/>
        <v>0</v>
      </c>
      <c r="G356" s="32" t="str">
        <f ca="1">IFERROR(__xludf.DUMMYFUNCTION("if($F356&gt;=1,QUERY(Loot!$A$2:$G$904,""Select G where A = '""&amp; $E356 &amp;""' AND D &gt;= ""&amp; Q356  &amp;"" LIMIT 1""),)"),"")</f>
        <v/>
      </c>
      <c r="H356" s="61"/>
      <c r="I356" s="32" t="str">
        <f ca="1">IFERROR(__xludf.DUMMYFUNCTION("if($F356&gt;=2,QUERY(Loot!$A$2:$G$904,""Select G where A = '""&amp; $E356 &amp;""' AND D &gt;= ""&amp; R356 &amp;"" LIMIT 1""),)"),"")</f>
        <v/>
      </c>
      <c r="J356" s="61"/>
      <c r="K356" s="32" t="str">
        <f ca="1">IFERROR(__xludf.DUMMYFUNCTION("if($F356&gt;=3,QUERY(Loot!$A$2:$G$904,""Select G where A = '""&amp; $E356 &amp;""' AND D &gt;= ""&amp; S356  &amp;"" LIMIT 1""),)"),"")</f>
        <v/>
      </c>
      <c r="L356" s="61"/>
      <c r="M356" s="32" t="str">
        <f ca="1">IFERROR(__xludf.DUMMYFUNCTION("if($F356&gt;=4,QUERY(Loot!$A$2:$G$904,""Select G where A = '""&amp; $E356 &amp;""' AND D &gt;= ""&amp;T356 &amp;"" LIMIT 1""),)"),"")</f>
        <v/>
      </c>
      <c r="N356" s="61"/>
      <c r="O356" s="32" t="str">
        <f ca="1">IFERROR(__xludf.DUMMYFUNCTION("if($F356&gt;=5,QUERY(Loot!$A$2:$G$904,""Select G where A = '""&amp; $E356 &amp;""' AND D &gt;= ""&amp; U356 &amp;"" LIMIT 1""),)"),"")</f>
        <v/>
      </c>
      <c r="P356" s="61"/>
      <c r="Q356" s="62">
        <v>0.50976085353122691</v>
      </c>
      <c r="R356" s="63">
        <v>0.29962936244442218</v>
      </c>
      <c r="S356" s="63">
        <v>0.84465812363295367</v>
      </c>
      <c r="T356" s="63">
        <v>7.2376360071707668E-2</v>
      </c>
      <c r="U356" s="63">
        <v>0.29925326122634666</v>
      </c>
    </row>
    <row r="357" spans="1:21" ht="16.2">
      <c r="A357" s="5">
        <f t="shared" ca="1" si="3"/>
        <v>356</v>
      </c>
      <c r="B357" s="5" t="str">
        <f ca="1">IFERROR(__xludf.DUMMYFUNCTION("if(ISBLANK(C357),,QUERY(MD!A358:D1356,""Select A where C = '""&amp; C357 &amp;""'""))"),"")</f>
        <v/>
      </c>
      <c r="C357" s="5"/>
      <c r="D357" s="5" t="str">
        <f ca="1">IFERROR(__xludf.DUMMYFUNCTION("if(ISBLANK(C357),,QUERY(MD!$A$2:$D$1000,""Select D where C = '""&amp; C357 &amp;""'""))"),"")</f>
        <v/>
      </c>
      <c r="E357" s="59" t="str">
        <f ca="1">IFERROR(__xludf.DUMMYFUNCTION("if(ISBLANK(C357),,QUERY(MD!$A$2:$D$1000,""Select B where C = '""&amp; C357 &amp;""'""))"),"")</f>
        <v/>
      </c>
      <c r="F357" s="5">
        <f t="shared" ca="1" si="2"/>
        <v>0</v>
      </c>
      <c r="G357" s="32" t="str">
        <f ca="1">IFERROR(__xludf.DUMMYFUNCTION("if($F357&gt;=1,QUERY(Loot!$A$2:$G$904,""Select G where A = '""&amp; $E357 &amp;""' AND D &gt;= ""&amp; Q357  &amp;"" LIMIT 1""),)"),"")</f>
        <v/>
      </c>
      <c r="H357" s="61"/>
      <c r="I357" s="32" t="str">
        <f ca="1">IFERROR(__xludf.DUMMYFUNCTION("if($F357&gt;=2,QUERY(Loot!$A$2:$G$904,""Select G where A = '""&amp; $E357 &amp;""' AND D &gt;= ""&amp; R357 &amp;"" LIMIT 1""),)"),"")</f>
        <v/>
      </c>
      <c r="J357" s="61"/>
      <c r="K357" s="32" t="str">
        <f ca="1">IFERROR(__xludf.DUMMYFUNCTION("if($F357&gt;=3,QUERY(Loot!$A$2:$G$904,""Select G where A = '""&amp; $E357 &amp;""' AND D &gt;= ""&amp; S357  &amp;"" LIMIT 1""),)"),"")</f>
        <v/>
      </c>
      <c r="L357" s="61"/>
      <c r="M357" s="32" t="str">
        <f ca="1">IFERROR(__xludf.DUMMYFUNCTION("if($F357&gt;=4,QUERY(Loot!$A$2:$G$904,""Select G where A = '""&amp; $E357 &amp;""' AND D &gt;= ""&amp;T357 &amp;"" LIMIT 1""),)"),"")</f>
        <v/>
      </c>
      <c r="N357" s="61"/>
      <c r="O357" s="32" t="str">
        <f ca="1">IFERROR(__xludf.DUMMYFUNCTION("if($F357&gt;=5,QUERY(Loot!$A$2:$G$904,""Select G where A = '""&amp; $E357 &amp;""' AND D &gt;= ""&amp; U357 &amp;"" LIMIT 1""),)"),"")</f>
        <v/>
      </c>
      <c r="P357" s="61"/>
      <c r="Q357" s="62">
        <v>8.289070510597607E-2</v>
      </c>
      <c r="R357" s="63">
        <v>0.97225176731882357</v>
      </c>
      <c r="S357" s="63">
        <v>0.91141102692097342</v>
      </c>
      <c r="T357" s="63">
        <v>0.78856338605226206</v>
      </c>
      <c r="U357" s="63">
        <v>0.3224992014341741</v>
      </c>
    </row>
    <row r="358" spans="1:21" ht="16.2">
      <c r="A358" s="5">
        <f t="shared" ca="1" si="3"/>
        <v>357</v>
      </c>
      <c r="B358" s="5" t="str">
        <f ca="1">IFERROR(__xludf.DUMMYFUNCTION("if(ISBLANK(C358),,QUERY(MD!A359:D1357,""Select A where C = '""&amp; C358 &amp;""'""))"),"")</f>
        <v/>
      </c>
      <c r="C358" s="5"/>
      <c r="D358" s="5" t="str">
        <f ca="1">IFERROR(__xludf.DUMMYFUNCTION("if(ISBLANK(C358),,QUERY(MD!$A$2:$D$1000,""Select D where C = '""&amp; C358 &amp;""'""))"),"")</f>
        <v/>
      </c>
      <c r="E358" s="59" t="str">
        <f ca="1">IFERROR(__xludf.DUMMYFUNCTION("if(ISBLANK(C358),,QUERY(MD!$A$2:$D$1000,""Select B where C = '""&amp; C358 &amp;""'""))"),"")</f>
        <v/>
      </c>
      <c r="F358" s="5">
        <f t="shared" ca="1" si="2"/>
        <v>0</v>
      </c>
      <c r="G358" s="32" t="str">
        <f ca="1">IFERROR(__xludf.DUMMYFUNCTION("if($F358&gt;=1,QUERY(Loot!$A$2:$G$904,""Select G where A = '""&amp; $E358 &amp;""' AND D &gt;= ""&amp; Q358  &amp;"" LIMIT 1""),)"),"")</f>
        <v/>
      </c>
      <c r="H358" s="61"/>
      <c r="I358" s="32" t="str">
        <f ca="1">IFERROR(__xludf.DUMMYFUNCTION("if($F358&gt;=2,QUERY(Loot!$A$2:$G$904,""Select G where A = '""&amp; $E358 &amp;""' AND D &gt;= ""&amp; R358 &amp;"" LIMIT 1""),)"),"")</f>
        <v/>
      </c>
      <c r="J358" s="61"/>
      <c r="K358" s="32" t="str">
        <f ca="1">IFERROR(__xludf.DUMMYFUNCTION("if($F358&gt;=3,QUERY(Loot!$A$2:$G$904,""Select G where A = '""&amp; $E358 &amp;""' AND D &gt;= ""&amp; S358  &amp;"" LIMIT 1""),)"),"")</f>
        <v/>
      </c>
      <c r="L358" s="61"/>
      <c r="M358" s="32" t="str">
        <f ca="1">IFERROR(__xludf.DUMMYFUNCTION("if($F358&gt;=4,QUERY(Loot!$A$2:$G$904,""Select G where A = '""&amp; $E358 &amp;""' AND D &gt;= ""&amp;T358 &amp;"" LIMIT 1""),)"),"")</f>
        <v/>
      </c>
      <c r="N358" s="61"/>
      <c r="O358" s="32" t="str">
        <f ca="1">IFERROR(__xludf.DUMMYFUNCTION("if($F358&gt;=5,QUERY(Loot!$A$2:$G$904,""Select G where A = '""&amp; $E358 &amp;""' AND D &gt;= ""&amp; U358 &amp;"" LIMIT 1""),)"),"")</f>
        <v/>
      </c>
      <c r="P358" s="61"/>
      <c r="Q358" s="62">
        <v>0.5797808817251221</v>
      </c>
      <c r="R358" s="63">
        <v>0.74663265818427005</v>
      </c>
      <c r="S358" s="63">
        <v>0.14227421674242846</v>
      </c>
      <c r="T358" s="63">
        <v>0.70114625239722184</v>
      </c>
      <c r="U358" s="63">
        <v>6.8485779836361393E-3</v>
      </c>
    </row>
    <row r="359" spans="1:21" ht="16.2">
      <c r="A359" s="5">
        <f t="shared" ca="1" si="3"/>
        <v>358</v>
      </c>
      <c r="B359" s="5" t="str">
        <f ca="1">IFERROR(__xludf.DUMMYFUNCTION("if(ISBLANK(C359),,QUERY(MD!A360:D1358,""Select A where C = '""&amp; C359 &amp;""'""))"),"")</f>
        <v/>
      </c>
      <c r="C359" s="5"/>
      <c r="D359" s="5" t="str">
        <f ca="1">IFERROR(__xludf.DUMMYFUNCTION("if(ISBLANK(C359),,QUERY(MD!$A$2:$D$1000,""Select D where C = '""&amp; C359 &amp;""'""))"),"")</f>
        <v/>
      </c>
      <c r="E359" s="59" t="str">
        <f ca="1">IFERROR(__xludf.DUMMYFUNCTION("if(ISBLANK(C359),,QUERY(MD!$A$2:$D$1000,""Select B where C = '""&amp; C359 &amp;""'""))"),"")</f>
        <v/>
      </c>
      <c r="F359" s="5">
        <f t="shared" ca="1" si="2"/>
        <v>0</v>
      </c>
      <c r="G359" s="32" t="str">
        <f ca="1">IFERROR(__xludf.DUMMYFUNCTION("if($F359&gt;=1,QUERY(Loot!$A$2:$G$904,""Select G where A = '""&amp; $E359 &amp;""' AND D &gt;= ""&amp; Q359  &amp;"" LIMIT 1""),)"),"")</f>
        <v/>
      </c>
      <c r="H359" s="61"/>
      <c r="I359" s="32" t="str">
        <f ca="1">IFERROR(__xludf.DUMMYFUNCTION("if($F359&gt;=2,QUERY(Loot!$A$2:$G$904,""Select G where A = '""&amp; $E359 &amp;""' AND D &gt;= ""&amp; R359 &amp;"" LIMIT 1""),)"),"")</f>
        <v/>
      </c>
      <c r="J359" s="61"/>
      <c r="K359" s="32" t="str">
        <f ca="1">IFERROR(__xludf.DUMMYFUNCTION("if($F359&gt;=3,QUERY(Loot!$A$2:$G$904,""Select G where A = '""&amp; $E359 &amp;""' AND D &gt;= ""&amp; S359  &amp;"" LIMIT 1""),)"),"")</f>
        <v/>
      </c>
      <c r="L359" s="61"/>
      <c r="M359" s="32" t="str">
        <f ca="1">IFERROR(__xludf.DUMMYFUNCTION("if($F359&gt;=4,QUERY(Loot!$A$2:$G$904,""Select G where A = '""&amp; $E359 &amp;""' AND D &gt;= ""&amp;T359 &amp;"" LIMIT 1""),)"),"")</f>
        <v/>
      </c>
      <c r="N359" s="61"/>
      <c r="O359" s="32" t="str">
        <f ca="1">IFERROR(__xludf.DUMMYFUNCTION("if($F359&gt;=5,QUERY(Loot!$A$2:$G$904,""Select G where A = '""&amp; $E359 &amp;""' AND D &gt;= ""&amp; U359 &amp;"" LIMIT 1""),)"),"")</f>
        <v/>
      </c>
      <c r="P359" s="61"/>
      <c r="Q359" s="62">
        <v>0.62192406094576225</v>
      </c>
      <c r="R359" s="63">
        <v>0.6997550239504251</v>
      </c>
      <c r="S359" s="63">
        <v>0.74408350340684981</v>
      </c>
      <c r="T359" s="63">
        <v>0.91254238589473124</v>
      </c>
      <c r="U359" s="63">
        <v>0.13806902121351061</v>
      </c>
    </row>
    <row r="360" spans="1:21" ht="16.2">
      <c r="A360" s="5">
        <f t="shared" ca="1" si="3"/>
        <v>359</v>
      </c>
      <c r="B360" s="5" t="str">
        <f ca="1">IFERROR(__xludf.DUMMYFUNCTION("if(ISBLANK(C360),,QUERY(MD!A361:D1359,""Select A where C = '""&amp; C360 &amp;""'""))"),"")</f>
        <v/>
      </c>
      <c r="C360" s="5"/>
      <c r="D360" s="5" t="str">
        <f ca="1">IFERROR(__xludf.DUMMYFUNCTION("if(ISBLANK(C360),,QUERY(MD!$A$2:$D$1000,""Select D where C = '""&amp; C360 &amp;""'""))"),"")</f>
        <v/>
      </c>
      <c r="E360" s="59" t="str">
        <f ca="1">IFERROR(__xludf.DUMMYFUNCTION("if(ISBLANK(C360),,QUERY(MD!$A$2:$D$1000,""Select B where C = '""&amp; C360 &amp;""'""))"),"")</f>
        <v/>
      </c>
      <c r="F360" s="5">
        <f t="shared" ca="1" si="2"/>
        <v>0</v>
      </c>
      <c r="G360" s="32" t="str">
        <f ca="1">IFERROR(__xludf.DUMMYFUNCTION("if($F360&gt;=1,QUERY(Loot!$A$2:$G$904,""Select G where A = '""&amp; $E360 &amp;""' AND D &gt;= ""&amp; Q360  &amp;"" LIMIT 1""),)"),"")</f>
        <v/>
      </c>
      <c r="H360" s="61"/>
      <c r="I360" s="32" t="str">
        <f ca="1">IFERROR(__xludf.DUMMYFUNCTION("if($F360&gt;=2,QUERY(Loot!$A$2:$G$904,""Select G where A = '""&amp; $E360 &amp;""' AND D &gt;= ""&amp; R360 &amp;"" LIMIT 1""),)"),"")</f>
        <v/>
      </c>
      <c r="J360" s="61"/>
      <c r="K360" s="32" t="str">
        <f ca="1">IFERROR(__xludf.DUMMYFUNCTION("if($F360&gt;=3,QUERY(Loot!$A$2:$G$904,""Select G where A = '""&amp; $E360 &amp;""' AND D &gt;= ""&amp; S360  &amp;"" LIMIT 1""),)"),"")</f>
        <v/>
      </c>
      <c r="L360" s="61"/>
      <c r="M360" s="32" t="str">
        <f ca="1">IFERROR(__xludf.DUMMYFUNCTION("if($F360&gt;=4,QUERY(Loot!$A$2:$G$904,""Select G where A = '""&amp; $E360 &amp;""' AND D &gt;= ""&amp;T360 &amp;"" LIMIT 1""),)"),"")</f>
        <v/>
      </c>
      <c r="N360" s="61"/>
      <c r="O360" s="32" t="str">
        <f ca="1">IFERROR(__xludf.DUMMYFUNCTION("if($F360&gt;=5,QUERY(Loot!$A$2:$G$904,""Select G where A = '""&amp; $E360 &amp;""' AND D &gt;= ""&amp; U360 &amp;"" LIMIT 1""),)"),"")</f>
        <v/>
      </c>
      <c r="P360" s="61"/>
      <c r="Q360" s="62">
        <v>0.68189722887104531</v>
      </c>
      <c r="R360" s="63">
        <v>0.9577408221825976</v>
      </c>
      <c r="S360" s="63">
        <v>0.87996344987344011</v>
      </c>
      <c r="T360" s="63">
        <v>0.2104963034871713</v>
      </c>
      <c r="U360" s="63">
        <v>0.76601534668874638</v>
      </c>
    </row>
    <row r="361" spans="1:21" ht="16.2">
      <c r="A361" s="5">
        <f t="shared" ca="1" si="3"/>
        <v>360</v>
      </c>
      <c r="B361" s="5" t="str">
        <f ca="1">IFERROR(__xludf.DUMMYFUNCTION("if(ISBLANK(C361),,QUERY(MD!A362:D1360,""Select A where C = '""&amp; C361 &amp;""'""))"),"")</f>
        <v/>
      </c>
      <c r="C361" s="5"/>
      <c r="D361" s="5" t="str">
        <f ca="1">IFERROR(__xludf.DUMMYFUNCTION("if(ISBLANK(C361),,QUERY(MD!$A$2:$D$1000,""Select D where C = '""&amp; C361 &amp;""'""))"),"")</f>
        <v/>
      </c>
      <c r="E361" s="59" t="str">
        <f ca="1">IFERROR(__xludf.DUMMYFUNCTION("if(ISBLANK(C361),,QUERY(MD!$A$2:$D$1000,""Select B where C = '""&amp; C361 &amp;""'""))"),"")</f>
        <v/>
      </c>
      <c r="F361" s="5">
        <f t="shared" ca="1" si="2"/>
        <v>0</v>
      </c>
      <c r="G361" s="32" t="str">
        <f ca="1">IFERROR(__xludf.DUMMYFUNCTION("if($F361&gt;=1,QUERY(Loot!$A$2:$G$904,""Select G where A = '""&amp; $E361 &amp;""' AND D &gt;= ""&amp; Q361  &amp;"" LIMIT 1""),)"),"")</f>
        <v/>
      </c>
      <c r="H361" s="61"/>
      <c r="I361" s="32" t="str">
        <f ca="1">IFERROR(__xludf.DUMMYFUNCTION("if($F361&gt;=2,QUERY(Loot!$A$2:$G$904,""Select G where A = '""&amp; $E361 &amp;""' AND D &gt;= ""&amp; R361 &amp;"" LIMIT 1""),)"),"")</f>
        <v/>
      </c>
      <c r="J361" s="61"/>
      <c r="K361" s="32" t="str">
        <f ca="1">IFERROR(__xludf.DUMMYFUNCTION("if($F361&gt;=3,QUERY(Loot!$A$2:$G$904,""Select G where A = '""&amp; $E361 &amp;""' AND D &gt;= ""&amp; S361  &amp;"" LIMIT 1""),)"),"")</f>
        <v/>
      </c>
      <c r="L361" s="61"/>
      <c r="M361" s="32" t="str">
        <f ca="1">IFERROR(__xludf.DUMMYFUNCTION("if($F361&gt;=4,QUERY(Loot!$A$2:$G$904,""Select G where A = '""&amp; $E361 &amp;""' AND D &gt;= ""&amp;T361 &amp;"" LIMIT 1""),)"),"")</f>
        <v/>
      </c>
      <c r="N361" s="61"/>
      <c r="O361" s="32" t="str">
        <f ca="1">IFERROR(__xludf.DUMMYFUNCTION("if($F361&gt;=5,QUERY(Loot!$A$2:$G$904,""Select G where A = '""&amp; $E361 &amp;""' AND D &gt;= ""&amp; U361 &amp;"" LIMIT 1""),)"),"")</f>
        <v/>
      </c>
      <c r="P361" s="61"/>
      <c r="Q361" s="62">
        <v>0.62811249755811072</v>
      </c>
      <c r="R361" s="63">
        <v>0.30275435278829743</v>
      </c>
      <c r="S361" s="63">
        <v>0.35338391221642551</v>
      </c>
      <c r="T361" s="63">
        <v>0.41151171230814942</v>
      </c>
      <c r="U361" s="63">
        <v>0.40491847155824701</v>
      </c>
    </row>
    <row r="362" spans="1:21" ht="16.2">
      <c r="A362" s="5">
        <f t="shared" ca="1" si="3"/>
        <v>361</v>
      </c>
      <c r="B362" s="5" t="str">
        <f ca="1">IFERROR(__xludf.DUMMYFUNCTION("if(ISBLANK(C362),,QUERY(MD!A363:D1361,""Select A where C = '""&amp; C362 &amp;""'""))"),"")</f>
        <v/>
      </c>
      <c r="C362" s="5"/>
      <c r="D362" s="5" t="str">
        <f ca="1">IFERROR(__xludf.DUMMYFUNCTION("if(ISBLANK(C362),,QUERY(MD!$A$2:$D$1000,""Select D where C = '""&amp; C362 &amp;""'""))"),"")</f>
        <v/>
      </c>
      <c r="E362" s="59" t="str">
        <f ca="1">IFERROR(__xludf.DUMMYFUNCTION("if(ISBLANK(C362),,QUERY(MD!$A$2:$D$1000,""Select B where C = '""&amp; C362 &amp;""'""))"),"")</f>
        <v/>
      </c>
      <c r="F362" s="5">
        <f t="shared" ca="1" si="2"/>
        <v>0</v>
      </c>
      <c r="G362" s="32" t="str">
        <f ca="1">IFERROR(__xludf.DUMMYFUNCTION("if($F362&gt;=1,QUERY(Loot!$A$2:$G$904,""Select G where A = '""&amp; $E362 &amp;""' AND D &gt;= ""&amp; Q362  &amp;"" LIMIT 1""),)"),"")</f>
        <v/>
      </c>
      <c r="H362" s="61"/>
      <c r="I362" s="32" t="str">
        <f ca="1">IFERROR(__xludf.DUMMYFUNCTION("if($F362&gt;=2,QUERY(Loot!$A$2:$G$904,""Select G where A = '""&amp; $E362 &amp;""' AND D &gt;= ""&amp; R362 &amp;"" LIMIT 1""),)"),"")</f>
        <v/>
      </c>
      <c r="J362" s="61"/>
      <c r="K362" s="32" t="str">
        <f ca="1">IFERROR(__xludf.DUMMYFUNCTION("if($F362&gt;=3,QUERY(Loot!$A$2:$G$904,""Select G where A = '""&amp; $E362 &amp;""' AND D &gt;= ""&amp; S362  &amp;"" LIMIT 1""),)"),"")</f>
        <v/>
      </c>
      <c r="L362" s="61"/>
      <c r="M362" s="32" t="str">
        <f ca="1">IFERROR(__xludf.DUMMYFUNCTION("if($F362&gt;=4,QUERY(Loot!$A$2:$G$904,""Select G where A = '""&amp; $E362 &amp;""' AND D &gt;= ""&amp;T362 &amp;"" LIMIT 1""),)"),"")</f>
        <v/>
      </c>
      <c r="N362" s="61"/>
      <c r="O362" s="32" t="str">
        <f ca="1">IFERROR(__xludf.DUMMYFUNCTION("if($F362&gt;=5,QUERY(Loot!$A$2:$G$904,""Select G where A = '""&amp; $E362 &amp;""' AND D &gt;= ""&amp; U362 &amp;"" LIMIT 1""),)"),"")</f>
        <v/>
      </c>
      <c r="P362" s="61"/>
      <c r="Q362" s="62">
        <v>0.3624939064347531</v>
      </c>
      <c r="R362" s="63">
        <v>0.12443186668650708</v>
      </c>
      <c r="S362" s="63">
        <v>0.36675564896744384</v>
      </c>
      <c r="T362" s="63">
        <v>0.82196200351749671</v>
      </c>
      <c r="U362" s="63">
        <v>0.96930414395331466</v>
      </c>
    </row>
    <row r="363" spans="1:21" ht="16.2">
      <c r="A363" s="5">
        <f t="shared" ca="1" si="3"/>
        <v>362</v>
      </c>
      <c r="B363" s="5" t="str">
        <f ca="1">IFERROR(__xludf.DUMMYFUNCTION("if(ISBLANK(C363),,QUERY(MD!A364:D1362,""Select A where C = '""&amp; C363 &amp;""'""))"),"")</f>
        <v/>
      </c>
      <c r="C363" s="5"/>
      <c r="D363" s="5" t="str">
        <f ca="1">IFERROR(__xludf.DUMMYFUNCTION("if(ISBLANK(C363),,QUERY(MD!$A$2:$D$1000,""Select D where C = '""&amp; C363 &amp;""'""))"),"")</f>
        <v/>
      </c>
      <c r="E363" s="59" t="str">
        <f ca="1">IFERROR(__xludf.DUMMYFUNCTION("if(ISBLANK(C363),,QUERY(MD!$A$2:$D$1000,""Select B where C = '""&amp; C363 &amp;""'""))"),"")</f>
        <v/>
      </c>
      <c r="F363" s="5">
        <f t="shared" ca="1" si="2"/>
        <v>0</v>
      </c>
      <c r="G363" s="32" t="str">
        <f ca="1">IFERROR(__xludf.DUMMYFUNCTION("if($F363&gt;=1,QUERY(Loot!$A$2:$G$904,""Select G where A = '""&amp; $E363 &amp;""' AND D &gt;= ""&amp; Q363  &amp;"" LIMIT 1""),)"),"")</f>
        <v/>
      </c>
      <c r="H363" s="61"/>
      <c r="I363" s="32" t="str">
        <f ca="1">IFERROR(__xludf.DUMMYFUNCTION("if($F363&gt;=2,QUERY(Loot!$A$2:$G$904,""Select G where A = '""&amp; $E363 &amp;""' AND D &gt;= ""&amp; R363 &amp;"" LIMIT 1""),)"),"")</f>
        <v/>
      </c>
      <c r="J363" s="61"/>
      <c r="K363" s="32" t="str">
        <f ca="1">IFERROR(__xludf.DUMMYFUNCTION("if($F363&gt;=3,QUERY(Loot!$A$2:$G$904,""Select G where A = '""&amp; $E363 &amp;""' AND D &gt;= ""&amp; S363  &amp;"" LIMIT 1""),)"),"")</f>
        <v/>
      </c>
      <c r="L363" s="61"/>
      <c r="M363" s="32" t="str">
        <f ca="1">IFERROR(__xludf.DUMMYFUNCTION("if($F363&gt;=4,QUERY(Loot!$A$2:$G$904,""Select G where A = '""&amp; $E363 &amp;""' AND D &gt;= ""&amp;T363 &amp;"" LIMIT 1""),)"),"")</f>
        <v/>
      </c>
      <c r="N363" s="61"/>
      <c r="O363" s="32" t="str">
        <f ca="1">IFERROR(__xludf.DUMMYFUNCTION("if($F363&gt;=5,QUERY(Loot!$A$2:$G$904,""Select G where A = '""&amp; $E363 &amp;""' AND D &gt;= ""&amp; U363 &amp;"" LIMIT 1""),)"),"")</f>
        <v/>
      </c>
      <c r="P363" s="61"/>
      <c r="Q363" s="62">
        <v>0.52965034872170702</v>
      </c>
      <c r="R363" s="63">
        <v>0.61672889859789681</v>
      </c>
      <c r="S363" s="63">
        <v>0.45976887088643414</v>
      </c>
      <c r="T363" s="63">
        <v>0.38274051591093927</v>
      </c>
      <c r="U363" s="63">
        <v>0.38379890512210268</v>
      </c>
    </row>
    <row r="364" spans="1:21" ht="16.2">
      <c r="A364" s="5">
        <f t="shared" ca="1" si="3"/>
        <v>363</v>
      </c>
      <c r="B364" s="5" t="str">
        <f ca="1">IFERROR(__xludf.DUMMYFUNCTION("if(ISBLANK(C364),,QUERY(MD!A365:D1363,""Select A where C = '""&amp; C364 &amp;""'""))"),"")</f>
        <v/>
      </c>
      <c r="C364" s="5"/>
      <c r="D364" s="5" t="str">
        <f ca="1">IFERROR(__xludf.DUMMYFUNCTION("if(ISBLANK(C364),,QUERY(MD!$A$2:$D$1000,""Select D where C = '""&amp; C364 &amp;""'""))"),"")</f>
        <v/>
      </c>
      <c r="E364" s="59" t="str">
        <f ca="1">IFERROR(__xludf.DUMMYFUNCTION("if(ISBLANK(C364),,QUERY(MD!$A$2:$D$1000,""Select B where C = '""&amp; C364 &amp;""'""))"),"")</f>
        <v/>
      </c>
      <c r="F364" s="5">
        <f t="shared" ca="1" si="2"/>
        <v>0</v>
      </c>
      <c r="G364" s="32" t="str">
        <f ca="1">IFERROR(__xludf.DUMMYFUNCTION("if($F364&gt;=1,QUERY(Loot!$A$2:$G$904,""Select G where A = '""&amp; $E364 &amp;""' AND D &gt;= ""&amp; Q364  &amp;"" LIMIT 1""),)"),"")</f>
        <v/>
      </c>
      <c r="H364" s="61"/>
      <c r="I364" s="32" t="str">
        <f ca="1">IFERROR(__xludf.DUMMYFUNCTION("if($F364&gt;=2,QUERY(Loot!$A$2:$G$904,""Select G where A = '""&amp; $E364 &amp;""' AND D &gt;= ""&amp; R364 &amp;"" LIMIT 1""),)"),"")</f>
        <v/>
      </c>
      <c r="J364" s="61"/>
      <c r="K364" s="32" t="str">
        <f ca="1">IFERROR(__xludf.DUMMYFUNCTION("if($F364&gt;=3,QUERY(Loot!$A$2:$G$904,""Select G where A = '""&amp; $E364 &amp;""' AND D &gt;= ""&amp; S364  &amp;"" LIMIT 1""),)"),"")</f>
        <v/>
      </c>
      <c r="L364" s="61"/>
      <c r="M364" s="32" t="str">
        <f ca="1">IFERROR(__xludf.DUMMYFUNCTION("if($F364&gt;=4,QUERY(Loot!$A$2:$G$904,""Select G where A = '""&amp; $E364 &amp;""' AND D &gt;= ""&amp;T364 &amp;"" LIMIT 1""),)"),"")</f>
        <v/>
      </c>
      <c r="N364" s="61"/>
      <c r="O364" s="32" t="str">
        <f ca="1">IFERROR(__xludf.DUMMYFUNCTION("if($F364&gt;=5,QUERY(Loot!$A$2:$G$904,""Select G where A = '""&amp; $E364 &amp;""' AND D &gt;= ""&amp; U364 &amp;"" LIMIT 1""),)"),"")</f>
        <v/>
      </c>
      <c r="P364" s="61"/>
      <c r="Q364" s="62">
        <v>0.141340956484997</v>
      </c>
      <c r="R364" s="63">
        <v>0.54350730328233832</v>
      </c>
      <c r="S364" s="63">
        <v>0.85601417646577027</v>
      </c>
      <c r="T364" s="63">
        <v>0.84965216900103491</v>
      </c>
      <c r="U364" s="63">
        <v>0.24591954783939329</v>
      </c>
    </row>
    <row r="365" spans="1:21" ht="16.2">
      <c r="A365" s="5">
        <f t="shared" ca="1" si="3"/>
        <v>364</v>
      </c>
      <c r="B365" s="5" t="str">
        <f ca="1">IFERROR(__xludf.DUMMYFUNCTION("if(ISBLANK(C365),,QUERY(MD!A366:D1364,""Select A where C = '""&amp; C365 &amp;""'""))"),"")</f>
        <v/>
      </c>
      <c r="C365" s="5"/>
      <c r="D365" s="5" t="str">
        <f ca="1">IFERROR(__xludf.DUMMYFUNCTION("if(ISBLANK(C365),,QUERY(MD!$A$2:$D$1000,""Select D where C = '""&amp; C365 &amp;""'""))"),"")</f>
        <v/>
      </c>
      <c r="E365" s="59" t="str">
        <f ca="1">IFERROR(__xludf.DUMMYFUNCTION("if(ISBLANK(C365),,QUERY(MD!$A$2:$D$1000,""Select B where C = '""&amp; C365 &amp;""'""))"),"")</f>
        <v/>
      </c>
      <c r="F365" s="5">
        <f t="shared" ca="1" si="2"/>
        <v>0</v>
      </c>
      <c r="G365" s="32" t="str">
        <f ca="1">IFERROR(__xludf.DUMMYFUNCTION("if($F365&gt;=1,QUERY(Loot!$A$2:$G$904,""Select G where A = '""&amp; $E365 &amp;""' AND D &gt;= ""&amp; Q365  &amp;"" LIMIT 1""),)"),"")</f>
        <v/>
      </c>
      <c r="H365" s="61"/>
      <c r="I365" s="32" t="str">
        <f ca="1">IFERROR(__xludf.DUMMYFUNCTION("if($F365&gt;=2,QUERY(Loot!$A$2:$G$904,""Select G where A = '""&amp; $E365 &amp;""' AND D &gt;= ""&amp; R365 &amp;"" LIMIT 1""),)"),"")</f>
        <v/>
      </c>
      <c r="J365" s="61"/>
      <c r="K365" s="32" t="str">
        <f ca="1">IFERROR(__xludf.DUMMYFUNCTION("if($F365&gt;=3,QUERY(Loot!$A$2:$G$904,""Select G where A = '""&amp; $E365 &amp;""' AND D &gt;= ""&amp; S365  &amp;"" LIMIT 1""),)"),"")</f>
        <v/>
      </c>
      <c r="L365" s="61"/>
      <c r="M365" s="32" t="str">
        <f ca="1">IFERROR(__xludf.DUMMYFUNCTION("if($F365&gt;=4,QUERY(Loot!$A$2:$G$904,""Select G where A = '""&amp; $E365 &amp;""' AND D &gt;= ""&amp;T365 &amp;"" LIMIT 1""),)"),"")</f>
        <v/>
      </c>
      <c r="N365" s="61"/>
      <c r="O365" s="32" t="str">
        <f ca="1">IFERROR(__xludf.DUMMYFUNCTION("if($F365&gt;=5,QUERY(Loot!$A$2:$G$904,""Select G where A = '""&amp; $E365 &amp;""' AND D &gt;= ""&amp; U365 &amp;"" LIMIT 1""),)"),"")</f>
        <v/>
      </c>
      <c r="P365" s="61"/>
      <c r="Q365" s="62">
        <v>0.38735210076533366</v>
      </c>
      <c r="R365" s="63">
        <v>5.3820167734106805E-2</v>
      </c>
      <c r="S365" s="63">
        <v>0.63805595178758368</v>
      </c>
      <c r="T365" s="63">
        <v>0.89823256717667066</v>
      </c>
      <c r="U365" s="63">
        <v>0.24587025291943088</v>
      </c>
    </row>
    <row r="366" spans="1:21" ht="16.2">
      <c r="A366" s="5">
        <f t="shared" ca="1" si="3"/>
        <v>365</v>
      </c>
      <c r="B366" s="5" t="str">
        <f ca="1">IFERROR(__xludf.DUMMYFUNCTION("if(ISBLANK(C366),,QUERY(MD!A367:D1365,""Select A where C = '""&amp; C366 &amp;""'""))"),"")</f>
        <v/>
      </c>
      <c r="C366" s="5"/>
      <c r="D366" s="5" t="str">
        <f ca="1">IFERROR(__xludf.DUMMYFUNCTION("if(ISBLANK(C366),,QUERY(MD!$A$2:$D$1000,""Select D where C = '""&amp; C366 &amp;""'""))"),"")</f>
        <v/>
      </c>
      <c r="E366" s="59" t="str">
        <f ca="1">IFERROR(__xludf.DUMMYFUNCTION("if(ISBLANK(C366),,QUERY(MD!$A$2:$D$1000,""Select B where C = '""&amp; C366 &amp;""'""))"),"")</f>
        <v/>
      </c>
      <c r="F366" s="5">
        <f t="shared" ca="1" si="2"/>
        <v>0</v>
      </c>
      <c r="G366" s="32" t="str">
        <f ca="1">IFERROR(__xludf.DUMMYFUNCTION("if($F366&gt;=1,QUERY(Loot!$A$2:$G$904,""Select G where A = '""&amp; $E366 &amp;""' AND D &gt;= ""&amp; Q366  &amp;"" LIMIT 1""),)"),"")</f>
        <v/>
      </c>
      <c r="H366" s="61"/>
      <c r="I366" s="32" t="str">
        <f ca="1">IFERROR(__xludf.DUMMYFUNCTION("if($F366&gt;=2,QUERY(Loot!$A$2:$G$904,""Select G where A = '""&amp; $E366 &amp;""' AND D &gt;= ""&amp; R366 &amp;"" LIMIT 1""),)"),"")</f>
        <v/>
      </c>
      <c r="J366" s="61"/>
      <c r="K366" s="32" t="str">
        <f ca="1">IFERROR(__xludf.DUMMYFUNCTION("if($F366&gt;=3,QUERY(Loot!$A$2:$G$904,""Select G where A = '""&amp; $E366 &amp;""' AND D &gt;= ""&amp; S366  &amp;"" LIMIT 1""),)"),"")</f>
        <v/>
      </c>
      <c r="L366" s="61"/>
      <c r="M366" s="32" t="str">
        <f ca="1">IFERROR(__xludf.DUMMYFUNCTION("if($F366&gt;=4,QUERY(Loot!$A$2:$G$904,""Select G where A = '""&amp; $E366 &amp;""' AND D &gt;= ""&amp;T366 &amp;"" LIMIT 1""),)"),"")</f>
        <v/>
      </c>
      <c r="N366" s="61"/>
      <c r="O366" s="32" t="str">
        <f ca="1">IFERROR(__xludf.DUMMYFUNCTION("if($F366&gt;=5,QUERY(Loot!$A$2:$G$904,""Select G where A = '""&amp; $E366 &amp;""' AND D &gt;= ""&amp; U366 &amp;"" LIMIT 1""),)"),"")</f>
        <v/>
      </c>
      <c r="P366" s="61"/>
      <c r="Q366" s="62">
        <v>0.18252336374945544</v>
      </c>
      <c r="R366" s="63">
        <v>0.64077699438989399</v>
      </c>
      <c r="S366" s="63">
        <v>0.46050031008508618</v>
      </c>
      <c r="T366" s="63">
        <v>0.81366955244329042</v>
      </c>
      <c r="U366" s="63">
        <v>0.74117963231117245</v>
      </c>
    </row>
    <row r="367" spans="1:21" ht="16.2">
      <c r="A367" s="5">
        <f t="shared" ca="1" si="3"/>
        <v>366</v>
      </c>
      <c r="B367" s="5" t="str">
        <f ca="1">IFERROR(__xludf.DUMMYFUNCTION("if(ISBLANK(C367),,QUERY(MD!A368:D1366,""Select A where C = '""&amp; C367 &amp;""'""))"),"")</f>
        <v/>
      </c>
      <c r="C367" s="5"/>
      <c r="D367" s="5" t="str">
        <f ca="1">IFERROR(__xludf.DUMMYFUNCTION("if(ISBLANK(C367),,QUERY(MD!$A$2:$D$1000,""Select D where C = '""&amp; C367 &amp;""'""))"),"")</f>
        <v/>
      </c>
      <c r="E367" s="59" t="str">
        <f ca="1">IFERROR(__xludf.DUMMYFUNCTION("if(ISBLANK(C367),,QUERY(MD!$A$2:$D$1000,""Select B where C = '""&amp; C367 &amp;""'""))"),"")</f>
        <v/>
      </c>
      <c r="F367" s="5">
        <f t="shared" ca="1" si="2"/>
        <v>0</v>
      </c>
      <c r="G367" s="32" t="str">
        <f ca="1">IFERROR(__xludf.DUMMYFUNCTION("if($F367&gt;=1,QUERY(Loot!$A$2:$G$904,""Select G where A = '""&amp; $E367 &amp;""' AND D &gt;= ""&amp; Q367  &amp;"" LIMIT 1""),)"),"")</f>
        <v/>
      </c>
      <c r="H367" s="61"/>
      <c r="I367" s="32" t="str">
        <f ca="1">IFERROR(__xludf.DUMMYFUNCTION("if($F367&gt;=2,QUERY(Loot!$A$2:$G$904,""Select G where A = '""&amp; $E367 &amp;""' AND D &gt;= ""&amp; R367 &amp;"" LIMIT 1""),)"),"")</f>
        <v/>
      </c>
      <c r="J367" s="61"/>
      <c r="K367" s="32" t="str">
        <f ca="1">IFERROR(__xludf.DUMMYFUNCTION("if($F367&gt;=3,QUERY(Loot!$A$2:$G$904,""Select G where A = '""&amp; $E367 &amp;""' AND D &gt;= ""&amp; S367  &amp;"" LIMIT 1""),)"),"")</f>
        <v/>
      </c>
      <c r="L367" s="61"/>
      <c r="M367" s="32" t="str">
        <f ca="1">IFERROR(__xludf.DUMMYFUNCTION("if($F367&gt;=4,QUERY(Loot!$A$2:$G$904,""Select G where A = '""&amp; $E367 &amp;""' AND D &gt;= ""&amp;T367 &amp;"" LIMIT 1""),)"),"")</f>
        <v/>
      </c>
      <c r="N367" s="61"/>
      <c r="O367" s="32" t="str">
        <f ca="1">IFERROR(__xludf.DUMMYFUNCTION("if($F367&gt;=5,QUERY(Loot!$A$2:$G$904,""Select G where A = '""&amp; $E367 &amp;""' AND D &gt;= ""&amp; U367 &amp;"" LIMIT 1""),)"),"")</f>
        <v/>
      </c>
      <c r="P367" s="61"/>
      <c r="Q367" s="62">
        <v>8.943851275395831E-2</v>
      </c>
      <c r="R367" s="63">
        <v>0.44020715494865625</v>
      </c>
      <c r="S367" s="63">
        <v>0.82646564916656162</v>
      </c>
      <c r="T367" s="63">
        <v>0.55284664316301257</v>
      </c>
      <c r="U367" s="63">
        <v>0.68637289837383986</v>
      </c>
    </row>
    <row r="368" spans="1:21" ht="16.2">
      <c r="A368" s="5">
        <f t="shared" ca="1" si="3"/>
        <v>367</v>
      </c>
      <c r="B368" s="5" t="str">
        <f ca="1">IFERROR(__xludf.DUMMYFUNCTION("if(ISBLANK(C368),,QUERY(MD!A369:D1367,""Select A where C = '""&amp; C368 &amp;""'""))"),"")</f>
        <v/>
      </c>
      <c r="C368" s="5"/>
      <c r="D368" s="5" t="str">
        <f ca="1">IFERROR(__xludf.DUMMYFUNCTION("if(ISBLANK(C368),,QUERY(MD!$A$2:$D$1000,""Select D where C = '""&amp; C368 &amp;""'""))"),"")</f>
        <v/>
      </c>
      <c r="E368" s="59" t="str">
        <f ca="1">IFERROR(__xludf.DUMMYFUNCTION("if(ISBLANK(C368),,QUERY(MD!$A$2:$D$1000,""Select B where C = '""&amp; C368 &amp;""'""))"),"")</f>
        <v/>
      </c>
      <c r="F368" s="5">
        <f t="shared" ca="1" si="2"/>
        <v>0</v>
      </c>
      <c r="G368" s="32" t="str">
        <f ca="1">IFERROR(__xludf.DUMMYFUNCTION("if($F368&gt;=1,QUERY(Loot!$A$2:$G$904,""Select G where A = '""&amp; $E368 &amp;""' AND D &gt;= ""&amp; Q368  &amp;"" LIMIT 1""),)"),"")</f>
        <v/>
      </c>
      <c r="H368" s="61"/>
      <c r="I368" s="32" t="str">
        <f ca="1">IFERROR(__xludf.DUMMYFUNCTION("if($F368&gt;=2,QUERY(Loot!$A$2:$G$904,""Select G where A = '""&amp; $E368 &amp;""' AND D &gt;= ""&amp; R368 &amp;"" LIMIT 1""),)"),"")</f>
        <v/>
      </c>
      <c r="J368" s="61"/>
      <c r="K368" s="32" t="str">
        <f ca="1">IFERROR(__xludf.DUMMYFUNCTION("if($F368&gt;=3,QUERY(Loot!$A$2:$G$904,""Select G where A = '""&amp; $E368 &amp;""' AND D &gt;= ""&amp; S368  &amp;"" LIMIT 1""),)"),"")</f>
        <v/>
      </c>
      <c r="L368" s="61"/>
      <c r="M368" s="32" t="str">
        <f ca="1">IFERROR(__xludf.DUMMYFUNCTION("if($F368&gt;=4,QUERY(Loot!$A$2:$G$904,""Select G where A = '""&amp; $E368 &amp;""' AND D &gt;= ""&amp;T368 &amp;"" LIMIT 1""),)"),"")</f>
        <v/>
      </c>
      <c r="N368" s="61"/>
      <c r="O368" s="32" t="str">
        <f ca="1">IFERROR(__xludf.DUMMYFUNCTION("if($F368&gt;=5,QUERY(Loot!$A$2:$G$904,""Select G where A = '""&amp; $E368 &amp;""' AND D &gt;= ""&amp; U368 &amp;"" LIMIT 1""),)"),"")</f>
        <v/>
      </c>
      <c r="P368" s="61"/>
      <c r="Q368" s="62">
        <v>0.40012473805871362</v>
      </c>
      <c r="R368" s="63">
        <v>0.95988725414608711</v>
      </c>
      <c r="S368" s="63">
        <v>0.26786532108164984</v>
      </c>
      <c r="T368" s="63">
        <v>0.53701204647500933</v>
      </c>
      <c r="U368" s="63">
        <v>0.96580887898264378</v>
      </c>
    </row>
    <row r="369" spans="1:21" ht="16.2">
      <c r="A369" s="5">
        <f t="shared" ca="1" si="3"/>
        <v>368</v>
      </c>
      <c r="B369" s="5" t="str">
        <f ca="1">IFERROR(__xludf.DUMMYFUNCTION("if(ISBLANK(C369),,QUERY(MD!A370:D1368,""Select A where C = '""&amp; C369 &amp;""'""))"),"")</f>
        <v/>
      </c>
      <c r="C369" s="5"/>
      <c r="D369" s="5" t="str">
        <f ca="1">IFERROR(__xludf.DUMMYFUNCTION("if(ISBLANK(C369),,QUERY(MD!$A$2:$D$1000,""Select D where C = '""&amp; C369 &amp;""'""))"),"")</f>
        <v/>
      </c>
      <c r="E369" s="59" t="str">
        <f ca="1">IFERROR(__xludf.DUMMYFUNCTION("if(ISBLANK(C369),,QUERY(MD!$A$2:$D$1000,""Select B where C = '""&amp; C369 &amp;""'""))"),"")</f>
        <v/>
      </c>
      <c r="F369" s="5">
        <f t="shared" ca="1" si="2"/>
        <v>0</v>
      </c>
      <c r="G369" s="32" t="str">
        <f ca="1">IFERROR(__xludf.DUMMYFUNCTION("if($F369&gt;=1,QUERY(Loot!$A$2:$G$904,""Select G where A = '""&amp; $E369 &amp;""' AND D &gt;= ""&amp; Q369  &amp;"" LIMIT 1""),)"),"")</f>
        <v/>
      </c>
      <c r="H369" s="61"/>
      <c r="I369" s="32" t="str">
        <f ca="1">IFERROR(__xludf.DUMMYFUNCTION("if($F369&gt;=2,QUERY(Loot!$A$2:$G$904,""Select G where A = '""&amp; $E369 &amp;""' AND D &gt;= ""&amp; R369 &amp;"" LIMIT 1""),)"),"")</f>
        <v/>
      </c>
      <c r="J369" s="61"/>
      <c r="K369" s="32" t="str">
        <f ca="1">IFERROR(__xludf.DUMMYFUNCTION("if($F369&gt;=3,QUERY(Loot!$A$2:$G$904,""Select G where A = '""&amp; $E369 &amp;""' AND D &gt;= ""&amp; S369  &amp;"" LIMIT 1""),)"),"")</f>
        <v/>
      </c>
      <c r="L369" s="61"/>
      <c r="M369" s="32" t="str">
        <f ca="1">IFERROR(__xludf.DUMMYFUNCTION("if($F369&gt;=4,QUERY(Loot!$A$2:$G$904,""Select G where A = '""&amp; $E369 &amp;""' AND D &gt;= ""&amp;T369 &amp;"" LIMIT 1""),)"),"")</f>
        <v/>
      </c>
      <c r="N369" s="61"/>
      <c r="O369" s="32" t="str">
        <f ca="1">IFERROR(__xludf.DUMMYFUNCTION("if($F369&gt;=5,QUERY(Loot!$A$2:$G$904,""Select G where A = '""&amp; $E369 &amp;""' AND D &gt;= ""&amp; U369 &amp;"" LIMIT 1""),)"),"")</f>
        <v/>
      </c>
      <c r="P369" s="61"/>
      <c r="Q369" s="62">
        <v>0.4967530635063625</v>
      </c>
      <c r="R369" s="63">
        <v>0.84426914239427253</v>
      </c>
      <c r="S369" s="63">
        <v>0.12847448557923724</v>
      </c>
      <c r="T369" s="63">
        <v>0.94793540358084782</v>
      </c>
      <c r="U369" s="63">
        <v>3.921799421453076E-2</v>
      </c>
    </row>
    <row r="370" spans="1:21" ht="16.2">
      <c r="A370" s="5">
        <f t="shared" ca="1" si="3"/>
        <v>369</v>
      </c>
      <c r="B370" s="5" t="str">
        <f ca="1">IFERROR(__xludf.DUMMYFUNCTION("if(ISBLANK(C370),,QUERY(MD!A371:D1369,""Select A where C = '""&amp; C370 &amp;""'""))"),"")</f>
        <v/>
      </c>
      <c r="C370" s="5"/>
      <c r="D370" s="5" t="str">
        <f ca="1">IFERROR(__xludf.DUMMYFUNCTION("if(ISBLANK(C370),,QUERY(MD!$A$2:$D$1000,""Select D where C = '""&amp; C370 &amp;""'""))"),"")</f>
        <v/>
      </c>
      <c r="E370" s="59" t="str">
        <f ca="1">IFERROR(__xludf.DUMMYFUNCTION("if(ISBLANK(C370),,QUERY(MD!$A$2:$D$1000,""Select B where C = '""&amp; C370 &amp;""'""))"),"")</f>
        <v/>
      </c>
      <c r="F370" s="5">
        <f t="shared" ca="1" si="2"/>
        <v>0</v>
      </c>
      <c r="G370" s="32" t="str">
        <f ca="1">IFERROR(__xludf.DUMMYFUNCTION("if($F370&gt;=1,QUERY(Loot!$A$2:$G$904,""Select G where A = '""&amp; $E370 &amp;""' AND D &gt;= ""&amp; Q370  &amp;"" LIMIT 1""),)"),"")</f>
        <v/>
      </c>
      <c r="H370" s="61"/>
      <c r="I370" s="32" t="str">
        <f ca="1">IFERROR(__xludf.DUMMYFUNCTION("if($F370&gt;=2,QUERY(Loot!$A$2:$G$904,""Select G where A = '""&amp; $E370 &amp;""' AND D &gt;= ""&amp; R370 &amp;"" LIMIT 1""),)"),"")</f>
        <v/>
      </c>
      <c r="J370" s="61"/>
      <c r="K370" s="32" t="str">
        <f ca="1">IFERROR(__xludf.DUMMYFUNCTION("if($F370&gt;=3,QUERY(Loot!$A$2:$G$904,""Select G where A = '""&amp; $E370 &amp;""' AND D &gt;= ""&amp; S370  &amp;"" LIMIT 1""),)"),"")</f>
        <v/>
      </c>
      <c r="L370" s="61"/>
      <c r="M370" s="32" t="str">
        <f ca="1">IFERROR(__xludf.DUMMYFUNCTION("if($F370&gt;=4,QUERY(Loot!$A$2:$G$904,""Select G where A = '""&amp; $E370 &amp;""' AND D &gt;= ""&amp;T370 &amp;"" LIMIT 1""),)"),"")</f>
        <v/>
      </c>
      <c r="N370" s="61"/>
      <c r="O370" s="32" t="str">
        <f ca="1">IFERROR(__xludf.DUMMYFUNCTION("if($F370&gt;=5,QUERY(Loot!$A$2:$G$904,""Select G where A = '""&amp; $E370 &amp;""' AND D &gt;= ""&amp; U370 &amp;"" LIMIT 1""),)"),"")</f>
        <v/>
      </c>
      <c r="P370" s="61"/>
      <c r="Q370" s="62">
        <v>0.60520571879297369</v>
      </c>
      <c r="R370" s="63">
        <v>4.5297964060230678E-2</v>
      </c>
      <c r="S370" s="63">
        <v>0.95719054307957208</v>
      </c>
      <c r="T370" s="63">
        <v>0.87910074744044364</v>
      </c>
      <c r="U370" s="63">
        <v>0.34923088477563113</v>
      </c>
    </row>
    <row r="371" spans="1:21" ht="16.2">
      <c r="A371" s="5">
        <f t="shared" ca="1" si="3"/>
        <v>370</v>
      </c>
      <c r="B371" s="5" t="str">
        <f ca="1">IFERROR(__xludf.DUMMYFUNCTION("if(ISBLANK(C371),,QUERY(MD!A372:D1370,""Select A where C = '""&amp; C371 &amp;""'""))"),"")</f>
        <v/>
      </c>
      <c r="C371" s="5"/>
      <c r="D371" s="5" t="str">
        <f ca="1">IFERROR(__xludf.DUMMYFUNCTION("if(ISBLANK(C371),,QUERY(MD!$A$2:$D$1000,""Select D where C = '""&amp; C371 &amp;""'""))"),"")</f>
        <v/>
      </c>
      <c r="E371" s="59" t="str">
        <f ca="1">IFERROR(__xludf.DUMMYFUNCTION("if(ISBLANK(C371),,QUERY(MD!$A$2:$D$1000,""Select B where C = '""&amp; C371 &amp;""'""))"),"")</f>
        <v/>
      </c>
      <c r="F371" s="5">
        <f t="shared" ca="1" si="2"/>
        <v>0</v>
      </c>
      <c r="G371" s="32" t="str">
        <f ca="1">IFERROR(__xludf.DUMMYFUNCTION("if($F371&gt;=1,QUERY(Loot!$A$2:$G$904,""Select G where A = '""&amp; $E371 &amp;""' AND D &gt;= ""&amp; Q371  &amp;"" LIMIT 1""),)"),"")</f>
        <v/>
      </c>
      <c r="H371" s="61"/>
      <c r="I371" s="32" t="str">
        <f ca="1">IFERROR(__xludf.DUMMYFUNCTION("if($F371&gt;=2,QUERY(Loot!$A$2:$G$904,""Select G where A = '""&amp; $E371 &amp;""' AND D &gt;= ""&amp; R371 &amp;"" LIMIT 1""),)"),"")</f>
        <v/>
      </c>
      <c r="J371" s="61"/>
      <c r="K371" s="32" t="str">
        <f ca="1">IFERROR(__xludf.DUMMYFUNCTION("if($F371&gt;=3,QUERY(Loot!$A$2:$G$904,""Select G where A = '""&amp; $E371 &amp;""' AND D &gt;= ""&amp; S371  &amp;"" LIMIT 1""),)"),"")</f>
        <v/>
      </c>
      <c r="L371" s="61"/>
      <c r="M371" s="32" t="str">
        <f ca="1">IFERROR(__xludf.DUMMYFUNCTION("if($F371&gt;=4,QUERY(Loot!$A$2:$G$904,""Select G where A = '""&amp; $E371 &amp;""' AND D &gt;= ""&amp;T371 &amp;"" LIMIT 1""),)"),"")</f>
        <v/>
      </c>
      <c r="N371" s="61"/>
      <c r="O371" s="32" t="str">
        <f ca="1">IFERROR(__xludf.DUMMYFUNCTION("if($F371&gt;=5,QUERY(Loot!$A$2:$G$904,""Select G where A = '""&amp; $E371 &amp;""' AND D &gt;= ""&amp; U371 &amp;"" LIMIT 1""),)"),"")</f>
        <v/>
      </c>
      <c r="P371" s="61"/>
      <c r="Q371" s="62">
        <v>0.5908050412071052</v>
      </c>
      <c r="R371" s="63">
        <v>0.53103340990258607</v>
      </c>
      <c r="S371" s="63">
        <v>0.50786828784941562</v>
      </c>
      <c r="T371" s="63">
        <v>0.64656265074007468</v>
      </c>
      <c r="U371" s="63">
        <v>0.99137830708820707</v>
      </c>
    </row>
    <row r="372" spans="1:21" ht="16.2">
      <c r="A372" s="5">
        <f t="shared" ca="1" si="3"/>
        <v>371</v>
      </c>
      <c r="B372" s="5" t="str">
        <f ca="1">IFERROR(__xludf.DUMMYFUNCTION("if(ISBLANK(C372),,QUERY(MD!A373:D1371,""Select A where C = '""&amp; C372 &amp;""'""))"),"")</f>
        <v/>
      </c>
      <c r="C372" s="5"/>
      <c r="D372" s="5" t="str">
        <f ca="1">IFERROR(__xludf.DUMMYFUNCTION("if(ISBLANK(C372),,QUERY(MD!$A$2:$D$1000,""Select D where C = '""&amp; C372 &amp;""'""))"),"")</f>
        <v/>
      </c>
      <c r="E372" s="59" t="str">
        <f ca="1">IFERROR(__xludf.DUMMYFUNCTION("if(ISBLANK(C372),,QUERY(MD!$A$2:$D$1000,""Select B where C = '""&amp; C372 &amp;""'""))"),"")</f>
        <v/>
      </c>
      <c r="F372" s="5">
        <f t="shared" ca="1" si="2"/>
        <v>0</v>
      </c>
      <c r="G372" s="32" t="str">
        <f ca="1">IFERROR(__xludf.DUMMYFUNCTION("if($F372&gt;=1,QUERY(Loot!$A$2:$G$904,""Select G where A = '""&amp; $E372 &amp;""' AND D &gt;= ""&amp; Q372  &amp;"" LIMIT 1""),)"),"")</f>
        <v/>
      </c>
      <c r="H372" s="61"/>
      <c r="I372" s="32" t="str">
        <f ca="1">IFERROR(__xludf.DUMMYFUNCTION("if($F372&gt;=2,QUERY(Loot!$A$2:$G$904,""Select G where A = '""&amp; $E372 &amp;""' AND D &gt;= ""&amp; R372 &amp;"" LIMIT 1""),)"),"")</f>
        <v/>
      </c>
      <c r="J372" s="61"/>
      <c r="K372" s="32" t="str">
        <f ca="1">IFERROR(__xludf.DUMMYFUNCTION("if($F372&gt;=3,QUERY(Loot!$A$2:$G$904,""Select G where A = '""&amp; $E372 &amp;""' AND D &gt;= ""&amp; S372  &amp;"" LIMIT 1""),)"),"")</f>
        <v/>
      </c>
      <c r="L372" s="61"/>
      <c r="M372" s="32" t="str">
        <f ca="1">IFERROR(__xludf.DUMMYFUNCTION("if($F372&gt;=4,QUERY(Loot!$A$2:$G$904,""Select G where A = '""&amp; $E372 &amp;""' AND D &gt;= ""&amp;T372 &amp;"" LIMIT 1""),)"),"")</f>
        <v/>
      </c>
      <c r="N372" s="61"/>
      <c r="O372" s="32" t="str">
        <f ca="1">IFERROR(__xludf.DUMMYFUNCTION("if($F372&gt;=5,QUERY(Loot!$A$2:$G$904,""Select G where A = '""&amp; $E372 &amp;""' AND D &gt;= ""&amp; U372 &amp;"" LIMIT 1""),)"),"")</f>
        <v/>
      </c>
      <c r="P372" s="61"/>
      <c r="Q372" s="62">
        <v>0.71450033007375635</v>
      </c>
      <c r="R372" s="63">
        <v>0.14716729254506011</v>
      </c>
      <c r="S372" s="63">
        <v>0.89285865261524422</v>
      </c>
      <c r="T372" s="63">
        <v>0.40096067011592929</v>
      </c>
      <c r="U372" s="63">
        <v>0.2413211041349167</v>
      </c>
    </row>
    <row r="373" spans="1:21" ht="16.2">
      <c r="A373" s="5">
        <f t="shared" ca="1" si="3"/>
        <v>372</v>
      </c>
      <c r="B373" s="5" t="str">
        <f ca="1">IFERROR(__xludf.DUMMYFUNCTION("if(ISBLANK(C373),,QUERY(MD!A374:D1372,""Select A where C = '""&amp; C373 &amp;""'""))"),"")</f>
        <v/>
      </c>
      <c r="C373" s="5"/>
      <c r="D373" s="5" t="str">
        <f ca="1">IFERROR(__xludf.DUMMYFUNCTION("if(ISBLANK(C373),,QUERY(MD!$A$2:$D$1000,""Select D where C = '""&amp; C373 &amp;""'""))"),"")</f>
        <v/>
      </c>
      <c r="E373" s="59" t="str">
        <f ca="1">IFERROR(__xludf.DUMMYFUNCTION("if(ISBLANK(C373),,QUERY(MD!$A$2:$D$1000,""Select B where C = '""&amp; C373 &amp;""'""))"),"")</f>
        <v/>
      </c>
      <c r="F373" s="5">
        <f t="shared" ca="1" si="2"/>
        <v>0</v>
      </c>
      <c r="G373" s="32" t="str">
        <f ca="1">IFERROR(__xludf.DUMMYFUNCTION("if($F373&gt;=1,QUERY(Loot!$A$2:$G$904,""Select G where A = '""&amp; $E373 &amp;""' AND D &gt;= ""&amp; Q373  &amp;"" LIMIT 1""),)"),"")</f>
        <v/>
      </c>
      <c r="H373" s="61"/>
      <c r="I373" s="32" t="str">
        <f ca="1">IFERROR(__xludf.DUMMYFUNCTION("if($F373&gt;=2,QUERY(Loot!$A$2:$G$904,""Select G where A = '""&amp; $E373 &amp;""' AND D &gt;= ""&amp; R373 &amp;"" LIMIT 1""),)"),"")</f>
        <v/>
      </c>
      <c r="J373" s="61"/>
      <c r="K373" s="32" t="str">
        <f ca="1">IFERROR(__xludf.DUMMYFUNCTION("if($F373&gt;=3,QUERY(Loot!$A$2:$G$904,""Select G where A = '""&amp; $E373 &amp;""' AND D &gt;= ""&amp; S373  &amp;"" LIMIT 1""),)"),"")</f>
        <v/>
      </c>
      <c r="L373" s="61"/>
      <c r="M373" s="32" t="str">
        <f ca="1">IFERROR(__xludf.DUMMYFUNCTION("if($F373&gt;=4,QUERY(Loot!$A$2:$G$904,""Select G where A = '""&amp; $E373 &amp;""' AND D &gt;= ""&amp;T373 &amp;"" LIMIT 1""),)"),"")</f>
        <v/>
      </c>
      <c r="N373" s="61"/>
      <c r="O373" s="32" t="str">
        <f ca="1">IFERROR(__xludf.DUMMYFUNCTION("if($F373&gt;=5,QUERY(Loot!$A$2:$G$904,""Select G where A = '""&amp; $E373 &amp;""' AND D &gt;= ""&amp; U373 &amp;"" LIMIT 1""),)"),"")</f>
        <v/>
      </c>
      <c r="P373" s="61"/>
      <c r="Q373" s="62">
        <v>0.11145652110826887</v>
      </c>
      <c r="R373" s="63">
        <v>0.91180755144121284</v>
      </c>
      <c r="S373" s="63">
        <v>0.49438591064803572</v>
      </c>
      <c r="T373" s="63">
        <v>0.94697001422511018</v>
      </c>
      <c r="U373" s="63">
        <v>0.27620788000426522</v>
      </c>
    </row>
    <row r="374" spans="1:21" ht="16.2">
      <c r="A374" s="5">
        <f t="shared" ca="1" si="3"/>
        <v>373</v>
      </c>
      <c r="B374" s="5" t="str">
        <f ca="1">IFERROR(__xludf.DUMMYFUNCTION("if(ISBLANK(C374),,QUERY(MD!A375:D1373,""Select A where C = '""&amp; C374 &amp;""'""))"),"")</f>
        <v/>
      </c>
      <c r="C374" s="5"/>
      <c r="D374" s="5" t="str">
        <f ca="1">IFERROR(__xludf.DUMMYFUNCTION("if(ISBLANK(C374),,QUERY(MD!$A$2:$D$1000,""Select D where C = '""&amp; C374 &amp;""'""))"),"")</f>
        <v/>
      </c>
      <c r="E374" s="59" t="str">
        <f ca="1">IFERROR(__xludf.DUMMYFUNCTION("if(ISBLANK(C374),,QUERY(MD!$A$2:$D$1000,""Select B where C = '""&amp; C374 &amp;""'""))"),"")</f>
        <v/>
      </c>
      <c r="F374" s="5">
        <f t="shared" ca="1" si="2"/>
        <v>0</v>
      </c>
      <c r="G374" s="32" t="str">
        <f ca="1">IFERROR(__xludf.DUMMYFUNCTION("if($F374&gt;=1,QUERY(Loot!$A$2:$G$904,""Select G where A = '""&amp; $E374 &amp;""' AND D &gt;= ""&amp; Q374  &amp;"" LIMIT 1""),)"),"")</f>
        <v/>
      </c>
      <c r="H374" s="61"/>
      <c r="I374" s="32" t="str">
        <f ca="1">IFERROR(__xludf.DUMMYFUNCTION("if($F374&gt;=2,QUERY(Loot!$A$2:$G$904,""Select G where A = '""&amp; $E374 &amp;""' AND D &gt;= ""&amp; R374 &amp;"" LIMIT 1""),)"),"")</f>
        <v/>
      </c>
      <c r="J374" s="61"/>
      <c r="K374" s="32" t="str">
        <f ca="1">IFERROR(__xludf.DUMMYFUNCTION("if($F374&gt;=3,QUERY(Loot!$A$2:$G$904,""Select G where A = '""&amp; $E374 &amp;""' AND D &gt;= ""&amp; S374  &amp;"" LIMIT 1""),)"),"")</f>
        <v/>
      </c>
      <c r="L374" s="61"/>
      <c r="M374" s="32" t="str">
        <f ca="1">IFERROR(__xludf.DUMMYFUNCTION("if($F374&gt;=4,QUERY(Loot!$A$2:$G$904,""Select G where A = '""&amp; $E374 &amp;""' AND D &gt;= ""&amp;T374 &amp;"" LIMIT 1""),)"),"")</f>
        <v/>
      </c>
      <c r="N374" s="61"/>
      <c r="O374" s="32" t="str">
        <f ca="1">IFERROR(__xludf.DUMMYFUNCTION("if($F374&gt;=5,QUERY(Loot!$A$2:$G$904,""Select G where A = '""&amp; $E374 &amp;""' AND D &gt;= ""&amp; U374 &amp;"" LIMIT 1""),)"),"")</f>
        <v/>
      </c>
      <c r="P374" s="61"/>
      <c r="Q374" s="62">
        <v>0.89880091610837043</v>
      </c>
      <c r="R374" s="63">
        <v>4.0682795519433546E-2</v>
      </c>
      <c r="S374" s="63">
        <v>0.81187503448295095</v>
      </c>
      <c r="T374" s="63">
        <v>0.91830869893054701</v>
      </c>
      <c r="U374" s="63">
        <v>0.28017932217987906</v>
      </c>
    </row>
    <row r="375" spans="1:21" ht="16.2">
      <c r="A375" s="5">
        <f t="shared" ca="1" si="3"/>
        <v>374</v>
      </c>
      <c r="B375" s="5" t="str">
        <f ca="1">IFERROR(__xludf.DUMMYFUNCTION("if(ISBLANK(C375),,QUERY(MD!A376:D1374,""Select A where C = '""&amp; C375 &amp;""'""))"),"")</f>
        <v/>
      </c>
      <c r="C375" s="5"/>
      <c r="D375" s="5" t="str">
        <f ca="1">IFERROR(__xludf.DUMMYFUNCTION("if(ISBLANK(C375),,QUERY(MD!$A$2:$D$1000,""Select D where C = '""&amp; C375 &amp;""'""))"),"")</f>
        <v/>
      </c>
      <c r="E375" s="59" t="str">
        <f ca="1">IFERROR(__xludf.DUMMYFUNCTION("if(ISBLANK(C375),,QUERY(MD!$A$2:$D$1000,""Select B where C = '""&amp; C375 &amp;""'""))"),"")</f>
        <v/>
      </c>
      <c r="F375" s="5">
        <f t="shared" ca="1" si="2"/>
        <v>0</v>
      </c>
      <c r="G375" s="32" t="str">
        <f ca="1">IFERROR(__xludf.DUMMYFUNCTION("if($F375&gt;=1,QUERY(Loot!$A$2:$G$904,""Select G where A = '""&amp; $E375 &amp;""' AND D &gt;= ""&amp; Q375  &amp;"" LIMIT 1""),)"),"")</f>
        <v/>
      </c>
      <c r="H375" s="61"/>
      <c r="I375" s="32" t="str">
        <f ca="1">IFERROR(__xludf.DUMMYFUNCTION("if($F375&gt;=2,QUERY(Loot!$A$2:$G$904,""Select G where A = '""&amp; $E375 &amp;""' AND D &gt;= ""&amp; R375 &amp;"" LIMIT 1""),)"),"")</f>
        <v/>
      </c>
      <c r="J375" s="61"/>
      <c r="K375" s="32" t="str">
        <f ca="1">IFERROR(__xludf.DUMMYFUNCTION("if($F375&gt;=3,QUERY(Loot!$A$2:$G$904,""Select G where A = '""&amp; $E375 &amp;""' AND D &gt;= ""&amp; S375  &amp;"" LIMIT 1""),)"),"")</f>
        <v/>
      </c>
      <c r="L375" s="61"/>
      <c r="M375" s="32" t="str">
        <f ca="1">IFERROR(__xludf.DUMMYFUNCTION("if($F375&gt;=4,QUERY(Loot!$A$2:$G$904,""Select G where A = '""&amp; $E375 &amp;""' AND D &gt;= ""&amp;T375 &amp;"" LIMIT 1""),)"),"")</f>
        <v/>
      </c>
      <c r="N375" s="61"/>
      <c r="O375" s="32" t="str">
        <f ca="1">IFERROR(__xludf.DUMMYFUNCTION("if($F375&gt;=5,QUERY(Loot!$A$2:$G$904,""Select G where A = '""&amp; $E375 &amp;""' AND D &gt;= ""&amp; U375 &amp;"" LIMIT 1""),)"),"")</f>
        <v/>
      </c>
      <c r="P375" s="61"/>
      <c r="Q375" s="62">
        <v>0.48128599875433031</v>
      </c>
      <c r="R375" s="63">
        <v>8.0861198972401849E-2</v>
      </c>
      <c r="S375" s="63">
        <v>0.71971090005935023</v>
      </c>
      <c r="T375" s="63">
        <v>0.62602242457189905</v>
      </c>
      <c r="U375" s="63">
        <v>0.20312545059523335</v>
      </c>
    </row>
    <row r="376" spans="1:21" ht="16.2">
      <c r="A376" s="5">
        <f t="shared" ca="1" si="3"/>
        <v>375</v>
      </c>
      <c r="B376" s="5" t="str">
        <f ca="1">IFERROR(__xludf.DUMMYFUNCTION("if(ISBLANK(C376),,QUERY(MD!A377:D1375,""Select A where C = '""&amp; C376 &amp;""'""))"),"")</f>
        <v/>
      </c>
      <c r="C376" s="5"/>
      <c r="D376" s="5" t="str">
        <f ca="1">IFERROR(__xludf.DUMMYFUNCTION("if(ISBLANK(C376),,QUERY(MD!$A$2:$D$1000,""Select D where C = '""&amp; C376 &amp;""'""))"),"")</f>
        <v/>
      </c>
      <c r="E376" s="59" t="str">
        <f ca="1">IFERROR(__xludf.DUMMYFUNCTION("if(ISBLANK(C376),,QUERY(MD!$A$2:$D$1000,""Select B where C = '""&amp; C376 &amp;""'""))"),"")</f>
        <v/>
      </c>
      <c r="F376" s="5">
        <f t="shared" ca="1" si="2"/>
        <v>0</v>
      </c>
      <c r="G376" s="32" t="str">
        <f ca="1">IFERROR(__xludf.DUMMYFUNCTION("if($F376&gt;=1,QUERY(Loot!$A$2:$G$904,""Select G where A = '""&amp; $E376 &amp;""' AND D &gt;= ""&amp; Q376  &amp;"" LIMIT 1""),)"),"")</f>
        <v/>
      </c>
      <c r="H376" s="61"/>
      <c r="I376" s="32" t="str">
        <f ca="1">IFERROR(__xludf.DUMMYFUNCTION("if($F376&gt;=2,QUERY(Loot!$A$2:$G$904,""Select G where A = '""&amp; $E376 &amp;""' AND D &gt;= ""&amp; R376 &amp;"" LIMIT 1""),)"),"")</f>
        <v/>
      </c>
      <c r="J376" s="61"/>
      <c r="K376" s="32" t="str">
        <f ca="1">IFERROR(__xludf.DUMMYFUNCTION("if($F376&gt;=3,QUERY(Loot!$A$2:$G$904,""Select G where A = '""&amp; $E376 &amp;""' AND D &gt;= ""&amp; S376  &amp;"" LIMIT 1""),)"),"")</f>
        <v/>
      </c>
      <c r="L376" s="61"/>
      <c r="M376" s="32" t="str">
        <f ca="1">IFERROR(__xludf.DUMMYFUNCTION("if($F376&gt;=4,QUERY(Loot!$A$2:$G$904,""Select G where A = '""&amp; $E376 &amp;""' AND D &gt;= ""&amp;T376 &amp;"" LIMIT 1""),)"),"")</f>
        <v/>
      </c>
      <c r="N376" s="61"/>
      <c r="O376" s="32" t="str">
        <f ca="1">IFERROR(__xludf.DUMMYFUNCTION("if($F376&gt;=5,QUERY(Loot!$A$2:$G$904,""Select G where A = '""&amp; $E376 &amp;""' AND D &gt;= ""&amp; U376 &amp;"" LIMIT 1""),)"),"")</f>
        <v/>
      </c>
      <c r="P376" s="61"/>
      <c r="Q376" s="62">
        <v>0.23400454669061621</v>
      </c>
      <c r="R376" s="63">
        <v>0.78103763164679096</v>
      </c>
      <c r="S376" s="63">
        <v>9.9179549004000167E-2</v>
      </c>
      <c r="T376" s="63">
        <v>0.89285549083218363</v>
      </c>
      <c r="U376" s="63">
        <v>0.19442571392326191</v>
      </c>
    </row>
    <row r="377" spans="1:21" ht="16.2">
      <c r="A377" s="5">
        <f t="shared" ca="1" si="3"/>
        <v>376</v>
      </c>
      <c r="B377" s="5" t="str">
        <f ca="1">IFERROR(__xludf.DUMMYFUNCTION("if(ISBLANK(C377),,QUERY(MD!A378:D1376,""Select A where C = '""&amp; C377 &amp;""'""))"),"")</f>
        <v/>
      </c>
      <c r="C377" s="5"/>
      <c r="D377" s="5" t="str">
        <f ca="1">IFERROR(__xludf.DUMMYFUNCTION("if(ISBLANK(C377),,QUERY(MD!$A$2:$D$1000,""Select D where C = '""&amp; C377 &amp;""'""))"),"")</f>
        <v/>
      </c>
      <c r="E377" s="59" t="str">
        <f ca="1">IFERROR(__xludf.DUMMYFUNCTION("if(ISBLANK(C377),,QUERY(MD!$A$2:$D$1000,""Select B where C = '""&amp; C377 &amp;""'""))"),"")</f>
        <v/>
      </c>
      <c r="F377" s="5">
        <f t="shared" ca="1" si="2"/>
        <v>0</v>
      </c>
      <c r="G377" s="32" t="str">
        <f ca="1">IFERROR(__xludf.DUMMYFUNCTION("if($F377&gt;=1,QUERY(Loot!$A$2:$G$904,""Select G where A = '""&amp; $E377 &amp;""' AND D &gt;= ""&amp; Q377  &amp;"" LIMIT 1""),)"),"")</f>
        <v/>
      </c>
      <c r="H377" s="61"/>
      <c r="I377" s="32" t="str">
        <f ca="1">IFERROR(__xludf.DUMMYFUNCTION("if($F377&gt;=2,QUERY(Loot!$A$2:$G$904,""Select G where A = '""&amp; $E377 &amp;""' AND D &gt;= ""&amp; R377 &amp;"" LIMIT 1""),)"),"")</f>
        <v/>
      </c>
      <c r="J377" s="61"/>
      <c r="K377" s="32" t="str">
        <f ca="1">IFERROR(__xludf.DUMMYFUNCTION("if($F377&gt;=3,QUERY(Loot!$A$2:$G$904,""Select G where A = '""&amp; $E377 &amp;""' AND D &gt;= ""&amp; S377  &amp;"" LIMIT 1""),)"),"")</f>
        <v/>
      </c>
      <c r="L377" s="61"/>
      <c r="M377" s="32" t="str">
        <f ca="1">IFERROR(__xludf.DUMMYFUNCTION("if($F377&gt;=4,QUERY(Loot!$A$2:$G$904,""Select G where A = '""&amp; $E377 &amp;""' AND D &gt;= ""&amp;T377 &amp;"" LIMIT 1""),)"),"")</f>
        <v/>
      </c>
      <c r="N377" s="61"/>
      <c r="O377" s="32" t="str">
        <f ca="1">IFERROR(__xludf.DUMMYFUNCTION("if($F377&gt;=5,QUERY(Loot!$A$2:$G$904,""Select G where A = '""&amp; $E377 &amp;""' AND D &gt;= ""&amp; U377 &amp;"" LIMIT 1""),)"),"")</f>
        <v/>
      </c>
      <c r="P377" s="61"/>
      <c r="Q377" s="62">
        <v>7.8771470596719406E-2</v>
      </c>
      <c r="R377" s="63">
        <v>4.9214211104200656E-2</v>
      </c>
      <c r="S377" s="63">
        <v>8.6023308287265676E-2</v>
      </c>
      <c r="T377" s="63">
        <v>5.0152893041649715E-2</v>
      </c>
      <c r="U377" s="63">
        <v>0.91781233692569464</v>
      </c>
    </row>
    <row r="378" spans="1:21" ht="16.2">
      <c r="A378" s="5">
        <f t="shared" ca="1" si="3"/>
        <v>377</v>
      </c>
      <c r="B378" s="5" t="str">
        <f ca="1">IFERROR(__xludf.DUMMYFUNCTION("if(ISBLANK(C378),,QUERY(MD!A379:D1377,""Select A where C = '""&amp; C378 &amp;""'""))"),"")</f>
        <v/>
      </c>
      <c r="C378" s="5"/>
      <c r="D378" s="5" t="str">
        <f ca="1">IFERROR(__xludf.DUMMYFUNCTION("if(ISBLANK(C378),,QUERY(MD!$A$2:$D$1000,""Select D where C = '""&amp; C378 &amp;""'""))"),"")</f>
        <v/>
      </c>
      <c r="E378" s="59" t="str">
        <f ca="1">IFERROR(__xludf.DUMMYFUNCTION("if(ISBLANK(C378),,QUERY(MD!$A$2:$D$1000,""Select B where C = '""&amp; C378 &amp;""'""))"),"")</f>
        <v/>
      </c>
      <c r="F378" s="5">
        <f t="shared" ca="1" si="2"/>
        <v>0</v>
      </c>
      <c r="G378" s="32" t="str">
        <f ca="1">IFERROR(__xludf.DUMMYFUNCTION("if($F378&gt;=1,QUERY(Loot!$A$2:$G$904,""Select G where A = '""&amp; $E378 &amp;""' AND D &gt;= ""&amp; Q378  &amp;"" LIMIT 1""),)"),"")</f>
        <v/>
      </c>
      <c r="H378" s="61"/>
      <c r="I378" s="32" t="str">
        <f ca="1">IFERROR(__xludf.DUMMYFUNCTION("if($F378&gt;=2,QUERY(Loot!$A$2:$G$904,""Select G where A = '""&amp; $E378 &amp;""' AND D &gt;= ""&amp; R378 &amp;"" LIMIT 1""),)"),"")</f>
        <v/>
      </c>
      <c r="J378" s="61"/>
      <c r="K378" s="32" t="str">
        <f ca="1">IFERROR(__xludf.DUMMYFUNCTION("if($F378&gt;=3,QUERY(Loot!$A$2:$G$904,""Select G where A = '""&amp; $E378 &amp;""' AND D &gt;= ""&amp; S378  &amp;"" LIMIT 1""),)"),"")</f>
        <v/>
      </c>
      <c r="L378" s="61"/>
      <c r="M378" s="32" t="str">
        <f ca="1">IFERROR(__xludf.DUMMYFUNCTION("if($F378&gt;=4,QUERY(Loot!$A$2:$G$904,""Select G where A = '""&amp; $E378 &amp;""' AND D &gt;= ""&amp;T378 &amp;"" LIMIT 1""),)"),"")</f>
        <v/>
      </c>
      <c r="N378" s="61"/>
      <c r="O378" s="32" t="str">
        <f ca="1">IFERROR(__xludf.DUMMYFUNCTION("if($F378&gt;=5,QUERY(Loot!$A$2:$G$904,""Select G where A = '""&amp; $E378 &amp;""' AND D &gt;= ""&amp; U378 &amp;"" LIMIT 1""),)"),"")</f>
        <v/>
      </c>
      <c r="P378" s="61"/>
      <c r="Q378" s="62">
        <v>0.26716158665587042</v>
      </c>
      <c r="R378" s="63">
        <v>0.78376642090304627</v>
      </c>
      <c r="S378" s="63">
        <v>0.74003627887962564</v>
      </c>
      <c r="T378" s="63">
        <v>0.58060805999609411</v>
      </c>
      <c r="U378" s="63">
        <v>0.1054759277883025</v>
      </c>
    </row>
    <row r="379" spans="1:21" ht="16.2">
      <c r="A379" s="5">
        <f t="shared" ca="1" si="3"/>
        <v>378</v>
      </c>
      <c r="B379" s="5" t="str">
        <f ca="1">IFERROR(__xludf.DUMMYFUNCTION("if(ISBLANK(C379),,QUERY(MD!A380:D1378,""Select A where C = '""&amp; C379 &amp;""'""))"),"")</f>
        <v/>
      </c>
      <c r="C379" s="5"/>
      <c r="D379" s="5" t="str">
        <f ca="1">IFERROR(__xludf.DUMMYFUNCTION("if(ISBLANK(C379),,QUERY(MD!$A$2:$D$1000,""Select D where C = '""&amp; C379 &amp;""'""))"),"")</f>
        <v/>
      </c>
      <c r="E379" s="59" t="str">
        <f ca="1">IFERROR(__xludf.DUMMYFUNCTION("if(ISBLANK(C379),,QUERY(MD!$A$2:$D$1000,""Select B where C = '""&amp; C379 &amp;""'""))"),"")</f>
        <v/>
      </c>
      <c r="F379" s="5">
        <f t="shared" ca="1" si="2"/>
        <v>0</v>
      </c>
      <c r="G379" s="32" t="str">
        <f ca="1">IFERROR(__xludf.DUMMYFUNCTION("if($F379&gt;=1,QUERY(Loot!$A$2:$G$904,""Select G where A = '""&amp; $E379 &amp;""' AND D &gt;= ""&amp; Q379  &amp;"" LIMIT 1""),)"),"")</f>
        <v/>
      </c>
      <c r="H379" s="61"/>
      <c r="I379" s="32" t="str">
        <f ca="1">IFERROR(__xludf.DUMMYFUNCTION("if($F379&gt;=2,QUERY(Loot!$A$2:$G$904,""Select G where A = '""&amp; $E379 &amp;""' AND D &gt;= ""&amp; R379 &amp;"" LIMIT 1""),)"),"")</f>
        <v/>
      </c>
      <c r="J379" s="61"/>
      <c r="K379" s="32" t="str">
        <f ca="1">IFERROR(__xludf.DUMMYFUNCTION("if($F379&gt;=3,QUERY(Loot!$A$2:$G$904,""Select G where A = '""&amp; $E379 &amp;""' AND D &gt;= ""&amp; S379  &amp;"" LIMIT 1""),)"),"")</f>
        <v/>
      </c>
      <c r="L379" s="61"/>
      <c r="M379" s="32" t="str">
        <f ca="1">IFERROR(__xludf.DUMMYFUNCTION("if($F379&gt;=4,QUERY(Loot!$A$2:$G$904,""Select G where A = '""&amp; $E379 &amp;""' AND D &gt;= ""&amp;T379 &amp;"" LIMIT 1""),)"),"")</f>
        <v/>
      </c>
      <c r="N379" s="61"/>
      <c r="O379" s="32" t="str">
        <f ca="1">IFERROR(__xludf.DUMMYFUNCTION("if($F379&gt;=5,QUERY(Loot!$A$2:$G$904,""Select G where A = '""&amp; $E379 &amp;""' AND D &gt;= ""&amp; U379 &amp;"" LIMIT 1""),)"),"")</f>
        <v/>
      </c>
      <c r="P379" s="61"/>
      <c r="Q379" s="62">
        <v>0.79966683044385689</v>
      </c>
      <c r="R379" s="63">
        <v>0.60779673261022393</v>
      </c>
      <c r="S379" s="63">
        <v>0.55472336495472496</v>
      </c>
      <c r="T379" s="63">
        <v>0.13726994312571905</v>
      </c>
      <c r="U379" s="63">
        <v>0.32067945759525474</v>
      </c>
    </row>
    <row r="380" spans="1:21" ht="16.2">
      <c r="A380" s="5">
        <f t="shared" ca="1" si="3"/>
        <v>379</v>
      </c>
      <c r="B380" s="5" t="str">
        <f ca="1">IFERROR(__xludf.DUMMYFUNCTION("if(ISBLANK(C380),,QUERY(MD!A381:D1379,""Select A where C = '""&amp; C380 &amp;""'""))"),"")</f>
        <v/>
      </c>
      <c r="C380" s="5"/>
      <c r="D380" s="5" t="str">
        <f ca="1">IFERROR(__xludf.DUMMYFUNCTION("if(ISBLANK(C380),,QUERY(MD!$A$2:$D$1000,""Select D where C = '""&amp; C380 &amp;""'""))"),"")</f>
        <v/>
      </c>
      <c r="E380" s="59" t="str">
        <f ca="1">IFERROR(__xludf.DUMMYFUNCTION("if(ISBLANK(C380),,QUERY(MD!$A$2:$D$1000,""Select B where C = '""&amp; C380 &amp;""'""))"),"")</f>
        <v/>
      </c>
      <c r="F380" s="5">
        <f t="shared" ca="1" si="2"/>
        <v>0</v>
      </c>
      <c r="G380" s="32" t="str">
        <f ca="1">IFERROR(__xludf.DUMMYFUNCTION("if($F380&gt;=1,QUERY(Loot!$A$2:$G$904,""Select G where A = '""&amp; $E380 &amp;""' AND D &gt;= ""&amp; Q380  &amp;"" LIMIT 1""),)"),"")</f>
        <v/>
      </c>
      <c r="H380" s="61"/>
      <c r="I380" s="32" t="str">
        <f ca="1">IFERROR(__xludf.DUMMYFUNCTION("if($F380&gt;=2,QUERY(Loot!$A$2:$G$904,""Select G where A = '""&amp; $E380 &amp;""' AND D &gt;= ""&amp; R380 &amp;"" LIMIT 1""),)"),"")</f>
        <v/>
      </c>
      <c r="J380" s="61"/>
      <c r="K380" s="32" t="str">
        <f ca="1">IFERROR(__xludf.DUMMYFUNCTION("if($F380&gt;=3,QUERY(Loot!$A$2:$G$904,""Select G where A = '""&amp; $E380 &amp;""' AND D &gt;= ""&amp; S380  &amp;"" LIMIT 1""),)"),"")</f>
        <v/>
      </c>
      <c r="L380" s="61"/>
      <c r="M380" s="32" t="str">
        <f ca="1">IFERROR(__xludf.DUMMYFUNCTION("if($F380&gt;=4,QUERY(Loot!$A$2:$G$904,""Select G where A = '""&amp; $E380 &amp;""' AND D &gt;= ""&amp;T380 &amp;"" LIMIT 1""),)"),"")</f>
        <v/>
      </c>
      <c r="N380" s="61"/>
      <c r="O380" s="32" t="str">
        <f ca="1">IFERROR(__xludf.DUMMYFUNCTION("if($F380&gt;=5,QUERY(Loot!$A$2:$G$904,""Select G where A = '""&amp; $E380 &amp;""' AND D &gt;= ""&amp; U380 &amp;"" LIMIT 1""),)"),"")</f>
        <v/>
      </c>
      <c r="P380" s="61"/>
      <c r="Q380" s="62">
        <v>0.46364406796322721</v>
      </c>
      <c r="R380" s="63">
        <v>0.43262834858042332</v>
      </c>
      <c r="S380" s="63">
        <v>0.27992618058413987</v>
      </c>
      <c r="T380" s="63">
        <v>1.8590906257416884E-2</v>
      </c>
      <c r="U380" s="63">
        <v>0.80950063533672356</v>
      </c>
    </row>
    <row r="381" spans="1:21" ht="16.2">
      <c r="A381" s="5">
        <f t="shared" ca="1" si="3"/>
        <v>380</v>
      </c>
      <c r="B381" s="5" t="str">
        <f ca="1">IFERROR(__xludf.DUMMYFUNCTION("if(ISBLANK(C381),,QUERY(MD!A382:D1380,""Select A where C = '""&amp; C381 &amp;""'""))"),"")</f>
        <v/>
      </c>
      <c r="C381" s="5"/>
      <c r="D381" s="5" t="str">
        <f ca="1">IFERROR(__xludf.DUMMYFUNCTION("if(ISBLANK(C381),,QUERY(MD!$A$2:$D$1000,""Select D where C = '""&amp; C381 &amp;""'""))"),"")</f>
        <v/>
      </c>
      <c r="E381" s="59" t="str">
        <f ca="1">IFERROR(__xludf.DUMMYFUNCTION("if(ISBLANK(C381),,QUERY(MD!$A$2:$D$1000,""Select B where C = '""&amp; C381 &amp;""'""))"),"")</f>
        <v/>
      </c>
      <c r="F381" s="5">
        <f t="shared" ca="1" si="2"/>
        <v>0</v>
      </c>
      <c r="G381" s="32" t="str">
        <f ca="1">IFERROR(__xludf.DUMMYFUNCTION("if($F381&gt;=1,QUERY(Loot!$A$2:$G$904,""Select G where A = '""&amp; $E381 &amp;""' AND D &gt;= ""&amp; Q381  &amp;"" LIMIT 1""),)"),"")</f>
        <v/>
      </c>
      <c r="H381" s="61"/>
      <c r="I381" s="32" t="str">
        <f ca="1">IFERROR(__xludf.DUMMYFUNCTION("if($F381&gt;=2,QUERY(Loot!$A$2:$G$904,""Select G where A = '""&amp; $E381 &amp;""' AND D &gt;= ""&amp; R381 &amp;"" LIMIT 1""),)"),"")</f>
        <v/>
      </c>
      <c r="J381" s="61"/>
      <c r="K381" s="32" t="str">
        <f ca="1">IFERROR(__xludf.DUMMYFUNCTION("if($F381&gt;=3,QUERY(Loot!$A$2:$G$904,""Select G where A = '""&amp; $E381 &amp;""' AND D &gt;= ""&amp; S381  &amp;"" LIMIT 1""),)"),"")</f>
        <v/>
      </c>
      <c r="L381" s="61"/>
      <c r="M381" s="32" t="str">
        <f ca="1">IFERROR(__xludf.DUMMYFUNCTION("if($F381&gt;=4,QUERY(Loot!$A$2:$G$904,""Select G where A = '""&amp; $E381 &amp;""' AND D &gt;= ""&amp;T381 &amp;"" LIMIT 1""),)"),"")</f>
        <v/>
      </c>
      <c r="N381" s="61"/>
      <c r="O381" s="32" t="str">
        <f ca="1">IFERROR(__xludf.DUMMYFUNCTION("if($F381&gt;=5,QUERY(Loot!$A$2:$G$904,""Select G where A = '""&amp; $E381 &amp;""' AND D &gt;= ""&amp; U381 &amp;"" LIMIT 1""),)"),"")</f>
        <v/>
      </c>
      <c r="P381" s="61"/>
      <c r="Q381" s="62">
        <v>0.82065075675302235</v>
      </c>
      <c r="R381" s="63">
        <v>0.34038576249717911</v>
      </c>
      <c r="S381" s="63">
        <v>0.93225409797351833</v>
      </c>
      <c r="T381" s="63">
        <v>0.18171897616602584</v>
      </c>
      <c r="U381" s="63">
        <v>0.36845072005390989</v>
      </c>
    </row>
    <row r="382" spans="1:21" ht="16.2">
      <c r="A382" s="5">
        <f t="shared" ca="1" si="3"/>
        <v>381</v>
      </c>
      <c r="B382" s="5" t="str">
        <f ca="1">IFERROR(__xludf.DUMMYFUNCTION("if(ISBLANK(C382),,QUERY(MD!A383:D1381,""Select A where C = '""&amp; C382 &amp;""'""))"),"")</f>
        <v/>
      </c>
      <c r="C382" s="5"/>
      <c r="D382" s="5" t="str">
        <f ca="1">IFERROR(__xludf.DUMMYFUNCTION("if(ISBLANK(C382),,QUERY(MD!$A$2:$D$1000,""Select D where C = '""&amp; C382 &amp;""'""))"),"")</f>
        <v/>
      </c>
      <c r="E382" s="59" t="str">
        <f ca="1">IFERROR(__xludf.DUMMYFUNCTION("if(ISBLANK(C382),,QUERY(MD!$A$2:$D$1000,""Select B where C = '""&amp; C382 &amp;""'""))"),"")</f>
        <v/>
      </c>
      <c r="F382" s="5">
        <f t="shared" ca="1" si="2"/>
        <v>0</v>
      </c>
      <c r="G382" s="32" t="str">
        <f ca="1">IFERROR(__xludf.DUMMYFUNCTION("if($F382&gt;=1,QUERY(Loot!$A$2:$G$904,""Select G where A = '""&amp; $E382 &amp;""' AND D &gt;= ""&amp; Q382  &amp;"" LIMIT 1""),)"),"")</f>
        <v/>
      </c>
      <c r="H382" s="61"/>
      <c r="I382" s="32" t="str">
        <f ca="1">IFERROR(__xludf.DUMMYFUNCTION("if($F382&gt;=2,QUERY(Loot!$A$2:$G$904,""Select G where A = '""&amp; $E382 &amp;""' AND D &gt;= ""&amp; R382 &amp;"" LIMIT 1""),)"),"")</f>
        <v/>
      </c>
      <c r="J382" s="61"/>
      <c r="K382" s="32" t="str">
        <f ca="1">IFERROR(__xludf.DUMMYFUNCTION("if($F382&gt;=3,QUERY(Loot!$A$2:$G$904,""Select G where A = '""&amp; $E382 &amp;""' AND D &gt;= ""&amp; S382  &amp;"" LIMIT 1""),)"),"")</f>
        <v/>
      </c>
      <c r="L382" s="61"/>
      <c r="M382" s="32" t="str">
        <f ca="1">IFERROR(__xludf.DUMMYFUNCTION("if($F382&gt;=4,QUERY(Loot!$A$2:$G$904,""Select G where A = '""&amp; $E382 &amp;""' AND D &gt;= ""&amp;T382 &amp;"" LIMIT 1""),)"),"")</f>
        <v/>
      </c>
      <c r="N382" s="61"/>
      <c r="O382" s="32" t="str">
        <f ca="1">IFERROR(__xludf.DUMMYFUNCTION("if($F382&gt;=5,QUERY(Loot!$A$2:$G$904,""Select G where A = '""&amp; $E382 &amp;""' AND D &gt;= ""&amp; U382 &amp;"" LIMIT 1""),)"),"")</f>
        <v/>
      </c>
      <c r="P382" s="61"/>
      <c r="Q382" s="62">
        <v>0.75289734144363107</v>
      </c>
      <c r="R382" s="63">
        <v>0.25588304077265378</v>
      </c>
      <c r="S382" s="63">
        <v>0.14428229725865183</v>
      </c>
      <c r="T382" s="63">
        <v>0.33604067868834731</v>
      </c>
      <c r="U382" s="63">
        <v>0.87473507174556542</v>
      </c>
    </row>
    <row r="383" spans="1:21" ht="16.2">
      <c r="A383" s="5">
        <f t="shared" ca="1" si="3"/>
        <v>382</v>
      </c>
      <c r="B383" s="5" t="str">
        <f ca="1">IFERROR(__xludf.DUMMYFUNCTION("if(ISBLANK(C383),,QUERY(MD!A384:D1382,""Select A where C = '""&amp; C383 &amp;""'""))"),"")</f>
        <v/>
      </c>
      <c r="C383" s="5"/>
      <c r="D383" s="5" t="str">
        <f ca="1">IFERROR(__xludf.DUMMYFUNCTION("if(ISBLANK(C383),,QUERY(MD!$A$2:$D$1000,""Select D where C = '""&amp; C383 &amp;""'""))"),"")</f>
        <v/>
      </c>
      <c r="E383" s="59" t="str">
        <f ca="1">IFERROR(__xludf.DUMMYFUNCTION("if(ISBLANK(C383),,QUERY(MD!$A$2:$D$1000,""Select B where C = '""&amp; C383 &amp;""'""))"),"")</f>
        <v/>
      </c>
      <c r="F383" s="5">
        <f t="shared" ca="1" si="2"/>
        <v>0</v>
      </c>
      <c r="G383" s="32" t="str">
        <f ca="1">IFERROR(__xludf.DUMMYFUNCTION("if($F383&gt;=1,QUERY(Loot!$A$2:$G$904,""Select G where A = '""&amp; $E383 &amp;""' AND D &gt;= ""&amp; Q383  &amp;"" LIMIT 1""),)"),"")</f>
        <v/>
      </c>
      <c r="H383" s="61"/>
      <c r="I383" s="32" t="str">
        <f ca="1">IFERROR(__xludf.DUMMYFUNCTION("if($F383&gt;=2,QUERY(Loot!$A$2:$G$904,""Select G where A = '""&amp; $E383 &amp;""' AND D &gt;= ""&amp; R383 &amp;"" LIMIT 1""),)"),"")</f>
        <v/>
      </c>
      <c r="J383" s="61"/>
      <c r="K383" s="32" t="str">
        <f ca="1">IFERROR(__xludf.DUMMYFUNCTION("if($F383&gt;=3,QUERY(Loot!$A$2:$G$904,""Select G where A = '""&amp; $E383 &amp;""' AND D &gt;= ""&amp; S383  &amp;"" LIMIT 1""),)"),"")</f>
        <v/>
      </c>
      <c r="L383" s="61"/>
      <c r="M383" s="32" t="str">
        <f ca="1">IFERROR(__xludf.DUMMYFUNCTION("if($F383&gt;=4,QUERY(Loot!$A$2:$G$904,""Select G where A = '""&amp; $E383 &amp;""' AND D &gt;= ""&amp;T383 &amp;"" LIMIT 1""),)"),"")</f>
        <v/>
      </c>
      <c r="N383" s="61"/>
      <c r="O383" s="32" t="str">
        <f ca="1">IFERROR(__xludf.DUMMYFUNCTION("if($F383&gt;=5,QUERY(Loot!$A$2:$G$904,""Select G where A = '""&amp; $E383 &amp;""' AND D &gt;= ""&amp; U383 &amp;"" LIMIT 1""),)"),"")</f>
        <v/>
      </c>
      <c r="P383" s="61"/>
      <c r="Q383" s="62">
        <v>0.11498145625587552</v>
      </c>
      <c r="R383" s="63">
        <v>0.32582921393959907</v>
      </c>
      <c r="S383" s="63">
        <v>0.95228746511546492</v>
      </c>
      <c r="T383" s="63">
        <v>0.58137122950064424</v>
      </c>
      <c r="U383" s="63">
        <v>0.38901742617639545</v>
      </c>
    </row>
    <row r="384" spans="1:21" ht="16.2">
      <c r="A384" s="5">
        <f t="shared" ca="1" si="3"/>
        <v>383</v>
      </c>
      <c r="B384" s="5" t="str">
        <f ca="1">IFERROR(__xludf.DUMMYFUNCTION("if(ISBLANK(C384),,QUERY(MD!A385:D1383,""Select A where C = '""&amp; C384 &amp;""'""))"),"")</f>
        <v/>
      </c>
      <c r="C384" s="5"/>
      <c r="D384" s="5" t="str">
        <f ca="1">IFERROR(__xludf.DUMMYFUNCTION("if(ISBLANK(C384),,QUERY(MD!$A$2:$D$1000,""Select D where C = '""&amp; C384 &amp;""'""))"),"")</f>
        <v/>
      </c>
      <c r="E384" s="59" t="str">
        <f ca="1">IFERROR(__xludf.DUMMYFUNCTION("if(ISBLANK(C384),,QUERY(MD!$A$2:$D$1000,""Select B where C = '""&amp; C384 &amp;""'""))"),"")</f>
        <v/>
      </c>
      <c r="F384" s="5">
        <f t="shared" ca="1" si="2"/>
        <v>0</v>
      </c>
      <c r="G384" s="32" t="str">
        <f ca="1">IFERROR(__xludf.DUMMYFUNCTION("if($F384&gt;=1,QUERY(Loot!$A$2:$G$904,""Select G where A = '""&amp; $E384 &amp;""' AND D &gt;= ""&amp; Q384  &amp;"" LIMIT 1""),)"),"")</f>
        <v/>
      </c>
      <c r="H384" s="61"/>
      <c r="I384" s="32" t="str">
        <f ca="1">IFERROR(__xludf.DUMMYFUNCTION("if($F384&gt;=2,QUERY(Loot!$A$2:$G$904,""Select G where A = '""&amp; $E384 &amp;""' AND D &gt;= ""&amp; R384 &amp;"" LIMIT 1""),)"),"")</f>
        <v/>
      </c>
      <c r="J384" s="61"/>
      <c r="K384" s="32" t="str">
        <f ca="1">IFERROR(__xludf.DUMMYFUNCTION("if($F384&gt;=3,QUERY(Loot!$A$2:$G$904,""Select G where A = '""&amp; $E384 &amp;""' AND D &gt;= ""&amp; S384  &amp;"" LIMIT 1""),)"),"")</f>
        <v/>
      </c>
      <c r="L384" s="61"/>
      <c r="M384" s="32" t="str">
        <f ca="1">IFERROR(__xludf.DUMMYFUNCTION("if($F384&gt;=4,QUERY(Loot!$A$2:$G$904,""Select G where A = '""&amp; $E384 &amp;""' AND D &gt;= ""&amp;T384 &amp;"" LIMIT 1""),)"),"")</f>
        <v/>
      </c>
      <c r="N384" s="61"/>
      <c r="O384" s="32" t="str">
        <f ca="1">IFERROR(__xludf.DUMMYFUNCTION("if($F384&gt;=5,QUERY(Loot!$A$2:$G$904,""Select G where A = '""&amp; $E384 &amp;""' AND D &gt;= ""&amp; U384 &amp;"" LIMIT 1""),)"),"")</f>
        <v/>
      </c>
      <c r="P384" s="61"/>
      <c r="Q384" s="62">
        <v>3.54453849459897E-2</v>
      </c>
      <c r="R384" s="63">
        <v>0.18699685450093562</v>
      </c>
      <c r="S384" s="63">
        <v>5.9815820125227237E-2</v>
      </c>
      <c r="T384" s="63">
        <v>0.6487461682583624</v>
      </c>
      <c r="U384" s="63">
        <v>0.41501608430244774</v>
      </c>
    </row>
    <row r="385" spans="1:21" ht="16.2">
      <c r="A385" s="5">
        <f t="shared" ca="1" si="3"/>
        <v>384</v>
      </c>
      <c r="B385" s="5" t="str">
        <f ca="1">IFERROR(__xludf.DUMMYFUNCTION("if(ISBLANK(C385),,QUERY(MD!A386:D1384,""Select A where C = '""&amp; C385 &amp;""'""))"),"")</f>
        <v/>
      </c>
      <c r="C385" s="5"/>
      <c r="D385" s="5" t="str">
        <f ca="1">IFERROR(__xludf.DUMMYFUNCTION("if(ISBLANK(C385),,QUERY(MD!$A$2:$D$1000,""Select D where C = '""&amp; C385 &amp;""'""))"),"")</f>
        <v/>
      </c>
      <c r="E385" s="59" t="str">
        <f ca="1">IFERROR(__xludf.DUMMYFUNCTION("if(ISBLANK(C385),,QUERY(MD!$A$2:$D$1000,""Select B where C = '""&amp; C385 &amp;""'""))"),"")</f>
        <v/>
      </c>
      <c r="F385" s="5">
        <f t="shared" ca="1" si="2"/>
        <v>0</v>
      </c>
      <c r="G385" s="32" t="str">
        <f ca="1">IFERROR(__xludf.DUMMYFUNCTION("if($F385&gt;=1,QUERY(Loot!$A$2:$G$904,""Select G where A = '""&amp; $E385 &amp;""' AND D &gt;= ""&amp; Q385  &amp;"" LIMIT 1""),)"),"")</f>
        <v/>
      </c>
      <c r="H385" s="61"/>
      <c r="I385" s="32" t="str">
        <f ca="1">IFERROR(__xludf.DUMMYFUNCTION("if($F385&gt;=2,QUERY(Loot!$A$2:$G$904,""Select G where A = '""&amp; $E385 &amp;""' AND D &gt;= ""&amp; R385 &amp;"" LIMIT 1""),)"),"")</f>
        <v/>
      </c>
      <c r="J385" s="61"/>
      <c r="K385" s="32" t="str">
        <f ca="1">IFERROR(__xludf.DUMMYFUNCTION("if($F385&gt;=3,QUERY(Loot!$A$2:$G$904,""Select G where A = '""&amp; $E385 &amp;""' AND D &gt;= ""&amp; S385  &amp;"" LIMIT 1""),)"),"")</f>
        <v/>
      </c>
      <c r="L385" s="61"/>
      <c r="M385" s="32" t="str">
        <f ca="1">IFERROR(__xludf.DUMMYFUNCTION("if($F385&gt;=4,QUERY(Loot!$A$2:$G$904,""Select G where A = '""&amp; $E385 &amp;""' AND D &gt;= ""&amp;T385 &amp;"" LIMIT 1""),)"),"")</f>
        <v/>
      </c>
      <c r="N385" s="61"/>
      <c r="O385" s="32" t="str">
        <f ca="1">IFERROR(__xludf.DUMMYFUNCTION("if($F385&gt;=5,QUERY(Loot!$A$2:$G$904,""Select G where A = '""&amp; $E385 &amp;""' AND D &gt;= ""&amp; U385 &amp;"" LIMIT 1""),)"),"")</f>
        <v/>
      </c>
      <c r="P385" s="61"/>
      <c r="Q385" s="62">
        <v>0.45809620039270882</v>
      </c>
      <c r="R385" s="63">
        <v>0.6373115800760587</v>
      </c>
      <c r="S385" s="63">
        <v>0.31612114290042803</v>
      </c>
      <c r="T385" s="63">
        <v>0.79003560471227674</v>
      </c>
      <c r="U385" s="63">
        <v>0.22609335199608638</v>
      </c>
    </row>
    <row r="386" spans="1:21" ht="16.2">
      <c r="A386" s="5">
        <f t="shared" ca="1" si="3"/>
        <v>385</v>
      </c>
      <c r="B386" s="5" t="str">
        <f ca="1">IFERROR(__xludf.DUMMYFUNCTION("if(ISBLANK(C386),,QUERY(MD!A387:D1385,""Select A where C = '""&amp; C386 &amp;""'""))"),"")</f>
        <v/>
      </c>
      <c r="C386" s="5"/>
      <c r="D386" s="5" t="str">
        <f ca="1">IFERROR(__xludf.DUMMYFUNCTION("if(ISBLANK(C386),,QUERY(MD!$A$2:$D$1000,""Select D where C = '""&amp; C386 &amp;""'""))"),"")</f>
        <v/>
      </c>
      <c r="E386" s="59" t="str">
        <f ca="1">IFERROR(__xludf.DUMMYFUNCTION("if(ISBLANK(C386),,QUERY(MD!$A$2:$D$1000,""Select B where C = '""&amp; C386 &amp;""'""))"),"")</f>
        <v/>
      </c>
      <c r="F386" s="5">
        <f t="shared" ca="1" si="2"/>
        <v>0</v>
      </c>
      <c r="G386" s="32" t="str">
        <f ca="1">IFERROR(__xludf.DUMMYFUNCTION("if($F386&gt;=1,QUERY(Loot!$A$2:$G$904,""Select G where A = '""&amp; $E386 &amp;""' AND D &gt;= ""&amp; Q386  &amp;"" LIMIT 1""),)"),"")</f>
        <v/>
      </c>
      <c r="H386" s="61"/>
      <c r="I386" s="32" t="str">
        <f ca="1">IFERROR(__xludf.DUMMYFUNCTION("if($F386&gt;=2,QUERY(Loot!$A$2:$G$904,""Select G where A = '""&amp; $E386 &amp;""' AND D &gt;= ""&amp; R386 &amp;"" LIMIT 1""),)"),"")</f>
        <v/>
      </c>
      <c r="J386" s="61"/>
      <c r="K386" s="32" t="str">
        <f ca="1">IFERROR(__xludf.DUMMYFUNCTION("if($F386&gt;=3,QUERY(Loot!$A$2:$G$904,""Select G where A = '""&amp; $E386 &amp;""' AND D &gt;= ""&amp; S386  &amp;"" LIMIT 1""),)"),"")</f>
        <v/>
      </c>
      <c r="L386" s="61"/>
      <c r="M386" s="32" t="str">
        <f ca="1">IFERROR(__xludf.DUMMYFUNCTION("if($F386&gt;=4,QUERY(Loot!$A$2:$G$904,""Select G where A = '""&amp; $E386 &amp;""' AND D &gt;= ""&amp;T386 &amp;"" LIMIT 1""),)"),"")</f>
        <v/>
      </c>
      <c r="N386" s="61"/>
      <c r="O386" s="32" t="str">
        <f ca="1">IFERROR(__xludf.DUMMYFUNCTION("if($F386&gt;=5,QUERY(Loot!$A$2:$G$904,""Select G where A = '""&amp; $E386 &amp;""' AND D &gt;= ""&amp; U386 &amp;"" LIMIT 1""),)"),"")</f>
        <v/>
      </c>
      <c r="P386" s="61"/>
      <c r="Q386" s="62">
        <v>0.2022999968272704</v>
      </c>
      <c r="R386" s="63">
        <v>0.22602351890042027</v>
      </c>
      <c r="S386" s="63">
        <v>0.86612065003563521</v>
      </c>
      <c r="T386" s="63">
        <v>0.38990551782860539</v>
      </c>
      <c r="U386" s="63">
        <v>0.27554986471334453</v>
      </c>
    </row>
    <row r="387" spans="1:21" ht="16.2">
      <c r="A387" s="5">
        <f t="shared" ca="1" si="3"/>
        <v>386</v>
      </c>
      <c r="B387" s="5" t="str">
        <f ca="1">IFERROR(__xludf.DUMMYFUNCTION("if(ISBLANK(C387),,QUERY(MD!A388:D1386,""Select A where C = '""&amp; C387 &amp;""'""))"),"")</f>
        <v/>
      </c>
      <c r="C387" s="5"/>
      <c r="D387" s="5" t="str">
        <f ca="1">IFERROR(__xludf.DUMMYFUNCTION("if(ISBLANK(C387),,QUERY(MD!$A$2:$D$1000,""Select D where C = '""&amp; C387 &amp;""'""))"),"")</f>
        <v/>
      </c>
      <c r="E387" s="59" t="str">
        <f ca="1">IFERROR(__xludf.DUMMYFUNCTION("if(ISBLANK(C387),,QUERY(MD!$A$2:$D$1000,""Select B where C = '""&amp; C387 &amp;""'""))"),"")</f>
        <v/>
      </c>
      <c r="F387" s="5">
        <f t="shared" ca="1" si="2"/>
        <v>0</v>
      </c>
      <c r="G387" s="32" t="str">
        <f ca="1">IFERROR(__xludf.DUMMYFUNCTION("if($F387&gt;=1,QUERY(Loot!$A$2:$G$904,""Select G where A = '""&amp; $E387 &amp;""' AND D &gt;= ""&amp; Q387  &amp;"" LIMIT 1""),)"),"")</f>
        <v/>
      </c>
      <c r="H387" s="61"/>
      <c r="I387" s="32" t="str">
        <f ca="1">IFERROR(__xludf.DUMMYFUNCTION("if($F387&gt;=2,QUERY(Loot!$A$2:$G$904,""Select G where A = '""&amp; $E387 &amp;""' AND D &gt;= ""&amp; R387 &amp;"" LIMIT 1""),)"),"")</f>
        <v/>
      </c>
      <c r="J387" s="61"/>
      <c r="K387" s="32" t="str">
        <f ca="1">IFERROR(__xludf.DUMMYFUNCTION("if($F387&gt;=3,QUERY(Loot!$A$2:$G$904,""Select G where A = '""&amp; $E387 &amp;""' AND D &gt;= ""&amp; S387  &amp;"" LIMIT 1""),)"),"")</f>
        <v/>
      </c>
      <c r="L387" s="61"/>
      <c r="M387" s="32" t="str">
        <f ca="1">IFERROR(__xludf.DUMMYFUNCTION("if($F387&gt;=4,QUERY(Loot!$A$2:$G$904,""Select G where A = '""&amp; $E387 &amp;""' AND D &gt;= ""&amp;T387 &amp;"" LIMIT 1""),)"),"")</f>
        <v/>
      </c>
      <c r="N387" s="61"/>
      <c r="O387" s="32" t="str">
        <f ca="1">IFERROR(__xludf.DUMMYFUNCTION("if($F387&gt;=5,QUERY(Loot!$A$2:$G$904,""Select G where A = '""&amp; $E387 &amp;""' AND D &gt;= ""&amp; U387 &amp;"" LIMIT 1""),)"),"")</f>
        <v/>
      </c>
      <c r="P387" s="61"/>
      <c r="Q387" s="62">
        <v>0.87157877109637139</v>
      </c>
      <c r="R387" s="63">
        <v>0.68507680289202921</v>
      </c>
      <c r="S387" s="63">
        <v>0.891314733949639</v>
      </c>
      <c r="T387" s="63">
        <v>7.1567131215398039E-2</v>
      </c>
      <c r="U387" s="63">
        <v>0.74861806774212547</v>
      </c>
    </row>
    <row r="388" spans="1:21" ht="16.2">
      <c r="A388" s="5">
        <f t="shared" ca="1" si="3"/>
        <v>387</v>
      </c>
      <c r="B388" s="5" t="str">
        <f ca="1">IFERROR(__xludf.DUMMYFUNCTION("if(ISBLANK(C388),,QUERY(MD!A389:D1387,""Select A where C = '""&amp; C388 &amp;""'""))"),"")</f>
        <v/>
      </c>
      <c r="C388" s="5"/>
      <c r="D388" s="5" t="str">
        <f ca="1">IFERROR(__xludf.DUMMYFUNCTION("if(ISBLANK(C388),,QUERY(MD!$A$2:$D$1000,""Select D where C = '""&amp; C388 &amp;""'""))"),"")</f>
        <v/>
      </c>
      <c r="E388" s="59" t="str">
        <f ca="1">IFERROR(__xludf.DUMMYFUNCTION("if(ISBLANK(C388),,QUERY(MD!$A$2:$D$1000,""Select B where C = '""&amp; C388 &amp;""'""))"),"")</f>
        <v/>
      </c>
      <c r="F388" s="5">
        <f t="shared" ca="1" si="2"/>
        <v>0</v>
      </c>
      <c r="G388" s="32" t="str">
        <f ca="1">IFERROR(__xludf.DUMMYFUNCTION("if($F388&gt;=1,QUERY(Loot!$A$2:$G$904,""Select G where A = '""&amp; $E388 &amp;""' AND D &gt;= ""&amp; Q388  &amp;"" LIMIT 1""),)"),"")</f>
        <v/>
      </c>
      <c r="H388" s="61"/>
      <c r="I388" s="32" t="str">
        <f ca="1">IFERROR(__xludf.DUMMYFUNCTION("if($F388&gt;=2,QUERY(Loot!$A$2:$G$904,""Select G where A = '""&amp; $E388 &amp;""' AND D &gt;= ""&amp; R388 &amp;"" LIMIT 1""),)"),"")</f>
        <v/>
      </c>
      <c r="J388" s="61"/>
      <c r="K388" s="32" t="str">
        <f ca="1">IFERROR(__xludf.DUMMYFUNCTION("if($F388&gt;=3,QUERY(Loot!$A$2:$G$904,""Select G where A = '""&amp; $E388 &amp;""' AND D &gt;= ""&amp; S388  &amp;"" LIMIT 1""),)"),"")</f>
        <v/>
      </c>
      <c r="L388" s="61"/>
      <c r="M388" s="32" t="str">
        <f ca="1">IFERROR(__xludf.DUMMYFUNCTION("if($F388&gt;=4,QUERY(Loot!$A$2:$G$904,""Select G where A = '""&amp; $E388 &amp;""' AND D &gt;= ""&amp;T388 &amp;"" LIMIT 1""),)"),"")</f>
        <v/>
      </c>
      <c r="N388" s="61"/>
      <c r="O388" s="32" t="str">
        <f ca="1">IFERROR(__xludf.DUMMYFUNCTION("if($F388&gt;=5,QUERY(Loot!$A$2:$G$904,""Select G where A = '""&amp; $E388 &amp;""' AND D &gt;= ""&amp; U388 &amp;"" LIMIT 1""),)"),"")</f>
        <v/>
      </c>
      <c r="P388" s="61"/>
      <c r="Q388" s="62">
        <v>0.80221824230325223</v>
      </c>
      <c r="R388" s="63">
        <v>0.95972121120365639</v>
      </c>
      <c r="S388" s="63">
        <v>0.9538805672493752</v>
      </c>
      <c r="T388" s="63">
        <v>0.37988165206342261</v>
      </c>
      <c r="U388" s="63">
        <v>0.97574296842724528</v>
      </c>
    </row>
    <row r="389" spans="1:21" ht="16.2">
      <c r="A389" s="5">
        <f t="shared" ca="1" si="3"/>
        <v>388</v>
      </c>
      <c r="B389" s="5" t="str">
        <f ca="1">IFERROR(__xludf.DUMMYFUNCTION("if(ISBLANK(C389),,QUERY(MD!A390:D1388,""Select A where C = '""&amp; C389 &amp;""'""))"),"")</f>
        <v/>
      </c>
      <c r="C389" s="5"/>
      <c r="D389" s="5" t="str">
        <f ca="1">IFERROR(__xludf.DUMMYFUNCTION("if(ISBLANK(C389),,QUERY(MD!$A$2:$D$1000,""Select D where C = '""&amp; C389 &amp;""'""))"),"")</f>
        <v/>
      </c>
      <c r="E389" s="59" t="str">
        <f ca="1">IFERROR(__xludf.DUMMYFUNCTION("if(ISBLANK(C389),,QUERY(MD!$A$2:$D$1000,""Select B where C = '""&amp; C389 &amp;""'""))"),"")</f>
        <v/>
      </c>
      <c r="F389" s="5">
        <f t="shared" ca="1" si="2"/>
        <v>0</v>
      </c>
      <c r="G389" s="32" t="str">
        <f ca="1">IFERROR(__xludf.DUMMYFUNCTION("if($F389&gt;=1,QUERY(Loot!$A$2:$G$904,""Select G where A = '""&amp; $E389 &amp;""' AND D &gt;= ""&amp; Q389  &amp;"" LIMIT 1""),)"),"")</f>
        <v/>
      </c>
      <c r="H389" s="61"/>
      <c r="I389" s="32" t="str">
        <f ca="1">IFERROR(__xludf.DUMMYFUNCTION("if($F389&gt;=2,QUERY(Loot!$A$2:$G$904,""Select G where A = '""&amp; $E389 &amp;""' AND D &gt;= ""&amp; R389 &amp;"" LIMIT 1""),)"),"")</f>
        <v/>
      </c>
      <c r="J389" s="61"/>
      <c r="K389" s="32" t="str">
        <f ca="1">IFERROR(__xludf.DUMMYFUNCTION("if($F389&gt;=3,QUERY(Loot!$A$2:$G$904,""Select G where A = '""&amp; $E389 &amp;""' AND D &gt;= ""&amp; S389  &amp;"" LIMIT 1""),)"),"")</f>
        <v/>
      </c>
      <c r="L389" s="61"/>
      <c r="M389" s="32" t="str">
        <f ca="1">IFERROR(__xludf.DUMMYFUNCTION("if($F389&gt;=4,QUERY(Loot!$A$2:$G$904,""Select G where A = '""&amp; $E389 &amp;""' AND D &gt;= ""&amp;T389 &amp;"" LIMIT 1""),)"),"")</f>
        <v/>
      </c>
      <c r="N389" s="61"/>
      <c r="O389" s="32" t="str">
        <f ca="1">IFERROR(__xludf.DUMMYFUNCTION("if($F389&gt;=5,QUERY(Loot!$A$2:$G$904,""Select G where A = '""&amp; $E389 &amp;""' AND D &gt;= ""&amp; U389 &amp;"" LIMIT 1""),)"),"")</f>
        <v/>
      </c>
      <c r="P389" s="61"/>
      <c r="Q389" s="62">
        <v>0.98452989942016378</v>
      </c>
      <c r="R389" s="63">
        <v>0.53252534956245734</v>
      </c>
      <c r="S389" s="63">
        <v>0.79585000654613702</v>
      </c>
      <c r="T389" s="63">
        <v>0.76931701907923</v>
      </c>
      <c r="U389" s="63">
        <v>8.9419281190256994E-2</v>
      </c>
    </row>
    <row r="390" spans="1:21" ht="16.2">
      <c r="A390" s="5">
        <f t="shared" ca="1" si="3"/>
        <v>389</v>
      </c>
      <c r="B390" s="5" t="str">
        <f ca="1">IFERROR(__xludf.DUMMYFUNCTION("if(ISBLANK(C390),,QUERY(MD!A391:D1389,""Select A where C = '""&amp; C390 &amp;""'""))"),"")</f>
        <v/>
      </c>
      <c r="C390" s="5"/>
      <c r="D390" s="5" t="str">
        <f ca="1">IFERROR(__xludf.DUMMYFUNCTION("if(ISBLANK(C390),,QUERY(MD!$A$2:$D$1000,""Select D where C = '""&amp; C390 &amp;""'""))"),"")</f>
        <v/>
      </c>
      <c r="E390" s="59" t="str">
        <f ca="1">IFERROR(__xludf.DUMMYFUNCTION("if(ISBLANK(C390),,QUERY(MD!$A$2:$D$1000,""Select B where C = '""&amp; C390 &amp;""'""))"),"")</f>
        <v/>
      </c>
      <c r="F390" s="5">
        <f t="shared" ca="1" si="2"/>
        <v>0</v>
      </c>
      <c r="G390" s="32" t="str">
        <f ca="1">IFERROR(__xludf.DUMMYFUNCTION("if($F390&gt;=1,QUERY(Loot!$A$2:$G$904,""Select G where A = '""&amp; $E390 &amp;""' AND D &gt;= ""&amp; Q390  &amp;"" LIMIT 1""),)"),"")</f>
        <v/>
      </c>
      <c r="H390" s="61"/>
      <c r="I390" s="32" t="str">
        <f ca="1">IFERROR(__xludf.DUMMYFUNCTION("if($F390&gt;=2,QUERY(Loot!$A$2:$G$904,""Select G where A = '""&amp; $E390 &amp;""' AND D &gt;= ""&amp; R390 &amp;"" LIMIT 1""),)"),"")</f>
        <v/>
      </c>
      <c r="J390" s="61"/>
      <c r="K390" s="32" t="str">
        <f ca="1">IFERROR(__xludf.DUMMYFUNCTION("if($F390&gt;=3,QUERY(Loot!$A$2:$G$904,""Select G where A = '""&amp; $E390 &amp;""' AND D &gt;= ""&amp; S390  &amp;"" LIMIT 1""),)"),"")</f>
        <v/>
      </c>
      <c r="L390" s="61"/>
      <c r="M390" s="32" t="str">
        <f ca="1">IFERROR(__xludf.DUMMYFUNCTION("if($F390&gt;=4,QUERY(Loot!$A$2:$G$904,""Select G where A = '""&amp; $E390 &amp;""' AND D &gt;= ""&amp;T390 &amp;"" LIMIT 1""),)"),"")</f>
        <v/>
      </c>
      <c r="N390" s="61"/>
      <c r="O390" s="32" t="str">
        <f ca="1">IFERROR(__xludf.DUMMYFUNCTION("if($F390&gt;=5,QUERY(Loot!$A$2:$G$904,""Select G where A = '""&amp; $E390 &amp;""' AND D &gt;= ""&amp; U390 &amp;"" LIMIT 1""),)"),"")</f>
        <v/>
      </c>
      <c r="P390" s="61"/>
      <c r="Q390" s="62">
        <v>0.27802208425512764</v>
      </c>
      <c r="R390" s="63">
        <v>0.47662789392347327</v>
      </c>
      <c r="S390" s="63">
        <v>0.86062259387632489</v>
      </c>
      <c r="T390" s="63">
        <v>0.10090590068350425</v>
      </c>
      <c r="U390" s="63">
        <v>0.93337635965066268</v>
      </c>
    </row>
    <row r="391" spans="1:21" ht="16.2">
      <c r="A391" s="5">
        <f t="shared" ca="1" si="3"/>
        <v>390</v>
      </c>
      <c r="B391" s="5" t="str">
        <f ca="1">IFERROR(__xludf.DUMMYFUNCTION("if(ISBLANK(C391),,QUERY(MD!A392:D1390,""Select A where C = '""&amp; C391 &amp;""'""))"),"")</f>
        <v/>
      </c>
      <c r="C391" s="5"/>
      <c r="D391" s="5" t="str">
        <f ca="1">IFERROR(__xludf.DUMMYFUNCTION("if(ISBLANK(C391),,QUERY(MD!$A$2:$D$1000,""Select D where C = '""&amp; C391 &amp;""'""))"),"")</f>
        <v/>
      </c>
      <c r="E391" s="59" t="str">
        <f ca="1">IFERROR(__xludf.DUMMYFUNCTION("if(ISBLANK(C391),,QUERY(MD!$A$2:$D$1000,""Select B where C = '""&amp; C391 &amp;""'""))"),"")</f>
        <v/>
      </c>
      <c r="F391" s="5">
        <f t="shared" ca="1" si="2"/>
        <v>0</v>
      </c>
      <c r="G391" s="32" t="str">
        <f ca="1">IFERROR(__xludf.DUMMYFUNCTION("if($F391&gt;=1,QUERY(Loot!$A$2:$G$904,""Select G where A = '""&amp; $E391 &amp;""' AND D &gt;= ""&amp; Q391  &amp;"" LIMIT 1""),)"),"")</f>
        <v/>
      </c>
      <c r="H391" s="61"/>
      <c r="I391" s="32" t="str">
        <f ca="1">IFERROR(__xludf.DUMMYFUNCTION("if($F391&gt;=2,QUERY(Loot!$A$2:$G$904,""Select G where A = '""&amp; $E391 &amp;""' AND D &gt;= ""&amp; R391 &amp;"" LIMIT 1""),)"),"")</f>
        <v/>
      </c>
      <c r="J391" s="61"/>
      <c r="K391" s="32" t="str">
        <f ca="1">IFERROR(__xludf.DUMMYFUNCTION("if($F391&gt;=3,QUERY(Loot!$A$2:$G$904,""Select G where A = '""&amp; $E391 &amp;""' AND D &gt;= ""&amp; S391  &amp;"" LIMIT 1""),)"),"")</f>
        <v/>
      </c>
      <c r="L391" s="61"/>
      <c r="M391" s="32" t="str">
        <f ca="1">IFERROR(__xludf.DUMMYFUNCTION("if($F391&gt;=4,QUERY(Loot!$A$2:$G$904,""Select G where A = '""&amp; $E391 &amp;""' AND D &gt;= ""&amp;T391 &amp;"" LIMIT 1""),)"),"")</f>
        <v/>
      </c>
      <c r="N391" s="61"/>
      <c r="O391" s="32" t="str">
        <f ca="1">IFERROR(__xludf.DUMMYFUNCTION("if($F391&gt;=5,QUERY(Loot!$A$2:$G$904,""Select G where A = '""&amp; $E391 &amp;""' AND D &gt;= ""&amp; U391 &amp;"" LIMIT 1""),)"),"")</f>
        <v/>
      </c>
      <c r="P391" s="61"/>
      <c r="Q391" s="62">
        <v>1.8095501483705423E-2</v>
      </c>
      <c r="R391" s="63">
        <v>0.52147714311518389</v>
      </c>
      <c r="S391" s="63">
        <v>0.75303207307271969</v>
      </c>
      <c r="T391" s="63">
        <v>0.19409977953407798</v>
      </c>
      <c r="U391" s="63">
        <v>7.557965169707126E-2</v>
      </c>
    </row>
    <row r="392" spans="1:21" ht="16.2">
      <c r="A392" s="5">
        <f t="shared" ca="1" si="3"/>
        <v>391</v>
      </c>
      <c r="B392" s="5" t="str">
        <f ca="1">IFERROR(__xludf.DUMMYFUNCTION("if(ISBLANK(C392),,QUERY(MD!A393:D1391,""Select A where C = '""&amp; C392 &amp;""'""))"),"")</f>
        <v/>
      </c>
      <c r="C392" s="5"/>
      <c r="D392" s="5" t="str">
        <f ca="1">IFERROR(__xludf.DUMMYFUNCTION("if(ISBLANK(C392),,QUERY(MD!$A$2:$D$1000,""Select D where C = '""&amp; C392 &amp;""'""))"),"")</f>
        <v/>
      </c>
      <c r="E392" s="59" t="str">
        <f ca="1">IFERROR(__xludf.DUMMYFUNCTION("if(ISBLANK(C392),,QUERY(MD!$A$2:$D$1000,""Select B where C = '""&amp; C392 &amp;""'""))"),"")</f>
        <v/>
      </c>
      <c r="F392" s="5">
        <f t="shared" ca="1" si="2"/>
        <v>0</v>
      </c>
      <c r="G392" s="32" t="str">
        <f ca="1">IFERROR(__xludf.DUMMYFUNCTION("if($F392&gt;=1,QUERY(Loot!$A$2:$G$904,""Select G where A = '""&amp; $E392 &amp;""' AND D &gt;= ""&amp; Q392  &amp;"" LIMIT 1""),)"),"")</f>
        <v/>
      </c>
      <c r="H392" s="61"/>
      <c r="I392" s="32" t="str">
        <f ca="1">IFERROR(__xludf.DUMMYFUNCTION("if($F392&gt;=2,QUERY(Loot!$A$2:$G$904,""Select G where A = '""&amp; $E392 &amp;""' AND D &gt;= ""&amp; R392 &amp;"" LIMIT 1""),)"),"")</f>
        <v/>
      </c>
      <c r="J392" s="61"/>
      <c r="K392" s="32" t="str">
        <f ca="1">IFERROR(__xludf.DUMMYFUNCTION("if($F392&gt;=3,QUERY(Loot!$A$2:$G$904,""Select G where A = '""&amp; $E392 &amp;""' AND D &gt;= ""&amp; S392  &amp;"" LIMIT 1""),)"),"")</f>
        <v/>
      </c>
      <c r="L392" s="61"/>
      <c r="M392" s="32" t="str">
        <f ca="1">IFERROR(__xludf.DUMMYFUNCTION("if($F392&gt;=4,QUERY(Loot!$A$2:$G$904,""Select G where A = '""&amp; $E392 &amp;""' AND D &gt;= ""&amp;T392 &amp;"" LIMIT 1""),)"),"")</f>
        <v/>
      </c>
      <c r="N392" s="61"/>
      <c r="O392" s="32" t="str">
        <f ca="1">IFERROR(__xludf.DUMMYFUNCTION("if($F392&gt;=5,QUERY(Loot!$A$2:$G$904,""Select G where A = '""&amp; $E392 &amp;""' AND D &gt;= ""&amp; U392 &amp;"" LIMIT 1""),)"),"")</f>
        <v/>
      </c>
      <c r="P392" s="61"/>
      <c r="Q392" s="62">
        <v>0.68923142255034764</v>
      </c>
      <c r="R392" s="63">
        <v>0.65066792042246535</v>
      </c>
      <c r="S392" s="63">
        <v>9.5980425399377234E-2</v>
      </c>
      <c r="T392" s="63">
        <v>0.45958745514331323</v>
      </c>
      <c r="U392" s="63">
        <v>0.28450636314771371</v>
      </c>
    </row>
    <row r="393" spans="1:21" ht="16.2">
      <c r="A393" s="5">
        <f t="shared" ca="1" si="3"/>
        <v>392</v>
      </c>
      <c r="B393" s="5" t="str">
        <f ca="1">IFERROR(__xludf.DUMMYFUNCTION("if(ISBLANK(C393),,QUERY(MD!A394:D1392,""Select A where C = '""&amp; C393 &amp;""'""))"),"")</f>
        <v/>
      </c>
      <c r="C393" s="5"/>
      <c r="D393" s="5" t="str">
        <f ca="1">IFERROR(__xludf.DUMMYFUNCTION("if(ISBLANK(C393),,QUERY(MD!$A$2:$D$1000,""Select D where C = '""&amp; C393 &amp;""'""))"),"")</f>
        <v/>
      </c>
      <c r="E393" s="59" t="str">
        <f ca="1">IFERROR(__xludf.DUMMYFUNCTION("if(ISBLANK(C393),,QUERY(MD!$A$2:$D$1000,""Select B where C = '""&amp; C393 &amp;""'""))"),"")</f>
        <v/>
      </c>
      <c r="F393" s="5">
        <f t="shared" ca="1" si="2"/>
        <v>0</v>
      </c>
      <c r="G393" s="32" t="str">
        <f ca="1">IFERROR(__xludf.DUMMYFUNCTION("if($F393&gt;=1,QUERY(Loot!$A$2:$G$904,""Select G where A = '""&amp; $E393 &amp;""' AND D &gt;= ""&amp; Q393  &amp;"" LIMIT 1""),)"),"")</f>
        <v/>
      </c>
      <c r="H393" s="61"/>
      <c r="I393" s="32" t="str">
        <f ca="1">IFERROR(__xludf.DUMMYFUNCTION("if($F393&gt;=2,QUERY(Loot!$A$2:$G$904,""Select G where A = '""&amp; $E393 &amp;""' AND D &gt;= ""&amp; R393 &amp;"" LIMIT 1""),)"),"")</f>
        <v/>
      </c>
      <c r="J393" s="61"/>
      <c r="K393" s="32" t="str">
        <f ca="1">IFERROR(__xludf.DUMMYFUNCTION("if($F393&gt;=3,QUERY(Loot!$A$2:$G$904,""Select G where A = '""&amp; $E393 &amp;""' AND D &gt;= ""&amp; S393  &amp;"" LIMIT 1""),)"),"")</f>
        <v/>
      </c>
      <c r="L393" s="61"/>
      <c r="M393" s="32" t="str">
        <f ca="1">IFERROR(__xludf.DUMMYFUNCTION("if($F393&gt;=4,QUERY(Loot!$A$2:$G$904,""Select G where A = '""&amp; $E393 &amp;""' AND D &gt;= ""&amp;T393 &amp;"" LIMIT 1""),)"),"")</f>
        <v/>
      </c>
      <c r="N393" s="61"/>
      <c r="O393" s="32" t="str">
        <f ca="1">IFERROR(__xludf.DUMMYFUNCTION("if($F393&gt;=5,QUERY(Loot!$A$2:$G$904,""Select G where A = '""&amp; $E393 &amp;""' AND D &gt;= ""&amp; U393 &amp;"" LIMIT 1""),)"),"")</f>
        <v/>
      </c>
      <c r="P393" s="61"/>
      <c r="Q393" s="62">
        <v>0.72583371127666496</v>
      </c>
      <c r="R393" s="63">
        <v>0.30130702573681978</v>
      </c>
      <c r="S393" s="63">
        <v>0.61068376862415752</v>
      </c>
      <c r="T393" s="63">
        <v>0.94693019435222781</v>
      </c>
      <c r="U393" s="63">
        <v>0.66461165713438086</v>
      </c>
    </row>
    <row r="394" spans="1:21" ht="16.2">
      <c r="A394" s="5">
        <f t="shared" ca="1" si="3"/>
        <v>393</v>
      </c>
      <c r="B394" s="5" t="str">
        <f ca="1">IFERROR(__xludf.DUMMYFUNCTION("if(ISBLANK(C394),,QUERY(MD!A395:D1393,""Select A where C = '""&amp; C394 &amp;""'""))"),"")</f>
        <v/>
      </c>
      <c r="C394" s="5"/>
      <c r="D394" s="5" t="str">
        <f ca="1">IFERROR(__xludf.DUMMYFUNCTION("if(ISBLANK(C394),,QUERY(MD!$A$2:$D$1000,""Select D where C = '""&amp; C394 &amp;""'""))"),"")</f>
        <v/>
      </c>
      <c r="E394" s="59" t="str">
        <f ca="1">IFERROR(__xludf.DUMMYFUNCTION("if(ISBLANK(C394),,QUERY(MD!$A$2:$D$1000,""Select B where C = '""&amp; C394 &amp;""'""))"),"")</f>
        <v/>
      </c>
      <c r="F394" s="5">
        <f t="shared" ca="1" si="2"/>
        <v>0</v>
      </c>
      <c r="G394" s="32" t="str">
        <f ca="1">IFERROR(__xludf.DUMMYFUNCTION("if($F394&gt;=1,QUERY(Loot!$A$2:$G$904,""Select G where A = '""&amp; $E394 &amp;""' AND D &gt;= ""&amp; Q394  &amp;"" LIMIT 1""),)"),"")</f>
        <v/>
      </c>
      <c r="H394" s="61"/>
      <c r="I394" s="32" t="str">
        <f ca="1">IFERROR(__xludf.DUMMYFUNCTION("if($F394&gt;=2,QUERY(Loot!$A$2:$G$904,""Select G where A = '""&amp; $E394 &amp;""' AND D &gt;= ""&amp; R394 &amp;"" LIMIT 1""),)"),"")</f>
        <v/>
      </c>
      <c r="J394" s="61"/>
      <c r="K394" s="32" t="str">
        <f ca="1">IFERROR(__xludf.DUMMYFUNCTION("if($F394&gt;=3,QUERY(Loot!$A$2:$G$904,""Select G where A = '""&amp; $E394 &amp;""' AND D &gt;= ""&amp; S394  &amp;"" LIMIT 1""),)"),"")</f>
        <v/>
      </c>
      <c r="L394" s="61"/>
      <c r="M394" s="32" t="str">
        <f ca="1">IFERROR(__xludf.DUMMYFUNCTION("if($F394&gt;=4,QUERY(Loot!$A$2:$G$904,""Select G where A = '""&amp; $E394 &amp;""' AND D &gt;= ""&amp;T394 &amp;"" LIMIT 1""),)"),"")</f>
        <v/>
      </c>
      <c r="N394" s="61"/>
      <c r="O394" s="32" t="str">
        <f ca="1">IFERROR(__xludf.DUMMYFUNCTION("if($F394&gt;=5,QUERY(Loot!$A$2:$G$904,""Select G where A = '""&amp; $E394 &amp;""' AND D &gt;= ""&amp; U394 &amp;"" LIMIT 1""),)"),"")</f>
        <v/>
      </c>
      <c r="P394" s="61"/>
      <c r="Q394" s="62">
        <v>6.4777550374869319E-3</v>
      </c>
      <c r="R394" s="63">
        <v>6.4382546080519187E-2</v>
      </c>
      <c r="S394" s="63">
        <v>0.15838872454203767</v>
      </c>
      <c r="T394" s="63">
        <v>5.6631087983738171E-2</v>
      </c>
      <c r="U394" s="63">
        <v>0.50740100864887361</v>
      </c>
    </row>
    <row r="395" spans="1:21" ht="16.2">
      <c r="A395" s="5">
        <f t="shared" ca="1" si="3"/>
        <v>394</v>
      </c>
      <c r="B395" s="5" t="str">
        <f ca="1">IFERROR(__xludf.DUMMYFUNCTION("if(ISBLANK(C395),,QUERY(MD!A396:D1394,""Select A where C = '""&amp; C395 &amp;""'""))"),"")</f>
        <v/>
      </c>
      <c r="C395" s="5"/>
      <c r="D395" s="5" t="str">
        <f ca="1">IFERROR(__xludf.DUMMYFUNCTION("if(ISBLANK(C395),,QUERY(MD!$A$2:$D$1000,""Select D where C = '""&amp; C395 &amp;""'""))"),"")</f>
        <v/>
      </c>
      <c r="E395" s="59" t="str">
        <f ca="1">IFERROR(__xludf.DUMMYFUNCTION("if(ISBLANK(C395),,QUERY(MD!$A$2:$D$1000,""Select B where C = '""&amp; C395 &amp;""'""))"),"")</f>
        <v/>
      </c>
      <c r="F395" s="5">
        <f t="shared" ca="1" si="2"/>
        <v>0</v>
      </c>
      <c r="G395" s="32" t="str">
        <f ca="1">IFERROR(__xludf.DUMMYFUNCTION("if($F395&gt;=1,QUERY(Loot!$A$2:$G$904,""Select G where A = '""&amp; $E395 &amp;""' AND D &gt;= ""&amp; Q395  &amp;"" LIMIT 1""),)"),"")</f>
        <v/>
      </c>
      <c r="H395" s="61"/>
      <c r="I395" s="32" t="str">
        <f ca="1">IFERROR(__xludf.DUMMYFUNCTION("if($F395&gt;=2,QUERY(Loot!$A$2:$G$904,""Select G where A = '""&amp; $E395 &amp;""' AND D &gt;= ""&amp; R395 &amp;"" LIMIT 1""),)"),"")</f>
        <v/>
      </c>
      <c r="J395" s="61"/>
      <c r="K395" s="32" t="str">
        <f ca="1">IFERROR(__xludf.DUMMYFUNCTION("if($F395&gt;=3,QUERY(Loot!$A$2:$G$904,""Select G where A = '""&amp; $E395 &amp;""' AND D &gt;= ""&amp; S395  &amp;"" LIMIT 1""),)"),"")</f>
        <v/>
      </c>
      <c r="L395" s="61"/>
      <c r="M395" s="32" t="str">
        <f ca="1">IFERROR(__xludf.DUMMYFUNCTION("if($F395&gt;=4,QUERY(Loot!$A$2:$G$904,""Select G where A = '""&amp; $E395 &amp;""' AND D &gt;= ""&amp;T395 &amp;"" LIMIT 1""),)"),"")</f>
        <v/>
      </c>
      <c r="N395" s="61"/>
      <c r="O395" s="32" t="str">
        <f ca="1">IFERROR(__xludf.DUMMYFUNCTION("if($F395&gt;=5,QUERY(Loot!$A$2:$G$904,""Select G where A = '""&amp; $E395 &amp;""' AND D &gt;= ""&amp; U395 &amp;"" LIMIT 1""),)"),"")</f>
        <v/>
      </c>
      <c r="P395" s="61"/>
      <c r="Q395" s="62">
        <v>0.93196191400227302</v>
      </c>
      <c r="R395" s="63">
        <v>0.80240327646265852</v>
      </c>
      <c r="S395" s="63">
        <v>0.82477453435735526</v>
      </c>
      <c r="T395" s="63">
        <v>0.55382250654527831</v>
      </c>
      <c r="U395" s="63">
        <v>0.86940110772744617</v>
      </c>
    </row>
    <row r="396" spans="1:21" ht="16.2">
      <c r="A396" s="5">
        <f t="shared" ca="1" si="3"/>
        <v>395</v>
      </c>
      <c r="B396" s="5" t="str">
        <f ca="1">IFERROR(__xludf.DUMMYFUNCTION("if(ISBLANK(C396),,QUERY(MD!A397:D1395,""Select A where C = '""&amp; C396 &amp;""'""))"),"")</f>
        <v/>
      </c>
      <c r="C396" s="5"/>
      <c r="D396" s="5" t="str">
        <f ca="1">IFERROR(__xludf.DUMMYFUNCTION("if(ISBLANK(C396),,QUERY(MD!$A$2:$D$1000,""Select D where C = '""&amp; C396 &amp;""'""))"),"")</f>
        <v/>
      </c>
      <c r="E396" s="59" t="str">
        <f ca="1">IFERROR(__xludf.DUMMYFUNCTION("if(ISBLANK(C396),,QUERY(MD!$A$2:$D$1000,""Select B where C = '""&amp; C396 &amp;""'""))"),"")</f>
        <v/>
      </c>
      <c r="F396" s="5">
        <f t="shared" ca="1" si="2"/>
        <v>0</v>
      </c>
      <c r="G396" s="32" t="str">
        <f ca="1">IFERROR(__xludf.DUMMYFUNCTION("if($F396&gt;=1,QUERY(Loot!$A$2:$G$904,""Select G where A = '""&amp; $E396 &amp;""' AND D &gt;= ""&amp; Q396  &amp;"" LIMIT 1""),)"),"")</f>
        <v/>
      </c>
      <c r="H396" s="61"/>
      <c r="I396" s="32" t="str">
        <f ca="1">IFERROR(__xludf.DUMMYFUNCTION("if($F396&gt;=2,QUERY(Loot!$A$2:$G$904,""Select G where A = '""&amp; $E396 &amp;""' AND D &gt;= ""&amp; R396 &amp;"" LIMIT 1""),)"),"")</f>
        <v/>
      </c>
      <c r="J396" s="61"/>
      <c r="K396" s="32" t="str">
        <f ca="1">IFERROR(__xludf.DUMMYFUNCTION("if($F396&gt;=3,QUERY(Loot!$A$2:$G$904,""Select G where A = '""&amp; $E396 &amp;""' AND D &gt;= ""&amp; S396  &amp;"" LIMIT 1""),)"),"")</f>
        <v/>
      </c>
      <c r="L396" s="61"/>
      <c r="M396" s="32" t="str">
        <f ca="1">IFERROR(__xludf.DUMMYFUNCTION("if($F396&gt;=4,QUERY(Loot!$A$2:$G$904,""Select G where A = '""&amp; $E396 &amp;""' AND D &gt;= ""&amp;T396 &amp;"" LIMIT 1""),)"),"")</f>
        <v/>
      </c>
      <c r="N396" s="61"/>
      <c r="O396" s="32" t="str">
        <f ca="1">IFERROR(__xludf.DUMMYFUNCTION("if($F396&gt;=5,QUERY(Loot!$A$2:$G$904,""Select G where A = '""&amp; $E396 &amp;""' AND D &gt;= ""&amp; U396 &amp;"" LIMIT 1""),)"),"")</f>
        <v/>
      </c>
      <c r="P396" s="61"/>
      <c r="Q396" s="62">
        <v>0.56860236443373979</v>
      </c>
      <c r="R396" s="63">
        <v>0.82966666683289858</v>
      </c>
      <c r="S396" s="63">
        <v>0.49968894094569893</v>
      </c>
      <c r="T396" s="63">
        <v>0.48417683337738859</v>
      </c>
      <c r="U396" s="63">
        <v>0.25285466478849505</v>
      </c>
    </row>
    <row r="397" spans="1:21" ht="16.2">
      <c r="A397" s="5">
        <f t="shared" ca="1" si="3"/>
        <v>396</v>
      </c>
      <c r="B397" s="5" t="str">
        <f ca="1">IFERROR(__xludf.DUMMYFUNCTION("if(ISBLANK(C397),,QUERY(MD!A398:D1396,""Select A where C = '""&amp; C397 &amp;""'""))"),"")</f>
        <v/>
      </c>
      <c r="C397" s="5"/>
      <c r="D397" s="5" t="str">
        <f ca="1">IFERROR(__xludf.DUMMYFUNCTION("if(ISBLANK(C397),,QUERY(MD!$A$2:$D$1000,""Select D where C = '""&amp; C397 &amp;""'""))"),"")</f>
        <v/>
      </c>
      <c r="E397" s="59" t="str">
        <f ca="1">IFERROR(__xludf.DUMMYFUNCTION("if(ISBLANK(C397),,QUERY(MD!$A$2:$D$1000,""Select B where C = '""&amp; C397 &amp;""'""))"),"")</f>
        <v/>
      </c>
      <c r="F397" s="5">
        <f t="shared" ca="1" si="2"/>
        <v>0</v>
      </c>
      <c r="G397" s="32" t="str">
        <f ca="1">IFERROR(__xludf.DUMMYFUNCTION("if($F397&gt;=1,QUERY(Loot!$A$2:$G$904,""Select G where A = '""&amp; $E397 &amp;""' AND D &gt;= ""&amp; Q397  &amp;"" LIMIT 1""),)"),"")</f>
        <v/>
      </c>
      <c r="H397" s="61"/>
      <c r="I397" s="32" t="str">
        <f ca="1">IFERROR(__xludf.DUMMYFUNCTION("if($F397&gt;=2,QUERY(Loot!$A$2:$G$904,""Select G where A = '""&amp; $E397 &amp;""' AND D &gt;= ""&amp; R397 &amp;"" LIMIT 1""),)"),"")</f>
        <v/>
      </c>
      <c r="J397" s="61"/>
      <c r="K397" s="32" t="str">
        <f ca="1">IFERROR(__xludf.DUMMYFUNCTION("if($F397&gt;=3,QUERY(Loot!$A$2:$G$904,""Select G where A = '""&amp; $E397 &amp;""' AND D &gt;= ""&amp; S397  &amp;"" LIMIT 1""),)"),"")</f>
        <v/>
      </c>
      <c r="L397" s="61"/>
      <c r="M397" s="32" t="str">
        <f ca="1">IFERROR(__xludf.DUMMYFUNCTION("if($F397&gt;=4,QUERY(Loot!$A$2:$G$904,""Select G where A = '""&amp; $E397 &amp;""' AND D &gt;= ""&amp;T397 &amp;"" LIMIT 1""),)"),"")</f>
        <v/>
      </c>
      <c r="N397" s="61"/>
      <c r="O397" s="32" t="str">
        <f ca="1">IFERROR(__xludf.DUMMYFUNCTION("if($F397&gt;=5,QUERY(Loot!$A$2:$G$904,""Select G where A = '""&amp; $E397 &amp;""' AND D &gt;= ""&amp; U397 &amp;"" LIMIT 1""),)"),"")</f>
        <v/>
      </c>
      <c r="P397" s="61"/>
      <c r="Q397" s="62">
        <v>0.41167169110526758</v>
      </c>
      <c r="R397" s="63">
        <v>0.91388557311253538</v>
      </c>
      <c r="S397" s="63">
        <v>0.63844608438009653</v>
      </c>
      <c r="T397" s="63">
        <v>0.92648264817892745</v>
      </c>
      <c r="U397" s="63">
        <v>3.2539351533659944E-2</v>
      </c>
    </row>
    <row r="398" spans="1:21" ht="16.2">
      <c r="A398" s="5">
        <f t="shared" ca="1" si="3"/>
        <v>397</v>
      </c>
      <c r="B398" s="5" t="str">
        <f ca="1">IFERROR(__xludf.DUMMYFUNCTION("if(ISBLANK(C398),,QUERY(MD!A399:D1397,""Select A where C = '""&amp; C398 &amp;""'""))"),"")</f>
        <v/>
      </c>
      <c r="C398" s="5"/>
      <c r="D398" s="5" t="str">
        <f ca="1">IFERROR(__xludf.DUMMYFUNCTION("if(ISBLANK(C398),,QUERY(MD!$A$2:$D$1000,""Select D where C = '""&amp; C398 &amp;""'""))"),"")</f>
        <v/>
      </c>
      <c r="E398" s="59" t="str">
        <f ca="1">IFERROR(__xludf.DUMMYFUNCTION("if(ISBLANK(C398),,QUERY(MD!$A$2:$D$1000,""Select B where C = '""&amp; C398 &amp;""'""))"),"")</f>
        <v/>
      </c>
      <c r="F398" s="5">
        <f t="shared" ca="1" si="2"/>
        <v>0</v>
      </c>
      <c r="G398" s="32" t="str">
        <f ca="1">IFERROR(__xludf.DUMMYFUNCTION("if($F398&gt;=1,QUERY(Loot!$A$2:$G$904,""Select G where A = '""&amp; $E398 &amp;""' AND D &gt;= ""&amp; Q398  &amp;"" LIMIT 1""),)"),"")</f>
        <v/>
      </c>
      <c r="H398" s="61"/>
      <c r="I398" s="32" t="str">
        <f ca="1">IFERROR(__xludf.DUMMYFUNCTION("if($F398&gt;=2,QUERY(Loot!$A$2:$G$904,""Select G where A = '""&amp; $E398 &amp;""' AND D &gt;= ""&amp; R398 &amp;"" LIMIT 1""),)"),"")</f>
        <v/>
      </c>
      <c r="J398" s="61"/>
      <c r="K398" s="32" t="str">
        <f ca="1">IFERROR(__xludf.DUMMYFUNCTION("if($F398&gt;=3,QUERY(Loot!$A$2:$G$904,""Select G where A = '""&amp; $E398 &amp;""' AND D &gt;= ""&amp; S398  &amp;"" LIMIT 1""),)"),"")</f>
        <v/>
      </c>
      <c r="L398" s="61"/>
      <c r="M398" s="32" t="str">
        <f ca="1">IFERROR(__xludf.DUMMYFUNCTION("if($F398&gt;=4,QUERY(Loot!$A$2:$G$904,""Select G where A = '""&amp; $E398 &amp;""' AND D &gt;= ""&amp;T398 &amp;"" LIMIT 1""),)"),"")</f>
        <v/>
      </c>
      <c r="N398" s="61"/>
      <c r="O398" s="32" t="str">
        <f ca="1">IFERROR(__xludf.DUMMYFUNCTION("if($F398&gt;=5,QUERY(Loot!$A$2:$G$904,""Select G where A = '""&amp; $E398 &amp;""' AND D &gt;= ""&amp; U398 &amp;"" LIMIT 1""),)"),"")</f>
        <v/>
      </c>
      <c r="P398" s="61"/>
      <c r="Q398" s="62">
        <v>0.75416146842245901</v>
      </c>
      <c r="R398" s="63">
        <v>0.64718046638044646</v>
      </c>
      <c r="S398" s="63">
        <v>0.15207739877968074</v>
      </c>
      <c r="T398" s="63">
        <v>0.10950323616755953</v>
      </c>
      <c r="U398" s="63">
        <v>0.42678250879995872</v>
      </c>
    </row>
    <row r="399" spans="1:21" ht="16.2">
      <c r="A399" s="5">
        <f t="shared" ca="1" si="3"/>
        <v>398</v>
      </c>
      <c r="B399" s="5" t="str">
        <f ca="1">IFERROR(__xludf.DUMMYFUNCTION("if(ISBLANK(C399),,QUERY(MD!A400:D1398,""Select A where C = '""&amp; C399 &amp;""'""))"),"")</f>
        <v/>
      </c>
      <c r="C399" s="5"/>
      <c r="D399" s="5" t="str">
        <f ca="1">IFERROR(__xludf.DUMMYFUNCTION("if(ISBLANK(C399),,QUERY(MD!$A$2:$D$1000,""Select D where C = '""&amp; C399 &amp;""'""))"),"")</f>
        <v/>
      </c>
      <c r="E399" s="59" t="str">
        <f ca="1">IFERROR(__xludf.DUMMYFUNCTION("if(ISBLANK(C399),,QUERY(MD!$A$2:$D$1000,""Select B where C = '""&amp; C399 &amp;""'""))"),"")</f>
        <v/>
      </c>
      <c r="F399" s="5">
        <f t="shared" ca="1" si="2"/>
        <v>0</v>
      </c>
      <c r="G399" s="32" t="str">
        <f ca="1">IFERROR(__xludf.DUMMYFUNCTION("if($F399&gt;=1,QUERY(Loot!$A$2:$G$904,""Select G where A = '""&amp; $E399 &amp;""' AND D &gt;= ""&amp; Q399  &amp;"" LIMIT 1""),)"),"")</f>
        <v/>
      </c>
      <c r="H399" s="61"/>
      <c r="I399" s="32" t="str">
        <f ca="1">IFERROR(__xludf.DUMMYFUNCTION("if($F399&gt;=2,QUERY(Loot!$A$2:$G$904,""Select G where A = '""&amp; $E399 &amp;""' AND D &gt;= ""&amp; R399 &amp;"" LIMIT 1""),)"),"")</f>
        <v/>
      </c>
      <c r="J399" s="61"/>
      <c r="K399" s="32" t="str">
        <f ca="1">IFERROR(__xludf.DUMMYFUNCTION("if($F399&gt;=3,QUERY(Loot!$A$2:$G$904,""Select G where A = '""&amp; $E399 &amp;""' AND D &gt;= ""&amp; S399  &amp;"" LIMIT 1""),)"),"")</f>
        <v/>
      </c>
      <c r="L399" s="61"/>
      <c r="M399" s="32" t="str">
        <f ca="1">IFERROR(__xludf.DUMMYFUNCTION("if($F399&gt;=4,QUERY(Loot!$A$2:$G$904,""Select G where A = '""&amp; $E399 &amp;""' AND D &gt;= ""&amp;T399 &amp;"" LIMIT 1""),)"),"")</f>
        <v/>
      </c>
      <c r="N399" s="61"/>
      <c r="O399" s="32" t="str">
        <f ca="1">IFERROR(__xludf.DUMMYFUNCTION("if($F399&gt;=5,QUERY(Loot!$A$2:$G$904,""Select G where A = '""&amp; $E399 &amp;""' AND D &gt;= ""&amp; U399 &amp;"" LIMIT 1""),)"),"")</f>
        <v/>
      </c>
      <c r="P399" s="61"/>
      <c r="Q399" s="62">
        <v>0.94110720139884041</v>
      </c>
      <c r="R399" s="63">
        <v>0.90878708646232198</v>
      </c>
      <c r="S399" s="63">
        <v>0.59654968784310813</v>
      </c>
      <c r="T399" s="63">
        <v>5.5429250768674998E-2</v>
      </c>
      <c r="U399" s="63">
        <v>0.36685060019882521</v>
      </c>
    </row>
    <row r="400" spans="1:21" ht="16.2">
      <c r="A400" s="5">
        <f t="shared" ca="1" si="3"/>
        <v>399</v>
      </c>
      <c r="B400" s="5" t="str">
        <f ca="1">IFERROR(__xludf.DUMMYFUNCTION("if(ISBLANK(C400),,QUERY(MD!A401:D1399,""Select A where C = '""&amp; C400 &amp;""'""))"),"")</f>
        <v/>
      </c>
      <c r="C400" s="5"/>
      <c r="D400" s="5" t="str">
        <f ca="1">IFERROR(__xludf.DUMMYFUNCTION("if(ISBLANK(C400),,QUERY(MD!$A$2:$D$1000,""Select D where C = '""&amp; C400 &amp;""'""))"),"")</f>
        <v/>
      </c>
      <c r="E400" s="59" t="str">
        <f ca="1">IFERROR(__xludf.DUMMYFUNCTION("if(ISBLANK(C400),,QUERY(MD!$A$2:$D$1000,""Select B where C = '""&amp; C400 &amp;""'""))"),"")</f>
        <v/>
      </c>
      <c r="F400" s="5">
        <f t="shared" ca="1" si="2"/>
        <v>0</v>
      </c>
      <c r="G400" s="32" t="str">
        <f ca="1">IFERROR(__xludf.DUMMYFUNCTION("if($F400&gt;=1,QUERY(Loot!$A$2:$G$904,""Select G where A = '""&amp; $E400 &amp;""' AND D &gt;= ""&amp; Q400  &amp;"" LIMIT 1""),)"),"")</f>
        <v/>
      </c>
      <c r="H400" s="61"/>
      <c r="I400" s="32" t="str">
        <f ca="1">IFERROR(__xludf.DUMMYFUNCTION("if($F400&gt;=2,QUERY(Loot!$A$2:$G$904,""Select G where A = '""&amp; $E400 &amp;""' AND D &gt;= ""&amp; R400 &amp;"" LIMIT 1""),)"),"")</f>
        <v/>
      </c>
      <c r="J400" s="61"/>
      <c r="K400" s="32" t="str">
        <f ca="1">IFERROR(__xludf.DUMMYFUNCTION("if($F400&gt;=3,QUERY(Loot!$A$2:$G$904,""Select G where A = '""&amp; $E400 &amp;""' AND D &gt;= ""&amp; S400  &amp;"" LIMIT 1""),)"),"")</f>
        <v/>
      </c>
      <c r="L400" s="61"/>
      <c r="M400" s="32" t="str">
        <f ca="1">IFERROR(__xludf.DUMMYFUNCTION("if($F400&gt;=4,QUERY(Loot!$A$2:$G$904,""Select G where A = '""&amp; $E400 &amp;""' AND D &gt;= ""&amp;T400 &amp;"" LIMIT 1""),)"),"")</f>
        <v/>
      </c>
      <c r="N400" s="61"/>
      <c r="O400" s="32" t="str">
        <f ca="1">IFERROR(__xludf.DUMMYFUNCTION("if($F400&gt;=5,QUERY(Loot!$A$2:$G$904,""Select G where A = '""&amp; $E400 &amp;""' AND D &gt;= ""&amp; U400 &amp;"" LIMIT 1""),)"),"")</f>
        <v/>
      </c>
      <c r="P400" s="61"/>
      <c r="Q400" s="62">
        <v>0.65655291278326855</v>
      </c>
      <c r="R400" s="63">
        <v>0.86073899933537668</v>
      </c>
      <c r="S400" s="63">
        <v>6.5082809304686462E-2</v>
      </c>
      <c r="T400" s="63">
        <v>0.93045655008735628</v>
      </c>
      <c r="U400" s="63">
        <v>1.6618058905576771E-2</v>
      </c>
    </row>
    <row r="401" spans="1:21" ht="16.2">
      <c r="A401" s="5">
        <f t="shared" ca="1" si="3"/>
        <v>400</v>
      </c>
      <c r="B401" s="5" t="str">
        <f ca="1">IFERROR(__xludf.DUMMYFUNCTION("if(ISBLANK(C401),,QUERY(MD!A402:D1400,""Select A where C = '""&amp; C401 &amp;""'""))"),"")</f>
        <v/>
      </c>
      <c r="C401" s="5"/>
      <c r="D401" s="5" t="str">
        <f ca="1">IFERROR(__xludf.DUMMYFUNCTION("if(ISBLANK(C401),,QUERY(MD!$A$2:$D$1000,""Select D where C = '""&amp; C401 &amp;""'""))"),"")</f>
        <v/>
      </c>
      <c r="E401" s="59" t="str">
        <f ca="1">IFERROR(__xludf.DUMMYFUNCTION("if(ISBLANK(C401),,QUERY(MD!$A$2:$D$1000,""Select B where C = '""&amp; C401 &amp;""'""))"),"")</f>
        <v/>
      </c>
      <c r="F401" s="5">
        <f t="shared" ca="1" si="2"/>
        <v>0</v>
      </c>
      <c r="G401" s="32" t="str">
        <f ca="1">IFERROR(__xludf.DUMMYFUNCTION("if($F401&gt;=1,QUERY(Loot!$A$2:$G$904,""Select G where A = '""&amp; $E401 &amp;""' AND D &gt;= ""&amp; Q401  &amp;"" LIMIT 1""),)"),"")</f>
        <v/>
      </c>
      <c r="H401" s="61"/>
      <c r="I401" s="32" t="str">
        <f ca="1">IFERROR(__xludf.DUMMYFUNCTION("if($F401&gt;=2,QUERY(Loot!$A$2:$G$904,""Select G where A = '""&amp; $E401 &amp;""' AND D &gt;= ""&amp; R401 &amp;"" LIMIT 1""),)"),"")</f>
        <v/>
      </c>
      <c r="J401" s="61"/>
      <c r="K401" s="32" t="str">
        <f ca="1">IFERROR(__xludf.DUMMYFUNCTION("if($F401&gt;=3,QUERY(Loot!$A$2:$G$904,""Select G where A = '""&amp; $E401 &amp;""' AND D &gt;= ""&amp; S401  &amp;"" LIMIT 1""),)"),"")</f>
        <v/>
      </c>
      <c r="L401" s="61"/>
      <c r="M401" s="32" t="str">
        <f ca="1">IFERROR(__xludf.DUMMYFUNCTION("if($F401&gt;=4,QUERY(Loot!$A$2:$G$904,""Select G where A = '""&amp; $E401 &amp;""' AND D &gt;= ""&amp;T401 &amp;"" LIMIT 1""),)"),"")</f>
        <v/>
      </c>
      <c r="N401" s="61"/>
      <c r="O401" s="32" t="str">
        <f ca="1">IFERROR(__xludf.DUMMYFUNCTION("if($F401&gt;=5,QUERY(Loot!$A$2:$G$904,""Select G where A = '""&amp; $E401 &amp;""' AND D &gt;= ""&amp; U401 &amp;"" LIMIT 1""),)"),"")</f>
        <v/>
      </c>
      <c r="P401" s="61"/>
      <c r="Q401" s="62">
        <v>0.9258756114791733</v>
      </c>
      <c r="R401" s="63">
        <v>0.75011895600293854</v>
      </c>
      <c r="S401" s="63">
        <v>0.45552223865891384</v>
      </c>
      <c r="T401" s="63">
        <v>0.87473637399122339</v>
      </c>
      <c r="U401" s="63">
        <v>0.2114868524281529</v>
      </c>
    </row>
    <row r="402" spans="1:21" ht="16.2">
      <c r="A402" s="5">
        <f t="shared" ca="1" si="3"/>
        <v>401</v>
      </c>
      <c r="B402" s="5" t="str">
        <f ca="1">IFERROR(__xludf.DUMMYFUNCTION("if(ISBLANK(C402),,QUERY(MD!A403:D1401,""Select A where C = '""&amp; C402 &amp;""'""))"),"")</f>
        <v/>
      </c>
      <c r="C402" s="5"/>
      <c r="D402" s="5" t="str">
        <f ca="1">IFERROR(__xludf.DUMMYFUNCTION("if(ISBLANK(C402),,QUERY(MD!$A$2:$D$1000,""Select D where C = '""&amp; C402 &amp;""'""))"),"")</f>
        <v/>
      </c>
      <c r="E402" s="59" t="str">
        <f ca="1">IFERROR(__xludf.DUMMYFUNCTION("if(ISBLANK(C402),,QUERY(MD!$A$2:$D$1000,""Select B where C = '""&amp; C402 &amp;""'""))"),"")</f>
        <v/>
      </c>
      <c r="F402" s="5">
        <f t="shared" ca="1" si="2"/>
        <v>0</v>
      </c>
      <c r="G402" s="32" t="str">
        <f ca="1">IFERROR(__xludf.DUMMYFUNCTION("if($F402&gt;=1,QUERY(Loot!$A$2:$G$904,""Select G where A = '""&amp; $E402 &amp;""' AND D &gt;= ""&amp; Q402  &amp;"" LIMIT 1""),)"),"")</f>
        <v/>
      </c>
      <c r="H402" s="61"/>
      <c r="I402" s="32" t="str">
        <f ca="1">IFERROR(__xludf.DUMMYFUNCTION("if($F402&gt;=2,QUERY(Loot!$A$2:$G$904,""Select G where A = '""&amp; $E402 &amp;""' AND D &gt;= ""&amp; R402 &amp;"" LIMIT 1""),)"),"")</f>
        <v/>
      </c>
      <c r="J402" s="61"/>
      <c r="K402" s="32" t="str">
        <f ca="1">IFERROR(__xludf.DUMMYFUNCTION("if($F402&gt;=3,QUERY(Loot!$A$2:$G$904,""Select G where A = '""&amp; $E402 &amp;""' AND D &gt;= ""&amp; S402  &amp;"" LIMIT 1""),)"),"")</f>
        <v/>
      </c>
      <c r="L402" s="61"/>
      <c r="M402" s="32" t="str">
        <f ca="1">IFERROR(__xludf.DUMMYFUNCTION("if($F402&gt;=4,QUERY(Loot!$A$2:$G$904,""Select G where A = '""&amp; $E402 &amp;""' AND D &gt;= ""&amp;T402 &amp;"" LIMIT 1""),)"),"")</f>
        <v/>
      </c>
      <c r="N402" s="61"/>
      <c r="O402" s="32" t="str">
        <f ca="1">IFERROR(__xludf.DUMMYFUNCTION("if($F402&gt;=5,QUERY(Loot!$A$2:$G$904,""Select G where A = '""&amp; $E402 &amp;""' AND D &gt;= ""&amp; U402 &amp;"" LIMIT 1""),)"),"")</f>
        <v/>
      </c>
      <c r="P402" s="61"/>
      <c r="Q402" s="62">
        <v>0.84055678135714906</v>
      </c>
      <c r="R402" s="63">
        <v>0.32344202985917647</v>
      </c>
      <c r="S402" s="63">
        <v>0.32385979097592743</v>
      </c>
      <c r="T402" s="63">
        <v>0.48198504767488448</v>
      </c>
      <c r="U402" s="63">
        <v>0.20638507532091033</v>
      </c>
    </row>
    <row r="403" spans="1:21" ht="16.2">
      <c r="A403" s="5">
        <f t="shared" ca="1" si="3"/>
        <v>402</v>
      </c>
      <c r="B403" s="5" t="str">
        <f ca="1">IFERROR(__xludf.DUMMYFUNCTION("if(ISBLANK(C403),,QUERY(MD!A404:D1402,""Select A where C = '""&amp; C403 &amp;""'""))"),"")</f>
        <v/>
      </c>
      <c r="C403" s="5"/>
      <c r="D403" s="5" t="str">
        <f ca="1">IFERROR(__xludf.DUMMYFUNCTION("if(ISBLANK(C403),,QUERY(MD!$A$2:$D$1000,""Select D where C = '""&amp; C403 &amp;""'""))"),"")</f>
        <v/>
      </c>
      <c r="E403" s="59" t="str">
        <f ca="1">IFERROR(__xludf.DUMMYFUNCTION("if(ISBLANK(C403),,QUERY(MD!$A$2:$D$1000,""Select B where C = '""&amp; C403 &amp;""'""))"),"")</f>
        <v/>
      </c>
      <c r="F403" s="5">
        <f t="shared" ca="1" si="2"/>
        <v>0</v>
      </c>
      <c r="G403" s="32" t="str">
        <f ca="1">IFERROR(__xludf.DUMMYFUNCTION("if($F403&gt;=1,QUERY(Loot!$A$2:$G$904,""Select G where A = '""&amp; $E403 &amp;""' AND D &gt;= ""&amp; Q403  &amp;"" LIMIT 1""),)"),"")</f>
        <v/>
      </c>
      <c r="H403" s="61"/>
      <c r="I403" s="32" t="str">
        <f ca="1">IFERROR(__xludf.DUMMYFUNCTION("if($F403&gt;=2,QUERY(Loot!$A$2:$G$904,""Select G where A = '""&amp; $E403 &amp;""' AND D &gt;= ""&amp; R403 &amp;"" LIMIT 1""),)"),"")</f>
        <v/>
      </c>
      <c r="J403" s="61"/>
      <c r="K403" s="32" t="str">
        <f ca="1">IFERROR(__xludf.DUMMYFUNCTION("if($F403&gt;=3,QUERY(Loot!$A$2:$G$904,""Select G where A = '""&amp; $E403 &amp;""' AND D &gt;= ""&amp; S403  &amp;"" LIMIT 1""),)"),"")</f>
        <v/>
      </c>
      <c r="L403" s="61"/>
      <c r="M403" s="32" t="str">
        <f ca="1">IFERROR(__xludf.DUMMYFUNCTION("if($F403&gt;=4,QUERY(Loot!$A$2:$G$904,""Select G where A = '""&amp; $E403 &amp;""' AND D &gt;= ""&amp;T403 &amp;"" LIMIT 1""),)"),"")</f>
        <v/>
      </c>
      <c r="N403" s="61"/>
      <c r="O403" s="32" t="str">
        <f ca="1">IFERROR(__xludf.DUMMYFUNCTION("if($F403&gt;=5,QUERY(Loot!$A$2:$G$904,""Select G where A = '""&amp; $E403 &amp;""' AND D &gt;= ""&amp; U403 &amp;"" LIMIT 1""),)"),"")</f>
        <v/>
      </c>
      <c r="P403" s="61"/>
      <c r="Q403" s="62">
        <v>0.19081952789456147</v>
      </c>
      <c r="R403" s="63">
        <v>0.75468417997326898</v>
      </c>
      <c r="S403" s="63">
        <v>0.83905106415020425</v>
      </c>
      <c r="T403" s="63">
        <v>0.74711619329829715</v>
      </c>
      <c r="U403" s="63">
        <v>0.33788478110188946</v>
      </c>
    </row>
    <row r="404" spans="1:21" ht="16.2">
      <c r="A404" s="5">
        <f t="shared" ca="1" si="3"/>
        <v>403</v>
      </c>
      <c r="B404" s="5" t="str">
        <f ca="1">IFERROR(__xludf.DUMMYFUNCTION("if(ISBLANK(C404),,QUERY(MD!A405:D1403,""Select A where C = '""&amp; C404 &amp;""'""))"),"")</f>
        <v/>
      </c>
      <c r="C404" s="5"/>
      <c r="D404" s="5" t="str">
        <f ca="1">IFERROR(__xludf.DUMMYFUNCTION("if(ISBLANK(C404),,QUERY(MD!$A$2:$D$1000,""Select D where C = '""&amp; C404 &amp;""'""))"),"")</f>
        <v/>
      </c>
      <c r="E404" s="59" t="str">
        <f ca="1">IFERROR(__xludf.DUMMYFUNCTION("if(ISBLANK(C404),,QUERY(MD!$A$2:$D$1000,""Select B where C = '""&amp; C404 &amp;""'""))"),"")</f>
        <v/>
      </c>
      <c r="F404" s="5">
        <f t="shared" ca="1" si="2"/>
        <v>0</v>
      </c>
      <c r="G404" s="32" t="str">
        <f ca="1">IFERROR(__xludf.DUMMYFUNCTION("if($F404&gt;=1,QUERY(Loot!$A$2:$G$904,""Select G where A = '""&amp; $E404 &amp;""' AND D &gt;= ""&amp; Q404  &amp;"" LIMIT 1""),)"),"")</f>
        <v/>
      </c>
      <c r="H404" s="61"/>
      <c r="I404" s="32" t="str">
        <f ca="1">IFERROR(__xludf.DUMMYFUNCTION("if($F404&gt;=2,QUERY(Loot!$A$2:$G$904,""Select G where A = '""&amp; $E404 &amp;""' AND D &gt;= ""&amp; R404 &amp;"" LIMIT 1""),)"),"")</f>
        <v/>
      </c>
      <c r="J404" s="61"/>
      <c r="K404" s="32" t="str">
        <f ca="1">IFERROR(__xludf.DUMMYFUNCTION("if($F404&gt;=3,QUERY(Loot!$A$2:$G$904,""Select G where A = '""&amp; $E404 &amp;""' AND D &gt;= ""&amp; S404  &amp;"" LIMIT 1""),)"),"")</f>
        <v/>
      </c>
      <c r="L404" s="61"/>
      <c r="M404" s="32" t="str">
        <f ca="1">IFERROR(__xludf.DUMMYFUNCTION("if($F404&gt;=4,QUERY(Loot!$A$2:$G$904,""Select G where A = '""&amp; $E404 &amp;""' AND D &gt;= ""&amp;T404 &amp;"" LIMIT 1""),)"),"")</f>
        <v/>
      </c>
      <c r="N404" s="61"/>
      <c r="O404" s="32" t="str">
        <f ca="1">IFERROR(__xludf.DUMMYFUNCTION("if($F404&gt;=5,QUERY(Loot!$A$2:$G$904,""Select G where A = '""&amp; $E404 &amp;""' AND D &gt;= ""&amp; U404 &amp;"" LIMIT 1""),)"),"")</f>
        <v/>
      </c>
      <c r="P404" s="61"/>
      <c r="Q404" s="62">
        <v>0.57528561748805118</v>
      </c>
      <c r="R404" s="63">
        <v>0.23969155259434238</v>
      </c>
      <c r="S404" s="63">
        <v>0.20219352180029448</v>
      </c>
      <c r="T404" s="63">
        <v>9.179515618506362E-2</v>
      </c>
      <c r="U404" s="63">
        <v>0.49518017994152619</v>
      </c>
    </row>
    <row r="405" spans="1:21" ht="16.2">
      <c r="A405" s="5">
        <f t="shared" ca="1" si="3"/>
        <v>404</v>
      </c>
      <c r="B405" s="5" t="str">
        <f ca="1">IFERROR(__xludf.DUMMYFUNCTION("if(ISBLANK(C405),,QUERY(MD!A406:D1404,""Select A where C = '""&amp; C405 &amp;""'""))"),"")</f>
        <v/>
      </c>
      <c r="C405" s="5"/>
      <c r="D405" s="5" t="str">
        <f ca="1">IFERROR(__xludf.DUMMYFUNCTION("if(ISBLANK(C405),,QUERY(MD!$A$2:$D$1000,""Select D where C = '""&amp; C405 &amp;""'""))"),"")</f>
        <v/>
      </c>
      <c r="E405" s="59" t="str">
        <f ca="1">IFERROR(__xludf.DUMMYFUNCTION("if(ISBLANK(C405),,QUERY(MD!$A$2:$D$1000,""Select B where C = '""&amp; C405 &amp;""'""))"),"")</f>
        <v/>
      </c>
      <c r="F405" s="5">
        <f t="shared" ca="1" si="2"/>
        <v>0</v>
      </c>
      <c r="G405" s="32" t="str">
        <f ca="1">IFERROR(__xludf.DUMMYFUNCTION("if($F405&gt;=1,QUERY(Loot!$A$2:$G$904,""Select G where A = '""&amp; $E405 &amp;""' AND D &gt;= ""&amp; Q405  &amp;"" LIMIT 1""),)"),"")</f>
        <v/>
      </c>
      <c r="H405" s="61"/>
      <c r="I405" s="32" t="str">
        <f ca="1">IFERROR(__xludf.DUMMYFUNCTION("if($F405&gt;=2,QUERY(Loot!$A$2:$G$904,""Select G where A = '""&amp; $E405 &amp;""' AND D &gt;= ""&amp; R405 &amp;"" LIMIT 1""),)"),"")</f>
        <v/>
      </c>
      <c r="J405" s="61"/>
      <c r="K405" s="32" t="str">
        <f ca="1">IFERROR(__xludf.DUMMYFUNCTION("if($F405&gt;=3,QUERY(Loot!$A$2:$G$904,""Select G where A = '""&amp; $E405 &amp;""' AND D &gt;= ""&amp; S405  &amp;"" LIMIT 1""),)"),"")</f>
        <v/>
      </c>
      <c r="L405" s="61"/>
      <c r="M405" s="32" t="str">
        <f ca="1">IFERROR(__xludf.DUMMYFUNCTION("if($F405&gt;=4,QUERY(Loot!$A$2:$G$904,""Select G where A = '""&amp; $E405 &amp;""' AND D &gt;= ""&amp;T405 &amp;"" LIMIT 1""),)"),"")</f>
        <v/>
      </c>
      <c r="N405" s="61"/>
      <c r="O405" s="32" t="str">
        <f ca="1">IFERROR(__xludf.DUMMYFUNCTION("if($F405&gt;=5,QUERY(Loot!$A$2:$G$904,""Select G where A = '""&amp; $E405 &amp;""' AND D &gt;= ""&amp; U405 &amp;"" LIMIT 1""),)"),"")</f>
        <v/>
      </c>
      <c r="P405" s="61"/>
      <c r="Q405" s="62">
        <v>0.20308679890432646</v>
      </c>
      <c r="R405" s="63">
        <v>8.7605201134755006E-2</v>
      </c>
      <c r="S405" s="63">
        <v>0.58998679057783066</v>
      </c>
      <c r="T405" s="63">
        <v>4.4492076356784094E-2</v>
      </c>
      <c r="U405" s="63">
        <v>8.1259205457591022E-2</v>
      </c>
    </row>
    <row r="406" spans="1:21" ht="16.2">
      <c r="A406" s="5">
        <f t="shared" ca="1" si="3"/>
        <v>405</v>
      </c>
      <c r="B406" s="5" t="str">
        <f ca="1">IFERROR(__xludf.DUMMYFUNCTION("if(ISBLANK(C406),,QUERY(MD!A407:D1405,""Select A where C = '""&amp; C406 &amp;""'""))"),"")</f>
        <v/>
      </c>
      <c r="C406" s="5"/>
      <c r="D406" s="5" t="str">
        <f ca="1">IFERROR(__xludf.DUMMYFUNCTION("if(ISBLANK(C406),,QUERY(MD!$A$2:$D$1000,""Select D where C = '""&amp; C406 &amp;""'""))"),"")</f>
        <v/>
      </c>
      <c r="E406" s="59" t="str">
        <f ca="1">IFERROR(__xludf.DUMMYFUNCTION("if(ISBLANK(C406),,QUERY(MD!$A$2:$D$1000,""Select B where C = '""&amp; C406 &amp;""'""))"),"")</f>
        <v/>
      </c>
      <c r="F406" s="5">
        <f t="shared" ca="1" si="2"/>
        <v>0</v>
      </c>
      <c r="G406" s="32" t="str">
        <f ca="1">IFERROR(__xludf.DUMMYFUNCTION("if($F406&gt;=1,QUERY(Loot!$A$2:$G$904,""Select G where A = '""&amp; $E406 &amp;""' AND D &gt;= ""&amp; Q406  &amp;"" LIMIT 1""),)"),"")</f>
        <v/>
      </c>
      <c r="H406" s="61"/>
      <c r="I406" s="32" t="str">
        <f ca="1">IFERROR(__xludf.DUMMYFUNCTION("if($F406&gt;=2,QUERY(Loot!$A$2:$G$904,""Select G where A = '""&amp; $E406 &amp;""' AND D &gt;= ""&amp; R406 &amp;"" LIMIT 1""),)"),"")</f>
        <v/>
      </c>
      <c r="J406" s="61"/>
      <c r="K406" s="32" t="str">
        <f ca="1">IFERROR(__xludf.DUMMYFUNCTION("if($F406&gt;=3,QUERY(Loot!$A$2:$G$904,""Select G where A = '""&amp; $E406 &amp;""' AND D &gt;= ""&amp; S406  &amp;"" LIMIT 1""),)"),"")</f>
        <v/>
      </c>
      <c r="L406" s="61"/>
      <c r="M406" s="32" t="str">
        <f ca="1">IFERROR(__xludf.DUMMYFUNCTION("if($F406&gt;=4,QUERY(Loot!$A$2:$G$904,""Select G where A = '""&amp; $E406 &amp;""' AND D &gt;= ""&amp;T406 &amp;"" LIMIT 1""),)"),"")</f>
        <v/>
      </c>
      <c r="N406" s="61"/>
      <c r="O406" s="32" t="str">
        <f ca="1">IFERROR(__xludf.DUMMYFUNCTION("if($F406&gt;=5,QUERY(Loot!$A$2:$G$904,""Select G where A = '""&amp; $E406 &amp;""' AND D &gt;= ""&amp; U406 &amp;"" LIMIT 1""),)"),"")</f>
        <v/>
      </c>
      <c r="P406" s="61"/>
      <c r="Q406" s="62">
        <v>0.21503375499214161</v>
      </c>
      <c r="R406" s="63">
        <v>1.2830167833912665E-3</v>
      </c>
      <c r="S406" s="63">
        <v>1.5516591572530047E-2</v>
      </c>
      <c r="T406" s="63">
        <v>0.51175715653673648</v>
      </c>
      <c r="U406" s="63">
        <v>0.28209737754248865</v>
      </c>
    </row>
    <row r="407" spans="1:21" ht="16.2">
      <c r="A407" s="5">
        <f t="shared" ca="1" si="3"/>
        <v>406</v>
      </c>
      <c r="B407" s="5" t="str">
        <f ca="1">IFERROR(__xludf.DUMMYFUNCTION("if(ISBLANK(C407),,QUERY(MD!A408:D1406,""Select A where C = '""&amp; C407 &amp;""'""))"),"")</f>
        <v/>
      </c>
      <c r="C407" s="5"/>
      <c r="D407" s="5" t="str">
        <f ca="1">IFERROR(__xludf.DUMMYFUNCTION("if(ISBLANK(C407),,QUERY(MD!$A$2:$D$1000,""Select D where C = '""&amp; C407 &amp;""'""))"),"")</f>
        <v/>
      </c>
      <c r="E407" s="59" t="str">
        <f ca="1">IFERROR(__xludf.DUMMYFUNCTION("if(ISBLANK(C407),,QUERY(MD!$A$2:$D$1000,""Select B where C = '""&amp; C407 &amp;""'""))"),"")</f>
        <v/>
      </c>
      <c r="F407" s="5">
        <f t="shared" ca="1" si="2"/>
        <v>0</v>
      </c>
      <c r="G407" s="32" t="str">
        <f ca="1">IFERROR(__xludf.DUMMYFUNCTION("if($F407&gt;=1,QUERY(Loot!$A$2:$G$904,""Select G where A = '""&amp; $E407 &amp;""' AND D &gt;= ""&amp; Q407  &amp;"" LIMIT 1""),)"),"")</f>
        <v/>
      </c>
      <c r="H407" s="61"/>
      <c r="I407" s="32" t="str">
        <f ca="1">IFERROR(__xludf.DUMMYFUNCTION("if($F407&gt;=2,QUERY(Loot!$A$2:$G$904,""Select G where A = '""&amp; $E407 &amp;""' AND D &gt;= ""&amp; R407 &amp;"" LIMIT 1""),)"),"")</f>
        <v/>
      </c>
      <c r="J407" s="61"/>
      <c r="K407" s="32" t="str">
        <f ca="1">IFERROR(__xludf.DUMMYFUNCTION("if($F407&gt;=3,QUERY(Loot!$A$2:$G$904,""Select G where A = '""&amp; $E407 &amp;""' AND D &gt;= ""&amp; S407  &amp;"" LIMIT 1""),)"),"")</f>
        <v/>
      </c>
      <c r="L407" s="61"/>
      <c r="M407" s="32" t="str">
        <f ca="1">IFERROR(__xludf.DUMMYFUNCTION("if($F407&gt;=4,QUERY(Loot!$A$2:$G$904,""Select G where A = '""&amp; $E407 &amp;""' AND D &gt;= ""&amp;T407 &amp;"" LIMIT 1""),)"),"")</f>
        <v/>
      </c>
      <c r="N407" s="61"/>
      <c r="O407" s="32" t="str">
        <f ca="1">IFERROR(__xludf.DUMMYFUNCTION("if($F407&gt;=5,QUERY(Loot!$A$2:$G$904,""Select G where A = '""&amp; $E407 &amp;""' AND D &gt;= ""&amp; U407 &amp;"" LIMIT 1""),)"),"")</f>
        <v/>
      </c>
      <c r="P407" s="61"/>
      <c r="Q407" s="62">
        <v>0.20625516784976494</v>
      </c>
      <c r="R407" s="63">
        <v>0.81181570943138404</v>
      </c>
      <c r="S407" s="63">
        <v>0.44496318746428254</v>
      </c>
      <c r="T407" s="63">
        <v>0.83571511917068775</v>
      </c>
      <c r="U407" s="63">
        <v>0.85337032861200401</v>
      </c>
    </row>
    <row r="408" spans="1:21" ht="16.2">
      <c r="A408" s="5">
        <f t="shared" ca="1" si="3"/>
        <v>407</v>
      </c>
      <c r="B408" s="5" t="str">
        <f ca="1">IFERROR(__xludf.DUMMYFUNCTION("if(ISBLANK(C408),,QUERY(MD!A409:D1407,""Select A where C = '""&amp; C408 &amp;""'""))"),"")</f>
        <v/>
      </c>
      <c r="C408" s="5"/>
      <c r="D408" s="5" t="str">
        <f ca="1">IFERROR(__xludf.DUMMYFUNCTION("if(ISBLANK(C408),,QUERY(MD!$A$2:$D$1000,""Select D where C = '""&amp; C408 &amp;""'""))"),"")</f>
        <v/>
      </c>
      <c r="E408" s="59" t="str">
        <f ca="1">IFERROR(__xludf.DUMMYFUNCTION("if(ISBLANK(C408),,QUERY(MD!$A$2:$D$1000,""Select B where C = '""&amp; C408 &amp;""'""))"),"")</f>
        <v/>
      </c>
      <c r="F408" s="5">
        <f t="shared" ca="1" si="2"/>
        <v>0</v>
      </c>
      <c r="G408" s="32" t="str">
        <f ca="1">IFERROR(__xludf.DUMMYFUNCTION("if($F408&gt;=1,QUERY(Loot!$A$2:$G$904,""Select G where A = '""&amp; $E408 &amp;""' AND D &gt;= ""&amp; Q408  &amp;"" LIMIT 1""),)"),"")</f>
        <v/>
      </c>
      <c r="H408" s="61"/>
      <c r="I408" s="32" t="str">
        <f ca="1">IFERROR(__xludf.DUMMYFUNCTION("if($F408&gt;=2,QUERY(Loot!$A$2:$G$904,""Select G where A = '""&amp; $E408 &amp;""' AND D &gt;= ""&amp; R408 &amp;"" LIMIT 1""),)"),"")</f>
        <v/>
      </c>
      <c r="J408" s="61"/>
      <c r="K408" s="32" t="str">
        <f ca="1">IFERROR(__xludf.DUMMYFUNCTION("if($F408&gt;=3,QUERY(Loot!$A$2:$G$904,""Select G where A = '""&amp; $E408 &amp;""' AND D &gt;= ""&amp; S408  &amp;"" LIMIT 1""),)"),"")</f>
        <v/>
      </c>
      <c r="L408" s="61"/>
      <c r="M408" s="32" t="str">
        <f ca="1">IFERROR(__xludf.DUMMYFUNCTION("if($F408&gt;=4,QUERY(Loot!$A$2:$G$904,""Select G where A = '""&amp; $E408 &amp;""' AND D &gt;= ""&amp;T408 &amp;"" LIMIT 1""),)"),"")</f>
        <v/>
      </c>
      <c r="N408" s="61"/>
      <c r="O408" s="32" t="str">
        <f ca="1">IFERROR(__xludf.DUMMYFUNCTION("if($F408&gt;=5,QUERY(Loot!$A$2:$G$904,""Select G where A = '""&amp; $E408 &amp;""' AND D &gt;= ""&amp; U408 &amp;"" LIMIT 1""),)"),"")</f>
        <v/>
      </c>
      <c r="P408" s="61"/>
      <c r="Q408" s="62">
        <v>0.26908591676305238</v>
      </c>
      <c r="R408" s="63">
        <v>0.44429867687583724</v>
      </c>
      <c r="S408" s="63">
        <v>0.50535555418337974</v>
      </c>
      <c r="T408" s="63">
        <v>0.65374899889890803</v>
      </c>
      <c r="U408" s="63">
        <v>0.37238925563001746</v>
      </c>
    </row>
    <row r="409" spans="1:21" ht="16.2">
      <c r="A409" s="5">
        <f t="shared" ca="1" si="3"/>
        <v>408</v>
      </c>
      <c r="B409" s="5" t="str">
        <f ca="1">IFERROR(__xludf.DUMMYFUNCTION("if(ISBLANK(C409),,QUERY(MD!A410:D1408,""Select A where C = '""&amp; C409 &amp;""'""))"),"")</f>
        <v/>
      </c>
      <c r="C409" s="5"/>
      <c r="D409" s="5" t="str">
        <f ca="1">IFERROR(__xludf.DUMMYFUNCTION("if(ISBLANK(C409),,QUERY(MD!$A$2:$D$1000,""Select D where C = '""&amp; C409 &amp;""'""))"),"")</f>
        <v/>
      </c>
      <c r="E409" s="59" t="str">
        <f ca="1">IFERROR(__xludf.DUMMYFUNCTION("if(ISBLANK(C409),,QUERY(MD!$A$2:$D$1000,""Select B where C = '""&amp; C409 &amp;""'""))"),"")</f>
        <v/>
      </c>
      <c r="F409" s="5">
        <f t="shared" ca="1" si="2"/>
        <v>0</v>
      </c>
      <c r="G409" s="32" t="str">
        <f ca="1">IFERROR(__xludf.DUMMYFUNCTION("if($F409&gt;=1,QUERY(Loot!$A$2:$G$904,""Select G where A = '""&amp; $E409 &amp;""' AND D &gt;= ""&amp; Q409  &amp;"" LIMIT 1""),)"),"")</f>
        <v/>
      </c>
      <c r="H409" s="61"/>
      <c r="I409" s="32" t="str">
        <f ca="1">IFERROR(__xludf.DUMMYFUNCTION("if($F409&gt;=2,QUERY(Loot!$A$2:$G$904,""Select G where A = '""&amp; $E409 &amp;""' AND D &gt;= ""&amp; R409 &amp;"" LIMIT 1""),)"),"")</f>
        <v/>
      </c>
      <c r="J409" s="61"/>
      <c r="K409" s="32" t="str">
        <f ca="1">IFERROR(__xludf.DUMMYFUNCTION("if($F409&gt;=3,QUERY(Loot!$A$2:$G$904,""Select G where A = '""&amp; $E409 &amp;""' AND D &gt;= ""&amp; S409  &amp;"" LIMIT 1""),)"),"")</f>
        <v/>
      </c>
      <c r="L409" s="61"/>
      <c r="M409" s="32" t="str">
        <f ca="1">IFERROR(__xludf.DUMMYFUNCTION("if($F409&gt;=4,QUERY(Loot!$A$2:$G$904,""Select G where A = '""&amp; $E409 &amp;""' AND D &gt;= ""&amp;T409 &amp;"" LIMIT 1""),)"),"")</f>
        <v/>
      </c>
      <c r="N409" s="61"/>
      <c r="O409" s="32" t="str">
        <f ca="1">IFERROR(__xludf.DUMMYFUNCTION("if($F409&gt;=5,QUERY(Loot!$A$2:$G$904,""Select G where A = '""&amp; $E409 &amp;""' AND D &gt;= ""&amp; U409 &amp;"" LIMIT 1""),)"),"")</f>
        <v/>
      </c>
      <c r="P409" s="61"/>
      <c r="Q409" s="62">
        <v>0.79451217440693056</v>
      </c>
      <c r="R409" s="63">
        <v>0.77890393610540865</v>
      </c>
      <c r="S409" s="63">
        <v>0.75489593496952778</v>
      </c>
      <c r="T409" s="63">
        <v>0.43594023792724912</v>
      </c>
      <c r="U409" s="63">
        <v>0.32140210091991817</v>
      </c>
    </row>
    <row r="410" spans="1:21" ht="16.2">
      <c r="A410" s="5">
        <f t="shared" ca="1" si="3"/>
        <v>409</v>
      </c>
      <c r="B410" s="5" t="str">
        <f ca="1">IFERROR(__xludf.DUMMYFUNCTION("if(ISBLANK(C410),,QUERY(MD!A411:D1409,""Select A where C = '""&amp; C410 &amp;""'""))"),"")</f>
        <v/>
      </c>
      <c r="C410" s="5"/>
      <c r="D410" s="5" t="str">
        <f ca="1">IFERROR(__xludf.DUMMYFUNCTION("if(ISBLANK(C410),,QUERY(MD!$A$2:$D$1000,""Select D where C = '""&amp; C410 &amp;""'""))"),"")</f>
        <v/>
      </c>
      <c r="E410" s="59" t="str">
        <f ca="1">IFERROR(__xludf.DUMMYFUNCTION("if(ISBLANK(C410),,QUERY(MD!$A$2:$D$1000,""Select B where C = '""&amp; C410 &amp;""'""))"),"")</f>
        <v/>
      </c>
      <c r="F410" s="5">
        <f t="shared" ca="1" si="2"/>
        <v>0</v>
      </c>
      <c r="G410" s="32" t="str">
        <f ca="1">IFERROR(__xludf.DUMMYFUNCTION("if($F410&gt;=1,QUERY(Loot!$A$2:$G$904,""Select G where A = '""&amp; $E410 &amp;""' AND D &gt;= ""&amp; Q410  &amp;"" LIMIT 1""),)"),"")</f>
        <v/>
      </c>
      <c r="H410" s="61"/>
      <c r="I410" s="32" t="str">
        <f ca="1">IFERROR(__xludf.DUMMYFUNCTION("if($F410&gt;=2,QUERY(Loot!$A$2:$G$904,""Select G where A = '""&amp; $E410 &amp;""' AND D &gt;= ""&amp; R410 &amp;"" LIMIT 1""),)"),"")</f>
        <v/>
      </c>
      <c r="J410" s="61"/>
      <c r="K410" s="32" t="str">
        <f ca="1">IFERROR(__xludf.DUMMYFUNCTION("if($F410&gt;=3,QUERY(Loot!$A$2:$G$904,""Select G where A = '""&amp; $E410 &amp;""' AND D &gt;= ""&amp; S410  &amp;"" LIMIT 1""),)"),"")</f>
        <v/>
      </c>
      <c r="L410" s="61"/>
      <c r="M410" s="32" t="str">
        <f ca="1">IFERROR(__xludf.DUMMYFUNCTION("if($F410&gt;=4,QUERY(Loot!$A$2:$G$904,""Select G where A = '""&amp; $E410 &amp;""' AND D &gt;= ""&amp;T410 &amp;"" LIMIT 1""),)"),"")</f>
        <v/>
      </c>
      <c r="N410" s="61"/>
      <c r="O410" s="32" t="str">
        <f ca="1">IFERROR(__xludf.DUMMYFUNCTION("if($F410&gt;=5,QUERY(Loot!$A$2:$G$904,""Select G where A = '""&amp; $E410 &amp;""' AND D &gt;= ""&amp; U410 &amp;"" LIMIT 1""),)"),"")</f>
        <v/>
      </c>
      <c r="P410" s="61"/>
      <c r="Q410" s="62">
        <v>0.7511104016628416</v>
      </c>
      <c r="R410" s="63">
        <v>4.2555223269726827E-2</v>
      </c>
      <c r="S410" s="63">
        <v>0.73449300144644969</v>
      </c>
      <c r="T410" s="63">
        <v>0.72573864378751818</v>
      </c>
      <c r="U410" s="63">
        <v>0.21305773303148834</v>
      </c>
    </row>
    <row r="411" spans="1:21" ht="16.2">
      <c r="A411" s="5">
        <f t="shared" ca="1" si="3"/>
        <v>410</v>
      </c>
      <c r="B411" s="5" t="str">
        <f ca="1">IFERROR(__xludf.DUMMYFUNCTION("if(ISBLANK(C411),,QUERY(MD!A412:D1410,""Select A where C = '""&amp; C411 &amp;""'""))"),"")</f>
        <v/>
      </c>
      <c r="C411" s="5"/>
      <c r="D411" s="5" t="str">
        <f ca="1">IFERROR(__xludf.DUMMYFUNCTION("if(ISBLANK(C411),,QUERY(MD!$A$2:$D$1000,""Select D where C = '""&amp; C411 &amp;""'""))"),"")</f>
        <v/>
      </c>
      <c r="E411" s="59" t="str">
        <f ca="1">IFERROR(__xludf.DUMMYFUNCTION("if(ISBLANK(C411),,QUERY(MD!$A$2:$D$1000,""Select B where C = '""&amp; C411 &amp;""'""))"),"")</f>
        <v/>
      </c>
      <c r="F411" s="5">
        <f t="shared" ca="1" si="2"/>
        <v>0</v>
      </c>
      <c r="G411" s="32" t="str">
        <f ca="1">IFERROR(__xludf.DUMMYFUNCTION("if($F411&gt;=1,QUERY(Loot!$A$2:$G$904,""Select G where A = '""&amp; $E411 &amp;""' AND D &gt;= ""&amp; Q411  &amp;"" LIMIT 1""),)"),"")</f>
        <v/>
      </c>
      <c r="H411" s="61"/>
      <c r="I411" s="32" t="str">
        <f ca="1">IFERROR(__xludf.DUMMYFUNCTION("if($F411&gt;=2,QUERY(Loot!$A$2:$G$904,""Select G where A = '""&amp; $E411 &amp;""' AND D &gt;= ""&amp; R411 &amp;"" LIMIT 1""),)"),"")</f>
        <v/>
      </c>
      <c r="J411" s="61"/>
      <c r="K411" s="32" t="str">
        <f ca="1">IFERROR(__xludf.DUMMYFUNCTION("if($F411&gt;=3,QUERY(Loot!$A$2:$G$904,""Select G where A = '""&amp; $E411 &amp;""' AND D &gt;= ""&amp; S411  &amp;"" LIMIT 1""),)"),"")</f>
        <v/>
      </c>
      <c r="L411" s="61"/>
      <c r="M411" s="32" t="str">
        <f ca="1">IFERROR(__xludf.DUMMYFUNCTION("if($F411&gt;=4,QUERY(Loot!$A$2:$G$904,""Select G where A = '""&amp; $E411 &amp;""' AND D &gt;= ""&amp;T411 &amp;"" LIMIT 1""),)"),"")</f>
        <v/>
      </c>
      <c r="N411" s="61"/>
      <c r="O411" s="32" t="str">
        <f ca="1">IFERROR(__xludf.DUMMYFUNCTION("if($F411&gt;=5,QUERY(Loot!$A$2:$G$904,""Select G where A = '""&amp; $E411 &amp;""' AND D &gt;= ""&amp; U411 &amp;"" LIMIT 1""),)"),"")</f>
        <v/>
      </c>
      <c r="P411" s="61"/>
      <c r="Q411" s="62">
        <v>0.25988049083790055</v>
      </c>
      <c r="R411" s="63">
        <v>0.27947396724356099</v>
      </c>
      <c r="S411" s="63">
        <v>0.6648139623589816</v>
      </c>
      <c r="T411" s="63">
        <v>0.17081412221674053</v>
      </c>
      <c r="U411" s="63">
        <v>0.90439995499892789</v>
      </c>
    </row>
    <row r="412" spans="1:21" ht="16.2">
      <c r="A412" s="5">
        <f t="shared" ca="1" si="3"/>
        <v>411</v>
      </c>
      <c r="B412" s="5" t="str">
        <f ca="1">IFERROR(__xludf.DUMMYFUNCTION("if(ISBLANK(C412),,QUERY(MD!A413:D1411,""Select A where C = '""&amp; C412 &amp;""'""))"),"")</f>
        <v/>
      </c>
      <c r="C412" s="5"/>
      <c r="D412" s="5" t="str">
        <f ca="1">IFERROR(__xludf.DUMMYFUNCTION("if(ISBLANK(C412),,QUERY(MD!$A$2:$D$1000,""Select D where C = '""&amp; C412 &amp;""'""))"),"")</f>
        <v/>
      </c>
      <c r="E412" s="59" t="str">
        <f ca="1">IFERROR(__xludf.DUMMYFUNCTION("if(ISBLANK(C412),,QUERY(MD!$A$2:$D$1000,""Select B where C = '""&amp; C412 &amp;""'""))"),"")</f>
        <v/>
      </c>
      <c r="F412" s="5">
        <f t="shared" ca="1" si="2"/>
        <v>0</v>
      </c>
      <c r="G412" s="32" t="str">
        <f ca="1">IFERROR(__xludf.DUMMYFUNCTION("if($F412&gt;=1,QUERY(Loot!$A$2:$G$904,""Select G where A = '""&amp; $E412 &amp;""' AND D &gt;= ""&amp; Q412  &amp;"" LIMIT 1""),)"),"")</f>
        <v/>
      </c>
      <c r="H412" s="61"/>
      <c r="I412" s="32" t="str">
        <f ca="1">IFERROR(__xludf.DUMMYFUNCTION("if($F412&gt;=2,QUERY(Loot!$A$2:$G$904,""Select G where A = '""&amp; $E412 &amp;""' AND D &gt;= ""&amp; R412 &amp;"" LIMIT 1""),)"),"")</f>
        <v/>
      </c>
      <c r="J412" s="61"/>
      <c r="K412" s="32" t="str">
        <f ca="1">IFERROR(__xludf.DUMMYFUNCTION("if($F412&gt;=3,QUERY(Loot!$A$2:$G$904,""Select G where A = '""&amp; $E412 &amp;""' AND D &gt;= ""&amp; S412  &amp;"" LIMIT 1""),)"),"")</f>
        <v/>
      </c>
      <c r="L412" s="61"/>
      <c r="M412" s="32" t="str">
        <f ca="1">IFERROR(__xludf.DUMMYFUNCTION("if($F412&gt;=4,QUERY(Loot!$A$2:$G$904,""Select G where A = '""&amp; $E412 &amp;""' AND D &gt;= ""&amp;T412 &amp;"" LIMIT 1""),)"),"")</f>
        <v/>
      </c>
      <c r="N412" s="61"/>
      <c r="O412" s="32" t="str">
        <f ca="1">IFERROR(__xludf.DUMMYFUNCTION("if($F412&gt;=5,QUERY(Loot!$A$2:$G$904,""Select G where A = '""&amp; $E412 &amp;""' AND D &gt;= ""&amp; U412 &amp;"" LIMIT 1""),)"),"")</f>
        <v/>
      </c>
      <c r="P412" s="61"/>
      <c r="Q412" s="62">
        <v>0.41835799639935811</v>
      </c>
      <c r="R412" s="63">
        <v>0.77696360330786873</v>
      </c>
      <c r="S412" s="63">
        <v>0.38241252828419503</v>
      </c>
      <c r="T412" s="63">
        <v>0.96579513227339575</v>
      </c>
      <c r="U412" s="63">
        <v>0.20238634850250026</v>
      </c>
    </row>
    <row r="413" spans="1:21" ht="16.2">
      <c r="A413" s="5">
        <f t="shared" ca="1" si="3"/>
        <v>412</v>
      </c>
      <c r="B413" s="5" t="str">
        <f ca="1">IFERROR(__xludf.DUMMYFUNCTION("if(ISBLANK(C413),,QUERY(MD!A414:D1412,""Select A where C = '""&amp; C413 &amp;""'""))"),"")</f>
        <v/>
      </c>
      <c r="C413" s="5"/>
      <c r="D413" s="5" t="str">
        <f ca="1">IFERROR(__xludf.DUMMYFUNCTION("if(ISBLANK(C413),,QUERY(MD!$A$2:$D$1000,""Select D where C = '""&amp; C413 &amp;""'""))"),"")</f>
        <v/>
      </c>
      <c r="E413" s="59" t="str">
        <f ca="1">IFERROR(__xludf.DUMMYFUNCTION("if(ISBLANK(C413),,QUERY(MD!$A$2:$D$1000,""Select B where C = '""&amp; C413 &amp;""'""))"),"")</f>
        <v/>
      </c>
      <c r="F413" s="5">
        <f t="shared" ca="1" si="2"/>
        <v>0</v>
      </c>
      <c r="G413" s="32" t="str">
        <f ca="1">IFERROR(__xludf.DUMMYFUNCTION("if($F413&gt;=1,QUERY(Loot!$A$2:$G$904,""Select G where A = '""&amp; $E413 &amp;""' AND D &gt;= ""&amp; Q413  &amp;"" LIMIT 1""),)"),"")</f>
        <v/>
      </c>
      <c r="H413" s="61"/>
      <c r="I413" s="32" t="str">
        <f ca="1">IFERROR(__xludf.DUMMYFUNCTION("if($F413&gt;=2,QUERY(Loot!$A$2:$G$904,""Select G where A = '""&amp; $E413 &amp;""' AND D &gt;= ""&amp; R413 &amp;"" LIMIT 1""),)"),"")</f>
        <v/>
      </c>
      <c r="J413" s="61"/>
      <c r="K413" s="32" t="str">
        <f ca="1">IFERROR(__xludf.DUMMYFUNCTION("if($F413&gt;=3,QUERY(Loot!$A$2:$G$904,""Select G where A = '""&amp; $E413 &amp;""' AND D &gt;= ""&amp; S413  &amp;"" LIMIT 1""),)"),"")</f>
        <v/>
      </c>
      <c r="L413" s="61"/>
      <c r="M413" s="32" t="str">
        <f ca="1">IFERROR(__xludf.DUMMYFUNCTION("if($F413&gt;=4,QUERY(Loot!$A$2:$G$904,""Select G where A = '""&amp; $E413 &amp;""' AND D &gt;= ""&amp;T413 &amp;"" LIMIT 1""),)"),"")</f>
        <v/>
      </c>
      <c r="N413" s="61"/>
      <c r="O413" s="32" t="str">
        <f ca="1">IFERROR(__xludf.DUMMYFUNCTION("if($F413&gt;=5,QUERY(Loot!$A$2:$G$904,""Select G where A = '""&amp; $E413 &amp;""' AND D &gt;= ""&amp; U413 &amp;"" LIMIT 1""),)"),"")</f>
        <v/>
      </c>
      <c r="P413" s="61"/>
      <c r="Q413" s="62">
        <v>0.33756603225380732</v>
      </c>
      <c r="R413" s="63">
        <v>0.78452547002840423</v>
      </c>
      <c r="S413" s="63">
        <v>0.70130106036372208</v>
      </c>
      <c r="T413" s="63">
        <v>1.5577114563085637E-2</v>
      </c>
      <c r="U413" s="63">
        <v>0.25944196820741239</v>
      </c>
    </row>
    <row r="414" spans="1:21" ht="16.2">
      <c r="A414" s="5">
        <f t="shared" ca="1" si="3"/>
        <v>413</v>
      </c>
      <c r="B414" s="5" t="str">
        <f ca="1">IFERROR(__xludf.DUMMYFUNCTION("if(ISBLANK(C414),,QUERY(MD!A415:D1413,""Select A where C = '""&amp; C414 &amp;""'""))"),"")</f>
        <v/>
      </c>
      <c r="C414" s="5"/>
      <c r="D414" s="5" t="str">
        <f ca="1">IFERROR(__xludf.DUMMYFUNCTION("if(ISBLANK(C414),,QUERY(MD!$A$2:$D$1000,""Select D where C = '""&amp; C414 &amp;""'""))"),"")</f>
        <v/>
      </c>
      <c r="E414" s="59" t="str">
        <f ca="1">IFERROR(__xludf.DUMMYFUNCTION("if(ISBLANK(C414),,QUERY(MD!$A$2:$D$1000,""Select B where C = '""&amp; C414 &amp;""'""))"),"")</f>
        <v/>
      </c>
      <c r="F414" s="5">
        <f t="shared" ca="1" si="2"/>
        <v>0</v>
      </c>
      <c r="G414" s="32" t="str">
        <f ca="1">IFERROR(__xludf.DUMMYFUNCTION("if($F414&gt;=1,QUERY(Loot!$A$2:$G$904,""Select G where A = '""&amp; $E414 &amp;""' AND D &gt;= ""&amp; Q414  &amp;"" LIMIT 1""),)"),"")</f>
        <v/>
      </c>
      <c r="H414" s="61"/>
      <c r="I414" s="32" t="str">
        <f ca="1">IFERROR(__xludf.DUMMYFUNCTION("if($F414&gt;=2,QUERY(Loot!$A$2:$G$904,""Select G where A = '""&amp; $E414 &amp;""' AND D &gt;= ""&amp; R414 &amp;"" LIMIT 1""),)"),"")</f>
        <v/>
      </c>
      <c r="J414" s="61"/>
      <c r="K414" s="32" t="str">
        <f ca="1">IFERROR(__xludf.DUMMYFUNCTION("if($F414&gt;=3,QUERY(Loot!$A$2:$G$904,""Select G where A = '""&amp; $E414 &amp;""' AND D &gt;= ""&amp; S414  &amp;"" LIMIT 1""),)"),"")</f>
        <v/>
      </c>
      <c r="L414" s="61"/>
      <c r="M414" s="32" t="str">
        <f ca="1">IFERROR(__xludf.DUMMYFUNCTION("if($F414&gt;=4,QUERY(Loot!$A$2:$G$904,""Select G where A = '""&amp; $E414 &amp;""' AND D &gt;= ""&amp;T414 &amp;"" LIMIT 1""),)"),"")</f>
        <v/>
      </c>
      <c r="N414" s="61"/>
      <c r="O414" s="32" t="str">
        <f ca="1">IFERROR(__xludf.DUMMYFUNCTION("if($F414&gt;=5,QUERY(Loot!$A$2:$G$904,""Select G where A = '""&amp; $E414 &amp;""' AND D &gt;= ""&amp; U414 &amp;"" LIMIT 1""),)"),"")</f>
        <v/>
      </c>
      <c r="P414" s="61"/>
      <c r="Q414" s="62">
        <v>0.74367965213090992</v>
      </c>
      <c r="R414" s="63">
        <v>0.81057480785770519</v>
      </c>
      <c r="S414" s="63">
        <v>0.78708017884452441</v>
      </c>
      <c r="T414" s="63">
        <v>0.70623803409525154</v>
      </c>
      <c r="U414" s="63">
        <v>0.91158248171455902</v>
      </c>
    </row>
    <row r="415" spans="1:21" ht="16.2">
      <c r="A415" s="5">
        <f t="shared" ca="1" si="3"/>
        <v>414</v>
      </c>
      <c r="B415" s="5" t="str">
        <f ca="1">IFERROR(__xludf.DUMMYFUNCTION("if(ISBLANK(C415),,QUERY(MD!A416:D1414,""Select A where C = '""&amp; C415 &amp;""'""))"),"")</f>
        <v/>
      </c>
      <c r="C415" s="5"/>
      <c r="D415" s="5" t="str">
        <f ca="1">IFERROR(__xludf.DUMMYFUNCTION("if(ISBLANK(C415),,QUERY(MD!$A$2:$D$1000,""Select D where C = '""&amp; C415 &amp;""'""))"),"")</f>
        <v/>
      </c>
      <c r="E415" s="59" t="str">
        <f ca="1">IFERROR(__xludf.DUMMYFUNCTION("if(ISBLANK(C415),,QUERY(MD!$A$2:$D$1000,""Select B where C = '""&amp; C415 &amp;""'""))"),"")</f>
        <v/>
      </c>
      <c r="F415" s="5">
        <f t="shared" ca="1" si="2"/>
        <v>0</v>
      </c>
      <c r="G415" s="32" t="str">
        <f ca="1">IFERROR(__xludf.DUMMYFUNCTION("if($F415&gt;=1,QUERY(Loot!$A$2:$G$904,""Select G where A = '""&amp; $E415 &amp;""' AND D &gt;= ""&amp; Q415  &amp;"" LIMIT 1""),)"),"")</f>
        <v/>
      </c>
      <c r="H415" s="61"/>
      <c r="I415" s="32" t="str">
        <f ca="1">IFERROR(__xludf.DUMMYFUNCTION("if($F415&gt;=2,QUERY(Loot!$A$2:$G$904,""Select G where A = '""&amp; $E415 &amp;""' AND D &gt;= ""&amp; R415 &amp;"" LIMIT 1""),)"),"")</f>
        <v/>
      </c>
      <c r="J415" s="61"/>
      <c r="K415" s="32" t="str">
        <f ca="1">IFERROR(__xludf.DUMMYFUNCTION("if($F415&gt;=3,QUERY(Loot!$A$2:$G$904,""Select G where A = '""&amp; $E415 &amp;""' AND D &gt;= ""&amp; S415  &amp;"" LIMIT 1""),)"),"")</f>
        <v/>
      </c>
      <c r="L415" s="61"/>
      <c r="M415" s="32" t="str">
        <f ca="1">IFERROR(__xludf.DUMMYFUNCTION("if($F415&gt;=4,QUERY(Loot!$A$2:$G$904,""Select G where A = '""&amp; $E415 &amp;""' AND D &gt;= ""&amp;T415 &amp;"" LIMIT 1""),)"),"")</f>
        <v/>
      </c>
      <c r="N415" s="61"/>
      <c r="O415" s="32" t="str">
        <f ca="1">IFERROR(__xludf.DUMMYFUNCTION("if($F415&gt;=5,QUERY(Loot!$A$2:$G$904,""Select G where A = '""&amp; $E415 &amp;""' AND D &gt;= ""&amp; U415 &amp;"" LIMIT 1""),)"),"")</f>
        <v/>
      </c>
      <c r="P415" s="61"/>
      <c r="Q415" s="62">
        <v>0.56816862877361163</v>
      </c>
      <c r="R415" s="63">
        <v>0.21928017056135451</v>
      </c>
      <c r="S415" s="63">
        <v>0.67429461003101998</v>
      </c>
      <c r="T415" s="63">
        <v>9.0108271135460161E-2</v>
      </c>
      <c r="U415" s="63">
        <v>0.6992823516024288</v>
      </c>
    </row>
    <row r="416" spans="1:21" ht="16.2">
      <c r="A416" s="5">
        <f t="shared" ca="1" si="3"/>
        <v>415</v>
      </c>
      <c r="B416" s="5" t="str">
        <f ca="1">IFERROR(__xludf.DUMMYFUNCTION("if(ISBLANK(C416),,QUERY(MD!A417:D1415,""Select A where C = '""&amp; C416 &amp;""'""))"),"")</f>
        <v/>
      </c>
      <c r="C416" s="5"/>
      <c r="D416" s="5" t="str">
        <f ca="1">IFERROR(__xludf.DUMMYFUNCTION("if(ISBLANK(C416),,QUERY(MD!$A$2:$D$1000,""Select D where C = '""&amp; C416 &amp;""'""))"),"")</f>
        <v/>
      </c>
      <c r="E416" s="59" t="str">
        <f ca="1">IFERROR(__xludf.DUMMYFUNCTION("if(ISBLANK(C416),,QUERY(MD!$A$2:$D$1000,""Select B where C = '""&amp; C416 &amp;""'""))"),"")</f>
        <v/>
      </c>
      <c r="F416" s="5">
        <f t="shared" ca="1" si="2"/>
        <v>0</v>
      </c>
      <c r="G416" s="32" t="str">
        <f ca="1">IFERROR(__xludf.DUMMYFUNCTION("if($F416&gt;=1,QUERY(Loot!$A$2:$G$904,""Select G where A = '""&amp; $E416 &amp;""' AND D &gt;= ""&amp; Q416  &amp;"" LIMIT 1""),)"),"")</f>
        <v/>
      </c>
      <c r="H416" s="61"/>
      <c r="I416" s="32" t="str">
        <f ca="1">IFERROR(__xludf.DUMMYFUNCTION("if($F416&gt;=2,QUERY(Loot!$A$2:$G$904,""Select G where A = '""&amp; $E416 &amp;""' AND D &gt;= ""&amp; R416 &amp;"" LIMIT 1""),)"),"")</f>
        <v/>
      </c>
      <c r="J416" s="61"/>
      <c r="K416" s="32" t="str">
        <f ca="1">IFERROR(__xludf.DUMMYFUNCTION("if($F416&gt;=3,QUERY(Loot!$A$2:$G$904,""Select G where A = '""&amp; $E416 &amp;""' AND D &gt;= ""&amp; S416  &amp;"" LIMIT 1""),)"),"")</f>
        <v/>
      </c>
      <c r="L416" s="61"/>
      <c r="M416" s="32" t="str">
        <f ca="1">IFERROR(__xludf.DUMMYFUNCTION("if($F416&gt;=4,QUERY(Loot!$A$2:$G$904,""Select G where A = '""&amp; $E416 &amp;""' AND D &gt;= ""&amp;T416 &amp;"" LIMIT 1""),)"),"")</f>
        <v/>
      </c>
      <c r="N416" s="61"/>
      <c r="O416" s="32" t="str">
        <f ca="1">IFERROR(__xludf.DUMMYFUNCTION("if($F416&gt;=5,QUERY(Loot!$A$2:$G$904,""Select G where A = '""&amp; $E416 &amp;""' AND D &gt;= ""&amp; U416 &amp;"" LIMIT 1""),)"),"")</f>
        <v/>
      </c>
      <c r="P416" s="61"/>
      <c r="Q416" s="62">
        <v>0.85565261045487284</v>
      </c>
      <c r="R416" s="63">
        <v>0.51666067441863606</v>
      </c>
      <c r="S416" s="63">
        <v>0.91871887111065786</v>
      </c>
      <c r="T416" s="63">
        <v>4.3259455314594297E-2</v>
      </c>
      <c r="U416" s="63">
        <v>0.48522968956094525</v>
      </c>
    </row>
    <row r="417" spans="1:21" ht="16.2">
      <c r="A417" s="5">
        <f t="shared" ca="1" si="3"/>
        <v>416</v>
      </c>
      <c r="B417" s="5" t="str">
        <f ca="1">IFERROR(__xludf.DUMMYFUNCTION("if(ISBLANK(C417),,QUERY(MD!A418:D1416,""Select A where C = '""&amp; C417 &amp;""'""))"),"")</f>
        <v/>
      </c>
      <c r="C417" s="5"/>
      <c r="D417" s="5" t="str">
        <f ca="1">IFERROR(__xludf.DUMMYFUNCTION("if(ISBLANK(C417),,QUERY(MD!$A$2:$D$1000,""Select D where C = '""&amp; C417 &amp;""'""))"),"")</f>
        <v/>
      </c>
      <c r="E417" s="59" t="str">
        <f ca="1">IFERROR(__xludf.DUMMYFUNCTION("if(ISBLANK(C417),,QUERY(MD!$A$2:$D$1000,""Select B where C = '""&amp; C417 &amp;""'""))"),"")</f>
        <v/>
      </c>
      <c r="F417" s="5">
        <f t="shared" ca="1" si="2"/>
        <v>0</v>
      </c>
      <c r="G417" s="32" t="str">
        <f ca="1">IFERROR(__xludf.DUMMYFUNCTION("if($F417&gt;=1,QUERY(Loot!$A$2:$G$904,""Select G where A = '""&amp; $E417 &amp;""' AND D &gt;= ""&amp; Q417  &amp;"" LIMIT 1""),)"),"")</f>
        <v/>
      </c>
      <c r="H417" s="61"/>
      <c r="I417" s="32" t="str">
        <f ca="1">IFERROR(__xludf.DUMMYFUNCTION("if($F417&gt;=2,QUERY(Loot!$A$2:$G$904,""Select G where A = '""&amp; $E417 &amp;""' AND D &gt;= ""&amp; R417 &amp;"" LIMIT 1""),)"),"")</f>
        <v/>
      </c>
      <c r="J417" s="61"/>
      <c r="K417" s="32" t="str">
        <f ca="1">IFERROR(__xludf.DUMMYFUNCTION("if($F417&gt;=3,QUERY(Loot!$A$2:$G$904,""Select G where A = '""&amp; $E417 &amp;""' AND D &gt;= ""&amp; S417  &amp;"" LIMIT 1""),)"),"")</f>
        <v/>
      </c>
      <c r="L417" s="61"/>
      <c r="M417" s="32" t="str">
        <f ca="1">IFERROR(__xludf.DUMMYFUNCTION("if($F417&gt;=4,QUERY(Loot!$A$2:$G$904,""Select G where A = '""&amp; $E417 &amp;""' AND D &gt;= ""&amp;T417 &amp;"" LIMIT 1""),)"),"")</f>
        <v/>
      </c>
      <c r="N417" s="61"/>
      <c r="O417" s="32" t="str">
        <f ca="1">IFERROR(__xludf.DUMMYFUNCTION("if($F417&gt;=5,QUERY(Loot!$A$2:$G$904,""Select G where A = '""&amp; $E417 &amp;""' AND D &gt;= ""&amp; U417 &amp;"" LIMIT 1""),)"),"")</f>
        <v/>
      </c>
      <c r="P417" s="61"/>
      <c r="Q417" s="62">
        <v>0.53233352036737491</v>
      </c>
      <c r="R417" s="63">
        <v>0.38556993712631216</v>
      </c>
      <c r="S417" s="63">
        <v>0.33932984236160291</v>
      </c>
      <c r="T417" s="63">
        <v>0.33463456655979362</v>
      </c>
      <c r="U417" s="63">
        <v>0.42446450305377004</v>
      </c>
    </row>
    <row r="418" spans="1:21" ht="16.2">
      <c r="A418" s="5">
        <f t="shared" ca="1" si="3"/>
        <v>417</v>
      </c>
      <c r="B418" s="5" t="str">
        <f ca="1">IFERROR(__xludf.DUMMYFUNCTION("if(ISBLANK(C418),,QUERY(MD!A419:D1417,""Select A where C = '""&amp; C418 &amp;""'""))"),"")</f>
        <v/>
      </c>
      <c r="C418" s="5"/>
      <c r="D418" s="5" t="str">
        <f ca="1">IFERROR(__xludf.DUMMYFUNCTION("if(ISBLANK(C418),,QUERY(MD!$A$2:$D$1000,""Select D where C = '""&amp; C418 &amp;""'""))"),"")</f>
        <v/>
      </c>
      <c r="E418" s="59" t="str">
        <f ca="1">IFERROR(__xludf.DUMMYFUNCTION("if(ISBLANK(C418),,QUERY(MD!$A$2:$D$1000,""Select B where C = '""&amp; C418 &amp;""'""))"),"")</f>
        <v/>
      </c>
      <c r="F418" s="5">
        <f t="shared" ca="1" si="2"/>
        <v>0</v>
      </c>
      <c r="G418" s="32" t="str">
        <f ca="1">IFERROR(__xludf.DUMMYFUNCTION("if($F418&gt;=1,QUERY(Loot!$A$2:$G$904,""Select G where A = '""&amp; $E418 &amp;""' AND D &gt;= ""&amp; Q418  &amp;"" LIMIT 1""),)"),"")</f>
        <v/>
      </c>
      <c r="H418" s="61"/>
      <c r="I418" s="32" t="str">
        <f ca="1">IFERROR(__xludf.DUMMYFUNCTION("if($F418&gt;=2,QUERY(Loot!$A$2:$G$904,""Select G where A = '""&amp; $E418 &amp;""' AND D &gt;= ""&amp; R418 &amp;"" LIMIT 1""),)"),"")</f>
        <v/>
      </c>
      <c r="J418" s="61"/>
      <c r="K418" s="32" t="str">
        <f ca="1">IFERROR(__xludf.DUMMYFUNCTION("if($F418&gt;=3,QUERY(Loot!$A$2:$G$904,""Select G where A = '""&amp; $E418 &amp;""' AND D &gt;= ""&amp; S418  &amp;"" LIMIT 1""),)"),"")</f>
        <v/>
      </c>
      <c r="L418" s="61"/>
      <c r="M418" s="32" t="str">
        <f ca="1">IFERROR(__xludf.DUMMYFUNCTION("if($F418&gt;=4,QUERY(Loot!$A$2:$G$904,""Select G where A = '""&amp; $E418 &amp;""' AND D &gt;= ""&amp;T418 &amp;"" LIMIT 1""),)"),"")</f>
        <v/>
      </c>
      <c r="N418" s="61"/>
      <c r="O418" s="32" t="str">
        <f ca="1">IFERROR(__xludf.DUMMYFUNCTION("if($F418&gt;=5,QUERY(Loot!$A$2:$G$904,""Select G where A = '""&amp; $E418 &amp;""' AND D &gt;= ""&amp; U418 &amp;"" LIMIT 1""),)"),"")</f>
        <v/>
      </c>
      <c r="P418" s="61"/>
      <c r="Q418" s="62">
        <v>0.13328067206011751</v>
      </c>
      <c r="R418" s="63">
        <v>0.79039165717996707</v>
      </c>
      <c r="S418" s="63">
        <v>0.73399302555680213</v>
      </c>
      <c r="T418" s="63">
        <v>0.64318632820738986</v>
      </c>
      <c r="U418" s="63">
        <v>0.28132127694921016</v>
      </c>
    </row>
    <row r="419" spans="1:21" ht="16.2">
      <c r="A419" s="5">
        <f t="shared" ca="1" si="3"/>
        <v>418</v>
      </c>
      <c r="B419" s="5" t="str">
        <f ca="1">IFERROR(__xludf.DUMMYFUNCTION("if(ISBLANK(C419),,QUERY(MD!A420:D1418,""Select A where C = '""&amp; C419 &amp;""'""))"),"")</f>
        <v/>
      </c>
      <c r="C419" s="5"/>
      <c r="D419" s="5" t="str">
        <f ca="1">IFERROR(__xludf.DUMMYFUNCTION("if(ISBLANK(C419),,QUERY(MD!$A$2:$D$1000,""Select D where C = '""&amp; C419 &amp;""'""))"),"")</f>
        <v/>
      </c>
      <c r="E419" s="59" t="str">
        <f ca="1">IFERROR(__xludf.DUMMYFUNCTION("if(ISBLANK(C419),,QUERY(MD!$A$2:$D$1000,""Select B where C = '""&amp; C419 &amp;""'""))"),"")</f>
        <v/>
      </c>
      <c r="F419" s="5">
        <f t="shared" ca="1" si="2"/>
        <v>0</v>
      </c>
      <c r="G419" s="32" t="str">
        <f ca="1">IFERROR(__xludf.DUMMYFUNCTION("if($F419&gt;=1,QUERY(Loot!$A$2:$G$904,""Select G where A = '""&amp; $E419 &amp;""' AND D &gt;= ""&amp; Q419  &amp;"" LIMIT 1""),)"),"")</f>
        <v/>
      </c>
      <c r="H419" s="61"/>
      <c r="I419" s="32" t="str">
        <f ca="1">IFERROR(__xludf.DUMMYFUNCTION("if($F419&gt;=2,QUERY(Loot!$A$2:$G$904,""Select G where A = '""&amp; $E419 &amp;""' AND D &gt;= ""&amp; R419 &amp;"" LIMIT 1""),)"),"")</f>
        <v/>
      </c>
      <c r="J419" s="61"/>
      <c r="K419" s="32" t="str">
        <f ca="1">IFERROR(__xludf.DUMMYFUNCTION("if($F419&gt;=3,QUERY(Loot!$A$2:$G$904,""Select G where A = '""&amp; $E419 &amp;""' AND D &gt;= ""&amp; S419  &amp;"" LIMIT 1""),)"),"")</f>
        <v/>
      </c>
      <c r="L419" s="61"/>
      <c r="M419" s="32" t="str">
        <f ca="1">IFERROR(__xludf.DUMMYFUNCTION("if($F419&gt;=4,QUERY(Loot!$A$2:$G$904,""Select G where A = '""&amp; $E419 &amp;""' AND D &gt;= ""&amp;T419 &amp;"" LIMIT 1""),)"),"")</f>
        <v/>
      </c>
      <c r="N419" s="61"/>
      <c r="O419" s="32" t="str">
        <f ca="1">IFERROR(__xludf.DUMMYFUNCTION("if($F419&gt;=5,QUERY(Loot!$A$2:$G$904,""Select G where A = '""&amp; $E419 &amp;""' AND D &gt;= ""&amp; U419 &amp;"" LIMIT 1""),)"),"")</f>
        <v/>
      </c>
      <c r="P419" s="61"/>
      <c r="Q419" s="62">
        <v>0.41316326209038945</v>
      </c>
      <c r="R419" s="63">
        <v>0.4596349819683252</v>
      </c>
      <c r="S419" s="63">
        <v>0.37188161093255767</v>
      </c>
      <c r="T419" s="63">
        <v>1.9199180195472398E-2</v>
      </c>
      <c r="U419" s="63">
        <v>0.56682598208088097</v>
      </c>
    </row>
    <row r="420" spans="1:21" ht="16.2">
      <c r="A420" s="5">
        <f t="shared" ca="1" si="3"/>
        <v>419</v>
      </c>
      <c r="B420" s="5" t="str">
        <f ca="1">IFERROR(__xludf.DUMMYFUNCTION("if(ISBLANK(C420),,QUERY(MD!A421:D1419,""Select A where C = '""&amp; C420 &amp;""'""))"),"")</f>
        <v/>
      </c>
      <c r="C420" s="5"/>
      <c r="D420" s="5" t="str">
        <f ca="1">IFERROR(__xludf.DUMMYFUNCTION("if(ISBLANK(C420),,QUERY(MD!$A$2:$D$1000,""Select D where C = '""&amp; C420 &amp;""'""))"),"")</f>
        <v/>
      </c>
      <c r="E420" s="59" t="str">
        <f ca="1">IFERROR(__xludf.DUMMYFUNCTION("if(ISBLANK(C420),,QUERY(MD!$A$2:$D$1000,""Select B where C = '""&amp; C420 &amp;""'""))"),"")</f>
        <v/>
      </c>
      <c r="F420" s="5">
        <f t="shared" ca="1" si="2"/>
        <v>0</v>
      </c>
      <c r="G420" s="32" t="str">
        <f ca="1">IFERROR(__xludf.DUMMYFUNCTION("if($F420&gt;=1,QUERY(Loot!$A$2:$G$904,""Select G where A = '""&amp; $E420 &amp;""' AND D &gt;= ""&amp; Q420  &amp;"" LIMIT 1""),)"),"")</f>
        <v/>
      </c>
      <c r="H420" s="61"/>
      <c r="I420" s="32" t="str">
        <f ca="1">IFERROR(__xludf.DUMMYFUNCTION("if($F420&gt;=2,QUERY(Loot!$A$2:$G$904,""Select G where A = '""&amp; $E420 &amp;""' AND D &gt;= ""&amp; R420 &amp;"" LIMIT 1""),)"),"")</f>
        <v/>
      </c>
      <c r="J420" s="61"/>
      <c r="K420" s="32" t="str">
        <f ca="1">IFERROR(__xludf.DUMMYFUNCTION("if($F420&gt;=3,QUERY(Loot!$A$2:$G$904,""Select G where A = '""&amp; $E420 &amp;""' AND D &gt;= ""&amp; S420  &amp;"" LIMIT 1""),)"),"")</f>
        <v/>
      </c>
      <c r="L420" s="61"/>
      <c r="M420" s="32" t="str">
        <f ca="1">IFERROR(__xludf.DUMMYFUNCTION("if($F420&gt;=4,QUERY(Loot!$A$2:$G$904,""Select G where A = '""&amp; $E420 &amp;""' AND D &gt;= ""&amp;T420 &amp;"" LIMIT 1""),)"),"")</f>
        <v/>
      </c>
      <c r="N420" s="61"/>
      <c r="O420" s="32" t="str">
        <f ca="1">IFERROR(__xludf.DUMMYFUNCTION("if($F420&gt;=5,QUERY(Loot!$A$2:$G$904,""Select G where A = '""&amp; $E420 &amp;""' AND D &gt;= ""&amp; U420 &amp;"" LIMIT 1""),)"),"")</f>
        <v/>
      </c>
      <c r="P420" s="61"/>
      <c r="Q420" s="62">
        <v>0.75434767335472808</v>
      </c>
      <c r="R420" s="63">
        <v>0.19012630898933625</v>
      </c>
      <c r="S420" s="63">
        <v>0.53810128563684678</v>
      </c>
      <c r="T420" s="63">
        <v>0.46731678193772042</v>
      </c>
      <c r="U420" s="63">
        <v>0.1050460225244475</v>
      </c>
    </row>
    <row r="421" spans="1:21" ht="16.2">
      <c r="A421" s="5">
        <f t="shared" ca="1" si="3"/>
        <v>420</v>
      </c>
      <c r="B421" s="5" t="str">
        <f ca="1">IFERROR(__xludf.DUMMYFUNCTION("if(ISBLANK(C421),,QUERY(MD!A422:D1420,""Select A where C = '""&amp; C421 &amp;""'""))"),"")</f>
        <v/>
      </c>
      <c r="C421" s="5"/>
      <c r="D421" s="5" t="str">
        <f ca="1">IFERROR(__xludf.DUMMYFUNCTION("if(ISBLANK(C421),,QUERY(MD!$A$2:$D$1000,""Select D where C = '""&amp; C421 &amp;""'""))"),"")</f>
        <v/>
      </c>
      <c r="E421" s="59" t="str">
        <f ca="1">IFERROR(__xludf.DUMMYFUNCTION("if(ISBLANK(C421),,QUERY(MD!$A$2:$D$1000,""Select B where C = '""&amp; C421 &amp;""'""))"),"")</f>
        <v/>
      </c>
      <c r="F421" s="5">
        <f t="shared" ca="1" si="2"/>
        <v>0</v>
      </c>
      <c r="G421" s="32" t="str">
        <f ca="1">IFERROR(__xludf.DUMMYFUNCTION("if($F421&gt;=1,QUERY(Loot!$A$2:$G$904,""Select G where A = '""&amp; $E421 &amp;""' AND D &gt;= ""&amp; Q421  &amp;"" LIMIT 1""),)"),"")</f>
        <v/>
      </c>
      <c r="H421" s="61"/>
      <c r="I421" s="32" t="str">
        <f ca="1">IFERROR(__xludf.DUMMYFUNCTION("if($F421&gt;=2,QUERY(Loot!$A$2:$G$904,""Select G where A = '""&amp; $E421 &amp;""' AND D &gt;= ""&amp; R421 &amp;"" LIMIT 1""),)"),"")</f>
        <v/>
      </c>
      <c r="J421" s="61"/>
      <c r="K421" s="32" t="str">
        <f ca="1">IFERROR(__xludf.DUMMYFUNCTION("if($F421&gt;=3,QUERY(Loot!$A$2:$G$904,""Select G where A = '""&amp; $E421 &amp;""' AND D &gt;= ""&amp; S421  &amp;"" LIMIT 1""),)"),"")</f>
        <v/>
      </c>
      <c r="L421" s="61"/>
      <c r="M421" s="32" t="str">
        <f ca="1">IFERROR(__xludf.DUMMYFUNCTION("if($F421&gt;=4,QUERY(Loot!$A$2:$G$904,""Select G where A = '""&amp; $E421 &amp;""' AND D &gt;= ""&amp;T421 &amp;"" LIMIT 1""),)"),"")</f>
        <v/>
      </c>
      <c r="N421" s="61"/>
      <c r="O421" s="32" t="str">
        <f ca="1">IFERROR(__xludf.DUMMYFUNCTION("if($F421&gt;=5,QUERY(Loot!$A$2:$G$904,""Select G where A = '""&amp; $E421 &amp;""' AND D &gt;= ""&amp; U421 &amp;"" LIMIT 1""),)"),"")</f>
        <v/>
      </c>
      <c r="P421" s="61"/>
      <c r="Q421" s="62">
        <v>0.25220562738067043</v>
      </c>
      <c r="R421" s="63">
        <v>0.963376486843323</v>
      </c>
      <c r="S421" s="63">
        <v>0.94071964029818556</v>
      </c>
      <c r="T421" s="63">
        <v>0.21807550579603374</v>
      </c>
      <c r="U421" s="63">
        <v>0.15701432514586866</v>
      </c>
    </row>
    <row r="422" spans="1:21" ht="16.2">
      <c r="A422" s="5">
        <f t="shared" ca="1" si="3"/>
        <v>421</v>
      </c>
      <c r="B422" s="5" t="str">
        <f ca="1">IFERROR(__xludf.DUMMYFUNCTION("if(ISBLANK(C422),,QUERY(MD!A423:D1421,""Select A where C = '""&amp; C422 &amp;""'""))"),"")</f>
        <v/>
      </c>
      <c r="C422" s="5"/>
      <c r="D422" s="5" t="str">
        <f ca="1">IFERROR(__xludf.DUMMYFUNCTION("if(ISBLANK(C422),,QUERY(MD!$A$2:$D$1000,""Select D where C = '""&amp; C422 &amp;""'""))"),"")</f>
        <v/>
      </c>
      <c r="E422" s="59" t="str">
        <f ca="1">IFERROR(__xludf.DUMMYFUNCTION("if(ISBLANK(C422),,QUERY(MD!$A$2:$D$1000,""Select B where C = '""&amp; C422 &amp;""'""))"),"")</f>
        <v/>
      </c>
      <c r="F422" s="5">
        <f t="shared" ca="1" si="2"/>
        <v>0</v>
      </c>
      <c r="G422" s="32" t="str">
        <f ca="1">IFERROR(__xludf.DUMMYFUNCTION("if($F422&gt;=1,QUERY(Loot!$A$2:$G$904,""Select G where A = '""&amp; $E422 &amp;""' AND D &gt;= ""&amp; Q422  &amp;"" LIMIT 1""),)"),"")</f>
        <v/>
      </c>
      <c r="H422" s="61"/>
      <c r="I422" s="32" t="str">
        <f ca="1">IFERROR(__xludf.DUMMYFUNCTION("if($F422&gt;=2,QUERY(Loot!$A$2:$G$904,""Select G where A = '""&amp; $E422 &amp;""' AND D &gt;= ""&amp; R422 &amp;"" LIMIT 1""),)"),"")</f>
        <v/>
      </c>
      <c r="J422" s="61"/>
      <c r="K422" s="32" t="str">
        <f ca="1">IFERROR(__xludf.DUMMYFUNCTION("if($F422&gt;=3,QUERY(Loot!$A$2:$G$904,""Select G where A = '""&amp; $E422 &amp;""' AND D &gt;= ""&amp; S422  &amp;"" LIMIT 1""),)"),"")</f>
        <v/>
      </c>
      <c r="L422" s="61"/>
      <c r="M422" s="32" t="str">
        <f ca="1">IFERROR(__xludf.DUMMYFUNCTION("if($F422&gt;=4,QUERY(Loot!$A$2:$G$904,""Select G where A = '""&amp; $E422 &amp;""' AND D &gt;= ""&amp;T422 &amp;"" LIMIT 1""),)"),"")</f>
        <v/>
      </c>
      <c r="N422" s="61"/>
      <c r="O422" s="32" t="str">
        <f ca="1">IFERROR(__xludf.DUMMYFUNCTION("if($F422&gt;=5,QUERY(Loot!$A$2:$G$904,""Select G where A = '""&amp; $E422 &amp;""' AND D &gt;= ""&amp; U422 &amp;"" LIMIT 1""),)"),"")</f>
        <v/>
      </c>
      <c r="P422" s="61"/>
      <c r="Q422" s="62">
        <v>0.82621907840583253</v>
      </c>
      <c r="R422" s="63">
        <v>0.14674291947901696</v>
      </c>
      <c r="S422" s="63">
        <v>0.27396560547247939</v>
      </c>
      <c r="T422" s="63">
        <v>0.55331701736465611</v>
      </c>
      <c r="U422" s="63">
        <v>0.2701398274044382</v>
      </c>
    </row>
    <row r="423" spans="1:21" ht="16.2">
      <c r="A423" s="5">
        <f t="shared" ca="1" si="3"/>
        <v>422</v>
      </c>
      <c r="B423" s="5" t="str">
        <f ca="1">IFERROR(__xludf.DUMMYFUNCTION("if(ISBLANK(C423),,QUERY(MD!A424:D1422,""Select A where C = '""&amp; C423 &amp;""'""))"),"")</f>
        <v/>
      </c>
      <c r="C423" s="5"/>
      <c r="D423" s="5" t="str">
        <f ca="1">IFERROR(__xludf.DUMMYFUNCTION("if(ISBLANK(C423),,QUERY(MD!$A$2:$D$1000,""Select D where C = '""&amp; C423 &amp;""'""))"),"")</f>
        <v/>
      </c>
      <c r="E423" s="59" t="str">
        <f ca="1">IFERROR(__xludf.DUMMYFUNCTION("if(ISBLANK(C423),,QUERY(MD!$A$2:$D$1000,""Select B where C = '""&amp; C423 &amp;""'""))"),"")</f>
        <v/>
      </c>
      <c r="F423" s="5">
        <f t="shared" ca="1" si="2"/>
        <v>0</v>
      </c>
      <c r="G423" s="32" t="str">
        <f ca="1">IFERROR(__xludf.DUMMYFUNCTION("if($F423&gt;=1,QUERY(Loot!$A$2:$G$904,""Select G where A = '""&amp; $E423 &amp;""' AND D &gt;= ""&amp; Q423  &amp;"" LIMIT 1""),)"),"")</f>
        <v/>
      </c>
      <c r="H423" s="61"/>
      <c r="I423" s="32" t="str">
        <f ca="1">IFERROR(__xludf.DUMMYFUNCTION("if($F423&gt;=2,QUERY(Loot!$A$2:$G$904,""Select G where A = '""&amp; $E423 &amp;""' AND D &gt;= ""&amp; R423 &amp;"" LIMIT 1""),)"),"")</f>
        <v/>
      </c>
      <c r="J423" s="61"/>
      <c r="K423" s="32" t="str">
        <f ca="1">IFERROR(__xludf.DUMMYFUNCTION("if($F423&gt;=3,QUERY(Loot!$A$2:$G$904,""Select G where A = '""&amp; $E423 &amp;""' AND D &gt;= ""&amp; S423  &amp;"" LIMIT 1""),)"),"")</f>
        <v/>
      </c>
      <c r="L423" s="61"/>
      <c r="M423" s="32" t="str">
        <f ca="1">IFERROR(__xludf.DUMMYFUNCTION("if($F423&gt;=4,QUERY(Loot!$A$2:$G$904,""Select G where A = '""&amp; $E423 &amp;""' AND D &gt;= ""&amp;T423 &amp;"" LIMIT 1""),)"),"")</f>
        <v/>
      </c>
      <c r="N423" s="61"/>
      <c r="O423" s="32" t="str">
        <f ca="1">IFERROR(__xludf.DUMMYFUNCTION("if($F423&gt;=5,QUERY(Loot!$A$2:$G$904,""Select G where A = '""&amp; $E423 &amp;""' AND D &gt;= ""&amp; U423 &amp;"" LIMIT 1""),)"),"")</f>
        <v/>
      </c>
      <c r="P423" s="61"/>
      <c r="Q423" s="62">
        <v>0.51205941963439072</v>
      </c>
      <c r="R423" s="63">
        <v>0.46630268477275594</v>
      </c>
      <c r="S423" s="63">
        <v>0.9237587095597426</v>
      </c>
      <c r="T423" s="63">
        <v>0.62628898879664241</v>
      </c>
      <c r="U423" s="63">
        <v>0.65332488862619842</v>
      </c>
    </row>
    <row r="424" spans="1:21" ht="16.2">
      <c r="A424" s="5">
        <f t="shared" ca="1" si="3"/>
        <v>423</v>
      </c>
      <c r="B424" s="5" t="str">
        <f ca="1">IFERROR(__xludf.DUMMYFUNCTION("if(ISBLANK(C424),,QUERY(MD!A425:D1423,""Select A where C = '""&amp; C424 &amp;""'""))"),"")</f>
        <v/>
      </c>
      <c r="C424" s="5"/>
      <c r="D424" s="5" t="str">
        <f ca="1">IFERROR(__xludf.DUMMYFUNCTION("if(ISBLANK(C424),,QUERY(MD!$A$2:$D$1000,""Select D where C = '""&amp; C424 &amp;""'""))"),"")</f>
        <v/>
      </c>
      <c r="E424" s="59" t="str">
        <f ca="1">IFERROR(__xludf.DUMMYFUNCTION("if(ISBLANK(C424),,QUERY(MD!$A$2:$D$1000,""Select B where C = '""&amp; C424 &amp;""'""))"),"")</f>
        <v/>
      </c>
      <c r="F424" s="5">
        <f t="shared" ca="1" si="2"/>
        <v>0</v>
      </c>
      <c r="G424" s="32" t="str">
        <f ca="1">IFERROR(__xludf.DUMMYFUNCTION("if($F424&gt;=1,QUERY(Loot!$A$2:$G$904,""Select G where A = '""&amp; $E424 &amp;""' AND D &gt;= ""&amp; Q424  &amp;"" LIMIT 1""),)"),"")</f>
        <v/>
      </c>
      <c r="H424" s="61"/>
      <c r="I424" s="32" t="str">
        <f ca="1">IFERROR(__xludf.DUMMYFUNCTION("if($F424&gt;=2,QUERY(Loot!$A$2:$G$904,""Select G where A = '""&amp; $E424 &amp;""' AND D &gt;= ""&amp; R424 &amp;"" LIMIT 1""),)"),"")</f>
        <v/>
      </c>
      <c r="J424" s="61"/>
      <c r="K424" s="32" t="str">
        <f ca="1">IFERROR(__xludf.DUMMYFUNCTION("if($F424&gt;=3,QUERY(Loot!$A$2:$G$904,""Select G where A = '""&amp; $E424 &amp;""' AND D &gt;= ""&amp; S424  &amp;"" LIMIT 1""),)"),"")</f>
        <v/>
      </c>
      <c r="L424" s="61"/>
      <c r="M424" s="32" t="str">
        <f ca="1">IFERROR(__xludf.DUMMYFUNCTION("if($F424&gt;=4,QUERY(Loot!$A$2:$G$904,""Select G where A = '""&amp; $E424 &amp;""' AND D &gt;= ""&amp;T424 &amp;"" LIMIT 1""),)"),"")</f>
        <v/>
      </c>
      <c r="N424" s="61"/>
      <c r="O424" s="32" t="str">
        <f ca="1">IFERROR(__xludf.DUMMYFUNCTION("if($F424&gt;=5,QUERY(Loot!$A$2:$G$904,""Select G where A = '""&amp; $E424 &amp;""' AND D &gt;= ""&amp; U424 &amp;"" LIMIT 1""),)"),"")</f>
        <v/>
      </c>
      <c r="P424" s="61"/>
      <c r="Q424" s="62">
        <v>3.349345705692075E-2</v>
      </c>
      <c r="R424" s="63">
        <v>0.92167920767618894</v>
      </c>
      <c r="S424" s="63">
        <v>0.21142108949495386</v>
      </c>
      <c r="T424" s="63">
        <v>0.6409796988604477</v>
      </c>
      <c r="U424" s="63">
        <v>0.47754091052258552</v>
      </c>
    </row>
    <row r="425" spans="1:21" ht="16.2">
      <c r="A425" s="5">
        <f t="shared" ca="1" si="3"/>
        <v>424</v>
      </c>
      <c r="B425" s="5" t="str">
        <f ca="1">IFERROR(__xludf.DUMMYFUNCTION("if(ISBLANK(C425),,QUERY(MD!A426:D1424,""Select A where C = '""&amp; C425 &amp;""'""))"),"")</f>
        <v/>
      </c>
      <c r="C425" s="5"/>
      <c r="D425" s="5" t="str">
        <f ca="1">IFERROR(__xludf.DUMMYFUNCTION("if(ISBLANK(C425),,QUERY(MD!$A$2:$D$1000,""Select D where C = '""&amp; C425 &amp;""'""))"),"")</f>
        <v/>
      </c>
      <c r="E425" s="59" t="str">
        <f ca="1">IFERROR(__xludf.DUMMYFUNCTION("if(ISBLANK(C425),,QUERY(MD!$A$2:$D$1000,""Select B where C = '""&amp; C425 &amp;""'""))"),"")</f>
        <v/>
      </c>
      <c r="F425" s="5">
        <f t="shared" ca="1" si="2"/>
        <v>0</v>
      </c>
      <c r="G425" s="32" t="str">
        <f ca="1">IFERROR(__xludf.DUMMYFUNCTION("if($F425&gt;=1,QUERY(Loot!$A$2:$G$904,""Select G where A = '""&amp; $E425 &amp;""' AND D &gt;= ""&amp; Q425  &amp;"" LIMIT 1""),)"),"")</f>
        <v/>
      </c>
      <c r="H425" s="61"/>
      <c r="I425" s="32" t="str">
        <f ca="1">IFERROR(__xludf.DUMMYFUNCTION("if($F425&gt;=2,QUERY(Loot!$A$2:$G$904,""Select G where A = '""&amp; $E425 &amp;""' AND D &gt;= ""&amp; R425 &amp;"" LIMIT 1""),)"),"")</f>
        <v/>
      </c>
      <c r="J425" s="61"/>
      <c r="K425" s="32" t="str">
        <f ca="1">IFERROR(__xludf.DUMMYFUNCTION("if($F425&gt;=3,QUERY(Loot!$A$2:$G$904,""Select G where A = '""&amp; $E425 &amp;""' AND D &gt;= ""&amp; S425  &amp;"" LIMIT 1""),)"),"")</f>
        <v/>
      </c>
      <c r="L425" s="61"/>
      <c r="M425" s="32" t="str">
        <f ca="1">IFERROR(__xludf.DUMMYFUNCTION("if($F425&gt;=4,QUERY(Loot!$A$2:$G$904,""Select G where A = '""&amp; $E425 &amp;""' AND D &gt;= ""&amp;T425 &amp;"" LIMIT 1""),)"),"")</f>
        <v/>
      </c>
      <c r="N425" s="61"/>
      <c r="O425" s="32" t="str">
        <f ca="1">IFERROR(__xludf.DUMMYFUNCTION("if($F425&gt;=5,QUERY(Loot!$A$2:$G$904,""Select G where A = '""&amp; $E425 &amp;""' AND D &gt;= ""&amp; U425 &amp;"" LIMIT 1""),)"),"")</f>
        <v/>
      </c>
      <c r="P425" s="61"/>
      <c r="Q425" s="62">
        <v>9.6699524292826022E-2</v>
      </c>
      <c r="R425" s="63">
        <v>0.20326859269532516</v>
      </c>
      <c r="S425" s="63">
        <v>0.55747727376239209</v>
      </c>
      <c r="T425" s="63">
        <v>0.43055696230439156</v>
      </c>
      <c r="U425" s="63">
        <v>0.83821249037076861</v>
      </c>
    </row>
    <row r="426" spans="1:21" ht="16.2">
      <c r="A426" s="5">
        <f t="shared" ca="1" si="3"/>
        <v>425</v>
      </c>
      <c r="B426" s="5" t="str">
        <f ca="1">IFERROR(__xludf.DUMMYFUNCTION("if(ISBLANK(C426),,QUERY(MD!A427:D1425,""Select A where C = '""&amp; C426 &amp;""'""))"),"")</f>
        <v/>
      </c>
      <c r="C426" s="5"/>
      <c r="D426" s="5" t="str">
        <f ca="1">IFERROR(__xludf.DUMMYFUNCTION("if(ISBLANK(C426),,QUERY(MD!$A$2:$D$1000,""Select D where C = '""&amp; C426 &amp;""'""))"),"")</f>
        <v/>
      </c>
      <c r="E426" s="59" t="str">
        <f ca="1">IFERROR(__xludf.DUMMYFUNCTION("if(ISBLANK(C426),,QUERY(MD!$A$2:$D$1000,""Select B where C = '""&amp; C426 &amp;""'""))"),"")</f>
        <v/>
      </c>
      <c r="F426" s="5">
        <f t="shared" ca="1" si="2"/>
        <v>0</v>
      </c>
      <c r="G426" s="32" t="str">
        <f ca="1">IFERROR(__xludf.DUMMYFUNCTION("if($F426&gt;=1,QUERY(Loot!$A$2:$G$904,""Select G where A = '""&amp; $E426 &amp;""' AND D &gt;= ""&amp; Q426  &amp;"" LIMIT 1""),)"),"")</f>
        <v/>
      </c>
      <c r="H426" s="61"/>
      <c r="I426" s="32" t="str">
        <f ca="1">IFERROR(__xludf.DUMMYFUNCTION("if($F426&gt;=2,QUERY(Loot!$A$2:$G$904,""Select G where A = '""&amp; $E426 &amp;""' AND D &gt;= ""&amp; R426 &amp;"" LIMIT 1""),)"),"")</f>
        <v/>
      </c>
      <c r="J426" s="61"/>
      <c r="K426" s="32" t="str">
        <f ca="1">IFERROR(__xludf.DUMMYFUNCTION("if($F426&gt;=3,QUERY(Loot!$A$2:$G$904,""Select G where A = '""&amp; $E426 &amp;""' AND D &gt;= ""&amp; S426  &amp;"" LIMIT 1""),)"),"")</f>
        <v/>
      </c>
      <c r="L426" s="61"/>
      <c r="M426" s="32" t="str">
        <f ca="1">IFERROR(__xludf.DUMMYFUNCTION("if($F426&gt;=4,QUERY(Loot!$A$2:$G$904,""Select G where A = '""&amp; $E426 &amp;""' AND D &gt;= ""&amp;T426 &amp;"" LIMIT 1""),)"),"")</f>
        <v/>
      </c>
      <c r="N426" s="61"/>
      <c r="O426" s="32" t="str">
        <f ca="1">IFERROR(__xludf.DUMMYFUNCTION("if($F426&gt;=5,QUERY(Loot!$A$2:$G$904,""Select G where A = '""&amp; $E426 &amp;""' AND D &gt;= ""&amp; U426 &amp;"" LIMIT 1""),)"),"")</f>
        <v/>
      </c>
      <c r="P426" s="61"/>
      <c r="Q426" s="62">
        <v>0.23031769574944738</v>
      </c>
      <c r="R426" s="63">
        <v>0.93737240948881906</v>
      </c>
      <c r="S426" s="63">
        <v>0.67758688441198867</v>
      </c>
      <c r="T426" s="63">
        <v>0.89032343696320271</v>
      </c>
      <c r="U426" s="63">
        <v>0.876456314584656</v>
      </c>
    </row>
    <row r="427" spans="1:21" ht="16.2">
      <c r="A427" s="5">
        <f t="shared" ca="1" si="3"/>
        <v>426</v>
      </c>
      <c r="B427" s="5" t="str">
        <f ca="1">IFERROR(__xludf.DUMMYFUNCTION("if(ISBLANK(C427),,QUERY(MD!A428:D1426,""Select A where C = '""&amp; C427 &amp;""'""))"),"")</f>
        <v/>
      </c>
      <c r="C427" s="5"/>
      <c r="D427" s="5" t="str">
        <f ca="1">IFERROR(__xludf.DUMMYFUNCTION("if(ISBLANK(C427),,QUERY(MD!$A$2:$D$1000,""Select D where C = '""&amp; C427 &amp;""'""))"),"")</f>
        <v/>
      </c>
      <c r="E427" s="59" t="str">
        <f ca="1">IFERROR(__xludf.DUMMYFUNCTION("if(ISBLANK(C427),,QUERY(MD!$A$2:$D$1000,""Select B where C = '""&amp; C427 &amp;""'""))"),"")</f>
        <v/>
      </c>
      <c r="F427" s="5">
        <f t="shared" ca="1" si="2"/>
        <v>0</v>
      </c>
      <c r="G427" s="32" t="str">
        <f ca="1">IFERROR(__xludf.DUMMYFUNCTION("if($F427&gt;=1,QUERY(Loot!$A$2:$G$904,""Select G where A = '""&amp; $E427 &amp;""' AND D &gt;= ""&amp; Q427  &amp;"" LIMIT 1""),)"),"")</f>
        <v/>
      </c>
      <c r="H427" s="61"/>
      <c r="I427" s="32" t="str">
        <f ca="1">IFERROR(__xludf.DUMMYFUNCTION("if($F427&gt;=2,QUERY(Loot!$A$2:$G$904,""Select G where A = '""&amp; $E427 &amp;""' AND D &gt;= ""&amp; R427 &amp;"" LIMIT 1""),)"),"")</f>
        <v/>
      </c>
      <c r="J427" s="61"/>
      <c r="K427" s="32" t="str">
        <f ca="1">IFERROR(__xludf.DUMMYFUNCTION("if($F427&gt;=3,QUERY(Loot!$A$2:$G$904,""Select G where A = '""&amp; $E427 &amp;""' AND D &gt;= ""&amp; S427  &amp;"" LIMIT 1""),)"),"")</f>
        <v/>
      </c>
      <c r="L427" s="61"/>
      <c r="M427" s="32" t="str">
        <f ca="1">IFERROR(__xludf.DUMMYFUNCTION("if($F427&gt;=4,QUERY(Loot!$A$2:$G$904,""Select G where A = '""&amp; $E427 &amp;""' AND D &gt;= ""&amp;T427 &amp;"" LIMIT 1""),)"),"")</f>
        <v/>
      </c>
      <c r="N427" s="61"/>
      <c r="O427" s="32" t="str">
        <f ca="1">IFERROR(__xludf.DUMMYFUNCTION("if($F427&gt;=5,QUERY(Loot!$A$2:$G$904,""Select G where A = '""&amp; $E427 &amp;""' AND D &gt;= ""&amp; U427 &amp;"" LIMIT 1""),)"),"")</f>
        <v/>
      </c>
      <c r="P427" s="61"/>
      <c r="Q427" s="62">
        <v>0.34174131238565431</v>
      </c>
      <c r="R427" s="63">
        <v>0.17342305075944708</v>
      </c>
      <c r="S427" s="63">
        <v>0.84745143360824915</v>
      </c>
      <c r="T427" s="63">
        <v>0.64569088619686377</v>
      </c>
      <c r="U427" s="63">
        <v>1.5694300697219665E-2</v>
      </c>
    </row>
    <row r="428" spans="1:21" ht="16.2">
      <c r="A428" s="5">
        <f t="shared" ca="1" si="3"/>
        <v>427</v>
      </c>
      <c r="B428" s="5" t="str">
        <f ca="1">IFERROR(__xludf.DUMMYFUNCTION("if(ISBLANK(C428),,QUERY(MD!A429:D1427,""Select A where C = '""&amp; C428 &amp;""'""))"),"")</f>
        <v/>
      </c>
      <c r="C428" s="5"/>
      <c r="D428" s="5" t="str">
        <f ca="1">IFERROR(__xludf.DUMMYFUNCTION("if(ISBLANK(C428),,QUERY(MD!$A$2:$D$1000,""Select D where C = '""&amp; C428 &amp;""'""))"),"")</f>
        <v/>
      </c>
      <c r="E428" s="59" t="str">
        <f ca="1">IFERROR(__xludf.DUMMYFUNCTION("if(ISBLANK(C428),,QUERY(MD!$A$2:$D$1000,""Select B where C = '""&amp; C428 &amp;""'""))"),"")</f>
        <v/>
      </c>
      <c r="F428" s="5">
        <f t="shared" ca="1" si="2"/>
        <v>0</v>
      </c>
      <c r="G428" s="32" t="str">
        <f ca="1">IFERROR(__xludf.DUMMYFUNCTION("if($F428&gt;=1,QUERY(Loot!$A$2:$G$904,""Select G where A = '""&amp; $E428 &amp;""' AND D &gt;= ""&amp; Q428  &amp;"" LIMIT 1""),)"),"")</f>
        <v/>
      </c>
      <c r="H428" s="61"/>
      <c r="I428" s="32" t="str">
        <f ca="1">IFERROR(__xludf.DUMMYFUNCTION("if($F428&gt;=2,QUERY(Loot!$A$2:$G$904,""Select G where A = '""&amp; $E428 &amp;""' AND D &gt;= ""&amp; R428 &amp;"" LIMIT 1""),)"),"")</f>
        <v/>
      </c>
      <c r="J428" s="61"/>
      <c r="K428" s="32" t="str">
        <f ca="1">IFERROR(__xludf.DUMMYFUNCTION("if($F428&gt;=3,QUERY(Loot!$A$2:$G$904,""Select G where A = '""&amp; $E428 &amp;""' AND D &gt;= ""&amp; S428  &amp;"" LIMIT 1""),)"),"")</f>
        <v/>
      </c>
      <c r="L428" s="61"/>
      <c r="M428" s="32" t="str">
        <f ca="1">IFERROR(__xludf.DUMMYFUNCTION("if($F428&gt;=4,QUERY(Loot!$A$2:$G$904,""Select G where A = '""&amp; $E428 &amp;""' AND D &gt;= ""&amp;T428 &amp;"" LIMIT 1""),)"),"")</f>
        <v/>
      </c>
      <c r="N428" s="61"/>
      <c r="O428" s="32" t="str">
        <f ca="1">IFERROR(__xludf.DUMMYFUNCTION("if($F428&gt;=5,QUERY(Loot!$A$2:$G$904,""Select G where A = '""&amp; $E428 &amp;""' AND D &gt;= ""&amp; U428 &amp;"" LIMIT 1""),)"),"")</f>
        <v/>
      </c>
      <c r="P428" s="61"/>
      <c r="Q428" s="62">
        <v>0.50143576145537083</v>
      </c>
      <c r="R428" s="63">
        <v>0.62671526715535741</v>
      </c>
      <c r="S428" s="63">
        <v>5.8104724754739046E-2</v>
      </c>
      <c r="T428" s="63">
        <v>0.30528113387595179</v>
      </c>
      <c r="U428" s="63">
        <v>0.11405233586901975</v>
      </c>
    </row>
    <row r="429" spans="1:21" ht="16.2">
      <c r="A429" s="5">
        <f t="shared" ca="1" si="3"/>
        <v>428</v>
      </c>
      <c r="B429" s="5" t="str">
        <f ca="1">IFERROR(__xludf.DUMMYFUNCTION("if(ISBLANK(C429),,QUERY(MD!A430:D1428,""Select A where C = '""&amp; C429 &amp;""'""))"),"")</f>
        <v/>
      </c>
      <c r="C429" s="5"/>
      <c r="D429" s="5" t="str">
        <f ca="1">IFERROR(__xludf.DUMMYFUNCTION("if(ISBLANK(C429),,QUERY(MD!$A$2:$D$1000,""Select D where C = '""&amp; C429 &amp;""'""))"),"")</f>
        <v/>
      </c>
      <c r="E429" s="59" t="str">
        <f ca="1">IFERROR(__xludf.DUMMYFUNCTION("if(ISBLANK(C429),,QUERY(MD!$A$2:$D$1000,""Select B where C = '""&amp; C429 &amp;""'""))"),"")</f>
        <v/>
      </c>
      <c r="F429" s="5">
        <f t="shared" ca="1" si="2"/>
        <v>0</v>
      </c>
      <c r="G429" s="32" t="str">
        <f ca="1">IFERROR(__xludf.DUMMYFUNCTION("if($F429&gt;=1,QUERY(Loot!$A$2:$G$904,""Select G where A = '""&amp; $E429 &amp;""' AND D &gt;= ""&amp; Q429  &amp;"" LIMIT 1""),)"),"")</f>
        <v/>
      </c>
      <c r="H429" s="61"/>
      <c r="I429" s="32" t="str">
        <f ca="1">IFERROR(__xludf.DUMMYFUNCTION("if($F429&gt;=2,QUERY(Loot!$A$2:$G$904,""Select G where A = '""&amp; $E429 &amp;""' AND D &gt;= ""&amp; R429 &amp;"" LIMIT 1""),)"),"")</f>
        <v/>
      </c>
      <c r="J429" s="61"/>
      <c r="K429" s="32" t="str">
        <f ca="1">IFERROR(__xludf.DUMMYFUNCTION("if($F429&gt;=3,QUERY(Loot!$A$2:$G$904,""Select G where A = '""&amp; $E429 &amp;""' AND D &gt;= ""&amp; S429  &amp;"" LIMIT 1""),)"),"")</f>
        <v/>
      </c>
      <c r="L429" s="61"/>
      <c r="M429" s="32" t="str">
        <f ca="1">IFERROR(__xludf.DUMMYFUNCTION("if($F429&gt;=4,QUERY(Loot!$A$2:$G$904,""Select G where A = '""&amp; $E429 &amp;""' AND D &gt;= ""&amp;T429 &amp;"" LIMIT 1""),)"),"")</f>
        <v/>
      </c>
      <c r="N429" s="61"/>
      <c r="O429" s="32" t="str">
        <f ca="1">IFERROR(__xludf.DUMMYFUNCTION("if($F429&gt;=5,QUERY(Loot!$A$2:$G$904,""Select G where A = '""&amp; $E429 &amp;""' AND D &gt;= ""&amp; U429 &amp;"" LIMIT 1""),)"),"")</f>
        <v/>
      </c>
      <c r="P429" s="61"/>
      <c r="Q429" s="62">
        <v>3.1392263924765684E-2</v>
      </c>
      <c r="R429" s="63">
        <v>0.45545814410129604</v>
      </c>
      <c r="S429" s="63">
        <v>0.26887847527811137</v>
      </c>
      <c r="T429" s="63">
        <v>0.86736499839219183</v>
      </c>
      <c r="U429" s="63">
        <v>0.16915278051436622</v>
      </c>
    </row>
    <row r="430" spans="1:21" ht="16.2">
      <c r="A430" s="5">
        <f t="shared" ca="1" si="3"/>
        <v>429</v>
      </c>
      <c r="B430" s="5" t="str">
        <f ca="1">IFERROR(__xludf.DUMMYFUNCTION("if(ISBLANK(C430),,QUERY(MD!A431:D1429,""Select A where C = '""&amp; C430 &amp;""'""))"),"")</f>
        <v/>
      </c>
      <c r="C430" s="5"/>
      <c r="D430" s="5" t="str">
        <f ca="1">IFERROR(__xludf.DUMMYFUNCTION("if(ISBLANK(C430),,QUERY(MD!$A$2:$D$1000,""Select D where C = '""&amp; C430 &amp;""'""))"),"")</f>
        <v/>
      </c>
      <c r="E430" s="59" t="str">
        <f ca="1">IFERROR(__xludf.DUMMYFUNCTION("if(ISBLANK(C430),,QUERY(MD!$A$2:$D$1000,""Select B where C = '""&amp; C430 &amp;""'""))"),"")</f>
        <v/>
      </c>
      <c r="F430" s="5">
        <f t="shared" ca="1" si="2"/>
        <v>0</v>
      </c>
      <c r="G430" s="32" t="str">
        <f ca="1">IFERROR(__xludf.DUMMYFUNCTION("if($F430&gt;=1,QUERY(Loot!$A$2:$G$904,""Select G where A = '""&amp; $E430 &amp;""' AND D &gt;= ""&amp; Q430  &amp;"" LIMIT 1""),)"),"")</f>
        <v/>
      </c>
      <c r="H430" s="61"/>
      <c r="I430" s="32" t="str">
        <f ca="1">IFERROR(__xludf.DUMMYFUNCTION("if($F430&gt;=2,QUERY(Loot!$A$2:$G$904,""Select G where A = '""&amp; $E430 &amp;""' AND D &gt;= ""&amp; R430 &amp;"" LIMIT 1""),)"),"")</f>
        <v/>
      </c>
      <c r="J430" s="61"/>
      <c r="K430" s="32" t="str">
        <f ca="1">IFERROR(__xludf.DUMMYFUNCTION("if($F430&gt;=3,QUERY(Loot!$A$2:$G$904,""Select G where A = '""&amp; $E430 &amp;""' AND D &gt;= ""&amp; S430  &amp;"" LIMIT 1""),)"),"")</f>
        <v/>
      </c>
      <c r="L430" s="61"/>
      <c r="M430" s="32" t="str">
        <f ca="1">IFERROR(__xludf.DUMMYFUNCTION("if($F430&gt;=4,QUERY(Loot!$A$2:$G$904,""Select G where A = '""&amp; $E430 &amp;""' AND D &gt;= ""&amp;T430 &amp;"" LIMIT 1""),)"),"")</f>
        <v/>
      </c>
      <c r="N430" s="61"/>
      <c r="O430" s="32" t="str">
        <f ca="1">IFERROR(__xludf.DUMMYFUNCTION("if($F430&gt;=5,QUERY(Loot!$A$2:$G$904,""Select G where A = '""&amp; $E430 &amp;""' AND D &gt;= ""&amp; U430 &amp;"" LIMIT 1""),)"),"")</f>
        <v/>
      </c>
      <c r="P430" s="61"/>
      <c r="Q430" s="62">
        <v>0.78330592305041968</v>
      </c>
      <c r="R430" s="63">
        <v>0.70818705240520041</v>
      </c>
      <c r="S430" s="63">
        <v>0.81645183374365093</v>
      </c>
      <c r="T430" s="63">
        <v>0.6694363896676957</v>
      </c>
      <c r="U430" s="63">
        <v>8.6235514507112754E-2</v>
      </c>
    </row>
    <row r="431" spans="1:21" ht="16.2">
      <c r="A431" s="5">
        <f t="shared" ca="1" si="3"/>
        <v>430</v>
      </c>
      <c r="B431" s="5" t="str">
        <f ca="1">IFERROR(__xludf.DUMMYFUNCTION("if(ISBLANK(C431),,QUERY(MD!A432:D1430,""Select A where C = '""&amp; C431 &amp;""'""))"),"")</f>
        <v/>
      </c>
      <c r="C431" s="5"/>
      <c r="D431" s="5" t="str">
        <f ca="1">IFERROR(__xludf.DUMMYFUNCTION("if(ISBLANK(C431),,QUERY(MD!$A$2:$D$1000,""Select D where C = '""&amp; C431 &amp;""'""))"),"")</f>
        <v/>
      </c>
      <c r="E431" s="59" t="str">
        <f ca="1">IFERROR(__xludf.DUMMYFUNCTION("if(ISBLANK(C431),,QUERY(MD!$A$2:$D$1000,""Select B where C = '""&amp; C431 &amp;""'""))"),"")</f>
        <v/>
      </c>
      <c r="F431" s="5">
        <f t="shared" ca="1" si="2"/>
        <v>0</v>
      </c>
      <c r="G431" s="32" t="str">
        <f ca="1">IFERROR(__xludf.DUMMYFUNCTION("if($F431&gt;=1,QUERY(Loot!$A$2:$G$904,""Select G where A = '""&amp; $E431 &amp;""' AND D &gt;= ""&amp; Q431  &amp;"" LIMIT 1""),)"),"")</f>
        <v/>
      </c>
      <c r="H431" s="61"/>
      <c r="I431" s="32" t="str">
        <f ca="1">IFERROR(__xludf.DUMMYFUNCTION("if($F431&gt;=2,QUERY(Loot!$A$2:$G$904,""Select G where A = '""&amp; $E431 &amp;""' AND D &gt;= ""&amp; R431 &amp;"" LIMIT 1""),)"),"")</f>
        <v/>
      </c>
      <c r="J431" s="61"/>
      <c r="K431" s="32" t="str">
        <f ca="1">IFERROR(__xludf.DUMMYFUNCTION("if($F431&gt;=3,QUERY(Loot!$A$2:$G$904,""Select G where A = '""&amp; $E431 &amp;""' AND D &gt;= ""&amp; S431  &amp;"" LIMIT 1""),)"),"")</f>
        <v/>
      </c>
      <c r="L431" s="61"/>
      <c r="M431" s="32" t="str">
        <f ca="1">IFERROR(__xludf.DUMMYFUNCTION("if($F431&gt;=4,QUERY(Loot!$A$2:$G$904,""Select G where A = '""&amp; $E431 &amp;""' AND D &gt;= ""&amp;T431 &amp;"" LIMIT 1""),)"),"")</f>
        <v/>
      </c>
      <c r="N431" s="61"/>
      <c r="O431" s="32" t="str">
        <f ca="1">IFERROR(__xludf.DUMMYFUNCTION("if($F431&gt;=5,QUERY(Loot!$A$2:$G$904,""Select G where A = '""&amp; $E431 &amp;""' AND D &gt;= ""&amp; U431 &amp;"" LIMIT 1""),)"),"")</f>
        <v/>
      </c>
      <c r="P431" s="61"/>
      <c r="Q431" s="62">
        <v>0.66525624434232944</v>
      </c>
      <c r="R431" s="63">
        <v>0.9733449621657454</v>
      </c>
      <c r="S431" s="63">
        <v>0.35625061154573046</v>
      </c>
      <c r="T431" s="63">
        <v>0.70380493162099989</v>
      </c>
      <c r="U431" s="63">
        <v>0.28449225415402668</v>
      </c>
    </row>
    <row r="432" spans="1:21" ht="16.2">
      <c r="A432" s="5">
        <f t="shared" ca="1" si="3"/>
        <v>431</v>
      </c>
      <c r="B432" s="5" t="str">
        <f ca="1">IFERROR(__xludf.DUMMYFUNCTION("if(ISBLANK(C432),,QUERY(MD!A433:D1431,""Select A where C = '""&amp; C432 &amp;""'""))"),"")</f>
        <v/>
      </c>
      <c r="C432" s="5"/>
      <c r="D432" s="5" t="str">
        <f ca="1">IFERROR(__xludf.DUMMYFUNCTION("if(ISBLANK(C432),,QUERY(MD!$A$2:$D$1000,""Select D where C = '""&amp; C432 &amp;""'""))"),"")</f>
        <v/>
      </c>
      <c r="E432" s="59" t="str">
        <f ca="1">IFERROR(__xludf.DUMMYFUNCTION("if(ISBLANK(C432),,QUERY(MD!$A$2:$D$1000,""Select B where C = '""&amp; C432 &amp;""'""))"),"")</f>
        <v/>
      </c>
      <c r="F432" s="5">
        <f t="shared" ca="1" si="2"/>
        <v>0</v>
      </c>
      <c r="G432" s="32" t="str">
        <f ca="1">IFERROR(__xludf.DUMMYFUNCTION("if($F432&gt;=1,QUERY(Loot!$A$2:$G$904,""Select G where A = '""&amp; $E432 &amp;""' AND D &gt;= ""&amp; Q432  &amp;"" LIMIT 1""),)"),"")</f>
        <v/>
      </c>
      <c r="H432" s="61"/>
      <c r="I432" s="32" t="str">
        <f ca="1">IFERROR(__xludf.DUMMYFUNCTION("if($F432&gt;=2,QUERY(Loot!$A$2:$G$904,""Select G where A = '""&amp; $E432 &amp;""' AND D &gt;= ""&amp; R432 &amp;"" LIMIT 1""),)"),"")</f>
        <v/>
      </c>
      <c r="J432" s="61"/>
      <c r="K432" s="32" t="str">
        <f ca="1">IFERROR(__xludf.DUMMYFUNCTION("if($F432&gt;=3,QUERY(Loot!$A$2:$G$904,""Select G where A = '""&amp; $E432 &amp;""' AND D &gt;= ""&amp; S432  &amp;"" LIMIT 1""),)"),"")</f>
        <v/>
      </c>
      <c r="L432" s="61"/>
      <c r="M432" s="32" t="str">
        <f ca="1">IFERROR(__xludf.DUMMYFUNCTION("if($F432&gt;=4,QUERY(Loot!$A$2:$G$904,""Select G where A = '""&amp; $E432 &amp;""' AND D &gt;= ""&amp;T432 &amp;"" LIMIT 1""),)"),"")</f>
        <v/>
      </c>
      <c r="N432" s="61"/>
      <c r="O432" s="32" t="str">
        <f ca="1">IFERROR(__xludf.DUMMYFUNCTION("if($F432&gt;=5,QUERY(Loot!$A$2:$G$904,""Select G where A = '""&amp; $E432 &amp;""' AND D &gt;= ""&amp; U432 &amp;"" LIMIT 1""),)"),"")</f>
        <v/>
      </c>
      <c r="P432" s="61"/>
      <c r="Q432" s="62">
        <v>0.74618248644084462</v>
      </c>
      <c r="R432" s="63">
        <v>0.27583650727148268</v>
      </c>
      <c r="S432" s="63">
        <v>0.18698629861011529</v>
      </c>
      <c r="T432" s="63">
        <v>0.82239511381192998</v>
      </c>
      <c r="U432" s="63">
        <v>7.5932414052870212E-2</v>
      </c>
    </row>
    <row r="433" spans="1:21" ht="16.2">
      <c r="A433" s="5">
        <f t="shared" ca="1" si="3"/>
        <v>432</v>
      </c>
      <c r="B433" s="5" t="str">
        <f ca="1">IFERROR(__xludf.DUMMYFUNCTION("if(ISBLANK(C433),,QUERY(MD!A434:D1432,""Select A where C = '""&amp; C433 &amp;""'""))"),"")</f>
        <v/>
      </c>
      <c r="C433" s="5"/>
      <c r="D433" s="5" t="str">
        <f ca="1">IFERROR(__xludf.DUMMYFUNCTION("if(ISBLANK(C433),,QUERY(MD!$A$2:$D$1000,""Select D where C = '""&amp; C433 &amp;""'""))"),"")</f>
        <v/>
      </c>
      <c r="E433" s="59" t="str">
        <f ca="1">IFERROR(__xludf.DUMMYFUNCTION("if(ISBLANK(C433),,QUERY(MD!$A$2:$D$1000,""Select B where C = '""&amp; C433 &amp;""'""))"),"")</f>
        <v/>
      </c>
      <c r="F433" s="5">
        <f t="shared" ca="1" si="2"/>
        <v>0</v>
      </c>
      <c r="G433" s="32" t="str">
        <f ca="1">IFERROR(__xludf.DUMMYFUNCTION("if($F433&gt;=1,QUERY(Loot!$A$2:$G$904,""Select G where A = '""&amp; $E433 &amp;""' AND D &gt;= ""&amp; Q433  &amp;"" LIMIT 1""),)"),"")</f>
        <v/>
      </c>
      <c r="H433" s="61"/>
      <c r="I433" s="32" t="str">
        <f ca="1">IFERROR(__xludf.DUMMYFUNCTION("if($F433&gt;=2,QUERY(Loot!$A$2:$G$904,""Select G where A = '""&amp; $E433 &amp;""' AND D &gt;= ""&amp; R433 &amp;"" LIMIT 1""),)"),"")</f>
        <v/>
      </c>
      <c r="J433" s="61"/>
      <c r="K433" s="32" t="str">
        <f ca="1">IFERROR(__xludf.DUMMYFUNCTION("if($F433&gt;=3,QUERY(Loot!$A$2:$G$904,""Select G where A = '""&amp; $E433 &amp;""' AND D &gt;= ""&amp; S433  &amp;"" LIMIT 1""),)"),"")</f>
        <v/>
      </c>
      <c r="L433" s="61"/>
      <c r="M433" s="32" t="str">
        <f ca="1">IFERROR(__xludf.DUMMYFUNCTION("if($F433&gt;=4,QUERY(Loot!$A$2:$G$904,""Select G where A = '""&amp; $E433 &amp;""' AND D &gt;= ""&amp;T433 &amp;"" LIMIT 1""),)"),"")</f>
        <v/>
      </c>
      <c r="N433" s="61"/>
      <c r="O433" s="32" t="str">
        <f ca="1">IFERROR(__xludf.DUMMYFUNCTION("if($F433&gt;=5,QUERY(Loot!$A$2:$G$904,""Select G where A = '""&amp; $E433 &amp;""' AND D &gt;= ""&amp; U433 &amp;"" LIMIT 1""),)"),"")</f>
        <v/>
      </c>
      <c r="P433" s="61"/>
      <c r="Q433" s="62">
        <v>0.7530599598270018</v>
      </c>
      <c r="R433" s="63">
        <v>0.76839775301993551</v>
      </c>
      <c r="S433" s="63">
        <v>0.50280913331724375</v>
      </c>
      <c r="T433" s="63">
        <v>0.86617758453071036</v>
      </c>
      <c r="U433" s="63">
        <v>0.45605128874260126</v>
      </c>
    </row>
    <row r="434" spans="1:21" ht="16.2">
      <c r="A434" s="5">
        <f t="shared" ca="1" si="3"/>
        <v>433</v>
      </c>
      <c r="B434" s="5" t="str">
        <f ca="1">IFERROR(__xludf.DUMMYFUNCTION("if(ISBLANK(C434),,QUERY(MD!A435:D1433,""Select A where C = '""&amp; C434 &amp;""'""))"),"")</f>
        <v/>
      </c>
      <c r="C434" s="5"/>
      <c r="D434" s="5" t="str">
        <f ca="1">IFERROR(__xludf.DUMMYFUNCTION("if(ISBLANK(C434),,QUERY(MD!$A$2:$D$1000,""Select D where C = '""&amp; C434 &amp;""'""))"),"")</f>
        <v/>
      </c>
      <c r="E434" s="59" t="str">
        <f ca="1">IFERROR(__xludf.DUMMYFUNCTION("if(ISBLANK(C434),,QUERY(MD!$A$2:$D$1000,""Select B where C = '""&amp; C434 &amp;""'""))"),"")</f>
        <v/>
      </c>
      <c r="F434" s="5">
        <f t="shared" ca="1" si="2"/>
        <v>0</v>
      </c>
      <c r="G434" s="32" t="str">
        <f ca="1">IFERROR(__xludf.DUMMYFUNCTION("if($F434&gt;=1,QUERY(Loot!$A$2:$G$904,""Select G where A = '""&amp; $E434 &amp;""' AND D &gt;= ""&amp; Q434  &amp;"" LIMIT 1""),)"),"")</f>
        <v/>
      </c>
      <c r="H434" s="61"/>
      <c r="I434" s="32" t="str">
        <f ca="1">IFERROR(__xludf.DUMMYFUNCTION("if($F434&gt;=2,QUERY(Loot!$A$2:$G$904,""Select G where A = '""&amp; $E434 &amp;""' AND D &gt;= ""&amp; R434 &amp;"" LIMIT 1""),)"),"")</f>
        <v/>
      </c>
      <c r="J434" s="61"/>
      <c r="K434" s="32" t="str">
        <f ca="1">IFERROR(__xludf.DUMMYFUNCTION("if($F434&gt;=3,QUERY(Loot!$A$2:$G$904,""Select G where A = '""&amp; $E434 &amp;""' AND D &gt;= ""&amp; S434  &amp;"" LIMIT 1""),)"),"")</f>
        <v/>
      </c>
      <c r="L434" s="61"/>
      <c r="M434" s="32" t="str">
        <f ca="1">IFERROR(__xludf.DUMMYFUNCTION("if($F434&gt;=4,QUERY(Loot!$A$2:$G$904,""Select G where A = '""&amp; $E434 &amp;""' AND D &gt;= ""&amp;T434 &amp;"" LIMIT 1""),)"),"")</f>
        <v/>
      </c>
      <c r="N434" s="61"/>
      <c r="O434" s="32" t="str">
        <f ca="1">IFERROR(__xludf.DUMMYFUNCTION("if($F434&gt;=5,QUERY(Loot!$A$2:$G$904,""Select G where A = '""&amp; $E434 &amp;""' AND D &gt;= ""&amp; U434 &amp;"" LIMIT 1""),)"),"")</f>
        <v/>
      </c>
      <c r="P434" s="61"/>
      <c r="Q434" s="62">
        <v>0.81433237238311751</v>
      </c>
      <c r="R434" s="63">
        <v>0.86176001586366235</v>
      </c>
      <c r="S434" s="63">
        <v>0.16180312252959639</v>
      </c>
      <c r="T434" s="63">
        <v>0.28552991830109486</v>
      </c>
      <c r="U434" s="63">
        <v>6.2570083175234936E-2</v>
      </c>
    </row>
    <row r="435" spans="1:21" ht="16.2">
      <c r="A435" s="5">
        <f t="shared" ca="1" si="3"/>
        <v>434</v>
      </c>
      <c r="B435" s="5" t="str">
        <f ca="1">IFERROR(__xludf.DUMMYFUNCTION("if(ISBLANK(C435),,QUERY(MD!A436:D1434,""Select A where C = '""&amp; C435 &amp;""'""))"),"")</f>
        <v/>
      </c>
      <c r="C435" s="5"/>
      <c r="D435" s="5" t="str">
        <f ca="1">IFERROR(__xludf.DUMMYFUNCTION("if(ISBLANK(C435),,QUERY(MD!$A$2:$D$1000,""Select D where C = '""&amp; C435 &amp;""'""))"),"")</f>
        <v/>
      </c>
      <c r="E435" s="59" t="str">
        <f ca="1">IFERROR(__xludf.DUMMYFUNCTION("if(ISBLANK(C435),,QUERY(MD!$A$2:$D$1000,""Select B where C = '""&amp; C435 &amp;""'""))"),"")</f>
        <v/>
      </c>
      <c r="F435" s="5">
        <f t="shared" ca="1" si="2"/>
        <v>0</v>
      </c>
      <c r="G435" s="32" t="str">
        <f ca="1">IFERROR(__xludf.DUMMYFUNCTION("if($F435&gt;=1,QUERY(Loot!$A$2:$G$904,""Select G where A = '""&amp; $E435 &amp;""' AND D &gt;= ""&amp; Q435  &amp;"" LIMIT 1""),)"),"")</f>
        <v/>
      </c>
      <c r="H435" s="61"/>
      <c r="I435" s="32" t="str">
        <f ca="1">IFERROR(__xludf.DUMMYFUNCTION("if($F435&gt;=2,QUERY(Loot!$A$2:$G$904,""Select G where A = '""&amp; $E435 &amp;""' AND D &gt;= ""&amp; R435 &amp;"" LIMIT 1""),)"),"")</f>
        <v/>
      </c>
      <c r="J435" s="61"/>
      <c r="K435" s="32" t="str">
        <f ca="1">IFERROR(__xludf.DUMMYFUNCTION("if($F435&gt;=3,QUERY(Loot!$A$2:$G$904,""Select G where A = '""&amp; $E435 &amp;""' AND D &gt;= ""&amp; S435  &amp;"" LIMIT 1""),)"),"")</f>
        <v/>
      </c>
      <c r="L435" s="61"/>
      <c r="M435" s="32" t="str">
        <f ca="1">IFERROR(__xludf.DUMMYFUNCTION("if($F435&gt;=4,QUERY(Loot!$A$2:$G$904,""Select G where A = '""&amp; $E435 &amp;""' AND D &gt;= ""&amp;T435 &amp;"" LIMIT 1""),)"),"")</f>
        <v/>
      </c>
      <c r="N435" s="61"/>
      <c r="O435" s="32" t="str">
        <f ca="1">IFERROR(__xludf.DUMMYFUNCTION("if($F435&gt;=5,QUERY(Loot!$A$2:$G$904,""Select G where A = '""&amp; $E435 &amp;""' AND D &gt;= ""&amp; U435 &amp;"" LIMIT 1""),)"),"")</f>
        <v/>
      </c>
      <c r="P435" s="61"/>
      <c r="Q435" s="62">
        <v>0.20349156490764353</v>
      </c>
      <c r="R435" s="63">
        <v>0.67402864936534967</v>
      </c>
      <c r="S435" s="63">
        <v>0.27341503987743132</v>
      </c>
      <c r="T435" s="63">
        <v>0.6071843965107927</v>
      </c>
      <c r="U435" s="63">
        <v>0.79810315877390092</v>
      </c>
    </row>
    <row r="436" spans="1:21" ht="16.2">
      <c r="A436" s="5">
        <f t="shared" ca="1" si="3"/>
        <v>435</v>
      </c>
      <c r="B436" s="5" t="str">
        <f ca="1">IFERROR(__xludf.DUMMYFUNCTION("if(ISBLANK(C436),,QUERY(MD!A437:D1435,""Select A where C = '""&amp; C436 &amp;""'""))"),"")</f>
        <v/>
      </c>
      <c r="C436" s="5"/>
      <c r="D436" s="5" t="str">
        <f ca="1">IFERROR(__xludf.DUMMYFUNCTION("if(ISBLANK(C436),,QUERY(MD!$A$2:$D$1000,""Select D where C = '""&amp; C436 &amp;""'""))"),"")</f>
        <v/>
      </c>
      <c r="E436" s="59" t="str">
        <f ca="1">IFERROR(__xludf.DUMMYFUNCTION("if(ISBLANK(C436),,QUERY(MD!$A$2:$D$1000,""Select B where C = '""&amp; C436 &amp;""'""))"),"")</f>
        <v/>
      </c>
      <c r="F436" s="5">
        <f t="shared" ca="1" si="2"/>
        <v>0</v>
      </c>
      <c r="G436" s="32" t="str">
        <f ca="1">IFERROR(__xludf.DUMMYFUNCTION("if($F436&gt;=1,QUERY(Loot!$A$2:$G$904,""Select G where A = '""&amp; $E436 &amp;""' AND D &gt;= ""&amp; Q436  &amp;"" LIMIT 1""),)"),"")</f>
        <v/>
      </c>
      <c r="H436" s="61"/>
      <c r="I436" s="32" t="str">
        <f ca="1">IFERROR(__xludf.DUMMYFUNCTION("if($F436&gt;=2,QUERY(Loot!$A$2:$G$904,""Select G where A = '""&amp; $E436 &amp;""' AND D &gt;= ""&amp; R436 &amp;"" LIMIT 1""),)"),"")</f>
        <v/>
      </c>
      <c r="J436" s="61"/>
      <c r="K436" s="32" t="str">
        <f ca="1">IFERROR(__xludf.DUMMYFUNCTION("if($F436&gt;=3,QUERY(Loot!$A$2:$G$904,""Select G where A = '""&amp; $E436 &amp;""' AND D &gt;= ""&amp; S436  &amp;"" LIMIT 1""),)"),"")</f>
        <v/>
      </c>
      <c r="L436" s="61"/>
      <c r="M436" s="32" t="str">
        <f ca="1">IFERROR(__xludf.DUMMYFUNCTION("if($F436&gt;=4,QUERY(Loot!$A$2:$G$904,""Select G where A = '""&amp; $E436 &amp;""' AND D &gt;= ""&amp;T436 &amp;"" LIMIT 1""),)"),"")</f>
        <v/>
      </c>
      <c r="N436" s="61"/>
      <c r="O436" s="32" t="str">
        <f ca="1">IFERROR(__xludf.DUMMYFUNCTION("if($F436&gt;=5,QUERY(Loot!$A$2:$G$904,""Select G where A = '""&amp; $E436 &amp;""' AND D &gt;= ""&amp; U436 &amp;"" LIMIT 1""),)"),"")</f>
        <v/>
      </c>
      <c r="P436" s="61"/>
      <c r="Q436" s="62">
        <v>0.67207984678186539</v>
      </c>
      <c r="R436" s="63">
        <v>0.57473698149988728</v>
      </c>
      <c r="S436" s="63">
        <v>0.53003297049978881</v>
      </c>
      <c r="T436" s="63">
        <v>0.4912291378720961</v>
      </c>
      <c r="U436" s="63">
        <v>0.96589475805344749</v>
      </c>
    </row>
    <row r="437" spans="1:21" ht="16.2">
      <c r="A437" s="5">
        <f t="shared" ca="1" si="3"/>
        <v>436</v>
      </c>
      <c r="B437" s="5" t="str">
        <f ca="1">IFERROR(__xludf.DUMMYFUNCTION("if(ISBLANK(C437),,QUERY(MD!A438:D1436,""Select A where C = '""&amp; C437 &amp;""'""))"),"")</f>
        <v/>
      </c>
      <c r="C437" s="5"/>
      <c r="D437" s="5" t="str">
        <f ca="1">IFERROR(__xludf.DUMMYFUNCTION("if(ISBLANK(C437),,QUERY(MD!$A$2:$D$1000,""Select D where C = '""&amp; C437 &amp;""'""))"),"")</f>
        <v/>
      </c>
      <c r="E437" s="59" t="str">
        <f ca="1">IFERROR(__xludf.DUMMYFUNCTION("if(ISBLANK(C437),,QUERY(MD!$A$2:$D$1000,""Select B where C = '""&amp; C437 &amp;""'""))"),"")</f>
        <v/>
      </c>
      <c r="F437" s="5">
        <f t="shared" ca="1" si="2"/>
        <v>0</v>
      </c>
      <c r="G437" s="32" t="str">
        <f ca="1">IFERROR(__xludf.DUMMYFUNCTION("if($F437&gt;=1,QUERY(Loot!$A$2:$G$904,""Select G where A = '""&amp; $E437 &amp;""' AND D &gt;= ""&amp; Q437  &amp;"" LIMIT 1""),)"),"")</f>
        <v/>
      </c>
      <c r="H437" s="61"/>
      <c r="I437" s="32" t="str">
        <f ca="1">IFERROR(__xludf.DUMMYFUNCTION("if($F437&gt;=2,QUERY(Loot!$A$2:$G$904,""Select G where A = '""&amp; $E437 &amp;""' AND D &gt;= ""&amp; R437 &amp;"" LIMIT 1""),)"),"")</f>
        <v/>
      </c>
      <c r="J437" s="61"/>
      <c r="K437" s="32" t="str">
        <f ca="1">IFERROR(__xludf.DUMMYFUNCTION("if($F437&gt;=3,QUERY(Loot!$A$2:$G$904,""Select G where A = '""&amp; $E437 &amp;""' AND D &gt;= ""&amp; S437  &amp;"" LIMIT 1""),)"),"")</f>
        <v/>
      </c>
      <c r="L437" s="61"/>
      <c r="M437" s="32" t="str">
        <f ca="1">IFERROR(__xludf.DUMMYFUNCTION("if($F437&gt;=4,QUERY(Loot!$A$2:$G$904,""Select G where A = '""&amp; $E437 &amp;""' AND D &gt;= ""&amp;T437 &amp;"" LIMIT 1""),)"),"")</f>
        <v/>
      </c>
      <c r="N437" s="61"/>
      <c r="O437" s="32" t="str">
        <f ca="1">IFERROR(__xludf.DUMMYFUNCTION("if($F437&gt;=5,QUERY(Loot!$A$2:$G$904,""Select G where A = '""&amp; $E437 &amp;""' AND D &gt;= ""&amp; U437 &amp;"" LIMIT 1""),)"),"")</f>
        <v/>
      </c>
      <c r="P437" s="61"/>
      <c r="Q437" s="62">
        <v>6.7528498944672832E-2</v>
      </c>
      <c r="R437" s="63">
        <v>0.79834703940231067</v>
      </c>
      <c r="S437" s="63">
        <v>0.46748933265495807</v>
      </c>
      <c r="T437" s="63">
        <v>0.68961220471664608</v>
      </c>
      <c r="U437" s="63">
        <v>3.7288748830197838E-2</v>
      </c>
    </row>
    <row r="438" spans="1:21" ht="16.2">
      <c r="A438" s="5">
        <f t="shared" ca="1" si="3"/>
        <v>437</v>
      </c>
      <c r="B438" s="5" t="str">
        <f ca="1">IFERROR(__xludf.DUMMYFUNCTION("if(ISBLANK(C438),,QUERY(MD!A439:D1437,""Select A where C = '""&amp; C438 &amp;""'""))"),"")</f>
        <v/>
      </c>
      <c r="C438" s="5"/>
      <c r="D438" s="5" t="str">
        <f ca="1">IFERROR(__xludf.DUMMYFUNCTION("if(ISBLANK(C438),,QUERY(MD!$A$2:$D$1000,""Select D where C = '""&amp; C438 &amp;""'""))"),"")</f>
        <v/>
      </c>
      <c r="E438" s="59" t="str">
        <f ca="1">IFERROR(__xludf.DUMMYFUNCTION("if(ISBLANK(C438),,QUERY(MD!$A$2:$D$1000,""Select B where C = '""&amp; C438 &amp;""'""))"),"")</f>
        <v/>
      </c>
      <c r="F438" s="5">
        <f t="shared" ca="1" si="2"/>
        <v>0</v>
      </c>
      <c r="G438" s="32" t="str">
        <f ca="1">IFERROR(__xludf.DUMMYFUNCTION("if($F438&gt;=1,QUERY(Loot!$A$2:$G$904,""Select G where A = '""&amp; $E438 &amp;""' AND D &gt;= ""&amp; Q438  &amp;"" LIMIT 1""),)"),"")</f>
        <v/>
      </c>
      <c r="H438" s="61"/>
      <c r="I438" s="32" t="str">
        <f ca="1">IFERROR(__xludf.DUMMYFUNCTION("if($F438&gt;=2,QUERY(Loot!$A$2:$G$904,""Select G where A = '""&amp; $E438 &amp;""' AND D &gt;= ""&amp; R438 &amp;"" LIMIT 1""),)"),"")</f>
        <v/>
      </c>
      <c r="J438" s="61"/>
      <c r="K438" s="32" t="str">
        <f ca="1">IFERROR(__xludf.DUMMYFUNCTION("if($F438&gt;=3,QUERY(Loot!$A$2:$G$904,""Select G where A = '""&amp; $E438 &amp;""' AND D &gt;= ""&amp; S438  &amp;"" LIMIT 1""),)"),"")</f>
        <v/>
      </c>
      <c r="L438" s="61"/>
      <c r="M438" s="32" t="str">
        <f ca="1">IFERROR(__xludf.DUMMYFUNCTION("if($F438&gt;=4,QUERY(Loot!$A$2:$G$904,""Select G where A = '""&amp; $E438 &amp;""' AND D &gt;= ""&amp;T438 &amp;"" LIMIT 1""),)"),"")</f>
        <v/>
      </c>
      <c r="N438" s="61"/>
      <c r="O438" s="32" t="str">
        <f ca="1">IFERROR(__xludf.DUMMYFUNCTION("if($F438&gt;=5,QUERY(Loot!$A$2:$G$904,""Select G where A = '""&amp; $E438 &amp;""' AND D &gt;= ""&amp; U438 &amp;"" LIMIT 1""),)"),"")</f>
        <v/>
      </c>
      <c r="P438" s="61"/>
      <c r="Q438" s="62">
        <v>0.54881173103731551</v>
      </c>
      <c r="R438" s="63">
        <v>1.1979986706847856E-2</v>
      </c>
      <c r="S438" s="63">
        <v>0.86219161079120232</v>
      </c>
      <c r="T438" s="63">
        <v>0.91577718770780803</v>
      </c>
      <c r="U438" s="63">
        <v>0.16075557719415745</v>
      </c>
    </row>
    <row r="439" spans="1:21" ht="16.2">
      <c r="A439" s="5">
        <f t="shared" ca="1" si="3"/>
        <v>438</v>
      </c>
      <c r="B439" s="5" t="str">
        <f ca="1">IFERROR(__xludf.DUMMYFUNCTION("if(ISBLANK(C439),,QUERY(MD!A440:D1438,""Select A where C = '""&amp; C439 &amp;""'""))"),"")</f>
        <v/>
      </c>
      <c r="C439" s="5"/>
      <c r="D439" s="5" t="str">
        <f ca="1">IFERROR(__xludf.DUMMYFUNCTION("if(ISBLANK(C439),,QUERY(MD!$A$2:$D$1000,""Select D where C = '""&amp; C439 &amp;""'""))"),"")</f>
        <v/>
      </c>
      <c r="E439" s="59" t="str">
        <f ca="1">IFERROR(__xludf.DUMMYFUNCTION("if(ISBLANK(C439),,QUERY(MD!$A$2:$D$1000,""Select B where C = '""&amp; C439 &amp;""'""))"),"")</f>
        <v/>
      </c>
      <c r="F439" s="5">
        <f t="shared" ca="1" si="2"/>
        <v>0</v>
      </c>
      <c r="G439" s="32" t="str">
        <f ca="1">IFERROR(__xludf.DUMMYFUNCTION("if($F439&gt;=1,QUERY(Loot!$A$2:$G$904,""Select G where A = '""&amp; $E439 &amp;""' AND D &gt;= ""&amp; Q439  &amp;"" LIMIT 1""),)"),"")</f>
        <v/>
      </c>
      <c r="H439" s="61"/>
      <c r="I439" s="32" t="str">
        <f ca="1">IFERROR(__xludf.DUMMYFUNCTION("if($F439&gt;=2,QUERY(Loot!$A$2:$G$904,""Select G where A = '""&amp; $E439 &amp;""' AND D &gt;= ""&amp; R439 &amp;"" LIMIT 1""),)"),"")</f>
        <v/>
      </c>
      <c r="J439" s="61"/>
      <c r="K439" s="32" t="str">
        <f ca="1">IFERROR(__xludf.DUMMYFUNCTION("if($F439&gt;=3,QUERY(Loot!$A$2:$G$904,""Select G where A = '""&amp; $E439 &amp;""' AND D &gt;= ""&amp; S439  &amp;"" LIMIT 1""),)"),"")</f>
        <v/>
      </c>
      <c r="L439" s="61"/>
      <c r="M439" s="32" t="str">
        <f ca="1">IFERROR(__xludf.DUMMYFUNCTION("if($F439&gt;=4,QUERY(Loot!$A$2:$G$904,""Select G where A = '""&amp; $E439 &amp;""' AND D &gt;= ""&amp;T439 &amp;"" LIMIT 1""),)"),"")</f>
        <v/>
      </c>
      <c r="N439" s="61"/>
      <c r="O439" s="32" t="str">
        <f ca="1">IFERROR(__xludf.DUMMYFUNCTION("if($F439&gt;=5,QUERY(Loot!$A$2:$G$904,""Select G where A = '""&amp; $E439 &amp;""' AND D &gt;= ""&amp; U439 &amp;"" LIMIT 1""),)"),"")</f>
        <v/>
      </c>
      <c r="P439" s="61"/>
      <c r="Q439" s="62">
        <v>0.24786263312947865</v>
      </c>
      <c r="R439" s="63">
        <v>0.24936403408323615</v>
      </c>
      <c r="S439" s="63">
        <v>6.8308437825964963E-2</v>
      </c>
      <c r="T439" s="63">
        <v>0.5845443140556047</v>
      </c>
      <c r="U439" s="63">
        <v>0.99314799921684904</v>
      </c>
    </row>
    <row r="440" spans="1:21" ht="16.2">
      <c r="A440" s="5">
        <f t="shared" ca="1" si="3"/>
        <v>439</v>
      </c>
      <c r="B440" s="5" t="str">
        <f ca="1">IFERROR(__xludf.DUMMYFUNCTION("if(ISBLANK(C440),,QUERY(MD!A441:D1439,""Select A where C = '""&amp; C440 &amp;""'""))"),"")</f>
        <v/>
      </c>
      <c r="C440" s="5"/>
      <c r="D440" s="5" t="str">
        <f ca="1">IFERROR(__xludf.DUMMYFUNCTION("if(ISBLANK(C440),,QUERY(MD!$A$2:$D$1000,""Select D where C = '""&amp; C440 &amp;""'""))"),"")</f>
        <v/>
      </c>
      <c r="E440" s="59" t="str">
        <f ca="1">IFERROR(__xludf.DUMMYFUNCTION("if(ISBLANK(C440),,QUERY(MD!$A$2:$D$1000,""Select B where C = '""&amp; C440 &amp;""'""))"),"")</f>
        <v/>
      </c>
      <c r="F440" s="5">
        <f t="shared" ca="1" si="2"/>
        <v>0</v>
      </c>
      <c r="G440" s="32" t="str">
        <f ca="1">IFERROR(__xludf.DUMMYFUNCTION("if($F440&gt;=1,QUERY(Loot!$A$2:$G$904,""Select G where A = '""&amp; $E440 &amp;""' AND D &gt;= ""&amp; Q440  &amp;"" LIMIT 1""),)"),"")</f>
        <v/>
      </c>
      <c r="H440" s="61"/>
      <c r="I440" s="32" t="str">
        <f ca="1">IFERROR(__xludf.DUMMYFUNCTION("if($F440&gt;=2,QUERY(Loot!$A$2:$G$904,""Select G where A = '""&amp; $E440 &amp;""' AND D &gt;= ""&amp; R440 &amp;"" LIMIT 1""),)"),"")</f>
        <v/>
      </c>
      <c r="J440" s="61"/>
      <c r="K440" s="32" t="str">
        <f ca="1">IFERROR(__xludf.DUMMYFUNCTION("if($F440&gt;=3,QUERY(Loot!$A$2:$G$904,""Select G where A = '""&amp; $E440 &amp;""' AND D &gt;= ""&amp; S440  &amp;"" LIMIT 1""),)"),"")</f>
        <v/>
      </c>
      <c r="L440" s="61"/>
      <c r="M440" s="32" t="str">
        <f ca="1">IFERROR(__xludf.DUMMYFUNCTION("if($F440&gt;=4,QUERY(Loot!$A$2:$G$904,""Select G where A = '""&amp; $E440 &amp;""' AND D &gt;= ""&amp;T440 &amp;"" LIMIT 1""),)"),"")</f>
        <v/>
      </c>
      <c r="N440" s="61"/>
      <c r="O440" s="32" t="str">
        <f ca="1">IFERROR(__xludf.DUMMYFUNCTION("if($F440&gt;=5,QUERY(Loot!$A$2:$G$904,""Select G where A = '""&amp; $E440 &amp;""' AND D &gt;= ""&amp; U440 &amp;"" LIMIT 1""),)"),"")</f>
        <v/>
      </c>
      <c r="P440" s="61"/>
      <c r="Q440" s="62">
        <v>0.88021683764111547</v>
      </c>
      <c r="R440" s="63">
        <v>0.17938337276053851</v>
      </c>
      <c r="S440" s="63">
        <v>0.23600019367733704</v>
      </c>
      <c r="T440" s="63">
        <v>7.6060941243938585E-2</v>
      </c>
      <c r="U440" s="63">
        <v>0.68206543856290647</v>
      </c>
    </row>
    <row r="441" spans="1:21" ht="16.2">
      <c r="A441" s="5">
        <f t="shared" ca="1" si="3"/>
        <v>440</v>
      </c>
      <c r="B441" s="5" t="str">
        <f ca="1">IFERROR(__xludf.DUMMYFUNCTION("if(ISBLANK(C441),,QUERY(MD!A442:D1440,""Select A where C = '""&amp; C441 &amp;""'""))"),"")</f>
        <v/>
      </c>
      <c r="C441" s="5"/>
      <c r="D441" s="5" t="str">
        <f ca="1">IFERROR(__xludf.DUMMYFUNCTION("if(ISBLANK(C441),,QUERY(MD!$A$2:$D$1000,""Select D where C = '""&amp; C441 &amp;""'""))"),"")</f>
        <v/>
      </c>
      <c r="E441" s="59" t="str">
        <f ca="1">IFERROR(__xludf.DUMMYFUNCTION("if(ISBLANK(C441),,QUERY(MD!$A$2:$D$1000,""Select B where C = '""&amp; C441 &amp;""'""))"),"")</f>
        <v/>
      </c>
      <c r="F441" s="5">
        <f t="shared" ca="1" si="2"/>
        <v>0</v>
      </c>
      <c r="G441" s="32" t="str">
        <f ca="1">IFERROR(__xludf.DUMMYFUNCTION("if($F441&gt;=1,QUERY(Loot!$A$2:$G$904,""Select G where A = '""&amp; $E441 &amp;""' AND D &gt;= ""&amp; Q441  &amp;"" LIMIT 1""),)"),"")</f>
        <v/>
      </c>
      <c r="H441" s="61"/>
      <c r="I441" s="32" t="str">
        <f ca="1">IFERROR(__xludf.DUMMYFUNCTION("if($F441&gt;=2,QUERY(Loot!$A$2:$G$904,""Select G where A = '""&amp; $E441 &amp;""' AND D &gt;= ""&amp; R441 &amp;"" LIMIT 1""),)"),"")</f>
        <v/>
      </c>
      <c r="J441" s="61"/>
      <c r="K441" s="32" t="str">
        <f ca="1">IFERROR(__xludf.DUMMYFUNCTION("if($F441&gt;=3,QUERY(Loot!$A$2:$G$904,""Select G where A = '""&amp; $E441 &amp;""' AND D &gt;= ""&amp; S441  &amp;"" LIMIT 1""),)"),"")</f>
        <v/>
      </c>
      <c r="L441" s="61"/>
      <c r="M441" s="32" t="str">
        <f ca="1">IFERROR(__xludf.DUMMYFUNCTION("if($F441&gt;=4,QUERY(Loot!$A$2:$G$904,""Select G where A = '""&amp; $E441 &amp;""' AND D &gt;= ""&amp;T441 &amp;"" LIMIT 1""),)"),"")</f>
        <v/>
      </c>
      <c r="N441" s="61"/>
      <c r="O441" s="32" t="str">
        <f ca="1">IFERROR(__xludf.DUMMYFUNCTION("if($F441&gt;=5,QUERY(Loot!$A$2:$G$904,""Select G where A = '""&amp; $E441 &amp;""' AND D &gt;= ""&amp; U441 &amp;"" LIMIT 1""),)"),"")</f>
        <v/>
      </c>
      <c r="P441" s="61"/>
      <c r="Q441" s="62">
        <v>0.87340585742026888</v>
      </c>
      <c r="R441" s="63">
        <v>0.39364543543332475</v>
      </c>
      <c r="S441" s="63">
        <v>0.6759111950681953</v>
      </c>
      <c r="T441" s="63">
        <v>8.8867270715068947E-2</v>
      </c>
      <c r="U441" s="63">
        <v>0.82539798199547476</v>
      </c>
    </row>
    <row r="442" spans="1:21" ht="16.2">
      <c r="A442" s="5">
        <f t="shared" ca="1" si="3"/>
        <v>441</v>
      </c>
      <c r="B442" s="5" t="str">
        <f ca="1">IFERROR(__xludf.DUMMYFUNCTION("if(ISBLANK(C442),,QUERY(MD!A443:D1441,""Select A where C = '""&amp; C442 &amp;""'""))"),"")</f>
        <v/>
      </c>
      <c r="C442" s="5"/>
      <c r="D442" s="5" t="str">
        <f ca="1">IFERROR(__xludf.DUMMYFUNCTION("if(ISBLANK(C442),,QUERY(MD!$A$2:$D$1000,""Select D where C = '""&amp; C442 &amp;""'""))"),"")</f>
        <v/>
      </c>
      <c r="E442" s="59" t="str">
        <f ca="1">IFERROR(__xludf.DUMMYFUNCTION("if(ISBLANK(C442),,QUERY(MD!$A$2:$D$1000,""Select B where C = '""&amp; C442 &amp;""'""))"),"")</f>
        <v/>
      </c>
      <c r="F442" s="5">
        <f t="shared" ca="1" si="2"/>
        <v>0</v>
      </c>
      <c r="G442" s="32" t="str">
        <f ca="1">IFERROR(__xludf.DUMMYFUNCTION("if($F442&gt;=1,QUERY(Loot!$A$2:$G$904,""Select G where A = '""&amp; $E442 &amp;""' AND D &gt;= ""&amp; Q442  &amp;"" LIMIT 1""),)"),"")</f>
        <v/>
      </c>
      <c r="H442" s="61"/>
      <c r="I442" s="32" t="str">
        <f ca="1">IFERROR(__xludf.DUMMYFUNCTION("if($F442&gt;=2,QUERY(Loot!$A$2:$G$904,""Select G where A = '""&amp; $E442 &amp;""' AND D &gt;= ""&amp; R442 &amp;"" LIMIT 1""),)"),"")</f>
        <v/>
      </c>
      <c r="J442" s="61"/>
      <c r="K442" s="32" t="str">
        <f ca="1">IFERROR(__xludf.DUMMYFUNCTION("if($F442&gt;=3,QUERY(Loot!$A$2:$G$904,""Select G where A = '""&amp; $E442 &amp;""' AND D &gt;= ""&amp; S442  &amp;"" LIMIT 1""),)"),"")</f>
        <v/>
      </c>
      <c r="L442" s="61"/>
      <c r="M442" s="32" t="str">
        <f ca="1">IFERROR(__xludf.DUMMYFUNCTION("if($F442&gt;=4,QUERY(Loot!$A$2:$G$904,""Select G where A = '""&amp; $E442 &amp;""' AND D &gt;= ""&amp;T442 &amp;"" LIMIT 1""),)"),"")</f>
        <v/>
      </c>
      <c r="N442" s="61"/>
      <c r="O442" s="32" t="str">
        <f ca="1">IFERROR(__xludf.DUMMYFUNCTION("if($F442&gt;=5,QUERY(Loot!$A$2:$G$904,""Select G where A = '""&amp; $E442 &amp;""' AND D &gt;= ""&amp; U442 &amp;"" LIMIT 1""),)"),"")</f>
        <v/>
      </c>
      <c r="P442" s="61"/>
      <c r="Q442" s="62">
        <v>0.44279388957592991</v>
      </c>
      <c r="R442" s="63">
        <v>0.51518450164756024</v>
      </c>
      <c r="S442" s="63">
        <v>0.15128471765474116</v>
      </c>
      <c r="T442" s="63">
        <v>0.76604180631830832</v>
      </c>
      <c r="U442" s="63">
        <v>0.49899259129568851</v>
      </c>
    </row>
    <row r="443" spans="1:21" ht="16.2">
      <c r="A443" s="5">
        <f t="shared" ca="1" si="3"/>
        <v>442</v>
      </c>
      <c r="B443" s="5" t="str">
        <f ca="1">IFERROR(__xludf.DUMMYFUNCTION("if(ISBLANK(C443),,QUERY(MD!A444:D1442,""Select A where C = '""&amp; C443 &amp;""'""))"),"")</f>
        <v/>
      </c>
      <c r="C443" s="5"/>
      <c r="D443" s="5" t="str">
        <f ca="1">IFERROR(__xludf.DUMMYFUNCTION("if(ISBLANK(C443),,QUERY(MD!$A$2:$D$1000,""Select D where C = '""&amp; C443 &amp;""'""))"),"")</f>
        <v/>
      </c>
      <c r="E443" s="59" t="str">
        <f ca="1">IFERROR(__xludf.DUMMYFUNCTION("if(ISBLANK(C443),,QUERY(MD!$A$2:$D$1000,""Select B where C = '""&amp; C443 &amp;""'""))"),"")</f>
        <v/>
      </c>
      <c r="F443" s="5">
        <f t="shared" ca="1" si="2"/>
        <v>0</v>
      </c>
      <c r="G443" s="32" t="str">
        <f ca="1">IFERROR(__xludf.DUMMYFUNCTION("if($F443&gt;=1,QUERY(Loot!$A$2:$G$904,""Select G where A = '""&amp; $E443 &amp;""' AND D &gt;= ""&amp; Q443  &amp;"" LIMIT 1""),)"),"")</f>
        <v/>
      </c>
      <c r="H443" s="61"/>
      <c r="I443" s="32" t="str">
        <f ca="1">IFERROR(__xludf.DUMMYFUNCTION("if($F443&gt;=2,QUERY(Loot!$A$2:$G$904,""Select G where A = '""&amp; $E443 &amp;""' AND D &gt;= ""&amp; R443 &amp;"" LIMIT 1""),)"),"")</f>
        <v/>
      </c>
      <c r="J443" s="61"/>
      <c r="K443" s="32" t="str">
        <f ca="1">IFERROR(__xludf.DUMMYFUNCTION("if($F443&gt;=3,QUERY(Loot!$A$2:$G$904,""Select G where A = '""&amp; $E443 &amp;""' AND D &gt;= ""&amp; S443  &amp;"" LIMIT 1""),)"),"")</f>
        <v/>
      </c>
      <c r="L443" s="61"/>
      <c r="M443" s="32" t="str">
        <f ca="1">IFERROR(__xludf.DUMMYFUNCTION("if($F443&gt;=4,QUERY(Loot!$A$2:$G$904,""Select G where A = '""&amp; $E443 &amp;""' AND D &gt;= ""&amp;T443 &amp;"" LIMIT 1""),)"),"")</f>
        <v/>
      </c>
      <c r="N443" s="61"/>
      <c r="O443" s="32" t="str">
        <f ca="1">IFERROR(__xludf.DUMMYFUNCTION("if($F443&gt;=5,QUERY(Loot!$A$2:$G$904,""Select G where A = '""&amp; $E443 &amp;""' AND D &gt;= ""&amp; U443 &amp;"" LIMIT 1""),)"),"")</f>
        <v/>
      </c>
      <c r="P443" s="61"/>
      <c r="Q443" s="62">
        <v>1.8606911217481481E-2</v>
      </c>
      <c r="R443" s="63">
        <v>0.63060501412933834</v>
      </c>
      <c r="S443" s="63">
        <v>0.46603866083887657</v>
      </c>
      <c r="T443" s="63">
        <v>0.91304073389314266</v>
      </c>
      <c r="U443" s="63">
        <v>0.87622461696269827</v>
      </c>
    </row>
    <row r="444" spans="1:21" ht="16.2">
      <c r="A444" s="5">
        <f t="shared" ca="1" si="3"/>
        <v>443</v>
      </c>
      <c r="B444" s="5" t="str">
        <f ca="1">IFERROR(__xludf.DUMMYFUNCTION("if(ISBLANK(C444),,QUERY(MD!A445:D1443,""Select A where C = '""&amp; C444 &amp;""'""))"),"")</f>
        <v/>
      </c>
      <c r="C444" s="5"/>
      <c r="D444" s="5" t="str">
        <f ca="1">IFERROR(__xludf.DUMMYFUNCTION("if(ISBLANK(C444),,QUERY(MD!$A$2:$D$1000,""Select D where C = '""&amp; C444 &amp;""'""))"),"")</f>
        <v/>
      </c>
      <c r="E444" s="59" t="str">
        <f ca="1">IFERROR(__xludf.DUMMYFUNCTION("if(ISBLANK(C444),,QUERY(MD!$A$2:$D$1000,""Select B where C = '""&amp; C444 &amp;""'""))"),"")</f>
        <v/>
      </c>
      <c r="F444" s="5">
        <f t="shared" ca="1" si="2"/>
        <v>0</v>
      </c>
      <c r="G444" s="32" t="str">
        <f ca="1">IFERROR(__xludf.DUMMYFUNCTION("if($F444&gt;=1,QUERY(Loot!$A$2:$G$904,""Select G where A = '""&amp; $E444 &amp;""' AND D &gt;= ""&amp; Q444  &amp;"" LIMIT 1""),)"),"")</f>
        <v/>
      </c>
      <c r="H444" s="61"/>
      <c r="I444" s="32" t="str">
        <f ca="1">IFERROR(__xludf.DUMMYFUNCTION("if($F444&gt;=2,QUERY(Loot!$A$2:$G$904,""Select G where A = '""&amp; $E444 &amp;""' AND D &gt;= ""&amp; R444 &amp;"" LIMIT 1""),)"),"")</f>
        <v/>
      </c>
      <c r="J444" s="61"/>
      <c r="K444" s="32" t="str">
        <f ca="1">IFERROR(__xludf.DUMMYFUNCTION("if($F444&gt;=3,QUERY(Loot!$A$2:$G$904,""Select G where A = '""&amp; $E444 &amp;""' AND D &gt;= ""&amp; S444  &amp;"" LIMIT 1""),)"),"")</f>
        <v/>
      </c>
      <c r="L444" s="61"/>
      <c r="M444" s="32" t="str">
        <f ca="1">IFERROR(__xludf.DUMMYFUNCTION("if($F444&gt;=4,QUERY(Loot!$A$2:$G$904,""Select G where A = '""&amp; $E444 &amp;""' AND D &gt;= ""&amp;T444 &amp;"" LIMIT 1""),)"),"")</f>
        <v/>
      </c>
      <c r="N444" s="61"/>
      <c r="O444" s="32" t="str">
        <f ca="1">IFERROR(__xludf.DUMMYFUNCTION("if($F444&gt;=5,QUERY(Loot!$A$2:$G$904,""Select G where A = '""&amp; $E444 &amp;""' AND D &gt;= ""&amp; U444 &amp;"" LIMIT 1""),)"),"")</f>
        <v/>
      </c>
      <c r="P444" s="61"/>
      <c r="Q444" s="62">
        <v>0.79407739456757709</v>
      </c>
      <c r="R444" s="63">
        <v>0.99669155397555353</v>
      </c>
      <c r="S444" s="63">
        <v>0.91079044060859715</v>
      </c>
      <c r="T444" s="63">
        <v>0.80008068572470115</v>
      </c>
      <c r="U444" s="63">
        <v>0.14582822395248574</v>
      </c>
    </row>
    <row r="445" spans="1:21" ht="16.2">
      <c r="A445" s="5">
        <f t="shared" ca="1" si="3"/>
        <v>444</v>
      </c>
      <c r="B445" s="5" t="str">
        <f ca="1">IFERROR(__xludf.DUMMYFUNCTION("if(ISBLANK(C445),,QUERY(MD!A446:D1444,""Select A where C = '""&amp; C445 &amp;""'""))"),"")</f>
        <v/>
      </c>
      <c r="C445" s="5"/>
      <c r="D445" s="5" t="str">
        <f ca="1">IFERROR(__xludf.DUMMYFUNCTION("if(ISBLANK(C445),,QUERY(MD!$A$2:$D$1000,""Select D where C = '""&amp; C445 &amp;""'""))"),"")</f>
        <v/>
      </c>
      <c r="E445" s="59" t="str">
        <f ca="1">IFERROR(__xludf.DUMMYFUNCTION("if(ISBLANK(C445),,QUERY(MD!$A$2:$D$1000,""Select B where C = '""&amp; C445 &amp;""'""))"),"")</f>
        <v/>
      </c>
      <c r="F445" s="5">
        <f t="shared" ca="1" si="2"/>
        <v>0</v>
      </c>
      <c r="G445" s="32" t="str">
        <f ca="1">IFERROR(__xludf.DUMMYFUNCTION("if($F445&gt;=1,QUERY(Loot!$A$2:$G$904,""Select G where A = '""&amp; $E445 &amp;""' AND D &gt;= ""&amp; Q445  &amp;"" LIMIT 1""),)"),"")</f>
        <v/>
      </c>
      <c r="H445" s="61"/>
      <c r="I445" s="32" t="str">
        <f ca="1">IFERROR(__xludf.DUMMYFUNCTION("if($F445&gt;=2,QUERY(Loot!$A$2:$G$904,""Select G where A = '""&amp; $E445 &amp;""' AND D &gt;= ""&amp; R445 &amp;"" LIMIT 1""),)"),"")</f>
        <v/>
      </c>
      <c r="J445" s="61"/>
      <c r="K445" s="32" t="str">
        <f ca="1">IFERROR(__xludf.DUMMYFUNCTION("if($F445&gt;=3,QUERY(Loot!$A$2:$G$904,""Select G where A = '""&amp; $E445 &amp;""' AND D &gt;= ""&amp; S445  &amp;"" LIMIT 1""),)"),"")</f>
        <v/>
      </c>
      <c r="L445" s="61"/>
      <c r="M445" s="32" t="str">
        <f ca="1">IFERROR(__xludf.DUMMYFUNCTION("if($F445&gt;=4,QUERY(Loot!$A$2:$G$904,""Select G where A = '""&amp; $E445 &amp;""' AND D &gt;= ""&amp;T445 &amp;"" LIMIT 1""),)"),"")</f>
        <v/>
      </c>
      <c r="N445" s="61"/>
      <c r="O445" s="32" t="str">
        <f ca="1">IFERROR(__xludf.DUMMYFUNCTION("if($F445&gt;=5,QUERY(Loot!$A$2:$G$904,""Select G where A = '""&amp; $E445 &amp;""' AND D &gt;= ""&amp; U445 &amp;"" LIMIT 1""),)"),"")</f>
        <v/>
      </c>
      <c r="P445" s="61"/>
      <c r="Q445" s="62">
        <v>0.3067804546327545</v>
      </c>
      <c r="R445" s="63">
        <v>0.1531603742024028</v>
      </c>
      <c r="S445" s="63">
        <v>0.64785894193404081</v>
      </c>
      <c r="T445" s="63">
        <v>0.12536786132085931</v>
      </c>
      <c r="U445" s="63">
        <v>0.43021391477677251</v>
      </c>
    </row>
    <row r="446" spans="1:21" ht="16.2">
      <c r="A446" s="5">
        <f t="shared" ca="1" si="3"/>
        <v>445</v>
      </c>
      <c r="B446" s="5" t="str">
        <f ca="1">IFERROR(__xludf.DUMMYFUNCTION("if(ISBLANK(C446),,QUERY(MD!A447:D1445,""Select A where C = '""&amp; C446 &amp;""'""))"),"")</f>
        <v/>
      </c>
      <c r="C446" s="5"/>
      <c r="D446" s="5" t="str">
        <f ca="1">IFERROR(__xludf.DUMMYFUNCTION("if(ISBLANK(C446),,QUERY(MD!$A$2:$D$1000,""Select D where C = '""&amp; C446 &amp;""'""))"),"")</f>
        <v/>
      </c>
      <c r="E446" s="59" t="str">
        <f ca="1">IFERROR(__xludf.DUMMYFUNCTION("if(ISBLANK(C446),,QUERY(MD!$A$2:$D$1000,""Select B where C = '""&amp; C446 &amp;""'""))"),"")</f>
        <v/>
      </c>
      <c r="F446" s="5">
        <f t="shared" ca="1" si="2"/>
        <v>0</v>
      </c>
      <c r="G446" s="32" t="str">
        <f ca="1">IFERROR(__xludf.DUMMYFUNCTION("if($F446&gt;=1,QUERY(Loot!$A$2:$G$904,""Select G where A = '""&amp; $E446 &amp;""' AND D &gt;= ""&amp; Q446  &amp;"" LIMIT 1""),)"),"")</f>
        <v/>
      </c>
      <c r="H446" s="61"/>
      <c r="I446" s="32" t="str">
        <f ca="1">IFERROR(__xludf.DUMMYFUNCTION("if($F446&gt;=2,QUERY(Loot!$A$2:$G$904,""Select G where A = '""&amp; $E446 &amp;""' AND D &gt;= ""&amp; R446 &amp;"" LIMIT 1""),)"),"")</f>
        <v/>
      </c>
      <c r="J446" s="61"/>
      <c r="K446" s="32" t="str">
        <f ca="1">IFERROR(__xludf.DUMMYFUNCTION("if($F446&gt;=3,QUERY(Loot!$A$2:$G$904,""Select G where A = '""&amp; $E446 &amp;""' AND D &gt;= ""&amp; S446  &amp;"" LIMIT 1""),)"),"")</f>
        <v/>
      </c>
      <c r="L446" s="61"/>
      <c r="M446" s="32" t="str">
        <f ca="1">IFERROR(__xludf.DUMMYFUNCTION("if($F446&gt;=4,QUERY(Loot!$A$2:$G$904,""Select G where A = '""&amp; $E446 &amp;""' AND D &gt;= ""&amp;T446 &amp;"" LIMIT 1""),)"),"")</f>
        <v/>
      </c>
      <c r="N446" s="61"/>
      <c r="O446" s="32" t="str">
        <f ca="1">IFERROR(__xludf.DUMMYFUNCTION("if($F446&gt;=5,QUERY(Loot!$A$2:$G$904,""Select G where A = '""&amp; $E446 &amp;""' AND D &gt;= ""&amp; U446 &amp;"" LIMIT 1""),)"),"")</f>
        <v/>
      </c>
      <c r="P446" s="61"/>
      <c r="Q446" s="62">
        <v>0.31526949782320446</v>
      </c>
      <c r="R446" s="63">
        <v>0.50190452818755371</v>
      </c>
      <c r="S446" s="63">
        <v>0.88480287172023409</v>
      </c>
      <c r="T446" s="63">
        <v>0.44460490691635823</v>
      </c>
      <c r="U446" s="63">
        <v>0.87832508411421584</v>
      </c>
    </row>
    <row r="447" spans="1:21" ht="16.2">
      <c r="A447" s="5">
        <f t="shared" ca="1" si="3"/>
        <v>446</v>
      </c>
      <c r="B447" s="5" t="str">
        <f ca="1">IFERROR(__xludf.DUMMYFUNCTION("if(ISBLANK(C447),,QUERY(MD!A448:D1446,""Select A where C = '""&amp; C447 &amp;""'""))"),"")</f>
        <v/>
      </c>
      <c r="C447" s="5"/>
      <c r="D447" s="5" t="str">
        <f ca="1">IFERROR(__xludf.DUMMYFUNCTION("if(ISBLANK(C447),,QUERY(MD!$A$2:$D$1000,""Select D where C = '""&amp; C447 &amp;""'""))"),"")</f>
        <v/>
      </c>
      <c r="E447" s="59" t="str">
        <f ca="1">IFERROR(__xludf.DUMMYFUNCTION("if(ISBLANK(C447),,QUERY(MD!$A$2:$D$1000,""Select B where C = '""&amp; C447 &amp;""'""))"),"")</f>
        <v/>
      </c>
      <c r="F447" s="5">
        <f t="shared" ca="1" si="2"/>
        <v>0</v>
      </c>
      <c r="G447" s="32" t="str">
        <f ca="1">IFERROR(__xludf.DUMMYFUNCTION("if($F447&gt;=1,QUERY(Loot!$A$2:$G$904,""Select G where A = '""&amp; $E447 &amp;""' AND D &gt;= ""&amp; Q447  &amp;"" LIMIT 1""),)"),"")</f>
        <v/>
      </c>
      <c r="H447" s="61"/>
      <c r="I447" s="32" t="str">
        <f ca="1">IFERROR(__xludf.DUMMYFUNCTION("if($F447&gt;=2,QUERY(Loot!$A$2:$G$904,""Select G where A = '""&amp; $E447 &amp;""' AND D &gt;= ""&amp; R447 &amp;"" LIMIT 1""),)"),"")</f>
        <v/>
      </c>
      <c r="J447" s="61"/>
      <c r="K447" s="32" t="str">
        <f ca="1">IFERROR(__xludf.DUMMYFUNCTION("if($F447&gt;=3,QUERY(Loot!$A$2:$G$904,""Select G where A = '""&amp; $E447 &amp;""' AND D &gt;= ""&amp; S447  &amp;"" LIMIT 1""),)"),"")</f>
        <v/>
      </c>
      <c r="L447" s="61"/>
      <c r="M447" s="32" t="str">
        <f ca="1">IFERROR(__xludf.DUMMYFUNCTION("if($F447&gt;=4,QUERY(Loot!$A$2:$G$904,""Select G where A = '""&amp; $E447 &amp;""' AND D &gt;= ""&amp;T447 &amp;"" LIMIT 1""),)"),"")</f>
        <v/>
      </c>
      <c r="N447" s="61"/>
      <c r="O447" s="32" t="str">
        <f ca="1">IFERROR(__xludf.DUMMYFUNCTION("if($F447&gt;=5,QUERY(Loot!$A$2:$G$904,""Select G where A = '""&amp; $E447 &amp;""' AND D &gt;= ""&amp; U447 &amp;"" LIMIT 1""),)"),"")</f>
        <v/>
      </c>
      <c r="P447" s="61"/>
      <c r="Q447" s="62">
        <v>0.73831949214023007</v>
      </c>
      <c r="R447" s="63">
        <v>0.61622037097657612</v>
      </c>
      <c r="S447" s="63">
        <v>0.63783231052762879</v>
      </c>
      <c r="T447" s="63">
        <v>0.20387563173110035</v>
      </c>
      <c r="U447" s="63">
        <v>0.59837119263231053</v>
      </c>
    </row>
    <row r="448" spans="1:21" ht="16.2">
      <c r="A448" s="5">
        <f t="shared" ca="1" si="3"/>
        <v>447</v>
      </c>
      <c r="B448" s="5" t="str">
        <f ca="1">IFERROR(__xludf.DUMMYFUNCTION("if(ISBLANK(C448),,QUERY(MD!A449:D1447,""Select A where C = '""&amp; C448 &amp;""'""))"),"")</f>
        <v/>
      </c>
      <c r="C448" s="5"/>
      <c r="D448" s="5" t="str">
        <f ca="1">IFERROR(__xludf.DUMMYFUNCTION("if(ISBLANK(C448),,QUERY(MD!$A$2:$D$1000,""Select D where C = '""&amp; C448 &amp;""'""))"),"")</f>
        <v/>
      </c>
      <c r="E448" s="59" t="str">
        <f ca="1">IFERROR(__xludf.DUMMYFUNCTION("if(ISBLANK(C448),,QUERY(MD!$A$2:$D$1000,""Select B where C = '""&amp; C448 &amp;""'""))"),"")</f>
        <v/>
      </c>
      <c r="F448" s="5">
        <f t="shared" ca="1" si="2"/>
        <v>0</v>
      </c>
      <c r="G448" s="32" t="str">
        <f ca="1">IFERROR(__xludf.DUMMYFUNCTION("if($F448&gt;=1,QUERY(Loot!$A$2:$G$904,""Select G where A = '""&amp; $E448 &amp;""' AND D &gt;= ""&amp; Q448  &amp;"" LIMIT 1""),)"),"")</f>
        <v/>
      </c>
      <c r="H448" s="61"/>
      <c r="I448" s="32" t="str">
        <f ca="1">IFERROR(__xludf.DUMMYFUNCTION("if($F448&gt;=2,QUERY(Loot!$A$2:$G$904,""Select G where A = '""&amp; $E448 &amp;""' AND D &gt;= ""&amp; R448 &amp;"" LIMIT 1""),)"),"")</f>
        <v/>
      </c>
      <c r="J448" s="61"/>
      <c r="K448" s="32" t="str">
        <f ca="1">IFERROR(__xludf.DUMMYFUNCTION("if($F448&gt;=3,QUERY(Loot!$A$2:$G$904,""Select G where A = '""&amp; $E448 &amp;""' AND D &gt;= ""&amp; S448  &amp;"" LIMIT 1""),)"),"")</f>
        <v/>
      </c>
      <c r="L448" s="61"/>
      <c r="M448" s="32" t="str">
        <f ca="1">IFERROR(__xludf.DUMMYFUNCTION("if($F448&gt;=4,QUERY(Loot!$A$2:$G$904,""Select G where A = '""&amp; $E448 &amp;""' AND D &gt;= ""&amp;T448 &amp;"" LIMIT 1""),)"),"")</f>
        <v/>
      </c>
      <c r="N448" s="61"/>
      <c r="O448" s="32" t="str">
        <f ca="1">IFERROR(__xludf.DUMMYFUNCTION("if($F448&gt;=5,QUERY(Loot!$A$2:$G$904,""Select G where A = '""&amp; $E448 &amp;""' AND D &gt;= ""&amp; U448 &amp;"" LIMIT 1""),)"),"")</f>
        <v/>
      </c>
      <c r="P448" s="61"/>
      <c r="Q448" s="62">
        <v>0.54231181352020108</v>
      </c>
      <c r="R448" s="63">
        <v>0.20781436546216603</v>
      </c>
      <c r="S448" s="63">
        <v>0.61726571928175722</v>
      </c>
      <c r="T448" s="63">
        <v>0.2832397092942126</v>
      </c>
      <c r="U448" s="63">
        <v>0.60615529108586441</v>
      </c>
    </row>
    <row r="449" spans="1:21" ht="16.2">
      <c r="A449" s="5">
        <f t="shared" ca="1" si="3"/>
        <v>448</v>
      </c>
      <c r="B449" s="5" t="str">
        <f ca="1">IFERROR(__xludf.DUMMYFUNCTION("if(ISBLANK(C449),,QUERY(MD!A450:D1448,""Select A where C = '""&amp; C449 &amp;""'""))"),"")</f>
        <v/>
      </c>
      <c r="C449" s="5"/>
      <c r="D449" s="5" t="str">
        <f ca="1">IFERROR(__xludf.DUMMYFUNCTION("if(ISBLANK(C449),,QUERY(MD!$A$2:$D$1000,""Select D where C = '""&amp; C449 &amp;""'""))"),"")</f>
        <v/>
      </c>
      <c r="E449" s="59" t="str">
        <f ca="1">IFERROR(__xludf.DUMMYFUNCTION("if(ISBLANK(C449),,QUERY(MD!$A$2:$D$1000,""Select B where C = '""&amp; C449 &amp;""'""))"),"")</f>
        <v/>
      </c>
      <c r="F449" s="5">
        <f t="shared" ca="1" si="2"/>
        <v>0</v>
      </c>
      <c r="G449" s="32" t="str">
        <f ca="1">IFERROR(__xludf.DUMMYFUNCTION("if($F449&gt;=1,QUERY(Loot!$A$2:$G$904,""Select G where A = '""&amp; $E449 &amp;""' AND D &gt;= ""&amp; Q449  &amp;"" LIMIT 1""),)"),"")</f>
        <v/>
      </c>
      <c r="H449" s="61"/>
      <c r="I449" s="32" t="str">
        <f ca="1">IFERROR(__xludf.DUMMYFUNCTION("if($F449&gt;=2,QUERY(Loot!$A$2:$G$904,""Select G where A = '""&amp; $E449 &amp;""' AND D &gt;= ""&amp; R449 &amp;"" LIMIT 1""),)"),"")</f>
        <v/>
      </c>
      <c r="J449" s="61"/>
      <c r="K449" s="32" t="str">
        <f ca="1">IFERROR(__xludf.DUMMYFUNCTION("if($F449&gt;=3,QUERY(Loot!$A$2:$G$904,""Select G where A = '""&amp; $E449 &amp;""' AND D &gt;= ""&amp; S449  &amp;"" LIMIT 1""),)"),"")</f>
        <v/>
      </c>
      <c r="L449" s="61"/>
      <c r="M449" s="32" t="str">
        <f ca="1">IFERROR(__xludf.DUMMYFUNCTION("if($F449&gt;=4,QUERY(Loot!$A$2:$G$904,""Select G where A = '""&amp; $E449 &amp;""' AND D &gt;= ""&amp;T449 &amp;"" LIMIT 1""),)"),"")</f>
        <v/>
      </c>
      <c r="N449" s="61"/>
      <c r="O449" s="32" t="str">
        <f ca="1">IFERROR(__xludf.DUMMYFUNCTION("if($F449&gt;=5,QUERY(Loot!$A$2:$G$904,""Select G where A = '""&amp; $E449 &amp;""' AND D &gt;= ""&amp; U449 &amp;"" LIMIT 1""),)"),"")</f>
        <v/>
      </c>
      <c r="P449" s="61"/>
      <c r="Q449" s="62">
        <v>0.22013357934590971</v>
      </c>
      <c r="R449" s="63">
        <v>0.66560660219469936</v>
      </c>
      <c r="S449" s="63">
        <v>0.13317055088103524</v>
      </c>
      <c r="T449" s="63">
        <v>0.10017746057233468</v>
      </c>
      <c r="U449" s="63">
        <v>0.47881726346666076</v>
      </c>
    </row>
    <row r="450" spans="1:21" ht="16.2">
      <c r="A450" s="5">
        <f t="shared" ca="1" si="3"/>
        <v>449</v>
      </c>
      <c r="B450" s="5" t="str">
        <f ca="1">IFERROR(__xludf.DUMMYFUNCTION("if(ISBLANK(C450),,QUERY(MD!A451:D1449,""Select A where C = '""&amp; C450 &amp;""'""))"),"")</f>
        <v/>
      </c>
      <c r="C450" s="5"/>
      <c r="D450" s="5" t="str">
        <f ca="1">IFERROR(__xludf.DUMMYFUNCTION("if(ISBLANK(C450),,QUERY(MD!$A$2:$D$1000,""Select D where C = '""&amp; C450 &amp;""'""))"),"")</f>
        <v/>
      </c>
      <c r="E450" s="59" t="str">
        <f ca="1">IFERROR(__xludf.DUMMYFUNCTION("if(ISBLANK(C450),,QUERY(MD!$A$2:$D$1000,""Select B where C = '""&amp; C450 &amp;""'""))"),"")</f>
        <v/>
      </c>
      <c r="F450" s="5">
        <f t="shared" ca="1" si="2"/>
        <v>0</v>
      </c>
      <c r="G450" s="32" t="str">
        <f ca="1">IFERROR(__xludf.DUMMYFUNCTION("if($F450&gt;=1,QUERY(Loot!$A$2:$G$904,""Select G where A = '""&amp; $E450 &amp;""' AND D &gt;= ""&amp; Q450  &amp;"" LIMIT 1""),)"),"")</f>
        <v/>
      </c>
      <c r="H450" s="61"/>
      <c r="I450" s="32" t="str">
        <f ca="1">IFERROR(__xludf.DUMMYFUNCTION("if($F450&gt;=2,QUERY(Loot!$A$2:$G$904,""Select G where A = '""&amp; $E450 &amp;""' AND D &gt;= ""&amp; R450 &amp;"" LIMIT 1""),)"),"")</f>
        <v/>
      </c>
      <c r="J450" s="61"/>
      <c r="K450" s="32" t="str">
        <f ca="1">IFERROR(__xludf.DUMMYFUNCTION("if($F450&gt;=3,QUERY(Loot!$A$2:$G$904,""Select G where A = '""&amp; $E450 &amp;""' AND D &gt;= ""&amp; S450  &amp;"" LIMIT 1""),)"),"")</f>
        <v/>
      </c>
      <c r="L450" s="61"/>
      <c r="M450" s="32" t="str">
        <f ca="1">IFERROR(__xludf.DUMMYFUNCTION("if($F450&gt;=4,QUERY(Loot!$A$2:$G$904,""Select G where A = '""&amp; $E450 &amp;""' AND D &gt;= ""&amp;T450 &amp;"" LIMIT 1""),)"),"")</f>
        <v/>
      </c>
      <c r="N450" s="61"/>
      <c r="O450" s="32" t="str">
        <f ca="1">IFERROR(__xludf.DUMMYFUNCTION("if($F450&gt;=5,QUERY(Loot!$A$2:$G$904,""Select G where A = '""&amp; $E450 &amp;""' AND D &gt;= ""&amp; U450 &amp;"" LIMIT 1""),)"),"")</f>
        <v/>
      </c>
      <c r="P450" s="61"/>
      <c r="Q450" s="62">
        <v>0.93530280802185017</v>
      </c>
      <c r="R450" s="63">
        <v>2.3386675564182724E-2</v>
      </c>
      <c r="S450" s="63">
        <v>0.95966707260096529</v>
      </c>
      <c r="T450" s="63">
        <v>0.42749152956111092</v>
      </c>
      <c r="U450" s="63">
        <v>0.81515163172413274</v>
      </c>
    </row>
    <row r="451" spans="1:21" ht="16.2">
      <c r="A451" s="5">
        <f t="shared" ca="1" si="3"/>
        <v>450</v>
      </c>
      <c r="B451" s="5" t="str">
        <f ca="1">IFERROR(__xludf.DUMMYFUNCTION("if(ISBLANK(C451),,QUERY(MD!A452:D1450,""Select A where C = '""&amp; C451 &amp;""'""))"),"")</f>
        <v/>
      </c>
      <c r="C451" s="5"/>
      <c r="D451" s="5" t="str">
        <f ca="1">IFERROR(__xludf.DUMMYFUNCTION("if(ISBLANK(C451),,QUERY(MD!$A$2:$D$1000,""Select D where C = '""&amp; C451 &amp;""'""))"),"")</f>
        <v/>
      </c>
      <c r="E451" s="59" t="str">
        <f ca="1">IFERROR(__xludf.DUMMYFUNCTION("if(ISBLANK(C451),,QUERY(MD!$A$2:$D$1000,""Select B where C = '""&amp; C451 &amp;""'""))"),"")</f>
        <v/>
      </c>
      <c r="F451" s="5">
        <f t="shared" ca="1" si="2"/>
        <v>0</v>
      </c>
      <c r="G451" s="32" t="str">
        <f ca="1">IFERROR(__xludf.DUMMYFUNCTION("if($F451&gt;=1,QUERY(Loot!$A$2:$G$904,""Select G where A = '""&amp; $E451 &amp;""' AND D &gt;= ""&amp; Q451  &amp;"" LIMIT 1""),)"),"")</f>
        <v/>
      </c>
      <c r="H451" s="61"/>
      <c r="I451" s="32" t="str">
        <f ca="1">IFERROR(__xludf.DUMMYFUNCTION("if($F451&gt;=2,QUERY(Loot!$A$2:$G$904,""Select G where A = '""&amp; $E451 &amp;""' AND D &gt;= ""&amp; R451 &amp;"" LIMIT 1""),)"),"")</f>
        <v/>
      </c>
      <c r="J451" s="61"/>
      <c r="K451" s="32" t="str">
        <f ca="1">IFERROR(__xludf.DUMMYFUNCTION("if($F451&gt;=3,QUERY(Loot!$A$2:$G$904,""Select G where A = '""&amp; $E451 &amp;""' AND D &gt;= ""&amp; S451  &amp;"" LIMIT 1""),)"),"")</f>
        <v/>
      </c>
      <c r="L451" s="61"/>
      <c r="M451" s="32" t="str">
        <f ca="1">IFERROR(__xludf.DUMMYFUNCTION("if($F451&gt;=4,QUERY(Loot!$A$2:$G$904,""Select G where A = '""&amp; $E451 &amp;""' AND D &gt;= ""&amp;T451 &amp;"" LIMIT 1""),)"),"")</f>
        <v/>
      </c>
      <c r="N451" s="61"/>
      <c r="O451" s="32" t="str">
        <f ca="1">IFERROR(__xludf.DUMMYFUNCTION("if($F451&gt;=5,QUERY(Loot!$A$2:$G$904,""Select G where A = '""&amp; $E451 &amp;""' AND D &gt;= ""&amp; U451 &amp;"" LIMIT 1""),)"),"")</f>
        <v/>
      </c>
      <c r="P451" s="61"/>
      <c r="Q451" s="62">
        <v>0.71165433205302053</v>
      </c>
      <c r="R451" s="63">
        <v>0.21281417214225307</v>
      </c>
      <c r="S451" s="63">
        <v>0.19129104109113448</v>
      </c>
      <c r="T451" s="63">
        <v>0.37325885734165964</v>
      </c>
      <c r="U451" s="63">
        <v>0.50618491579897773</v>
      </c>
    </row>
    <row r="452" spans="1:21" ht="16.2">
      <c r="A452" s="5">
        <f t="shared" ca="1" si="3"/>
        <v>451</v>
      </c>
      <c r="B452" s="5" t="str">
        <f ca="1">IFERROR(__xludf.DUMMYFUNCTION("if(ISBLANK(C452),,QUERY(MD!A453:D1451,""Select A where C = '""&amp; C452 &amp;""'""))"),"")</f>
        <v/>
      </c>
      <c r="C452" s="5"/>
      <c r="D452" s="5" t="str">
        <f ca="1">IFERROR(__xludf.DUMMYFUNCTION("if(ISBLANK(C452),,QUERY(MD!$A$2:$D$1000,""Select D where C = '""&amp; C452 &amp;""'""))"),"")</f>
        <v/>
      </c>
      <c r="E452" s="59" t="str">
        <f ca="1">IFERROR(__xludf.DUMMYFUNCTION("if(ISBLANK(C452),,QUERY(MD!$A$2:$D$1000,""Select B where C = '""&amp; C452 &amp;""'""))"),"")</f>
        <v/>
      </c>
      <c r="F452" s="5">
        <f t="shared" ca="1" si="2"/>
        <v>0</v>
      </c>
      <c r="G452" s="32" t="str">
        <f ca="1">IFERROR(__xludf.DUMMYFUNCTION("if($F452&gt;=1,QUERY(Loot!$A$2:$G$904,""Select G where A = '""&amp; $E452 &amp;""' AND D &gt;= ""&amp; Q452  &amp;"" LIMIT 1""),)"),"")</f>
        <v/>
      </c>
      <c r="H452" s="61"/>
      <c r="I452" s="32" t="str">
        <f ca="1">IFERROR(__xludf.DUMMYFUNCTION("if($F452&gt;=2,QUERY(Loot!$A$2:$G$904,""Select G where A = '""&amp; $E452 &amp;""' AND D &gt;= ""&amp; R452 &amp;"" LIMIT 1""),)"),"")</f>
        <v/>
      </c>
      <c r="J452" s="61"/>
      <c r="K452" s="32" t="str">
        <f ca="1">IFERROR(__xludf.DUMMYFUNCTION("if($F452&gt;=3,QUERY(Loot!$A$2:$G$904,""Select G where A = '""&amp; $E452 &amp;""' AND D &gt;= ""&amp; S452  &amp;"" LIMIT 1""),)"),"")</f>
        <v/>
      </c>
      <c r="L452" s="61"/>
      <c r="M452" s="32" t="str">
        <f ca="1">IFERROR(__xludf.DUMMYFUNCTION("if($F452&gt;=4,QUERY(Loot!$A$2:$G$904,""Select G where A = '""&amp; $E452 &amp;""' AND D &gt;= ""&amp;T452 &amp;"" LIMIT 1""),)"),"")</f>
        <v/>
      </c>
      <c r="N452" s="61"/>
      <c r="O452" s="32" t="str">
        <f ca="1">IFERROR(__xludf.DUMMYFUNCTION("if($F452&gt;=5,QUERY(Loot!$A$2:$G$904,""Select G where A = '""&amp; $E452 &amp;""' AND D &gt;= ""&amp; U452 &amp;"" LIMIT 1""),)"),"")</f>
        <v/>
      </c>
      <c r="P452" s="61"/>
      <c r="Q452" s="62">
        <v>0.12710027301921412</v>
      </c>
      <c r="R452" s="63">
        <v>0.39432060182866346</v>
      </c>
      <c r="S452" s="63">
        <v>7.9490668248325624E-2</v>
      </c>
      <c r="T452" s="63">
        <v>0.28759543797894682</v>
      </c>
      <c r="U452" s="63">
        <v>0.92096667416391353</v>
      </c>
    </row>
    <row r="453" spans="1:21" ht="16.2">
      <c r="A453" s="5">
        <f t="shared" ca="1" si="3"/>
        <v>452</v>
      </c>
      <c r="B453" s="5" t="str">
        <f ca="1">IFERROR(__xludf.DUMMYFUNCTION("if(ISBLANK(C453),,QUERY(MD!A454:D1452,""Select A where C = '""&amp; C453 &amp;""'""))"),"")</f>
        <v/>
      </c>
      <c r="C453" s="5"/>
      <c r="D453" s="5" t="str">
        <f ca="1">IFERROR(__xludf.DUMMYFUNCTION("if(ISBLANK(C453),,QUERY(MD!$A$2:$D$1000,""Select D where C = '""&amp; C453 &amp;""'""))"),"")</f>
        <v/>
      </c>
      <c r="E453" s="59" t="str">
        <f ca="1">IFERROR(__xludf.DUMMYFUNCTION("if(ISBLANK(C453),,QUERY(MD!$A$2:$D$1000,""Select B where C = '""&amp; C453 &amp;""'""))"),"")</f>
        <v/>
      </c>
      <c r="F453" s="5">
        <f t="shared" ca="1" si="2"/>
        <v>0</v>
      </c>
      <c r="G453" s="32" t="str">
        <f ca="1">IFERROR(__xludf.DUMMYFUNCTION("if($F453&gt;=1,QUERY(Loot!$A$2:$G$904,""Select G where A = '""&amp; $E453 &amp;""' AND D &gt;= ""&amp; Q453  &amp;"" LIMIT 1""),)"),"")</f>
        <v/>
      </c>
      <c r="H453" s="61"/>
      <c r="I453" s="32" t="str">
        <f ca="1">IFERROR(__xludf.DUMMYFUNCTION("if($F453&gt;=2,QUERY(Loot!$A$2:$G$904,""Select G where A = '""&amp; $E453 &amp;""' AND D &gt;= ""&amp; R453 &amp;"" LIMIT 1""),)"),"")</f>
        <v/>
      </c>
      <c r="J453" s="61"/>
      <c r="K453" s="32" t="str">
        <f ca="1">IFERROR(__xludf.DUMMYFUNCTION("if($F453&gt;=3,QUERY(Loot!$A$2:$G$904,""Select G where A = '""&amp; $E453 &amp;""' AND D &gt;= ""&amp; S453  &amp;"" LIMIT 1""),)"),"")</f>
        <v/>
      </c>
      <c r="L453" s="61"/>
      <c r="M453" s="32" t="str">
        <f ca="1">IFERROR(__xludf.DUMMYFUNCTION("if($F453&gt;=4,QUERY(Loot!$A$2:$G$904,""Select G where A = '""&amp; $E453 &amp;""' AND D &gt;= ""&amp;T453 &amp;"" LIMIT 1""),)"),"")</f>
        <v/>
      </c>
      <c r="N453" s="61"/>
      <c r="O453" s="32" t="str">
        <f ca="1">IFERROR(__xludf.DUMMYFUNCTION("if($F453&gt;=5,QUERY(Loot!$A$2:$G$904,""Select G where A = '""&amp; $E453 &amp;""' AND D &gt;= ""&amp; U453 &amp;"" LIMIT 1""),)"),"")</f>
        <v/>
      </c>
      <c r="P453" s="61"/>
      <c r="Q453" s="62">
        <v>0.44312855670919582</v>
      </c>
      <c r="R453" s="63">
        <v>0.44990842082271953</v>
      </c>
      <c r="S453" s="63">
        <v>0.61493793224385129</v>
      </c>
      <c r="T453" s="63">
        <v>0.52003941000691323</v>
      </c>
      <c r="U453" s="63">
        <v>0.55356670512275663</v>
      </c>
    </row>
    <row r="454" spans="1:21" ht="16.2">
      <c r="A454" s="5">
        <f t="shared" ca="1" si="3"/>
        <v>453</v>
      </c>
      <c r="B454" s="5" t="str">
        <f ca="1">IFERROR(__xludf.DUMMYFUNCTION("if(ISBLANK(C454),,QUERY(MD!A455:D1453,""Select A where C = '""&amp; C454 &amp;""'""))"),"")</f>
        <v/>
      </c>
      <c r="C454" s="5"/>
      <c r="D454" s="5" t="str">
        <f ca="1">IFERROR(__xludf.DUMMYFUNCTION("if(ISBLANK(C454),,QUERY(MD!$A$2:$D$1000,""Select D where C = '""&amp; C454 &amp;""'""))"),"")</f>
        <v/>
      </c>
      <c r="E454" s="59" t="str">
        <f ca="1">IFERROR(__xludf.DUMMYFUNCTION("if(ISBLANK(C454),,QUERY(MD!$A$2:$D$1000,""Select B where C = '""&amp; C454 &amp;""'""))"),"")</f>
        <v/>
      </c>
      <c r="F454" s="5">
        <f t="shared" ca="1" si="2"/>
        <v>0</v>
      </c>
      <c r="G454" s="32" t="str">
        <f ca="1">IFERROR(__xludf.DUMMYFUNCTION("if($F454&gt;=1,QUERY(Loot!$A$2:$G$904,""Select G where A = '""&amp; $E454 &amp;""' AND D &gt;= ""&amp; Q454  &amp;"" LIMIT 1""),)"),"")</f>
        <v/>
      </c>
      <c r="H454" s="61"/>
      <c r="I454" s="32" t="str">
        <f ca="1">IFERROR(__xludf.DUMMYFUNCTION("if($F454&gt;=2,QUERY(Loot!$A$2:$G$904,""Select G where A = '""&amp; $E454 &amp;""' AND D &gt;= ""&amp; R454 &amp;"" LIMIT 1""),)"),"")</f>
        <v/>
      </c>
      <c r="J454" s="61"/>
      <c r="K454" s="32" t="str">
        <f ca="1">IFERROR(__xludf.DUMMYFUNCTION("if($F454&gt;=3,QUERY(Loot!$A$2:$G$904,""Select G where A = '""&amp; $E454 &amp;""' AND D &gt;= ""&amp; S454  &amp;"" LIMIT 1""),)"),"")</f>
        <v/>
      </c>
      <c r="L454" s="61"/>
      <c r="M454" s="32" t="str">
        <f ca="1">IFERROR(__xludf.DUMMYFUNCTION("if($F454&gt;=4,QUERY(Loot!$A$2:$G$904,""Select G where A = '""&amp; $E454 &amp;""' AND D &gt;= ""&amp;T454 &amp;"" LIMIT 1""),)"),"")</f>
        <v/>
      </c>
      <c r="N454" s="61"/>
      <c r="O454" s="32" t="str">
        <f ca="1">IFERROR(__xludf.DUMMYFUNCTION("if($F454&gt;=5,QUERY(Loot!$A$2:$G$904,""Select G where A = '""&amp; $E454 &amp;""' AND D &gt;= ""&amp; U454 &amp;"" LIMIT 1""),)"),"")</f>
        <v/>
      </c>
      <c r="P454" s="61"/>
      <c r="Q454" s="62">
        <v>0.81560920939168557</v>
      </c>
      <c r="R454" s="63">
        <v>0.3733483609559447</v>
      </c>
      <c r="S454" s="63">
        <v>0.72879082557448494</v>
      </c>
      <c r="T454" s="63">
        <v>0.91657458600099617</v>
      </c>
      <c r="U454" s="63">
        <v>0.32562192719623539</v>
      </c>
    </row>
    <row r="455" spans="1:21" ht="16.2">
      <c r="A455" s="5">
        <f t="shared" ca="1" si="3"/>
        <v>454</v>
      </c>
      <c r="B455" s="5" t="str">
        <f ca="1">IFERROR(__xludf.DUMMYFUNCTION("if(ISBLANK(C455),,QUERY(MD!A456:D1454,""Select A where C = '""&amp; C455 &amp;""'""))"),"")</f>
        <v/>
      </c>
      <c r="C455" s="5"/>
      <c r="D455" s="5" t="str">
        <f ca="1">IFERROR(__xludf.DUMMYFUNCTION("if(ISBLANK(C455),,QUERY(MD!$A$2:$D$1000,""Select D where C = '""&amp; C455 &amp;""'""))"),"")</f>
        <v/>
      </c>
      <c r="E455" s="59" t="str">
        <f ca="1">IFERROR(__xludf.DUMMYFUNCTION("if(ISBLANK(C455),,QUERY(MD!$A$2:$D$1000,""Select B where C = '""&amp; C455 &amp;""'""))"),"")</f>
        <v/>
      </c>
      <c r="F455" s="5">
        <f t="shared" ca="1" si="2"/>
        <v>0</v>
      </c>
      <c r="G455" s="32" t="str">
        <f ca="1">IFERROR(__xludf.DUMMYFUNCTION("if($F455&gt;=1,QUERY(Loot!$A$2:$G$904,""Select G where A = '""&amp; $E455 &amp;""' AND D &gt;= ""&amp; Q455  &amp;"" LIMIT 1""),)"),"")</f>
        <v/>
      </c>
      <c r="H455" s="61"/>
      <c r="I455" s="32" t="str">
        <f ca="1">IFERROR(__xludf.DUMMYFUNCTION("if($F455&gt;=2,QUERY(Loot!$A$2:$G$904,""Select G where A = '""&amp; $E455 &amp;""' AND D &gt;= ""&amp; R455 &amp;"" LIMIT 1""),)"),"")</f>
        <v/>
      </c>
      <c r="J455" s="61"/>
      <c r="K455" s="32" t="str">
        <f ca="1">IFERROR(__xludf.DUMMYFUNCTION("if($F455&gt;=3,QUERY(Loot!$A$2:$G$904,""Select G where A = '""&amp; $E455 &amp;""' AND D &gt;= ""&amp; S455  &amp;"" LIMIT 1""),)"),"")</f>
        <v/>
      </c>
      <c r="L455" s="61"/>
      <c r="M455" s="32" t="str">
        <f ca="1">IFERROR(__xludf.DUMMYFUNCTION("if($F455&gt;=4,QUERY(Loot!$A$2:$G$904,""Select G where A = '""&amp; $E455 &amp;""' AND D &gt;= ""&amp;T455 &amp;"" LIMIT 1""),)"),"")</f>
        <v/>
      </c>
      <c r="N455" s="61"/>
      <c r="O455" s="32" t="str">
        <f ca="1">IFERROR(__xludf.DUMMYFUNCTION("if($F455&gt;=5,QUERY(Loot!$A$2:$G$904,""Select G where A = '""&amp; $E455 &amp;""' AND D &gt;= ""&amp; U455 &amp;"" LIMIT 1""),)"),"")</f>
        <v/>
      </c>
      <c r="P455" s="61"/>
      <c r="Q455" s="62">
        <v>0.17965379887177646</v>
      </c>
      <c r="R455" s="63">
        <v>0.36136964737144206</v>
      </c>
      <c r="S455" s="63">
        <v>4.7840939991328546E-2</v>
      </c>
      <c r="T455" s="63">
        <v>0.98198517324073153</v>
      </c>
      <c r="U455" s="63">
        <v>0.55231635482852337</v>
      </c>
    </row>
    <row r="456" spans="1:21" ht="16.2">
      <c r="A456" s="5">
        <f t="shared" ca="1" si="3"/>
        <v>455</v>
      </c>
      <c r="B456" s="5" t="str">
        <f ca="1">IFERROR(__xludf.DUMMYFUNCTION("if(ISBLANK(C456),,QUERY(MD!A457:D1455,""Select A where C = '""&amp; C456 &amp;""'""))"),"")</f>
        <v/>
      </c>
      <c r="C456" s="5"/>
      <c r="D456" s="5" t="str">
        <f ca="1">IFERROR(__xludf.DUMMYFUNCTION("if(ISBLANK(C456),,QUERY(MD!$A$2:$D$1000,""Select D where C = '""&amp; C456 &amp;""'""))"),"")</f>
        <v/>
      </c>
      <c r="E456" s="59" t="str">
        <f ca="1">IFERROR(__xludf.DUMMYFUNCTION("if(ISBLANK(C456),,QUERY(MD!$A$2:$D$1000,""Select B where C = '""&amp; C456 &amp;""'""))"),"")</f>
        <v/>
      </c>
      <c r="F456" s="5">
        <f t="shared" ca="1" si="2"/>
        <v>0</v>
      </c>
      <c r="G456" s="32" t="str">
        <f ca="1">IFERROR(__xludf.DUMMYFUNCTION("if($F456&gt;=1,QUERY(Loot!$A$2:$G$904,""Select G where A = '""&amp; $E456 &amp;""' AND D &gt;= ""&amp; Q456  &amp;"" LIMIT 1""),)"),"")</f>
        <v/>
      </c>
      <c r="H456" s="61"/>
      <c r="I456" s="32" t="str">
        <f ca="1">IFERROR(__xludf.DUMMYFUNCTION("if($F456&gt;=2,QUERY(Loot!$A$2:$G$904,""Select G where A = '""&amp; $E456 &amp;""' AND D &gt;= ""&amp; R456 &amp;"" LIMIT 1""),)"),"")</f>
        <v/>
      </c>
      <c r="J456" s="61"/>
      <c r="K456" s="32" t="str">
        <f ca="1">IFERROR(__xludf.DUMMYFUNCTION("if($F456&gt;=3,QUERY(Loot!$A$2:$G$904,""Select G where A = '""&amp; $E456 &amp;""' AND D &gt;= ""&amp; S456  &amp;"" LIMIT 1""),)"),"")</f>
        <v/>
      </c>
      <c r="L456" s="61"/>
      <c r="M456" s="32" t="str">
        <f ca="1">IFERROR(__xludf.DUMMYFUNCTION("if($F456&gt;=4,QUERY(Loot!$A$2:$G$904,""Select G where A = '""&amp; $E456 &amp;""' AND D &gt;= ""&amp;T456 &amp;"" LIMIT 1""),)"),"")</f>
        <v/>
      </c>
      <c r="N456" s="61"/>
      <c r="O456" s="32" t="str">
        <f ca="1">IFERROR(__xludf.DUMMYFUNCTION("if($F456&gt;=5,QUERY(Loot!$A$2:$G$904,""Select G where A = '""&amp; $E456 &amp;""' AND D &gt;= ""&amp; U456 &amp;"" LIMIT 1""),)"),"")</f>
        <v/>
      </c>
      <c r="P456" s="61"/>
      <c r="Q456" s="62">
        <v>0.32943281967101457</v>
      </c>
      <c r="R456" s="63">
        <v>0.54695847431768374</v>
      </c>
      <c r="S456" s="63">
        <v>0.9748595552909598</v>
      </c>
      <c r="T456" s="63">
        <v>0.6733808332563328</v>
      </c>
      <c r="U456" s="63">
        <v>0.4201636947486812</v>
      </c>
    </row>
    <row r="457" spans="1:21" ht="16.2">
      <c r="A457" s="5">
        <f t="shared" ca="1" si="3"/>
        <v>456</v>
      </c>
      <c r="B457" s="5" t="str">
        <f ca="1">IFERROR(__xludf.DUMMYFUNCTION("if(ISBLANK(C457),,QUERY(MD!A458:D1456,""Select A where C = '""&amp; C457 &amp;""'""))"),"")</f>
        <v/>
      </c>
      <c r="C457" s="5"/>
      <c r="D457" s="5" t="str">
        <f ca="1">IFERROR(__xludf.DUMMYFUNCTION("if(ISBLANK(C457),,QUERY(MD!$A$2:$D$1000,""Select D where C = '""&amp; C457 &amp;""'""))"),"")</f>
        <v/>
      </c>
      <c r="E457" s="59" t="str">
        <f ca="1">IFERROR(__xludf.DUMMYFUNCTION("if(ISBLANK(C457),,QUERY(MD!$A$2:$D$1000,""Select B where C = '""&amp; C457 &amp;""'""))"),"")</f>
        <v/>
      </c>
      <c r="F457" s="5">
        <f t="shared" ca="1" si="2"/>
        <v>0</v>
      </c>
      <c r="G457" s="32" t="str">
        <f ca="1">IFERROR(__xludf.DUMMYFUNCTION("if($F457&gt;=1,QUERY(Loot!$A$2:$G$904,""Select G where A = '""&amp; $E457 &amp;""' AND D &gt;= ""&amp; Q457  &amp;"" LIMIT 1""),)"),"")</f>
        <v/>
      </c>
      <c r="H457" s="61"/>
      <c r="I457" s="32" t="str">
        <f ca="1">IFERROR(__xludf.DUMMYFUNCTION("if($F457&gt;=2,QUERY(Loot!$A$2:$G$904,""Select G where A = '""&amp; $E457 &amp;""' AND D &gt;= ""&amp; R457 &amp;"" LIMIT 1""),)"),"")</f>
        <v/>
      </c>
      <c r="J457" s="61"/>
      <c r="K457" s="32" t="str">
        <f ca="1">IFERROR(__xludf.DUMMYFUNCTION("if($F457&gt;=3,QUERY(Loot!$A$2:$G$904,""Select G where A = '""&amp; $E457 &amp;""' AND D &gt;= ""&amp; S457  &amp;"" LIMIT 1""),)"),"")</f>
        <v/>
      </c>
      <c r="L457" s="61"/>
      <c r="M457" s="32" t="str">
        <f ca="1">IFERROR(__xludf.DUMMYFUNCTION("if($F457&gt;=4,QUERY(Loot!$A$2:$G$904,""Select G where A = '""&amp; $E457 &amp;""' AND D &gt;= ""&amp;T457 &amp;"" LIMIT 1""),)"),"")</f>
        <v/>
      </c>
      <c r="N457" s="61"/>
      <c r="O457" s="32" t="str">
        <f ca="1">IFERROR(__xludf.DUMMYFUNCTION("if($F457&gt;=5,QUERY(Loot!$A$2:$G$904,""Select G where A = '""&amp; $E457 &amp;""' AND D &gt;= ""&amp; U457 &amp;"" LIMIT 1""),)"),"")</f>
        <v/>
      </c>
      <c r="P457" s="61"/>
      <c r="Q457" s="62">
        <v>0.20360270104247391</v>
      </c>
      <c r="R457" s="63">
        <v>0.83650397648473196</v>
      </c>
      <c r="S457" s="63">
        <v>0.42263239991360724</v>
      </c>
      <c r="T457" s="63">
        <v>0.51426328405279487</v>
      </c>
      <c r="U457" s="63">
        <v>0.63142919027881805</v>
      </c>
    </row>
    <row r="458" spans="1:21" ht="16.2">
      <c r="A458" s="5">
        <f t="shared" ca="1" si="3"/>
        <v>457</v>
      </c>
      <c r="B458" s="5" t="str">
        <f ca="1">IFERROR(__xludf.DUMMYFUNCTION("if(ISBLANK(C458),,QUERY(MD!A459:D1457,""Select A where C = '""&amp; C458 &amp;""'""))"),"")</f>
        <v/>
      </c>
      <c r="C458" s="5"/>
      <c r="D458" s="5" t="str">
        <f ca="1">IFERROR(__xludf.DUMMYFUNCTION("if(ISBLANK(C458),,QUERY(MD!$A$2:$D$1000,""Select D where C = '""&amp; C458 &amp;""'""))"),"")</f>
        <v/>
      </c>
      <c r="E458" s="59" t="str">
        <f ca="1">IFERROR(__xludf.DUMMYFUNCTION("if(ISBLANK(C458),,QUERY(MD!$A$2:$D$1000,""Select B where C = '""&amp; C458 &amp;""'""))"),"")</f>
        <v/>
      </c>
      <c r="F458" s="5">
        <f t="shared" ca="1" si="2"/>
        <v>0</v>
      </c>
      <c r="G458" s="32" t="str">
        <f ca="1">IFERROR(__xludf.DUMMYFUNCTION("if($F458&gt;=1,QUERY(Loot!$A$2:$G$904,""Select G where A = '""&amp; $E458 &amp;""' AND D &gt;= ""&amp; Q458  &amp;"" LIMIT 1""),)"),"")</f>
        <v/>
      </c>
      <c r="H458" s="61"/>
      <c r="I458" s="32" t="str">
        <f ca="1">IFERROR(__xludf.DUMMYFUNCTION("if($F458&gt;=2,QUERY(Loot!$A$2:$G$904,""Select G where A = '""&amp; $E458 &amp;""' AND D &gt;= ""&amp; R458 &amp;"" LIMIT 1""),)"),"")</f>
        <v/>
      </c>
      <c r="J458" s="61"/>
      <c r="K458" s="32" t="str">
        <f ca="1">IFERROR(__xludf.DUMMYFUNCTION("if($F458&gt;=3,QUERY(Loot!$A$2:$G$904,""Select G where A = '""&amp; $E458 &amp;""' AND D &gt;= ""&amp; S458  &amp;"" LIMIT 1""),)"),"")</f>
        <v/>
      </c>
      <c r="L458" s="61"/>
      <c r="M458" s="32" t="str">
        <f ca="1">IFERROR(__xludf.DUMMYFUNCTION("if($F458&gt;=4,QUERY(Loot!$A$2:$G$904,""Select G where A = '""&amp; $E458 &amp;""' AND D &gt;= ""&amp;T458 &amp;"" LIMIT 1""),)"),"")</f>
        <v/>
      </c>
      <c r="N458" s="61"/>
      <c r="O458" s="32" t="str">
        <f ca="1">IFERROR(__xludf.DUMMYFUNCTION("if($F458&gt;=5,QUERY(Loot!$A$2:$G$904,""Select G where A = '""&amp; $E458 &amp;""' AND D &gt;= ""&amp; U458 &amp;"" LIMIT 1""),)"),"")</f>
        <v/>
      </c>
      <c r="P458" s="61"/>
      <c r="Q458" s="62">
        <v>0.96517159377183837</v>
      </c>
      <c r="R458" s="63">
        <v>0.24796000838745669</v>
      </c>
      <c r="S458" s="63">
        <v>0.29155203463281676</v>
      </c>
      <c r="T458" s="63">
        <v>0.38479823712428918</v>
      </c>
      <c r="U458" s="63">
        <v>0.88345810374900613</v>
      </c>
    </row>
    <row r="459" spans="1:21" ht="16.2">
      <c r="A459" s="5">
        <f t="shared" ca="1" si="3"/>
        <v>458</v>
      </c>
      <c r="B459" s="5" t="str">
        <f ca="1">IFERROR(__xludf.DUMMYFUNCTION("if(ISBLANK(C459),,QUERY(MD!A460:D1458,""Select A where C = '""&amp; C459 &amp;""'""))"),"")</f>
        <v/>
      </c>
      <c r="C459" s="5"/>
      <c r="D459" s="5" t="str">
        <f ca="1">IFERROR(__xludf.DUMMYFUNCTION("if(ISBLANK(C459),,QUERY(MD!$A$2:$D$1000,""Select D where C = '""&amp; C459 &amp;""'""))"),"")</f>
        <v/>
      </c>
      <c r="E459" s="59" t="str">
        <f ca="1">IFERROR(__xludf.DUMMYFUNCTION("if(ISBLANK(C459),,QUERY(MD!$A$2:$D$1000,""Select B where C = '""&amp; C459 &amp;""'""))"),"")</f>
        <v/>
      </c>
      <c r="F459" s="5">
        <f t="shared" ca="1" si="2"/>
        <v>0</v>
      </c>
      <c r="G459" s="32" t="str">
        <f ca="1">IFERROR(__xludf.DUMMYFUNCTION("if($F459&gt;=1,QUERY(Loot!$A$2:$G$904,""Select G where A = '""&amp; $E459 &amp;""' AND D &gt;= ""&amp; Q459  &amp;"" LIMIT 1""),)"),"")</f>
        <v/>
      </c>
      <c r="H459" s="61"/>
      <c r="I459" s="32" t="str">
        <f ca="1">IFERROR(__xludf.DUMMYFUNCTION("if($F459&gt;=2,QUERY(Loot!$A$2:$G$904,""Select G where A = '""&amp; $E459 &amp;""' AND D &gt;= ""&amp; R459 &amp;"" LIMIT 1""),)"),"")</f>
        <v/>
      </c>
      <c r="J459" s="61"/>
      <c r="K459" s="32" t="str">
        <f ca="1">IFERROR(__xludf.DUMMYFUNCTION("if($F459&gt;=3,QUERY(Loot!$A$2:$G$904,""Select G where A = '""&amp; $E459 &amp;""' AND D &gt;= ""&amp; S459  &amp;"" LIMIT 1""),)"),"")</f>
        <v/>
      </c>
      <c r="L459" s="61"/>
      <c r="M459" s="32" t="str">
        <f ca="1">IFERROR(__xludf.DUMMYFUNCTION("if($F459&gt;=4,QUERY(Loot!$A$2:$G$904,""Select G where A = '""&amp; $E459 &amp;""' AND D &gt;= ""&amp;T459 &amp;"" LIMIT 1""),)"),"")</f>
        <v/>
      </c>
      <c r="N459" s="61"/>
      <c r="O459" s="32" t="str">
        <f ca="1">IFERROR(__xludf.DUMMYFUNCTION("if($F459&gt;=5,QUERY(Loot!$A$2:$G$904,""Select G where A = '""&amp; $E459 &amp;""' AND D &gt;= ""&amp; U459 &amp;"" LIMIT 1""),)"),"")</f>
        <v/>
      </c>
      <c r="P459" s="61"/>
      <c r="Q459" s="62">
        <v>0.35095942649012635</v>
      </c>
      <c r="R459" s="63">
        <v>5.0922329206115835E-2</v>
      </c>
      <c r="S459" s="63">
        <v>0.81909913659889344</v>
      </c>
      <c r="T459" s="63">
        <v>0.1903612509757564</v>
      </c>
      <c r="U459" s="63">
        <v>0.61309993609159408</v>
      </c>
    </row>
    <row r="460" spans="1:21" ht="16.2">
      <c r="A460" s="5">
        <f t="shared" ca="1" si="3"/>
        <v>459</v>
      </c>
      <c r="B460" s="5" t="str">
        <f ca="1">IFERROR(__xludf.DUMMYFUNCTION("if(ISBLANK(C460),,QUERY(MD!A461:D1459,""Select A where C = '""&amp; C460 &amp;""'""))"),"")</f>
        <v/>
      </c>
      <c r="C460" s="5"/>
      <c r="D460" s="5" t="str">
        <f ca="1">IFERROR(__xludf.DUMMYFUNCTION("if(ISBLANK(C460),,QUERY(MD!$A$2:$D$1000,""Select D where C = '""&amp; C460 &amp;""'""))"),"")</f>
        <v/>
      </c>
      <c r="E460" s="59" t="str">
        <f ca="1">IFERROR(__xludf.DUMMYFUNCTION("if(ISBLANK(C460),,QUERY(MD!$A$2:$D$1000,""Select B where C = '""&amp; C460 &amp;""'""))"),"")</f>
        <v/>
      </c>
      <c r="F460" s="5">
        <f t="shared" ca="1" si="2"/>
        <v>0</v>
      </c>
      <c r="G460" s="32" t="str">
        <f ca="1">IFERROR(__xludf.DUMMYFUNCTION("if($F460&gt;=1,QUERY(Loot!$A$2:$G$904,""Select G where A = '""&amp; $E460 &amp;""' AND D &gt;= ""&amp; Q460  &amp;"" LIMIT 1""),)"),"")</f>
        <v/>
      </c>
      <c r="H460" s="61"/>
      <c r="I460" s="32" t="str">
        <f ca="1">IFERROR(__xludf.DUMMYFUNCTION("if($F460&gt;=2,QUERY(Loot!$A$2:$G$904,""Select G where A = '""&amp; $E460 &amp;""' AND D &gt;= ""&amp; R460 &amp;"" LIMIT 1""),)"),"")</f>
        <v/>
      </c>
      <c r="J460" s="61"/>
      <c r="K460" s="32" t="str">
        <f ca="1">IFERROR(__xludf.DUMMYFUNCTION("if($F460&gt;=3,QUERY(Loot!$A$2:$G$904,""Select G where A = '""&amp; $E460 &amp;""' AND D &gt;= ""&amp; S460  &amp;"" LIMIT 1""),)"),"")</f>
        <v/>
      </c>
      <c r="L460" s="61"/>
      <c r="M460" s="32" t="str">
        <f ca="1">IFERROR(__xludf.DUMMYFUNCTION("if($F460&gt;=4,QUERY(Loot!$A$2:$G$904,""Select G where A = '""&amp; $E460 &amp;""' AND D &gt;= ""&amp;T460 &amp;"" LIMIT 1""),)"),"")</f>
        <v/>
      </c>
      <c r="N460" s="61"/>
      <c r="O460" s="32" t="str">
        <f ca="1">IFERROR(__xludf.DUMMYFUNCTION("if($F460&gt;=5,QUERY(Loot!$A$2:$G$904,""Select G where A = '""&amp; $E460 &amp;""' AND D &gt;= ""&amp; U460 &amp;"" LIMIT 1""),)"),"")</f>
        <v/>
      </c>
      <c r="P460" s="61"/>
      <c r="Q460" s="62">
        <v>0.1317319698743078</v>
      </c>
      <c r="R460" s="63">
        <v>0.7923613027284353</v>
      </c>
      <c r="S460" s="63">
        <v>0.54228729175205337</v>
      </c>
      <c r="T460" s="63">
        <v>0.66531672561269739</v>
      </c>
      <c r="U460" s="63">
        <v>0.56533194224008532</v>
      </c>
    </row>
    <row r="461" spans="1:21" ht="16.2">
      <c r="A461" s="5">
        <f t="shared" ca="1" si="3"/>
        <v>460</v>
      </c>
      <c r="B461" s="5" t="str">
        <f ca="1">IFERROR(__xludf.DUMMYFUNCTION("if(ISBLANK(C461),,QUERY(MD!A462:D1460,""Select A where C = '""&amp; C461 &amp;""'""))"),"")</f>
        <v/>
      </c>
      <c r="C461" s="5"/>
      <c r="D461" s="5" t="str">
        <f ca="1">IFERROR(__xludf.DUMMYFUNCTION("if(ISBLANK(C461),,QUERY(MD!$A$2:$D$1000,""Select D where C = '""&amp; C461 &amp;""'""))"),"")</f>
        <v/>
      </c>
      <c r="E461" s="59" t="str">
        <f ca="1">IFERROR(__xludf.DUMMYFUNCTION("if(ISBLANK(C461),,QUERY(MD!$A$2:$D$1000,""Select B where C = '""&amp; C461 &amp;""'""))"),"")</f>
        <v/>
      </c>
      <c r="F461" s="5">
        <f t="shared" ca="1" si="2"/>
        <v>0</v>
      </c>
      <c r="G461" s="32" t="str">
        <f ca="1">IFERROR(__xludf.DUMMYFUNCTION("if($F461&gt;=1,QUERY(Loot!$A$2:$G$904,""Select G where A = '""&amp; $E461 &amp;""' AND D &gt;= ""&amp; Q461  &amp;"" LIMIT 1""),)"),"")</f>
        <v/>
      </c>
      <c r="H461" s="61"/>
      <c r="I461" s="32" t="str">
        <f ca="1">IFERROR(__xludf.DUMMYFUNCTION("if($F461&gt;=2,QUERY(Loot!$A$2:$G$904,""Select G where A = '""&amp; $E461 &amp;""' AND D &gt;= ""&amp; R461 &amp;"" LIMIT 1""),)"),"")</f>
        <v/>
      </c>
      <c r="J461" s="61"/>
      <c r="K461" s="32" t="str">
        <f ca="1">IFERROR(__xludf.DUMMYFUNCTION("if($F461&gt;=3,QUERY(Loot!$A$2:$G$904,""Select G where A = '""&amp; $E461 &amp;""' AND D &gt;= ""&amp; S461  &amp;"" LIMIT 1""),)"),"")</f>
        <v/>
      </c>
      <c r="L461" s="61"/>
      <c r="M461" s="32" t="str">
        <f ca="1">IFERROR(__xludf.DUMMYFUNCTION("if($F461&gt;=4,QUERY(Loot!$A$2:$G$904,""Select G where A = '""&amp; $E461 &amp;""' AND D &gt;= ""&amp;T461 &amp;"" LIMIT 1""),)"),"")</f>
        <v/>
      </c>
      <c r="N461" s="61"/>
      <c r="O461" s="32" t="str">
        <f ca="1">IFERROR(__xludf.DUMMYFUNCTION("if($F461&gt;=5,QUERY(Loot!$A$2:$G$904,""Select G where A = '""&amp; $E461 &amp;""' AND D &gt;= ""&amp; U461 &amp;"" LIMIT 1""),)"),"")</f>
        <v/>
      </c>
      <c r="P461" s="61"/>
      <c r="Q461" s="62">
        <v>0.67400282454467353</v>
      </c>
      <c r="R461" s="63">
        <v>0.15546643521897241</v>
      </c>
      <c r="S461" s="63">
        <v>0.51268098759998815</v>
      </c>
      <c r="T461" s="63">
        <v>8.2722997992795699E-3</v>
      </c>
      <c r="U461" s="63">
        <v>2.5981464989378256E-2</v>
      </c>
    </row>
    <row r="462" spans="1:21" ht="16.2">
      <c r="A462" s="5">
        <f t="shared" ca="1" si="3"/>
        <v>461</v>
      </c>
      <c r="B462" s="5" t="str">
        <f ca="1">IFERROR(__xludf.DUMMYFUNCTION("if(ISBLANK(C462),,QUERY(MD!A463:D1461,""Select A where C = '""&amp; C462 &amp;""'""))"),"")</f>
        <v/>
      </c>
      <c r="C462" s="5"/>
      <c r="D462" s="5" t="str">
        <f ca="1">IFERROR(__xludf.DUMMYFUNCTION("if(ISBLANK(C462),,QUERY(MD!$A$2:$D$1000,""Select D where C = '""&amp; C462 &amp;""'""))"),"")</f>
        <v/>
      </c>
      <c r="E462" s="59" t="str">
        <f ca="1">IFERROR(__xludf.DUMMYFUNCTION("if(ISBLANK(C462),,QUERY(MD!$A$2:$D$1000,""Select B where C = '""&amp; C462 &amp;""'""))"),"")</f>
        <v/>
      </c>
      <c r="F462" s="5">
        <f t="shared" ca="1" si="2"/>
        <v>0</v>
      </c>
      <c r="G462" s="32" t="str">
        <f ca="1">IFERROR(__xludf.DUMMYFUNCTION("if($F462&gt;=1,QUERY(Loot!$A$2:$G$904,""Select G where A = '""&amp; $E462 &amp;""' AND D &gt;= ""&amp; Q462  &amp;"" LIMIT 1""),)"),"")</f>
        <v/>
      </c>
      <c r="H462" s="61"/>
      <c r="I462" s="32" t="str">
        <f ca="1">IFERROR(__xludf.DUMMYFUNCTION("if($F462&gt;=2,QUERY(Loot!$A$2:$G$904,""Select G where A = '""&amp; $E462 &amp;""' AND D &gt;= ""&amp; R462 &amp;"" LIMIT 1""),)"),"")</f>
        <v/>
      </c>
      <c r="J462" s="61"/>
      <c r="K462" s="32" t="str">
        <f ca="1">IFERROR(__xludf.DUMMYFUNCTION("if($F462&gt;=3,QUERY(Loot!$A$2:$G$904,""Select G where A = '""&amp; $E462 &amp;""' AND D &gt;= ""&amp; S462  &amp;"" LIMIT 1""),)"),"")</f>
        <v/>
      </c>
      <c r="L462" s="61"/>
      <c r="M462" s="32" t="str">
        <f ca="1">IFERROR(__xludf.DUMMYFUNCTION("if($F462&gt;=4,QUERY(Loot!$A$2:$G$904,""Select G where A = '""&amp; $E462 &amp;""' AND D &gt;= ""&amp;T462 &amp;"" LIMIT 1""),)"),"")</f>
        <v/>
      </c>
      <c r="N462" s="61"/>
      <c r="O462" s="32" t="str">
        <f ca="1">IFERROR(__xludf.DUMMYFUNCTION("if($F462&gt;=5,QUERY(Loot!$A$2:$G$904,""Select G where A = '""&amp; $E462 &amp;""' AND D &gt;= ""&amp; U462 &amp;"" LIMIT 1""),)"),"")</f>
        <v/>
      </c>
      <c r="P462" s="61"/>
      <c r="Q462" s="62">
        <v>0.26071594738129167</v>
      </c>
      <c r="R462" s="63">
        <v>0.16583822803667614</v>
      </c>
      <c r="S462" s="63">
        <v>0.71283191739123375</v>
      </c>
      <c r="T462" s="63">
        <v>0.75227683507471255</v>
      </c>
      <c r="U462" s="63">
        <v>0.66121655283895386</v>
      </c>
    </row>
    <row r="463" spans="1:21" ht="16.2">
      <c r="A463" s="5">
        <f t="shared" ca="1" si="3"/>
        <v>462</v>
      </c>
      <c r="B463" s="5" t="str">
        <f ca="1">IFERROR(__xludf.DUMMYFUNCTION("if(ISBLANK(C463),,QUERY(MD!A464:D1462,""Select A where C = '""&amp; C463 &amp;""'""))"),"")</f>
        <v/>
      </c>
      <c r="C463" s="5"/>
      <c r="D463" s="5" t="str">
        <f ca="1">IFERROR(__xludf.DUMMYFUNCTION("if(ISBLANK(C463),,QUERY(MD!$A$2:$D$1000,""Select D where C = '""&amp; C463 &amp;""'""))"),"")</f>
        <v/>
      </c>
      <c r="E463" s="59" t="str">
        <f ca="1">IFERROR(__xludf.DUMMYFUNCTION("if(ISBLANK(C463),,QUERY(MD!$A$2:$D$1000,""Select B where C = '""&amp; C463 &amp;""'""))"),"")</f>
        <v/>
      </c>
      <c r="F463" s="5">
        <f t="shared" ca="1" si="2"/>
        <v>0</v>
      </c>
      <c r="G463" s="32" t="str">
        <f ca="1">IFERROR(__xludf.DUMMYFUNCTION("if($F463&gt;=1,QUERY(Loot!$A$2:$G$904,""Select G where A = '""&amp; $E463 &amp;""' AND D &gt;= ""&amp; Q463  &amp;"" LIMIT 1""),)"),"")</f>
        <v/>
      </c>
      <c r="H463" s="61"/>
      <c r="I463" s="32" t="str">
        <f ca="1">IFERROR(__xludf.DUMMYFUNCTION("if($F463&gt;=2,QUERY(Loot!$A$2:$G$904,""Select G where A = '""&amp; $E463 &amp;""' AND D &gt;= ""&amp; R463 &amp;"" LIMIT 1""),)"),"")</f>
        <v/>
      </c>
      <c r="J463" s="61"/>
      <c r="K463" s="32" t="str">
        <f ca="1">IFERROR(__xludf.DUMMYFUNCTION("if($F463&gt;=3,QUERY(Loot!$A$2:$G$904,""Select G where A = '""&amp; $E463 &amp;""' AND D &gt;= ""&amp; S463  &amp;"" LIMIT 1""),)"),"")</f>
        <v/>
      </c>
      <c r="L463" s="61"/>
      <c r="M463" s="32" t="str">
        <f ca="1">IFERROR(__xludf.DUMMYFUNCTION("if($F463&gt;=4,QUERY(Loot!$A$2:$G$904,""Select G where A = '""&amp; $E463 &amp;""' AND D &gt;= ""&amp;T463 &amp;"" LIMIT 1""),)"),"")</f>
        <v/>
      </c>
      <c r="N463" s="61"/>
      <c r="O463" s="32" t="str">
        <f ca="1">IFERROR(__xludf.DUMMYFUNCTION("if($F463&gt;=5,QUERY(Loot!$A$2:$G$904,""Select G where A = '""&amp; $E463 &amp;""' AND D &gt;= ""&amp; U463 &amp;"" LIMIT 1""),)"),"")</f>
        <v/>
      </c>
      <c r="P463" s="61"/>
      <c r="Q463" s="62">
        <v>0.80219449468534865</v>
      </c>
      <c r="R463" s="63">
        <v>0.27586961726502612</v>
      </c>
      <c r="S463" s="63">
        <v>0.47454712449268077</v>
      </c>
      <c r="T463" s="63">
        <v>4.4943409228508702E-2</v>
      </c>
      <c r="U463" s="63">
        <v>8.2369378848441199E-2</v>
      </c>
    </row>
    <row r="464" spans="1:21" ht="16.2">
      <c r="A464" s="5">
        <f t="shared" ca="1" si="3"/>
        <v>463</v>
      </c>
      <c r="B464" s="5" t="str">
        <f ca="1">IFERROR(__xludf.DUMMYFUNCTION("if(ISBLANK(C464),,QUERY(MD!A465:D1463,""Select A where C = '""&amp; C464 &amp;""'""))"),"")</f>
        <v/>
      </c>
      <c r="C464" s="5"/>
      <c r="D464" s="5" t="str">
        <f ca="1">IFERROR(__xludf.DUMMYFUNCTION("if(ISBLANK(C464),,QUERY(MD!$A$2:$D$1000,""Select D where C = '""&amp; C464 &amp;""'""))"),"")</f>
        <v/>
      </c>
      <c r="E464" s="59" t="str">
        <f ca="1">IFERROR(__xludf.DUMMYFUNCTION("if(ISBLANK(C464),,QUERY(MD!$A$2:$D$1000,""Select B where C = '""&amp; C464 &amp;""'""))"),"")</f>
        <v/>
      </c>
      <c r="F464" s="5">
        <f t="shared" ca="1" si="2"/>
        <v>0</v>
      </c>
      <c r="G464" s="32" t="str">
        <f ca="1">IFERROR(__xludf.DUMMYFUNCTION("if($F464&gt;=1,QUERY(Loot!$A$2:$G$904,""Select G where A = '""&amp; $E464 &amp;""' AND D &gt;= ""&amp; Q464  &amp;"" LIMIT 1""),)"),"")</f>
        <v/>
      </c>
      <c r="H464" s="61"/>
      <c r="I464" s="32" t="str">
        <f ca="1">IFERROR(__xludf.DUMMYFUNCTION("if($F464&gt;=2,QUERY(Loot!$A$2:$G$904,""Select G where A = '""&amp; $E464 &amp;""' AND D &gt;= ""&amp; R464 &amp;"" LIMIT 1""),)"),"")</f>
        <v/>
      </c>
      <c r="J464" s="61"/>
      <c r="K464" s="32" t="str">
        <f ca="1">IFERROR(__xludf.DUMMYFUNCTION("if($F464&gt;=3,QUERY(Loot!$A$2:$G$904,""Select G where A = '""&amp; $E464 &amp;""' AND D &gt;= ""&amp; S464  &amp;"" LIMIT 1""),)"),"")</f>
        <v/>
      </c>
      <c r="L464" s="61"/>
      <c r="M464" s="32" t="str">
        <f ca="1">IFERROR(__xludf.DUMMYFUNCTION("if($F464&gt;=4,QUERY(Loot!$A$2:$G$904,""Select G where A = '""&amp; $E464 &amp;""' AND D &gt;= ""&amp;T464 &amp;"" LIMIT 1""),)"),"")</f>
        <v/>
      </c>
      <c r="N464" s="61"/>
      <c r="O464" s="32" t="str">
        <f ca="1">IFERROR(__xludf.DUMMYFUNCTION("if($F464&gt;=5,QUERY(Loot!$A$2:$G$904,""Select G where A = '""&amp; $E464 &amp;""' AND D &gt;= ""&amp; U464 &amp;"" LIMIT 1""),)"),"")</f>
        <v/>
      </c>
      <c r="P464" s="61"/>
      <c r="Q464" s="62">
        <v>0.1735954292329418</v>
      </c>
      <c r="R464" s="63">
        <v>0.38496710600753747</v>
      </c>
      <c r="S464" s="63">
        <v>0.98562067298184763</v>
      </c>
      <c r="T464" s="63">
        <v>0.38122366396586072</v>
      </c>
      <c r="U464" s="63">
        <v>0.63771238660437191</v>
      </c>
    </row>
    <row r="465" spans="1:21" ht="16.2">
      <c r="A465" s="5">
        <f t="shared" ca="1" si="3"/>
        <v>464</v>
      </c>
      <c r="B465" s="5" t="str">
        <f ca="1">IFERROR(__xludf.DUMMYFUNCTION("if(ISBLANK(C465),,QUERY(MD!A466:D1464,""Select A where C = '""&amp; C465 &amp;""'""))"),"")</f>
        <v/>
      </c>
      <c r="C465" s="5"/>
      <c r="D465" s="5" t="str">
        <f ca="1">IFERROR(__xludf.DUMMYFUNCTION("if(ISBLANK(C465),,QUERY(MD!$A$2:$D$1000,""Select D where C = '""&amp; C465 &amp;""'""))"),"")</f>
        <v/>
      </c>
      <c r="E465" s="59" t="str">
        <f ca="1">IFERROR(__xludf.DUMMYFUNCTION("if(ISBLANK(C465),,QUERY(MD!$A$2:$D$1000,""Select B where C = '""&amp; C465 &amp;""'""))"),"")</f>
        <v/>
      </c>
      <c r="F465" s="5">
        <f t="shared" ca="1" si="2"/>
        <v>0</v>
      </c>
      <c r="G465" s="32" t="str">
        <f ca="1">IFERROR(__xludf.DUMMYFUNCTION("if($F465&gt;=1,QUERY(Loot!$A$2:$G$904,""Select G where A = '""&amp; $E465 &amp;""' AND D &gt;= ""&amp; Q465  &amp;"" LIMIT 1""),)"),"")</f>
        <v/>
      </c>
      <c r="H465" s="61"/>
      <c r="I465" s="32" t="str">
        <f ca="1">IFERROR(__xludf.DUMMYFUNCTION("if($F465&gt;=2,QUERY(Loot!$A$2:$G$904,""Select G where A = '""&amp; $E465 &amp;""' AND D &gt;= ""&amp; R465 &amp;"" LIMIT 1""),)"),"")</f>
        <v/>
      </c>
      <c r="J465" s="61"/>
      <c r="K465" s="32" t="str">
        <f ca="1">IFERROR(__xludf.DUMMYFUNCTION("if($F465&gt;=3,QUERY(Loot!$A$2:$G$904,""Select G where A = '""&amp; $E465 &amp;""' AND D &gt;= ""&amp; S465  &amp;"" LIMIT 1""),)"),"")</f>
        <v/>
      </c>
      <c r="L465" s="61"/>
      <c r="M465" s="32" t="str">
        <f ca="1">IFERROR(__xludf.DUMMYFUNCTION("if($F465&gt;=4,QUERY(Loot!$A$2:$G$904,""Select G where A = '""&amp; $E465 &amp;""' AND D &gt;= ""&amp;T465 &amp;"" LIMIT 1""),)"),"")</f>
        <v/>
      </c>
      <c r="N465" s="61"/>
      <c r="O465" s="32" t="str">
        <f ca="1">IFERROR(__xludf.DUMMYFUNCTION("if($F465&gt;=5,QUERY(Loot!$A$2:$G$904,""Select G where A = '""&amp; $E465 &amp;""' AND D &gt;= ""&amp; U465 &amp;"" LIMIT 1""),)"),"")</f>
        <v/>
      </c>
      <c r="P465" s="61"/>
      <c r="Q465" s="62">
        <v>0.85166885151720928</v>
      </c>
      <c r="R465" s="63">
        <v>0.62954403675825643</v>
      </c>
      <c r="S465" s="63">
        <v>0.85780850465502867</v>
      </c>
      <c r="T465" s="63">
        <v>0.25748089469282431</v>
      </c>
      <c r="U465" s="63">
        <v>0.60787006512741637</v>
      </c>
    </row>
    <row r="466" spans="1:21" ht="16.2">
      <c r="A466" s="5">
        <f t="shared" ca="1" si="3"/>
        <v>465</v>
      </c>
      <c r="B466" s="5" t="str">
        <f ca="1">IFERROR(__xludf.DUMMYFUNCTION("if(ISBLANK(C466),,QUERY(MD!A467:D1465,""Select A where C = '""&amp; C466 &amp;""'""))"),"")</f>
        <v/>
      </c>
      <c r="C466" s="5"/>
      <c r="D466" s="5" t="str">
        <f ca="1">IFERROR(__xludf.DUMMYFUNCTION("if(ISBLANK(C466),,QUERY(MD!$A$2:$D$1000,""Select D where C = '""&amp; C466 &amp;""'""))"),"")</f>
        <v/>
      </c>
      <c r="E466" s="59" t="str">
        <f ca="1">IFERROR(__xludf.DUMMYFUNCTION("if(ISBLANK(C466),,QUERY(MD!$A$2:$D$1000,""Select B where C = '""&amp; C466 &amp;""'""))"),"")</f>
        <v/>
      </c>
      <c r="F466" s="5">
        <f t="shared" ca="1" si="2"/>
        <v>0</v>
      </c>
      <c r="G466" s="32" t="str">
        <f ca="1">IFERROR(__xludf.DUMMYFUNCTION("if($F466&gt;=1,QUERY(Loot!$A$2:$G$904,""Select G where A = '""&amp; $E466 &amp;""' AND D &gt;= ""&amp; Q466  &amp;"" LIMIT 1""),)"),"")</f>
        <v/>
      </c>
      <c r="H466" s="61"/>
      <c r="I466" s="32" t="str">
        <f ca="1">IFERROR(__xludf.DUMMYFUNCTION("if($F466&gt;=2,QUERY(Loot!$A$2:$G$904,""Select G where A = '""&amp; $E466 &amp;""' AND D &gt;= ""&amp; R466 &amp;"" LIMIT 1""),)"),"")</f>
        <v/>
      </c>
      <c r="J466" s="61"/>
      <c r="K466" s="32" t="str">
        <f ca="1">IFERROR(__xludf.DUMMYFUNCTION("if($F466&gt;=3,QUERY(Loot!$A$2:$G$904,""Select G where A = '""&amp; $E466 &amp;""' AND D &gt;= ""&amp; S466  &amp;"" LIMIT 1""),)"),"")</f>
        <v/>
      </c>
      <c r="L466" s="61"/>
      <c r="M466" s="32" t="str">
        <f ca="1">IFERROR(__xludf.DUMMYFUNCTION("if($F466&gt;=4,QUERY(Loot!$A$2:$G$904,""Select G where A = '""&amp; $E466 &amp;""' AND D &gt;= ""&amp;T466 &amp;"" LIMIT 1""),)"),"")</f>
        <v/>
      </c>
      <c r="N466" s="61"/>
      <c r="O466" s="32" t="str">
        <f ca="1">IFERROR(__xludf.DUMMYFUNCTION("if($F466&gt;=5,QUERY(Loot!$A$2:$G$904,""Select G where A = '""&amp; $E466 &amp;""' AND D &gt;= ""&amp; U466 &amp;"" LIMIT 1""),)"),"")</f>
        <v/>
      </c>
      <c r="P466" s="61"/>
      <c r="Q466" s="62">
        <v>0.91034335226746188</v>
      </c>
      <c r="R466" s="63">
        <v>0.48487211054387858</v>
      </c>
      <c r="S466" s="63">
        <v>0.80260933866596029</v>
      </c>
      <c r="T466" s="63">
        <v>0.44268965634037249</v>
      </c>
      <c r="U466" s="63">
        <v>0.75973284840900179</v>
      </c>
    </row>
    <row r="467" spans="1:21" ht="16.2">
      <c r="A467" s="5">
        <f t="shared" ca="1" si="3"/>
        <v>466</v>
      </c>
      <c r="B467" s="5" t="str">
        <f ca="1">IFERROR(__xludf.DUMMYFUNCTION("if(ISBLANK(C467),,QUERY(MD!A468:D1466,""Select A where C = '""&amp; C467 &amp;""'""))"),"")</f>
        <v/>
      </c>
      <c r="C467" s="5"/>
      <c r="D467" s="5" t="str">
        <f ca="1">IFERROR(__xludf.DUMMYFUNCTION("if(ISBLANK(C467),,QUERY(MD!$A$2:$D$1000,""Select D where C = '""&amp; C467 &amp;""'""))"),"")</f>
        <v/>
      </c>
      <c r="E467" s="59" t="str">
        <f ca="1">IFERROR(__xludf.DUMMYFUNCTION("if(ISBLANK(C467),,QUERY(MD!$A$2:$D$1000,""Select B where C = '""&amp; C467 &amp;""'""))"),"")</f>
        <v/>
      </c>
      <c r="F467" s="5">
        <f t="shared" ca="1" si="2"/>
        <v>0</v>
      </c>
      <c r="G467" s="32" t="str">
        <f ca="1">IFERROR(__xludf.DUMMYFUNCTION("if($F467&gt;=1,QUERY(Loot!$A$2:$G$904,""Select G where A = '""&amp; $E467 &amp;""' AND D &gt;= ""&amp; Q467  &amp;"" LIMIT 1""),)"),"")</f>
        <v/>
      </c>
      <c r="H467" s="61"/>
      <c r="I467" s="32" t="str">
        <f ca="1">IFERROR(__xludf.DUMMYFUNCTION("if($F467&gt;=2,QUERY(Loot!$A$2:$G$904,""Select G where A = '""&amp; $E467 &amp;""' AND D &gt;= ""&amp; R467 &amp;"" LIMIT 1""),)"),"")</f>
        <v/>
      </c>
      <c r="J467" s="61"/>
      <c r="K467" s="32" t="str">
        <f ca="1">IFERROR(__xludf.DUMMYFUNCTION("if($F467&gt;=3,QUERY(Loot!$A$2:$G$904,""Select G where A = '""&amp; $E467 &amp;""' AND D &gt;= ""&amp; S467  &amp;"" LIMIT 1""),)"),"")</f>
        <v/>
      </c>
      <c r="L467" s="61"/>
      <c r="M467" s="32" t="str">
        <f ca="1">IFERROR(__xludf.DUMMYFUNCTION("if($F467&gt;=4,QUERY(Loot!$A$2:$G$904,""Select G where A = '""&amp; $E467 &amp;""' AND D &gt;= ""&amp;T467 &amp;"" LIMIT 1""),)"),"")</f>
        <v/>
      </c>
      <c r="N467" s="61"/>
      <c r="O467" s="32" t="str">
        <f ca="1">IFERROR(__xludf.DUMMYFUNCTION("if($F467&gt;=5,QUERY(Loot!$A$2:$G$904,""Select G where A = '""&amp; $E467 &amp;""' AND D &gt;= ""&amp; U467 &amp;"" LIMIT 1""),)"),"")</f>
        <v/>
      </c>
      <c r="P467" s="61"/>
      <c r="Q467" s="62">
        <v>0.386099095453173</v>
      </c>
      <c r="R467" s="63">
        <v>0.15347587963682108</v>
      </c>
      <c r="S467" s="63">
        <v>0.92981349211199371</v>
      </c>
      <c r="T467" s="63">
        <v>0.1895241777703458</v>
      </c>
      <c r="U467" s="63">
        <v>8.8046397709100388E-2</v>
      </c>
    </row>
    <row r="468" spans="1:21" ht="16.2">
      <c r="A468" s="5">
        <f t="shared" ca="1" si="3"/>
        <v>467</v>
      </c>
      <c r="B468" s="5" t="str">
        <f ca="1">IFERROR(__xludf.DUMMYFUNCTION("if(ISBLANK(C468),,QUERY(MD!A469:D1467,""Select A where C = '""&amp; C468 &amp;""'""))"),"")</f>
        <v/>
      </c>
      <c r="C468" s="5"/>
      <c r="D468" s="5" t="str">
        <f ca="1">IFERROR(__xludf.DUMMYFUNCTION("if(ISBLANK(C468),,QUERY(MD!$A$2:$D$1000,""Select D where C = '""&amp; C468 &amp;""'""))"),"")</f>
        <v/>
      </c>
      <c r="E468" s="59" t="str">
        <f ca="1">IFERROR(__xludf.DUMMYFUNCTION("if(ISBLANK(C468),,QUERY(MD!$A$2:$D$1000,""Select B where C = '""&amp; C468 &amp;""'""))"),"")</f>
        <v/>
      </c>
      <c r="F468" s="5">
        <f t="shared" ca="1" si="2"/>
        <v>0</v>
      </c>
      <c r="G468" s="32" t="str">
        <f ca="1">IFERROR(__xludf.DUMMYFUNCTION("if($F468&gt;=1,QUERY(Loot!$A$2:$G$904,""Select G where A = '""&amp; $E468 &amp;""' AND D &gt;= ""&amp; Q468  &amp;"" LIMIT 1""),)"),"")</f>
        <v/>
      </c>
      <c r="H468" s="61"/>
      <c r="I468" s="32" t="str">
        <f ca="1">IFERROR(__xludf.DUMMYFUNCTION("if($F468&gt;=2,QUERY(Loot!$A$2:$G$904,""Select G where A = '""&amp; $E468 &amp;""' AND D &gt;= ""&amp; R468 &amp;"" LIMIT 1""),)"),"")</f>
        <v/>
      </c>
      <c r="J468" s="61"/>
      <c r="K468" s="32" t="str">
        <f ca="1">IFERROR(__xludf.DUMMYFUNCTION("if($F468&gt;=3,QUERY(Loot!$A$2:$G$904,""Select G where A = '""&amp; $E468 &amp;""' AND D &gt;= ""&amp; S468  &amp;"" LIMIT 1""),)"),"")</f>
        <v/>
      </c>
      <c r="L468" s="61"/>
      <c r="M468" s="32" t="str">
        <f ca="1">IFERROR(__xludf.DUMMYFUNCTION("if($F468&gt;=4,QUERY(Loot!$A$2:$G$904,""Select G where A = '""&amp; $E468 &amp;""' AND D &gt;= ""&amp;T468 &amp;"" LIMIT 1""),)"),"")</f>
        <v/>
      </c>
      <c r="N468" s="61"/>
      <c r="O468" s="32" t="str">
        <f ca="1">IFERROR(__xludf.DUMMYFUNCTION("if($F468&gt;=5,QUERY(Loot!$A$2:$G$904,""Select G where A = '""&amp; $E468 &amp;""' AND D &gt;= ""&amp; U468 &amp;"" LIMIT 1""),)"),"")</f>
        <v/>
      </c>
      <c r="P468" s="61"/>
      <c r="Q468" s="62">
        <v>0.8980382162433479</v>
      </c>
      <c r="R468" s="63">
        <v>0.87958819011202993</v>
      </c>
      <c r="S468" s="63">
        <v>0.30865305950091237</v>
      </c>
      <c r="T468" s="63">
        <v>0.58377920350567791</v>
      </c>
      <c r="U468" s="63">
        <v>0.10888967377138481</v>
      </c>
    </row>
    <row r="469" spans="1:21" ht="16.2">
      <c r="A469" s="5">
        <f t="shared" ca="1" si="3"/>
        <v>468</v>
      </c>
      <c r="B469" s="5" t="str">
        <f ca="1">IFERROR(__xludf.DUMMYFUNCTION("if(ISBLANK(C469),,QUERY(MD!A470:D1468,""Select A where C = '""&amp; C469 &amp;""'""))"),"")</f>
        <v/>
      </c>
      <c r="C469" s="5"/>
      <c r="D469" s="5" t="str">
        <f ca="1">IFERROR(__xludf.DUMMYFUNCTION("if(ISBLANK(C469),,QUERY(MD!$A$2:$D$1000,""Select D where C = '""&amp; C469 &amp;""'""))"),"")</f>
        <v/>
      </c>
      <c r="E469" s="59" t="str">
        <f ca="1">IFERROR(__xludf.DUMMYFUNCTION("if(ISBLANK(C469),,QUERY(MD!$A$2:$D$1000,""Select B where C = '""&amp; C469 &amp;""'""))"),"")</f>
        <v/>
      </c>
      <c r="F469" s="5">
        <f t="shared" ca="1" si="2"/>
        <v>0</v>
      </c>
      <c r="G469" s="32" t="str">
        <f ca="1">IFERROR(__xludf.DUMMYFUNCTION("if($F469&gt;=1,QUERY(Loot!$A$2:$G$904,""Select G where A = '""&amp; $E469 &amp;""' AND D &gt;= ""&amp; Q469  &amp;"" LIMIT 1""),)"),"")</f>
        <v/>
      </c>
      <c r="H469" s="61"/>
      <c r="I469" s="32" t="str">
        <f ca="1">IFERROR(__xludf.DUMMYFUNCTION("if($F469&gt;=2,QUERY(Loot!$A$2:$G$904,""Select G where A = '""&amp; $E469 &amp;""' AND D &gt;= ""&amp; R469 &amp;"" LIMIT 1""),)"),"")</f>
        <v/>
      </c>
      <c r="J469" s="61"/>
      <c r="K469" s="32" t="str">
        <f ca="1">IFERROR(__xludf.DUMMYFUNCTION("if($F469&gt;=3,QUERY(Loot!$A$2:$G$904,""Select G where A = '""&amp; $E469 &amp;""' AND D &gt;= ""&amp; S469  &amp;"" LIMIT 1""),)"),"")</f>
        <v/>
      </c>
      <c r="L469" s="61"/>
      <c r="M469" s="32" t="str">
        <f ca="1">IFERROR(__xludf.DUMMYFUNCTION("if($F469&gt;=4,QUERY(Loot!$A$2:$G$904,""Select G where A = '""&amp; $E469 &amp;""' AND D &gt;= ""&amp;T469 &amp;"" LIMIT 1""),)"),"")</f>
        <v/>
      </c>
      <c r="N469" s="61"/>
      <c r="O469" s="32" t="str">
        <f ca="1">IFERROR(__xludf.DUMMYFUNCTION("if($F469&gt;=5,QUERY(Loot!$A$2:$G$904,""Select G where A = '""&amp; $E469 &amp;""' AND D &gt;= ""&amp; U469 &amp;"" LIMIT 1""),)"),"")</f>
        <v/>
      </c>
      <c r="P469" s="61"/>
      <c r="Q469" s="62">
        <v>0.88078380055407179</v>
      </c>
      <c r="R469" s="63">
        <v>0.30869753751568363</v>
      </c>
      <c r="S469" s="63">
        <v>0.42649888375434319</v>
      </c>
      <c r="T469" s="63">
        <v>4.9271160230813349E-2</v>
      </c>
      <c r="U469" s="63">
        <v>0.51018151727792649</v>
      </c>
    </row>
    <row r="470" spans="1:21" ht="16.2">
      <c r="A470" s="5">
        <f t="shared" ca="1" si="3"/>
        <v>469</v>
      </c>
      <c r="B470" s="5" t="str">
        <f ca="1">IFERROR(__xludf.DUMMYFUNCTION("if(ISBLANK(C470),,QUERY(MD!A471:D1469,""Select A where C = '""&amp; C470 &amp;""'""))"),"")</f>
        <v/>
      </c>
      <c r="C470" s="5"/>
      <c r="D470" s="5" t="str">
        <f ca="1">IFERROR(__xludf.DUMMYFUNCTION("if(ISBLANK(C470),,QUERY(MD!$A$2:$D$1000,""Select D where C = '""&amp; C470 &amp;""'""))"),"")</f>
        <v/>
      </c>
      <c r="E470" s="59" t="str">
        <f ca="1">IFERROR(__xludf.DUMMYFUNCTION("if(ISBLANK(C470),,QUERY(MD!$A$2:$D$1000,""Select B where C = '""&amp; C470 &amp;""'""))"),"")</f>
        <v/>
      </c>
      <c r="F470" s="5">
        <f t="shared" ca="1" si="2"/>
        <v>0</v>
      </c>
      <c r="G470" s="32" t="str">
        <f ca="1">IFERROR(__xludf.DUMMYFUNCTION("if($F470&gt;=1,QUERY(Loot!$A$2:$G$904,""Select G where A = '""&amp; $E470 &amp;""' AND D &gt;= ""&amp; Q470  &amp;"" LIMIT 1""),)"),"")</f>
        <v/>
      </c>
      <c r="H470" s="61"/>
      <c r="I470" s="32" t="str">
        <f ca="1">IFERROR(__xludf.DUMMYFUNCTION("if($F470&gt;=2,QUERY(Loot!$A$2:$G$904,""Select G where A = '""&amp; $E470 &amp;""' AND D &gt;= ""&amp; R470 &amp;"" LIMIT 1""),)"),"")</f>
        <v/>
      </c>
      <c r="J470" s="61"/>
      <c r="K470" s="32" t="str">
        <f ca="1">IFERROR(__xludf.DUMMYFUNCTION("if($F470&gt;=3,QUERY(Loot!$A$2:$G$904,""Select G where A = '""&amp; $E470 &amp;""' AND D &gt;= ""&amp; S470  &amp;"" LIMIT 1""),)"),"")</f>
        <v/>
      </c>
      <c r="L470" s="61"/>
      <c r="M470" s="32" t="str">
        <f ca="1">IFERROR(__xludf.DUMMYFUNCTION("if($F470&gt;=4,QUERY(Loot!$A$2:$G$904,""Select G where A = '""&amp; $E470 &amp;""' AND D &gt;= ""&amp;T470 &amp;"" LIMIT 1""),)"),"")</f>
        <v/>
      </c>
      <c r="N470" s="61"/>
      <c r="O470" s="32" t="str">
        <f ca="1">IFERROR(__xludf.DUMMYFUNCTION("if($F470&gt;=5,QUERY(Loot!$A$2:$G$904,""Select G where A = '""&amp; $E470 &amp;""' AND D &gt;= ""&amp; U470 &amp;"" LIMIT 1""),)"),"")</f>
        <v/>
      </c>
      <c r="P470" s="61"/>
      <c r="Q470" s="62">
        <v>0.20234211296802063</v>
      </c>
      <c r="R470" s="63">
        <v>0.42399431428994594</v>
      </c>
      <c r="S470" s="63">
        <v>7.3450669602130092E-2</v>
      </c>
      <c r="T470" s="63">
        <v>0.53130560061007781</v>
      </c>
      <c r="U470" s="63">
        <v>0.63146866947800795</v>
      </c>
    </row>
    <row r="471" spans="1:21" ht="16.2">
      <c r="A471" s="5">
        <f t="shared" ca="1" si="3"/>
        <v>470</v>
      </c>
      <c r="B471" s="5" t="str">
        <f ca="1">IFERROR(__xludf.DUMMYFUNCTION("if(ISBLANK(C471),,QUERY(MD!A472:D1470,""Select A where C = '""&amp; C471 &amp;""'""))"),"")</f>
        <v/>
      </c>
      <c r="C471" s="5"/>
      <c r="D471" s="5" t="str">
        <f ca="1">IFERROR(__xludf.DUMMYFUNCTION("if(ISBLANK(C471),,QUERY(MD!$A$2:$D$1000,""Select D where C = '""&amp; C471 &amp;""'""))"),"")</f>
        <v/>
      </c>
      <c r="E471" s="59" t="str">
        <f ca="1">IFERROR(__xludf.DUMMYFUNCTION("if(ISBLANK(C471),,QUERY(MD!$A$2:$D$1000,""Select B where C = '""&amp; C471 &amp;""'""))"),"")</f>
        <v/>
      </c>
      <c r="F471" s="5">
        <f t="shared" ca="1" si="2"/>
        <v>0</v>
      </c>
      <c r="G471" s="32" t="str">
        <f ca="1">IFERROR(__xludf.DUMMYFUNCTION("if($F471&gt;=1,QUERY(Loot!$A$2:$G$904,""Select G where A = '""&amp; $E471 &amp;""' AND D &gt;= ""&amp; Q471  &amp;"" LIMIT 1""),)"),"")</f>
        <v/>
      </c>
      <c r="H471" s="61"/>
      <c r="I471" s="32" t="str">
        <f ca="1">IFERROR(__xludf.DUMMYFUNCTION("if($F471&gt;=2,QUERY(Loot!$A$2:$G$904,""Select G where A = '""&amp; $E471 &amp;""' AND D &gt;= ""&amp; R471 &amp;"" LIMIT 1""),)"),"")</f>
        <v/>
      </c>
      <c r="J471" s="61"/>
      <c r="K471" s="32" t="str">
        <f ca="1">IFERROR(__xludf.DUMMYFUNCTION("if($F471&gt;=3,QUERY(Loot!$A$2:$G$904,""Select G where A = '""&amp; $E471 &amp;""' AND D &gt;= ""&amp; S471  &amp;"" LIMIT 1""),)"),"")</f>
        <v/>
      </c>
      <c r="L471" s="61"/>
      <c r="M471" s="32" t="str">
        <f ca="1">IFERROR(__xludf.DUMMYFUNCTION("if($F471&gt;=4,QUERY(Loot!$A$2:$G$904,""Select G where A = '""&amp; $E471 &amp;""' AND D &gt;= ""&amp;T471 &amp;"" LIMIT 1""),)"),"")</f>
        <v/>
      </c>
      <c r="N471" s="61"/>
      <c r="O471" s="32" t="str">
        <f ca="1">IFERROR(__xludf.DUMMYFUNCTION("if($F471&gt;=5,QUERY(Loot!$A$2:$G$904,""Select G where A = '""&amp; $E471 &amp;""' AND D &gt;= ""&amp; U471 &amp;"" LIMIT 1""),)"),"")</f>
        <v/>
      </c>
      <c r="P471" s="61"/>
      <c r="Q471" s="62">
        <v>0.88853706146803535</v>
      </c>
      <c r="R471" s="63">
        <v>0.78473303056908084</v>
      </c>
      <c r="S471" s="63">
        <v>0.67803319528797057</v>
      </c>
      <c r="T471" s="63">
        <v>0.37503181618116554</v>
      </c>
      <c r="U471" s="63">
        <v>0.8118796608785952</v>
      </c>
    </row>
    <row r="472" spans="1:21" ht="16.2">
      <c r="A472" s="5">
        <f t="shared" ca="1" si="3"/>
        <v>471</v>
      </c>
      <c r="B472" s="5" t="str">
        <f ca="1">IFERROR(__xludf.DUMMYFUNCTION("if(ISBLANK(C472),,QUERY(MD!A473:D1471,""Select A where C = '""&amp; C472 &amp;""'""))"),"")</f>
        <v/>
      </c>
      <c r="C472" s="5"/>
      <c r="D472" s="5" t="str">
        <f ca="1">IFERROR(__xludf.DUMMYFUNCTION("if(ISBLANK(C472),,QUERY(MD!$A$2:$D$1000,""Select D where C = '""&amp; C472 &amp;""'""))"),"")</f>
        <v/>
      </c>
      <c r="E472" s="59" t="str">
        <f ca="1">IFERROR(__xludf.DUMMYFUNCTION("if(ISBLANK(C472),,QUERY(MD!$A$2:$D$1000,""Select B where C = '""&amp; C472 &amp;""'""))"),"")</f>
        <v/>
      </c>
      <c r="F472" s="5">
        <f t="shared" ca="1" si="2"/>
        <v>0</v>
      </c>
      <c r="G472" s="32" t="str">
        <f ca="1">IFERROR(__xludf.DUMMYFUNCTION("if($F472&gt;=1,QUERY(Loot!$A$2:$G$904,""Select G where A = '""&amp; $E472 &amp;""' AND D &gt;= ""&amp; Q472  &amp;"" LIMIT 1""),)"),"")</f>
        <v/>
      </c>
      <c r="H472" s="61"/>
      <c r="I472" s="32" t="str">
        <f ca="1">IFERROR(__xludf.DUMMYFUNCTION("if($F472&gt;=2,QUERY(Loot!$A$2:$G$904,""Select G where A = '""&amp; $E472 &amp;""' AND D &gt;= ""&amp; R472 &amp;"" LIMIT 1""),)"),"")</f>
        <v/>
      </c>
      <c r="J472" s="61"/>
      <c r="K472" s="32" t="str">
        <f ca="1">IFERROR(__xludf.DUMMYFUNCTION("if($F472&gt;=3,QUERY(Loot!$A$2:$G$904,""Select G where A = '""&amp; $E472 &amp;""' AND D &gt;= ""&amp; S472  &amp;"" LIMIT 1""),)"),"")</f>
        <v/>
      </c>
      <c r="L472" s="61"/>
      <c r="M472" s="32" t="str">
        <f ca="1">IFERROR(__xludf.DUMMYFUNCTION("if($F472&gt;=4,QUERY(Loot!$A$2:$G$904,""Select G where A = '""&amp; $E472 &amp;""' AND D &gt;= ""&amp;T472 &amp;"" LIMIT 1""),)"),"")</f>
        <v/>
      </c>
      <c r="N472" s="61"/>
      <c r="O472" s="32" t="str">
        <f ca="1">IFERROR(__xludf.DUMMYFUNCTION("if($F472&gt;=5,QUERY(Loot!$A$2:$G$904,""Select G where A = '""&amp; $E472 &amp;""' AND D &gt;= ""&amp; U472 &amp;"" LIMIT 1""),)"),"")</f>
        <v/>
      </c>
      <c r="P472" s="61"/>
      <c r="Q472" s="62">
        <v>0.59346464020910816</v>
      </c>
      <c r="R472" s="63">
        <v>0.42448000257949603</v>
      </c>
      <c r="S472" s="63">
        <v>0.28160229711577223</v>
      </c>
      <c r="T472" s="63">
        <v>0.78130562429632255</v>
      </c>
      <c r="U472" s="63">
        <v>0.17774890016480149</v>
      </c>
    </row>
    <row r="473" spans="1:21" ht="16.2">
      <c r="A473" s="5">
        <f t="shared" ca="1" si="3"/>
        <v>472</v>
      </c>
      <c r="B473" s="5" t="str">
        <f ca="1">IFERROR(__xludf.DUMMYFUNCTION("if(ISBLANK(C473),,QUERY(MD!A474:D1472,""Select A where C = '""&amp; C473 &amp;""'""))"),"")</f>
        <v/>
      </c>
      <c r="C473" s="5"/>
      <c r="D473" s="5" t="str">
        <f ca="1">IFERROR(__xludf.DUMMYFUNCTION("if(ISBLANK(C473),,QUERY(MD!$A$2:$D$1000,""Select D where C = '""&amp; C473 &amp;""'""))"),"")</f>
        <v/>
      </c>
      <c r="E473" s="59" t="str">
        <f ca="1">IFERROR(__xludf.DUMMYFUNCTION("if(ISBLANK(C473),,QUERY(MD!$A$2:$D$1000,""Select B where C = '""&amp; C473 &amp;""'""))"),"")</f>
        <v/>
      </c>
      <c r="F473" s="5">
        <f t="shared" ca="1" si="2"/>
        <v>0</v>
      </c>
      <c r="G473" s="32" t="str">
        <f ca="1">IFERROR(__xludf.DUMMYFUNCTION("if($F473&gt;=1,QUERY(Loot!$A$2:$G$904,""Select G where A = '""&amp; $E473 &amp;""' AND D &gt;= ""&amp; Q473  &amp;"" LIMIT 1""),)"),"")</f>
        <v/>
      </c>
      <c r="H473" s="61"/>
      <c r="I473" s="32" t="str">
        <f ca="1">IFERROR(__xludf.DUMMYFUNCTION("if($F473&gt;=2,QUERY(Loot!$A$2:$G$904,""Select G where A = '""&amp; $E473 &amp;""' AND D &gt;= ""&amp; R473 &amp;"" LIMIT 1""),)"),"")</f>
        <v/>
      </c>
      <c r="J473" s="61"/>
      <c r="K473" s="32" t="str">
        <f ca="1">IFERROR(__xludf.DUMMYFUNCTION("if($F473&gt;=3,QUERY(Loot!$A$2:$G$904,""Select G where A = '""&amp; $E473 &amp;""' AND D &gt;= ""&amp; S473  &amp;"" LIMIT 1""),)"),"")</f>
        <v/>
      </c>
      <c r="L473" s="61"/>
      <c r="M473" s="32" t="str">
        <f ca="1">IFERROR(__xludf.DUMMYFUNCTION("if($F473&gt;=4,QUERY(Loot!$A$2:$G$904,""Select G where A = '""&amp; $E473 &amp;""' AND D &gt;= ""&amp;T473 &amp;"" LIMIT 1""),)"),"")</f>
        <v/>
      </c>
      <c r="N473" s="61"/>
      <c r="O473" s="32" t="str">
        <f ca="1">IFERROR(__xludf.DUMMYFUNCTION("if($F473&gt;=5,QUERY(Loot!$A$2:$G$904,""Select G where A = '""&amp; $E473 &amp;""' AND D &gt;= ""&amp; U473 &amp;"" LIMIT 1""),)"),"")</f>
        <v/>
      </c>
      <c r="P473" s="61"/>
      <c r="Q473" s="62">
        <v>0.47947322061382691</v>
      </c>
      <c r="R473" s="63">
        <v>0.22743955685906814</v>
      </c>
      <c r="S473" s="63">
        <v>0.93021861248847038</v>
      </c>
      <c r="T473" s="63">
        <v>0.99119044645784393</v>
      </c>
      <c r="U473" s="63">
        <v>0.61208790192741613</v>
      </c>
    </row>
    <row r="474" spans="1:21" ht="16.2">
      <c r="A474" s="5">
        <f t="shared" ca="1" si="3"/>
        <v>473</v>
      </c>
      <c r="B474" s="5" t="str">
        <f ca="1">IFERROR(__xludf.DUMMYFUNCTION("if(ISBLANK(C474),,QUERY(MD!A475:D1473,""Select A where C = '""&amp; C474 &amp;""'""))"),"")</f>
        <v/>
      </c>
      <c r="C474" s="5"/>
      <c r="D474" s="5" t="str">
        <f ca="1">IFERROR(__xludf.DUMMYFUNCTION("if(ISBLANK(C474),,QUERY(MD!$A$2:$D$1000,""Select D where C = '""&amp; C474 &amp;""'""))"),"")</f>
        <v/>
      </c>
      <c r="E474" s="59" t="str">
        <f ca="1">IFERROR(__xludf.DUMMYFUNCTION("if(ISBLANK(C474),,QUERY(MD!$A$2:$D$1000,""Select B where C = '""&amp; C474 &amp;""'""))"),"")</f>
        <v/>
      </c>
      <c r="F474" s="5">
        <f t="shared" ca="1" si="2"/>
        <v>0</v>
      </c>
      <c r="G474" s="32" t="str">
        <f ca="1">IFERROR(__xludf.DUMMYFUNCTION("if($F474&gt;=1,QUERY(Loot!$A$2:$G$904,""Select G where A = '""&amp; $E474 &amp;""' AND D &gt;= ""&amp; Q474  &amp;"" LIMIT 1""),)"),"")</f>
        <v/>
      </c>
      <c r="H474" s="61"/>
      <c r="I474" s="32" t="str">
        <f ca="1">IFERROR(__xludf.DUMMYFUNCTION("if($F474&gt;=2,QUERY(Loot!$A$2:$G$904,""Select G where A = '""&amp; $E474 &amp;""' AND D &gt;= ""&amp; R474 &amp;"" LIMIT 1""),)"),"")</f>
        <v/>
      </c>
      <c r="J474" s="61"/>
      <c r="K474" s="32" t="str">
        <f ca="1">IFERROR(__xludf.DUMMYFUNCTION("if($F474&gt;=3,QUERY(Loot!$A$2:$G$904,""Select G where A = '""&amp; $E474 &amp;""' AND D &gt;= ""&amp; S474  &amp;"" LIMIT 1""),)"),"")</f>
        <v/>
      </c>
      <c r="L474" s="61"/>
      <c r="M474" s="32" t="str">
        <f ca="1">IFERROR(__xludf.DUMMYFUNCTION("if($F474&gt;=4,QUERY(Loot!$A$2:$G$904,""Select G where A = '""&amp; $E474 &amp;""' AND D &gt;= ""&amp;T474 &amp;"" LIMIT 1""),)"),"")</f>
        <v/>
      </c>
      <c r="N474" s="61"/>
      <c r="O474" s="32" t="str">
        <f ca="1">IFERROR(__xludf.DUMMYFUNCTION("if($F474&gt;=5,QUERY(Loot!$A$2:$G$904,""Select G where A = '""&amp; $E474 &amp;""' AND D &gt;= ""&amp; U474 &amp;"" LIMIT 1""),)"),"")</f>
        <v/>
      </c>
      <c r="P474" s="61"/>
      <c r="Q474" s="62">
        <v>0.35818019300243142</v>
      </c>
      <c r="R474" s="63">
        <v>0.72554755649761371</v>
      </c>
      <c r="S474" s="63">
        <v>0.88483687428596192</v>
      </c>
      <c r="T474" s="63">
        <v>0.81413623991281303</v>
      </c>
      <c r="U474" s="63">
        <v>0.31070624858683893</v>
      </c>
    </row>
    <row r="475" spans="1:21" ht="16.2">
      <c r="A475" s="5">
        <f t="shared" ca="1" si="3"/>
        <v>474</v>
      </c>
      <c r="B475" s="5" t="str">
        <f ca="1">IFERROR(__xludf.DUMMYFUNCTION("if(ISBLANK(C475),,QUERY(MD!A476:D1474,""Select A where C = '""&amp; C475 &amp;""'""))"),"")</f>
        <v/>
      </c>
      <c r="C475" s="5"/>
      <c r="D475" s="5" t="str">
        <f ca="1">IFERROR(__xludf.DUMMYFUNCTION("if(ISBLANK(C475),,QUERY(MD!$A$2:$D$1000,""Select D where C = '""&amp; C475 &amp;""'""))"),"")</f>
        <v/>
      </c>
      <c r="E475" s="59" t="str">
        <f ca="1">IFERROR(__xludf.DUMMYFUNCTION("if(ISBLANK(C475),,QUERY(MD!$A$2:$D$1000,""Select B where C = '""&amp; C475 &amp;""'""))"),"")</f>
        <v/>
      </c>
      <c r="F475" s="5">
        <f t="shared" ca="1" si="2"/>
        <v>0</v>
      </c>
      <c r="G475" s="32" t="str">
        <f ca="1">IFERROR(__xludf.DUMMYFUNCTION("if($F475&gt;=1,QUERY(Loot!$A$2:$G$904,""Select G where A = '""&amp; $E475 &amp;""' AND D &gt;= ""&amp; Q475  &amp;"" LIMIT 1""),)"),"")</f>
        <v/>
      </c>
      <c r="H475" s="61"/>
      <c r="I475" s="32" t="str">
        <f ca="1">IFERROR(__xludf.DUMMYFUNCTION("if($F475&gt;=2,QUERY(Loot!$A$2:$G$904,""Select G where A = '""&amp; $E475 &amp;""' AND D &gt;= ""&amp; R475 &amp;"" LIMIT 1""),)"),"")</f>
        <v/>
      </c>
      <c r="J475" s="61"/>
      <c r="K475" s="32" t="str">
        <f ca="1">IFERROR(__xludf.DUMMYFUNCTION("if($F475&gt;=3,QUERY(Loot!$A$2:$G$904,""Select G where A = '""&amp; $E475 &amp;""' AND D &gt;= ""&amp; S475  &amp;"" LIMIT 1""),)"),"")</f>
        <v/>
      </c>
      <c r="L475" s="61"/>
      <c r="M475" s="32" t="str">
        <f ca="1">IFERROR(__xludf.DUMMYFUNCTION("if($F475&gt;=4,QUERY(Loot!$A$2:$G$904,""Select G where A = '""&amp; $E475 &amp;""' AND D &gt;= ""&amp;T475 &amp;"" LIMIT 1""),)"),"")</f>
        <v/>
      </c>
      <c r="N475" s="61"/>
      <c r="O475" s="32" t="str">
        <f ca="1">IFERROR(__xludf.DUMMYFUNCTION("if($F475&gt;=5,QUERY(Loot!$A$2:$G$904,""Select G where A = '""&amp; $E475 &amp;""' AND D &gt;= ""&amp; U475 &amp;"" LIMIT 1""),)"),"")</f>
        <v/>
      </c>
      <c r="P475" s="61"/>
      <c r="Q475" s="62">
        <v>0.93428310110739743</v>
      </c>
      <c r="R475" s="63">
        <v>0.11458917154875436</v>
      </c>
      <c r="S475" s="63">
        <v>0.7361643707783504</v>
      </c>
      <c r="T475" s="63">
        <v>0.33148370291558782</v>
      </c>
      <c r="U475" s="63">
        <v>0.68275048873304156</v>
      </c>
    </row>
    <row r="476" spans="1:21" ht="16.2">
      <c r="A476" s="5">
        <f t="shared" ca="1" si="3"/>
        <v>475</v>
      </c>
      <c r="B476" s="5" t="str">
        <f ca="1">IFERROR(__xludf.DUMMYFUNCTION("if(ISBLANK(C476),,QUERY(MD!A477:D1475,""Select A where C = '""&amp; C476 &amp;""'""))"),"")</f>
        <v/>
      </c>
      <c r="C476" s="5"/>
      <c r="D476" s="5" t="str">
        <f ca="1">IFERROR(__xludf.DUMMYFUNCTION("if(ISBLANK(C476),,QUERY(MD!$A$2:$D$1000,""Select D where C = '""&amp; C476 &amp;""'""))"),"")</f>
        <v/>
      </c>
      <c r="E476" s="59" t="str">
        <f ca="1">IFERROR(__xludf.DUMMYFUNCTION("if(ISBLANK(C476),,QUERY(MD!$A$2:$D$1000,""Select B where C = '""&amp; C476 &amp;""'""))"),"")</f>
        <v/>
      </c>
      <c r="F476" s="5">
        <f t="shared" ca="1" si="2"/>
        <v>0</v>
      </c>
      <c r="G476" s="32" t="str">
        <f ca="1">IFERROR(__xludf.DUMMYFUNCTION("if($F476&gt;=1,QUERY(Loot!$A$2:$G$904,""Select G where A = '""&amp; $E476 &amp;""' AND D &gt;= ""&amp; Q476  &amp;"" LIMIT 1""),)"),"")</f>
        <v/>
      </c>
      <c r="H476" s="61"/>
      <c r="I476" s="32" t="str">
        <f ca="1">IFERROR(__xludf.DUMMYFUNCTION("if($F476&gt;=2,QUERY(Loot!$A$2:$G$904,""Select G where A = '""&amp; $E476 &amp;""' AND D &gt;= ""&amp; R476 &amp;"" LIMIT 1""),)"),"")</f>
        <v/>
      </c>
      <c r="J476" s="61"/>
      <c r="K476" s="32" t="str">
        <f ca="1">IFERROR(__xludf.DUMMYFUNCTION("if($F476&gt;=3,QUERY(Loot!$A$2:$G$904,""Select G where A = '""&amp; $E476 &amp;""' AND D &gt;= ""&amp; S476  &amp;"" LIMIT 1""),)"),"")</f>
        <v/>
      </c>
      <c r="L476" s="61"/>
      <c r="M476" s="32" t="str">
        <f ca="1">IFERROR(__xludf.DUMMYFUNCTION("if($F476&gt;=4,QUERY(Loot!$A$2:$G$904,""Select G where A = '""&amp; $E476 &amp;""' AND D &gt;= ""&amp;T476 &amp;"" LIMIT 1""),)"),"")</f>
        <v/>
      </c>
      <c r="N476" s="61"/>
      <c r="O476" s="32" t="str">
        <f ca="1">IFERROR(__xludf.DUMMYFUNCTION("if($F476&gt;=5,QUERY(Loot!$A$2:$G$904,""Select G where A = '""&amp; $E476 &amp;""' AND D &gt;= ""&amp; U476 &amp;"" LIMIT 1""),)"),"")</f>
        <v/>
      </c>
      <c r="P476" s="61"/>
      <c r="Q476" s="62">
        <v>0.49070271948622479</v>
      </c>
      <c r="R476" s="63">
        <v>0.79542381795277006</v>
      </c>
      <c r="S476" s="63">
        <v>0.20863759895966549</v>
      </c>
      <c r="T476" s="63">
        <v>0.12476235185654183</v>
      </c>
      <c r="U476" s="63">
        <v>0.19260317627117851</v>
      </c>
    </row>
    <row r="477" spans="1:21" ht="16.2">
      <c r="A477" s="5">
        <f t="shared" ca="1" si="3"/>
        <v>476</v>
      </c>
      <c r="B477" s="5" t="str">
        <f ca="1">IFERROR(__xludf.DUMMYFUNCTION("if(ISBLANK(C477),,QUERY(MD!A478:D1476,""Select A where C = '""&amp; C477 &amp;""'""))"),"")</f>
        <v/>
      </c>
      <c r="C477" s="5"/>
      <c r="D477" s="5" t="str">
        <f ca="1">IFERROR(__xludf.DUMMYFUNCTION("if(ISBLANK(C477),,QUERY(MD!$A$2:$D$1000,""Select D where C = '""&amp; C477 &amp;""'""))"),"")</f>
        <v/>
      </c>
      <c r="E477" s="59" t="str">
        <f ca="1">IFERROR(__xludf.DUMMYFUNCTION("if(ISBLANK(C477),,QUERY(MD!$A$2:$D$1000,""Select B where C = '""&amp; C477 &amp;""'""))"),"")</f>
        <v/>
      </c>
      <c r="F477" s="5">
        <f t="shared" ca="1" si="2"/>
        <v>0</v>
      </c>
      <c r="G477" s="32" t="str">
        <f ca="1">IFERROR(__xludf.DUMMYFUNCTION("if($F477&gt;=1,QUERY(Loot!$A$2:$G$904,""Select G where A = '""&amp; $E477 &amp;""' AND D &gt;= ""&amp; Q477  &amp;"" LIMIT 1""),)"),"")</f>
        <v/>
      </c>
      <c r="H477" s="61"/>
      <c r="I477" s="32" t="str">
        <f ca="1">IFERROR(__xludf.DUMMYFUNCTION("if($F477&gt;=2,QUERY(Loot!$A$2:$G$904,""Select G where A = '""&amp; $E477 &amp;""' AND D &gt;= ""&amp; R477 &amp;"" LIMIT 1""),)"),"")</f>
        <v/>
      </c>
      <c r="J477" s="61"/>
      <c r="K477" s="32" t="str">
        <f ca="1">IFERROR(__xludf.DUMMYFUNCTION("if($F477&gt;=3,QUERY(Loot!$A$2:$G$904,""Select G where A = '""&amp; $E477 &amp;""' AND D &gt;= ""&amp; S477  &amp;"" LIMIT 1""),)"),"")</f>
        <v/>
      </c>
      <c r="L477" s="61"/>
      <c r="M477" s="32" t="str">
        <f ca="1">IFERROR(__xludf.DUMMYFUNCTION("if($F477&gt;=4,QUERY(Loot!$A$2:$G$904,""Select G where A = '""&amp; $E477 &amp;""' AND D &gt;= ""&amp;T477 &amp;"" LIMIT 1""),)"),"")</f>
        <v/>
      </c>
      <c r="N477" s="61"/>
      <c r="O477" s="32" t="str">
        <f ca="1">IFERROR(__xludf.DUMMYFUNCTION("if($F477&gt;=5,QUERY(Loot!$A$2:$G$904,""Select G where A = '""&amp; $E477 &amp;""' AND D &gt;= ""&amp; U477 &amp;"" LIMIT 1""),)"),"")</f>
        <v/>
      </c>
      <c r="P477" s="61"/>
      <c r="Q477" s="62">
        <v>0.34745058265798412</v>
      </c>
      <c r="R477" s="63">
        <v>0.71725778801168938</v>
      </c>
      <c r="S477" s="63">
        <v>0.86858447485463341</v>
      </c>
      <c r="T477" s="63">
        <v>0.82009229809817463</v>
      </c>
      <c r="U477" s="63">
        <v>0.8372973623005725</v>
      </c>
    </row>
    <row r="478" spans="1:21" ht="16.2">
      <c r="A478" s="5">
        <f t="shared" ca="1" si="3"/>
        <v>477</v>
      </c>
      <c r="B478" s="5" t="str">
        <f ca="1">IFERROR(__xludf.DUMMYFUNCTION("if(ISBLANK(C478),,QUERY(MD!A479:D1477,""Select A where C = '""&amp; C478 &amp;""'""))"),"")</f>
        <v/>
      </c>
      <c r="C478" s="5"/>
      <c r="D478" s="5" t="str">
        <f ca="1">IFERROR(__xludf.DUMMYFUNCTION("if(ISBLANK(C478),,QUERY(MD!$A$2:$D$1000,""Select D where C = '""&amp; C478 &amp;""'""))"),"")</f>
        <v/>
      </c>
      <c r="E478" s="59" t="str">
        <f ca="1">IFERROR(__xludf.DUMMYFUNCTION("if(ISBLANK(C478),,QUERY(MD!$A$2:$D$1000,""Select B where C = '""&amp; C478 &amp;""'""))"),"")</f>
        <v/>
      </c>
      <c r="F478" s="5">
        <f t="shared" ca="1" si="2"/>
        <v>0</v>
      </c>
      <c r="G478" s="32" t="str">
        <f ca="1">IFERROR(__xludf.DUMMYFUNCTION("if($F478&gt;=1,QUERY(Loot!$A$2:$G$904,""Select G where A = '""&amp; $E478 &amp;""' AND D &gt;= ""&amp; Q478  &amp;"" LIMIT 1""),)"),"")</f>
        <v/>
      </c>
      <c r="H478" s="61"/>
      <c r="I478" s="32" t="str">
        <f ca="1">IFERROR(__xludf.DUMMYFUNCTION("if($F478&gt;=2,QUERY(Loot!$A$2:$G$904,""Select G where A = '""&amp; $E478 &amp;""' AND D &gt;= ""&amp; R478 &amp;"" LIMIT 1""),)"),"")</f>
        <v/>
      </c>
      <c r="J478" s="61"/>
      <c r="K478" s="32" t="str">
        <f ca="1">IFERROR(__xludf.DUMMYFUNCTION("if($F478&gt;=3,QUERY(Loot!$A$2:$G$904,""Select G where A = '""&amp; $E478 &amp;""' AND D &gt;= ""&amp; S478  &amp;"" LIMIT 1""),)"),"")</f>
        <v/>
      </c>
      <c r="L478" s="61"/>
      <c r="M478" s="32" t="str">
        <f ca="1">IFERROR(__xludf.DUMMYFUNCTION("if($F478&gt;=4,QUERY(Loot!$A$2:$G$904,""Select G where A = '""&amp; $E478 &amp;""' AND D &gt;= ""&amp;T478 &amp;"" LIMIT 1""),)"),"")</f>
        <v/>
      </c>
      <c r="N478" s="61"/>
      <c r="O478" s="32" t="str">
        <f ca="1">IFERROR(__xludf.DUMMYFUNCTION("if($F478&gt;=5,QUERY(Loot!$A$2:$G$904,""Select G where A = '""&amp; $E478 &amp;""' AND D &gt;= ""&amp; U478 &amp;"" LIMIT 1""),)"),"")</f>
        <v/>
      </c>
      <c r="P478" s="61"/>
      <c r="Q478" s="62">
        <v>0.84090479045523436</v>
      </c>
      <c r="R478" s="63">
        <v>0.97768639508777744</v>
      </c>
      <c r="S478" s="63">
        <v>0.58112100580941473</v>
      </c>
      <c r="T478" s="63">
        <v>0.90212937315927233</v>
      </c>
      <c r="U478" s="63">
        <v>0.37701255039261128</v>
      </c>
    </row>
    <row r="479" spans="1:21" ht="16.2">
      <c r="A479" s="5">
        <f t="shared" ca="1" si="3"/>
        <v>478</v>
      </c>
      <c r="B479" s="5" t="str">
        <f ca="1">IFERROR(__xludf.DUMMYFUNCTION("if(ISBLANK(C479),,QUERY(MD!A480:D1478,""Select A where C = '""&amp; C479 &amp;""'""))"),"")</f>
        <v/>
      </c>
      <c r="C479" s="5"/>
      <c r="D479" s="5" t="str">
        <f ca="1">IFERROR(__xludf.DUMMYFUNCTION("if(ISBLANK(C479),,QUERY(MD!$A$2:$D$1000,""Select D where C = '""&amp; C479 &amp;""'""))"),"")</f>
        <v/>
      </c>
      <c r="E479" s="59" t="str">
        <f ca="1">IFERROR(__xludf.DUMMYFUNCTION("if(ISBLANK(C479),,QUERY(MD!$A$2:$D$1000,""Select B where C = '""&amp; C479 &amp;""'""))"),"")</f>
        <v/>
      </c>
      <c r="F479" s="5">
        <f t="shared" ca="1" si="2"/>
        <v>0</v>
      </c>
      <c r="G479" s="32" t="str">
        <f ca="1">IFERROR(__xludf.DUMMYFUNCTION("if($F479&gt;=1,QUERY(Loot!$A$2:$G$904,""Select G where A = '""&amp; $E479 &amp;""' AND D &gt;= ""&amp; Q479  &amp;"" LIMIT 1""),)"),"")</f>
        <v/>
      </c>
      <c r="H479" s="61"/>
      <c r="I479" s="32" t="str">
        <f ca="1">IFERROR(__xludf.DUMMYFUNCTION("if($F479&gt;=2,QUERY(Loot!$A$2:$G$904,""Select G where A = '""&amp; $E479 &amp;""' AND D &gt;= ""&amp; R479 &amp;"" LIMIT 1""),)"),"")</f>
        <v/>
      </c>
      <c r="J479" s="61"/>
      <c r="K479" s="32" t="str">
        <f ca="1">IFERROR(__xludf.DUMMYFUNCTION("if($F479&gt;=3,QUERY(Loot!$A$2:$G$904,""Select G where A = '""&amp; $E479 &amp;""' AND D &gt;= ""&amp; S479  &amp;"" LIMIT 1""),)"),"")</f>
        <v/>
      </c>
      <c r="L479" s="61"/>
      <c r="M479" s="32" t="str">
        <f ca="1">IFERROR(__xludf.DUMMYFUNCTION("if($F479&gt;=4,QUERY(Loot!$A$2:$G$904,""Select G where A = '""&amp; $E479 &amp;""' AND D &gt;= ""&amp;T479 &amp;"" LIMIT 1""),)"),"")</f>
        <v/>
      </c>
      <c r="N479" s="61"/>
      <c r="O479" s="32" t="str">
        <f ca="1">IFERROR(__xludf.DUMMYFUNCTION("if($F479&gt;=5,QUERY(Loot!$A$2:$G$904,""Select G where A = '""&amp; $E479 &amp;""' AND D &gt;= ""&amp; U479 &amp;"" LIMIT 1""),)"),"")</f>
        <v/>
      </c>
      <c r="P479" s="61"/>
      <c r="Q479" s="62">
        <v>5.6537707006150906E-2</v>
      </c>
      <c r="R479" s="63">
        <v>0.126658106083962</v>
      </c>
      <c r="S479" s="63">
        <v>0.98380802538016943</v>
      </c>
      <c r="T479" s="63">
        <v>0.65986104039276317</v>
      </c>
      <c r="U479" s="63">
        <v>0.66025039490592896</v>
      </c>
    </row>
    <row r="480" spans="1:21" ht="16.2">
      <c r="A480" s="5">
        <f t="shared" ca="1" si="3"/>
        <v>479</v>
      </c>
      <c r="B480" s="5" t="str">
        <f ca="1">IFERROR(__xludf.DUMMYFUNCTION("if(ISBLANK(C480),,QUERY(MD!A481:D1479,""Select A where C = '""&amp; C480 &amp;""'""))"),"")</f>
        <v/>
      </c>
      <c r="C480" s="5"/>
      <c r="D480" s="5" t="str">
        <f ca="1">IFERROR(__xludf.DUMMYFUNCTION("if(ISBLANK(C480),,QUERY(MD!$A$2:$D$1000,""Select D where C = '""&amp; C480 &amp;""'""))"),"")</f>
        <v/>
      </c>
      <c r="E480" s="59" t="str">
        <f ca="1">IFERROR(__xludf.DUMMYFUNCTION("if(ISBLANK(C480),,QUERY(MD!$A$2:$D$1000,""Select B where C = '""&amp; C480 &amp;""'""))"),"")</f>
        <v/>
      </c>
      <c r="F480" s="5">
        <f t="shared" ca="1" si="2"/>
        <v>0</v>
      </c>
      <c r="G480" s="32" t="str">
        <f ca="1">IFERROR(__xludf.DUMMYFUNCTION("if($F480&gt;=1,QUERY(Loot!$A$2:$G$904,""Select G where A = '""&amp; $E480 &amp;""' AND D &gt;= ""&amp; Q480  &amp;"" LIMIT 1""),)"),"")</f>
        <v/>
      </c>
      <c r="H480" s="61"/>
      <c r="I480" s="32" t="str">
        <f ca="1">IFERROR(__xludf.DUMMYFUNCTION("if($F480&gt;=2,QUERY(Loot!$A$2:$G$904,""Select G where A = '""&amp; $E480 &amp;""' AND D &gt;= ""&amp; R480 &amp;"" LIMIT 1""),)"),"")</f>
        <v/>
      </c>
      <c r="J480" s="61"/>
      <c r="K480" s="32" t="str">
        <f ca="1">IFERROR(__xludf.DUMMYFUNCTION("if($F480&gt;=3,QUERY(Loot!$A$2:$G$904,""Select G where A = '""&amp; $E480 &amp;""' AND D &gt;= ""&amp; S480  &amp;"" LIMIT 1""),)"),"")</f>
        <v/>
      </c>
      <c r="L480" s="61"/>
      <c r="M480" s="32" t="str">
        <f ca="1">IFERROR(__xludf.DUMMYFUNCTION("if($F480&gt;=4,QUERY(Loot!$A$2:$G$904,""Select G where A = '""&amp; $E480 &amp;""' AND D &gt;= ""&amp;T480 &amp;"" LIMIT 1""),)"),"")</f>
        <v/>
      </c>
      <c r="N480" s="61"/>
      <c r="O480" s="32" t="str">
        <f ca="1">IFERROR(__xludf.DUMMYFUNCTION("if($F480&gt;=5,QUERY(Loot!$A$2:$G$904,""Select G where A = '""&amp; $E480 &amp;""' AND D &gt;= ""&amp; U480 &amp;"" LIMIT 1""),)"),"")</f>
        <v/>
      </c>
      <c r="P480" s="61"/>
      <c r="Q480" s="62">
        <v>0.43478473832454279</v>
      </c>
      <c r="R480" s="63">
        <v>0.12825072174851471</v>
      </c>
      <c r="S480" s="63">
        <v>4.2018583624771288E-2</v>
      </c>
      <c r="T480" s="63">
        <v>2.5655989522265776E-2</v>
      </c>
      <c r="U480" s="63">
        <v>0.31899639457105622</v>
      </c>
    </row>
    <row r="481" spans="1:21" ht="16.2">
      <c r="A481" s="5">
        <f t="shared" ca="1" si="3"/>
        <v>480</v>
      </c>
      <c r="B481" s="5" t="str">
        <f ca="1">IFERROR(__xludf.DUMMYFUNCTION("if(ISBLANK(C481),,QUERY(MD!A482:D1480,""Select A where C = '""&amp; C481 &amp;""'""))"),"")</f>
        <v/>
      </c>
      <c r="C481" s="5"/>
      <c r="D481" s="5" t="str">
        <f ca="1">IFERROR(__xludf.DUMMYFUNCTION("if(ISBLANK(C481),,QUERY(MD!$A$2:$D$1000,""Select D where C = '""&amp; C481 &amp;""'""))"),"")</f>
        <v/>
      </c>
      <c r="E481" s="59" t="str">
        <f ca="1">IFERROR(__xludf.DUMMYFUNCTION("if(ISBLANK(C481),,QUERY(MD!$A$2:$D$1000,""Select B where C = '""&amp; C481 &amp;""'""))"),"")</f>
        <v/>
      </c>
      <c r="F481" s="5">
        <f t="shared" ca="1" si="2"/>
        <v>0</v>
      </c>
      <c r="G481" s="32" t="str">
        <f ca="1">IFERROR(__xludf.DUMMYFUNCTION("if($F481&gt;=1,QUERY(Loot!$A$2:$G$904,""Select G where A = '""&amp; $E481 &amp;""' AND D &gt;= ""&amp; Q481  &amp;"" LIMIT 1""),)"),"")</f>
        <v/>
      </c>
      <c r="H481" s="61"/>
      <c r="I481" s="32" t="str">
        <f ca="1">IFERROR(__xludf.DUMMYFUNCTION("if($F481&gt;=2,QUERY(Loot!$A$2:$G$904,""Select G where A = '""&amp; $E481 &amp;""' AND D &gt;= ""&amp; R481 &amp;"" LIMIT 1""),)"),"")</f>
        <v/>
      </c>
      <c r="J481" s="61"/>
      <c r="K481" s="32" t="str">
        <f ca="1">IFERROR(__xludf.DUMMYFUNCTION("if($F481&gt;=3,QUERY(Loot!$A$2:$G$904,""Select G where A = '""&amp; $E481 &amp;""' AND D &gt;= ""&amp; S481  &amp;"" LIMIT 1""),)"),"")</f>
        <v/>
      </c>
      <c r="L481" s="61"/>
      <c r="M481" s="32" t="str">
        <f ca="1">IFERROR(__xludf.DUMMYFUNCTION("if($F481&gt;=4,QUERY(Loot!$A$2:$G$904,""Select G where A = '""&amp; $E481 &amp;""' AND D &gt;= ""&amp;T481 &amp;"" LIMIT 1""),)"),"")</f>
        <v/>
      </c>
      <c r="N481" s="61"/>
      <c r="O481" s="32" t="str">
        <f ca="1">IFERROR(__xludf.DUMMYFUNCTION("if($F481&gt;=5,QUERY(Loot!$A$2:$G$904,""Select G where A = '""&amp; $E481 &amp;""' AND D &gt;= ""&amp; U481 &amp;"" LIMIT 1""),)"),"")</f>
        <v/>
      </c>
      <c r="P481" s="61"/>
      <c r="Q481" s="62">
        <v>0.29776934198721594</v>
      </c>
      <c r="R481" s="63">
        <v>0.46362985441071647</v>
      </c>
      <c r="S481" s="63">
        <v>0.91144601134497516</v>
      </c>
      <c r="T481" s="63">
        <v>0.5897957434123301</v>
      </c>
      <c r="U481" s="63">
        <v>0.70325353305930338</v>
      </c>
    </row>
    <row r="482" spans="1:21" ht="16.2">
      <c r="A482" s="5">
        <f t="shared" ca="1" si="3"/>
        <v>481</v>
      </c>
      <c r="B482" s="5" t="str">
        <f ca="1">IFERROR(__xludf.DUMMYFUNCTION("if(ISBLANK(C482),,QUERY(MD!A483:D1481,""Select A where C = '""&amp; C482 &amp;""'""))"),"")</f>
        <v/>
      </c>
      <c r="C482" s="5"/>
      <c r="D482" s="5" t="str">
        <f ca="1">IFERROR(__xludf.DUMMYFUNCTION("if(ISBLANK(C482),,QUERY(MD!$A$2:$D$1000,""Select D where C = '""&amp; C482 &amp;""'""))"),"")</f>
        <v/>
      </c>
      <c r="E482" s="59" t="str">
        <f ca="1">IFERROR(__xludf.DUMMYFUNCTION("if(ISBLANK(C482),,QUERY(MD!$A$2:$D$1000,""Select B where C = '""&amp; C482 &amp;""'""))"),"")</f>
        <v/>
      </c>
      <c r="F482" s="5">
        <f t="shared" ca="1" si="2"/>
        <v>0</v>
      </c>
      <c r="G482" s="32" t="str">
        <f ca="1">IFERROR(__xludf.DUMMYFUNCTION("if($F482&gt;=1,QUERY(Loot!$A$2:$G$904,""Select G where A = '""&amp; $E482 &amp;""' AND D &gt;= ""&amp; Q482  &amp;"" LIMIT 1""),)"),"")</f>
        <v/>
      </c>
      <c r="H482" s="61"/>
      <c r="I482" s="32" t="str">
        <f ca="1">IFERROR(__xludf.DUMMYFUNCTION("if($F482&gt;=2,QUERY(Loot!$A$2:$G$904,""Select G where A = '""&amp; $E482 &amp;""' AND D &gt;= ""&amp; R482 &amp;"" LIMIT 1""),)"),"")</f>
        <v/>
      </c>
      <c r="J482" s="61"/>
      <c r="K482" s="32" t="str">
        <f ca="1">IFERROR(__xludf.DUMMYFUNCTION("if($F482&gt;=3,QUERY(Loot!$A$2:$G$904,""Select G where A = '""&amp; $E482 &amp;""' AND D &gt;= ""&amp; S482  &amp;"" LIMIT 1""),)"),"")</f>
        <v/>
      </c>
      <c r="L482" s="61"/>
      <c r="M482" s="32" t="str">
        <f ca="1">IFERROR(__xludf.DUMMYFUNCTION("if($F482&gt;=4,QUERY(Loot!$A$2:$G$904,""Select G where A = '""&amp; $E482 &amp;""' AND D &gt;= ""&amp;T482 &amp;"" LIMIT 1""),)"),"")</f>
        <v/>
      </c>
      <c r="N482" s="61"/>
      <c r="O482" s="32" t="str">
        <f ca="1">IFERROR(__xludf.DUMMYFUNCTION("if($F482&gt;=5,QUERY(Loot!$A$2:$G$904,""Select G where A = '""&amp; $E482 &amp;""' AND D &gt;= ""&amp; U482 &amp;"" LIMIT 1""),)"),"")</f>
        <v/>
      </c>
      <c r="P482" s="61"/>
      <c r="Q482" s="62">
        <v>0.90865252329904189</v>
      </c>
      <c r="R482" s="63">
        <v>0.15629268990670586</v>
      </c>
      <c r="S482" s="63">
        <v>0.63401083758547327</v>
      </c>
      <c r="T482" s="63">
        <v>0.37497960086902005</v>
      </c>
      <c r="U482" s="63">
        <v>0.79812180489952966</v>
      </c>
    </row>
    <row r="483" spans="1:21" ht="16.2">
      <c r="A483" s="5">
        <f t="shared" ca="1" si="3"/>
        <v>482</v>
      </c>
      <c r="B483" s="5" t="str">
        <f ca="1">IFERROR(__xludf.DUMMYFUNCTION("if(ISBLANK(C483),,QUERY(MD!A484:D1482,""Select A where C = '""&amp; C483 &amp;""'""))"),"")</f>
        <v/>
      </c>
      <c r="C483" s="5"/>
      <c r="D483" s="5" t="str">
        <f ca="1">IFERROR(__xludf.DUMMYFUNCTION("if(ISBLANK(C483),,QUERY(MD!$A$2:$D$1000,""Select D where C = '""&amp; C483 &amp;""'""))"),"")</f>
        <v/>
      </c>
      <c r="E483" s="59" t="str">
        <f ca="1">IFERROR(__xludf.DUMMYFUNCTION("if(ISBLANK(C483),,QUERY(MD!$A$2:$D$1000,""Select B where C = '""&amp; C483 &amp;""'""))"),"")</f>
        <v/>
      </c>
      <c r="F483" s="5">
        <f t="shared" ca="1" si="2"/>
        <v>0</v>
      </c>
      <c r="G483" s="32" t="str">
        <f ca="1">IFERROR(__xludf.DUMMYFUNCTION("if($F483&gt;=1,QUERY(Loot!$A$2:$G$904,""Select G where A = '""&amp; $E483 &amp;""' AND D &gt;= ""&amp; Q483  &amp;"" LIMIT 1""),)"),"")</f>
        <v/>
      </c>
      <c r="H483" s="61"/>
      <c r="I483" s="32" t="str">
        <f ca="1">IFERROR(__xludf.DUMMYFUNCTION("if($F483&gt;=2,QUERY(Loot!$A$2:$G$904,""Select G where A = '""&amp; $E483 &amp;""' AND D &gt;= ""&amp; R483 &amp;"" LIMIT 1""),)"),"")</f>
        <v/>
      </c>
      <c r="J483" s="61"/>
      <c r="K483" s="32" t="str">
        <f ca="1">IFERROR(__xludf.DUMMYFUNCTION("if($F483&gt;=3,QUERY(Loot!$A$2:$G$904,""Select G where A = '""&amp; $E483 &amp;""' AND D &gt;= ""&amp; S483  &amp;"" LIMIT 1""),)"),"")</f>
        <v/>
      </c>
      <c r="L483" s="61"/>
      <c r="M483" s="32" t="str">
        <f ca="1">IFERROR(__xludf.DUMMYFUNCTION("if($F483&gt;=4,QUERY(Loot!$A$2:$G$904,""Select G where A = '""&amp; $E483 &amp;""' AND D &gt;= ""&amp;T483 &amp;"" LIMIT 1""),)"),"")</f>
        <v/>
      </c>
      <c r="N483" s="61"/>
      <c r="O483" s="32" t="str">
        <f ca="1">IFERROR(__xludf.DUMMYFUNCTION("if($F483&gt;=5,QUERY(Loot!$A$2:$G$904,""Select G where A = '""&amp; $E483 &amp;""' AND D &gt;= ""&amp; U483 &amp;"" LIMIT 1""),)"),"")</f>
        <v/>
      </c>
      <c r="P483" s="61"/>
      <c r="Q483" s="62">
        <v>0.41640635987929653</v>
      </c>
      <c r="R483" s="63">
        <v>0.19287541830925647</v>
      </c>
      <c r="S483" s="63">
        <v>0.43398966761384972</v>
      </c>
      <c r="T483" s="63">
        <v>0.40274887842178952</v>
      </c>
      <c r="U483" s="63">
        <v>0.4277750395291039</v>
      </c>
    </row>
    <row r="484" spans="1:21" ht="16.2">
      <c r="A484" s="5">
        <f t="shared" ca="1" si="3"/>
        <v>483</v>
      </c>
      <c r="B484" s="5" t="str">
        <f ca="1">IFERROR(__xludf.DUMMYFUNCTION("if(ISBLANK(C484),,QUERY(MD!A485:D1483,""Select A where C = '""&amp; C484 &amp;""'""))"),"")</f>
        <v/>
      </c>
      <c r="C484" s="5"/>
      <c r="D484" s="5" t="str">
        <f ca="1">IFERROR(__xludf.DUMMYFUNCTION("if(ISBLANK(C484),,QUERY(MD!$A$2:$D$1000,""Select D where C = '""&amp; C484 &amp;""'""))"),"")</f>
        <v/>
      </c>
      <c r="E484" s="59" t="str">
        <f ca="1">IFERROR(__xludf.DUMMYFUNCTION("if(ISBLANK(C484),,QUERY(MD!$A$2:$D$1000,""Select B where C = '""&amp; C484 &amp;""'""))"),"")</f>
        <v/>
      </c>
      <c r="F484" s="5">
        <f t="shared" ca="1" si="2"/>
        <v>0</v>
      </c>
      <c r="G484" s="32" t="str">
        <f ca="1">IFERROR(__xludf.DUMMYFUNCTION("if($F484&gt;=1,QUERY(Loot!$A$2:$G$904,""Select G where A = '""&amp; $E484 &amp;""' AND D &gt;= ""&amp; Q484  &amp;"" LIMIT 1""),)"),"")</f>
        <v/>
      </c>
      <c r="H484" s="61"/>
      <c r="I484" s="32" t="str">
        <f ca="1">IFERROR(__xludf.DUMMYFUNCTION("if($F484&gt;=2,QUERY(Loot!$A$2:$G$904,""Select G where A = '""&amp; $E484 &amp;""' AND D &gt;= ""&amp; R484 &amp;"" LIMIT 1""),)"),"")</f>
        <v/>
      </c>
      <c r="J484" s="61"/>
      <c r="K484" s="32" t="str">
        <f ca="1">IFERROR(__xludf.DUMMYFUNCTION("if($F484&gt;=3,QUERY(Loot!$A$2:$G$904,""Select G where A = '""&amp; $E484 &amp;""' AND D &gt;= ""&amp; S484  &amp;"" LIMIT 1""),)"),"")</f>
        <v/>
      </c>
      <c r="L484" s="61"/>
      <c r="M484" s="32" t="str">
        <f ca="1">IFERROR(__xludf.DUMMYFUNCTION("if($F484&gt;=4,QUERY(Loot!$A$2:$G$904,""Select G where A = '""&amp; $E484 &amp;""' AND D &gt;= ""&amp;T484 &amp;"" LIMIT 1""),)"),"")</f>
        <v/>
      </c>
      <c r="N484" s="61"/>
      <c r="O484" s="32" t="str">
        <f ca="1">IFERROR(__xludf.DUMMYFUNCTION("if($F484&gt;=5,QUERY(Loot!$A$2:$G$904,""Select G where A = '""&amp; $E484 &amp;""' AND D &gt;= ""&amp; U484 &amp;"" LIMIT 1""),)"),"")</f>
        <v/>
      </c>
      <c r="P484" s="61"/>
      <c r="Q484" s="62">
        <v>0.41775908474915846</v>
      </c>
      <c r="R484" s="63">
        <v>0.30039932847725448</v>
      </c>
      <c r="S484" s="63">
        <v>0.1706355668650289</v>
      </c>
      <c r="T484" s="63">
        <v>5.3370301211317028E-2</v>
      </c>
      <c r="U484" s="63">
        <v>0.86153671348476446</v>
      </c>
    </row>
    <row r="485" spans="1:21" ht="16.2">
      <c r="A485" s="5">
        <f t="shared" ca="1" si="3"/>
        <v>484</v>
      </c>
      <c r="B485" s="5" t="str">
        <f ca="1">IFERROR(__xludf.DUMMYFUNCTION("if(ISBLANK(C485),,QUERY(MD!A486:D1484,""Select A where C = '""&amp; C485 &amp;""'""))"),"")</f>
        <v/>
      </c>
      <c r="C485" s="5"/>
      <c r="D485" s="5" t="str">
        <f ca="1">IFERROR(__xludf.DUMMYFUNCTION("if(ISBLANK(C485),,QUERY(MD!$A$2:$D$1000,""Select D where C = '""&amp; C485 &amp;""'""))"),"")</f>
        <v/>
      </c>
      <c r="E485" s="59" t="str">
        <f ca="1">IFERROR(__xludf.DUMMYFUNCTION("if(ISBLANK(C485),,QUERY(MD!$A$2:$D$1000,""Select B where C = '""&amp; C485 &amp;""'""))"),"")</f>
        <v/>
      </c>
      <c r="F485" s="5">
        <f t="shared" ca="1" si="2"/>
        <v>0</v>
      </c>
      <c r="G485" s="32" t="str">
        <f ca="1">IFERROR(__xludf.DUMMYFUNCTION("if($F485&gt;=1,QUERY(Loot!$A$2:$G$904,""Select G where A = '""&amp; $E485 &amp;""' AND D &gt;= ""&amp; Q485  &amp;"" LIMIT 1""),)"),"")</f>
        <v/>
      </c>
      <c r="H485" s="61"/>
      <c r="I485" s="32" t="str">
        <f ca="1">IFERROR(__xludf.DUMMYFUNCTION("if($F485&gt;=2,QUERY(Loot!$A$2:$G$904,""Select G where A = '""&amp; $E485 &amp;""' AND D &gt;= ""&amp; R485 &amp;"" LIMIT 1""),)"),"")</f>
        <v/>
      </c>
      <c r="J485" s="61"/>
      <c r="K485" s="32" t="str">
        <f ca="1">IFERROR(__xludf.DUMMYFUNCTION("if($F485&gt;=3,QUERY(Loot!$A$2:$G$904,""Select G where A = '""&amp; $E485 &amp;""' AND D &gt;= ""&amp; S485  &amp;"" LIMIT 1""),)"),"")</f>
        <v/>
      </c>
      <c r="L485" s="61"/>
      <c r="M485" s="32" t="str">
        <f ca="1">IFERROR(__xludf.DUMMYFUNCTION("if($F485&gt;=4,QUERY(Loot!$A$2:$G$904,""Select G where A = '""&amp; $E485 &amp;""' AND D &gt;= ""&amp;T485 &amp;"" LIMIT 1""),)"),"")</f>
        <v/>
      </c>
      <c r="N485" s="61"/>
      <c r="O485" s="32" t="str">
        <f ca="1">IFERROR(__xludf.DUMMYFUNCTION("if($F485&gt;=5,QUERY(Loot!$A$2:$G$904,""Select G where A = '""&amp; $E485 &amp;""' AND D &gt;= ""&amp; U485 &amp;"" LIMIT 1""),)"),"")</f>
        <v/>
      </c>
      <c r="P485" s="61"/>
      <c r="Q485" s="62">
        <v>0.38065692069454971</v>
      </c>
      <c r="R485" s="63">
        <v>0.46061445167007831</v>
      </c>
      <c r="S485" s="63">
        <v>0.32189327135318457</v>
      </c>
      <c r="T485" s="63">
        <v>0.92393854143349985</v>
      </c>
      <c r="U485" s="63">
        <v>0.61269096545854407</v>
      </c>
    </row>
    <row r="486" spans="1:21" ht="16.2">
      <c r="A486" s="5">
        <f t="shared" ca="1" si="3"/>
        <v>485</v>
      </c>
      <c r="B486" s="5" t="str">
        <f ca="1">IFERROR(__xludf.DUMMYFUNCTION("if(ISBLANK(C486),,QUERY(MD!A487:D1485,""Select A where C = '""&amp; C486 &amp;""'""))"),"")</f>
        <v/>
      </c>
      <c r="C486" s="5"/>
      <c r="D486" s="5" t="str">
        <f ca="1">IFERROR(__xludf.DUMMYFUNCTION("if(ISBLANK(C486),,QUERY(MD!$A$2:$D$1000,""Select D where C = '""&amp; C486 &amp;""'""))"),"")</f>
        <v/>
      </c>
      <c r="E486" s="59" t="str">
        <f ca="1">IFERROR(__xludf.DUMMYFUNCTION("if(ISBLANK(C486),,QUERY(MD!$A$2:$D$1000,""Select B where C = '""&amp; C486 &amp;""'""))"),"")</f>
        <v/>
      </c>
      <c r="F486" s="5">
        <f t="shared" ca="1" si="2"/>
        <v>0</v>
      </c>
      <c r="G486" s="32" t="str">
        <f ca="1">IFERROR(__xludf.DUMMYFUNCTION("if($F486&gt;=1,QUERY(Loot!$A$2:$G$904,""Select G where A = '""&amp; $E486 &amp;""' AND D &gt;= ""&amp; Q486  &amp;"" LIMIT 1""),)"),"")</f>
        <v/>
      </c>
      <c r="H486" s="61"/>
      <c r="I486" s="32" t="str">
        <f ca="1">IFERROR(__xludf.DUMMYFUNCTION("if($F486&gt;=2,QUERY(Loot!$A$2:$G$904,""Select G where A = '""&amp; $E486 &amp;""' AND D &gt;= ""&amp; R486 &amp;"" LIMIT 1""),)"),"")</f>
        <v/>
      </c>
      <c r="J486" s="61"/>
      <c r="K486" s="32" t="str">
        <f ca="1">IFERROR(__xludf.DUMMYFUNCTION("if($F486&gt;=3,QUERY(Loot!$A$2:$G$904,""Select G where A = '""&amp; $E486 &amp;""' AND D &gt;= ""&amp; S486  &amp;"" LIMIT 1""),)"),"")</f>
        <v/>
      </c>
      <c r="L486" s="61"/>
      <c r="M486" s="32" t="str">
        <f ca="1">IFERROR(__xludf.DUMMYFUNCTION("if($F486&gt;=4,QUERY(Loot!$A$2:$G$904,""Select G where A = '""&amp; $E486 &amp;""' AND D &gt;= ""&amp;T486 &amp;"" LIMIT 1""),)"),"")</f>
        <v/>
      </c>
      <c r="N486" s="61"/>
      <c r="O486" s="32" t="str">
        <f ca="1">IFERROR(__xludf.DUMMYFUNCTION("if($F486&gt;=5,QUERY(Loot!$A$2:$G$904,""Select G where A = '""&amp; $E486 &amp;""' AND D &gt;= ""&amp; U486 &amp;"" LIMIT 1""),)"),"")</f>
        <v/>
      </c>
      <c r="P486" s="61"/>
      <c r="Q486" s="62">
        <v>0.54769979678971059</v>
      </c>
      <c r="R486" s="63">
        <v>0.64217293049042701</v>
      </c>
      <c r="S486" s="63">
        <v>0.41082308254699729</v>
      </c>
      <c r="T486" s="63">
        <v>0.61604666833729627</v>
      </c>
      <c r="U486" s="63">
        <v>0.92436169007168967</v>
      </c>
    </row>
    <row r="487" spans="1:21" ht="16.2">
      <c r="A487" s="5">
        <f t="shared" ca="1" si="3"/>
        <v>486</v>
      </c>
      <c r="B487" s="5" t="str">
        <f ca="1">IFERROR(__xludf.DUMMYFUNCTION("if(ISBLANK(C487),,QUERY(MD!A488:D1486,""Select A where C = '""&amp; C487 &amp;""'""))"),"")</f>
        <v/>
      </c>
      <c r="C487" s="5"/>
      <c r="D487" s="5" t="str">
        <f ca="1">IFERROR(__xludf.DUMMYFUNCTION("if(ISBLANK(C487),,QUERY(MD!$A$2:$D$1000,""Select D where C = '""&amp; C487 &amp;""'""))"),"")</f>
        <v/>
      </c>
      <c r="E487" s="59" t="str">
        <f ca="1">IFERROR(__xludf.DUMMYFUNCTION("if(ISBLANK(C487),,QUERY(MD!$A$2:$D$1000,""Select B where C = '""&amp; C487 &amp;""'""))"),"")</f>
        <v/>
      </c>
      <c r="F487" s="5">
        <f t="shared" ca="1" si="2"/>
        <v>0</v>
      </c>
      <c r="G487" s="32" t="str">
        <f ca="1">IFERROR(__xludf.DUMMYFUNCTION("if($F487&gt;=1,QUERY(Loot!$A$2:$G$904,""Select G where A = '""&amp; $E487 &amp;""' AND D &gt;= ""&amp; Q487  &amp;"" LIMIT 1""),)"),"")</f>
        <v/>
      </c>
      <c r="H487" s="61"/>
      <c r="I487" s="32" t="str">
        <f ca="1">IFERROR(__xludf.DUMMYFUNCTION("if($F487&gt;=2,QUERY(Loot!$A$2:$G$904,""Select G where A = '""&amp; $E487 &amp;""' AND D &gt;= ""&amp; R487 &amp;"" LIMIT 1""),)"),"")</f>
        <v/>
      </c>
      <c r="J487" s="61"/>
      <c r="K487" s="32" t="str">
        <f ca="1">IFERROR(__xludf.DUMMYFUNCTION("if($F487&gt;=3,QUERY(Loot!$A$2:$G$904,""Select G where A = '""&amp; $E487 &amp;""' AND D &gt;= ""&amp; S487  &amp;"" LIMIT 1""),)"),"")</f>
        <v/>
      </c>
      <c r="L487" s="61"/>
      <c r="M487" s="32" t="str">
        <f ca="1">IFERROR(__xludf.DUMMYFUNCTION("if($F487&gt;=4,QUERY(Loot!$A$2:$G$904,""Select G where A = '""&amp; $E487 &amp;""' AND D &gt;= ""&amp;T487 &amp;"" LIMIT 1""),)"),"")</f>
        <v/>
      </c>
      <c r="N487" s="61"/>
      <c r="O487" s="32" t="str">
        <f ca="1">IFERROR(__xludf.DUMMYFUNCTION("if($F487&gt;=5,QUERY(Loot!$A$2:$G$904,""Select G where A = '""&amp; $E487 &amp;""' AND D &gt;= ""&amp; U487 &amp;"" LIMIT 1""),)"),"")</f>
        <v/>
      </c>
      <c r="P487" s="61"/>
      <c r="Q487" s="62">
        <v>0.38611872810634373</v>
      </c>
      <c r="R487" s="63">
        <v>0.29016754377229925</v>
      </c>
      <c r="S487" s="63">
        <v>9.352638966186122E-2</v>
      </c>
      <c r="T487" s="63">
        <v>0.85981190734253488</v>
      </c>
      <c r="U487" s="63">
        <v>7.3167916948150613E-2</v>
      </c>
    </row>
    <row r="488" spans="1:21" ht="16.2">
      <c r="A488" s="5">
        <f t="shared" ca="1" si="3"/>
        <v>487</v>
      </c>
      <c r="B488" s="5" t="str">
        <f ca="1">IFERROR(__xludf.DUMMYFUNCTION("if(ISBLANK(C488),,QUERY(MD!A489:D1487,""Select A where C = '""&amp; C488 &amp;""'""))"),"")</f>
        <v/>
      </c>
      <c r="C488" s="5"/>
      <c r="D488" s="5" t="str">
        <f ca="1">IFERROR(__xludf.DUMMYFUNCTION("if(ISBLANK(C488),,QUERY(MD!$A$2:$D$1000,""Select D where C = '""&amp; C488 &amp;""'""))"),"")</f>
        <v/>
      </c>
      <c r="E488" s="59" t="str">
        <f ca="1">IFERROR(__xludf.DUMMYFUNCTION("if(ISBLANK(C488),,QUERY(MD!$A$2:$D$1000,""Select B where C = '""&amp; C488 &amp;""'""))"),"")</f>
        <v/>
      </c>
      <c r="F488" s="5">
        <f t="shared" ca="1" si="2"/>
        <v>0</v>
      </c>
      <c r="G488" s="32" t="str">
        <f ca="1">IFERROR(__xludf.DUMMYFUNCTION("if($F488&gt;=1,QUERY(Loot!$A$2:$G$904,""Select G where A = '""&amp; $E488 &amp;""' AND D &gt;= ""&amp; Q488  &amp;"" LIMIT 1""),)"),"")</f>
        <v/>
      </c>
      <c r="H488" s="61"/>
      <c r="I488" s="32" t="str">
        <f ca="1">IFERROR(__xludf.DUMMYFUNCTION("if($F488&gt;=2,QUERY(Loot!$A$2:$G$904,""Select G where A = '""&amp; $E488 &amp;""' AND D &gt;= ""&amp; R488 &amp;"" LIMIT 1""),)"),"")</f>
        <v/>
      </c>
      <c r="J488" s="61"/>
      <c r="K488" s="32" t="str">
        <f ca="1">IFERROR(__xludf.DUMMYFUNCTION("if($F488&gt;=3,QUERY(Loot!$A$2:$G$904,""Select G where A = '""&amp; $E488 &amp;""' AND D &gt;= ""&amp; S488  &amp;"" LIMIT 1""),)"),"")</f>
        <v/>
      </c>
      <c r="L488" s="61"/>
      <c r="M488" s="32" t="str">
        <f ca="1">IFERROR(__xludf.DUMMYFUNCTION("if($F488&gt;=4,QUERY(Loot!$A$2:$G$904,""Select G where A = '""&amp; $E488 &amp;""' AND D &gt;= ""&amp;T488 &amp;"" LIMIT 1""),)"),"")</f>
        <v/>
      </c>
      <c r="N488" s="61"/>
      <c r="O488" s="32" t="str">
        <f ca="1">IFERROR(__xludf.DUMMYFUNCTION("if($F488&gt;=5,QUERY(Loot!$A$2:$G$904,""Select G where A = '""&amp; $E488 &amp;""' AND D &gt;= ""&amp; U488 &amp;"" LIMIT 1""),)"),"")</f>
        <v/>
      </c>
      <c r="P488" s="61"/>
      <c r="Q488" s="62">
        <v>0.43167101827741572</v>
      </c>
      <c r="R488" s="63">
        <v>0.56151294622462244</v>
      </c>
      <c r="S488" s="63">
        <v>0.89921698357035085</v>
      </c>
      <c r="T488" s="63">
        <v>0.46045728664222152</v>
      </c>
      <c r="U488" s="63">
        <v>0.10221818906978875</v>
      </c>
    </row>
    <row r="489" spans="1:21" ht="16.2">
      <c r="A489" s="5">
        <f t="shared" ca="1" si="3"/>
        <v>488</v>
      </c>
      <c r="B489" s="5" t="str">
        <f ca="1">IFERROR(__xludf.DUMMYFUNCTION("if(ISBLANK(C489),,QUERY(MD!A490:D1488,""Select A where C = '""&amp; C489 &amp;""'""))"),"")</f>
        <v/>
      </c>
      <c r="C489" s="5"/>
      <c r="D489" s="5" t="str">
        <f ca="1">IFERROR(__xludf.DUMMYFUNCTION("if(ISBLANK(C489),,QUERY(MD!$A$2:$D$1000,""Select D where C = '""&amp; C489 &amp;""'""))"),"")</f>
        <v/>
      </c>
      <c r="E489" s="59" t="str">
        <f ca="1">IFERROR(__xludf.DUMMYFUNCTION("if(ISBLANK(C489),,QUERY(MD!$A$2:$D$1000,""Select B where C = '""&amp; C489 &amp;""'""))"),"")</f>
        <v/>
      </c>
      <c r="F489" s="5">
        <f t="shared" ca="1" si="2"/>
        <v>0</v>
      </c>
      <c r="G489" s="32" t="str">
        <f ca="1">IFERROR(__xludf.DUMMYFUNCTION("if($F489&gt;=1,QUERY(Loot!$A$2:$G$904,""Select G where A = '""&amp; $E489 &amp;""' AND D &gt;= ""&amp; Q489  &amp;"" LIMIT 1""),)"),"")</f>
        <v/>
      </c>
      <c r="H489" s="61"/>
      <c r="I489" s="32" t="str">
        <f ca="1">IFERROR(__xludf.DUMMYFUNCTION("if($F489&gt;=2,QUERY(Loot!$A$2:$G$904,""Select G where A = '""&amp; $E489 &amp;""' AND D &gt;= ""&amp; R489 &amp;"" LIMIT 1""),)"),"")</f>
        <v/>
      </c>
      <c r="J489" s="61"/>
      <c r="K489" s="32" t="str">
        <f ca="1">IFERROR(__xludf.DUMMYFUNCTION("if($F489&gt;=3,QUERY(Loot!$A$2:$G$904,""Select G where A = '""&amp; $E489 &amp;""' AND D &gt;= ""&amp; S489  &amp;"" LIMIT 1""),)"),"")</f>
        <v/>
      </c>
      <c r="L489" s="61"/>
      <c r="M489" s="32" t="str">
        <f ca="1">IFERROR(__xludf.DUMMYFUNCTION("if($F489&gt;=4,QUERY(Loot!$A$2:$G$904,""Select G where A = '""&amp; $E489 &amp;""' AND D &gt;= ""&amp;T489 &amp;"" LIMIT 1""),)"),"")</f>
        <v/>
      </c>
      <c r="N489" s="61"/>
      <c r="O489" s="32" t="str">
        <f ca="1">IFERROR(__xludf.DUMMYFUNCTION("if($F489&gt;=5,QUERY(Loot!$A$2:$G$904,""Select G where A = '""&amp; $E489 &amp;""' AND D &gt;= ""&amp; U489 &amp;"" LIMIT 1""),)"),"")</f>
        <v/>
      </c>
      <c r="P489" s="61"/>
      <c r="Q489" s="62">
        <v>0.44806888194010142</v>
      </c>
      <c r="R489" s="63">
        <v>0.48573012233871982</v>
      </c>
      <c r="S489" s="63">
        <v>0.94548845134573756</v>
      </c>
      <c r="T489" s="63">
        <v>0.25605217642220846</v>
      </c>
      <c r="U489" s="63">
        <v>9.1068747505409609E-2</v>
      </c>
    </row>
    <row r="490" spans="1:21" ht="16.2">
      <c r="A490" s="5">
        <f t="shared" ca="1" si="3"/>
        <v>489</v>
      </c>
      <c r="B490" s="5" t="str">
        <f ca="1">IFERROR(__xludf.DUMMYFUNCTION("if(ISBLANK(C490),,QUERY(MD!A491:D1489,""Select A where C = '""&amp; C490 &amp;""'""))"),"")</f>
        <v/>
      </c>
      <c r="C490" s="5"/>
      <c r="D490" s="5" t="str">
        <f ca="1">IFERROR(__xludf.DUMMYFUNCTION("if(ISBLANK(C490),,QUERY(MD!$A$2:$D$1000,""Select D where C = '""&amp; C490 &amp;""'""))"),"")</f>
        <v/>
      </c>
      <c r="E490" s="59" t="str">
        <f ca="1">IFERROR(__xludf.DUMMYFUNCTION("if(ISBLANK(C490),,QUERY(MD!$A$2:$D$1000,""Select B where C = '""&amp; C490 &amp;""'""))"),"")</f>
        <v/>
      </c>
      <c r="F490" s="5">
        <f t="shared" ca="1" si="2"/>
        <v>0</v>
      </c>
      <c r="G490" s="32" t="str">
        <f ca="1">IFERROR(__xludf.DUMMYFUNCTION("if($F490&gt;=1,QUERY(Loot!$A$2:$G$904,""Select G where A = '""&amp; $E490 &amp;""' AND D &gt;= ""&amp; Q490  &amp;"" LIMIT 1""),)"),"")</f>
        <v/>
      </c>
      <c r="H490" s="61"/>
      <c r="I490" s="32" t="str">
        <f ca="1">IFERROR(__xludf.DUMMYFUNCTION("if($F490&gt;=2,QUERY(Loot!$A$2:$G$904,""Select G where A = '""&amp; $E490 &amp;""' AND D &gt;= ""&amp; R490 &amp;"" LIMIT 1""),)"),"")</f>
        <v/>
      </c>
      <c r="J490" s="61"/>
      <c r="K490" s="32" t="str">
        <f ca="1">IFERROR(__xludf.DUMMYFUNCTION("if($F490&gt;=3,QUERY(Loot!$A$2:$G$904,""Select G where A = '""&amp; $E490 &amp;""' AND D &gt;= ""&amp; S490  &amp;"" LIMIT 1""),)"),"")</f>
        <v/>
      </c>
      <c r="L490" s="61"/>
      <c r="M490" s="32" t="str">
        <f ca="1">IFERROR(__xludf.DUMMYFUNCTION("if($F490&gt;=4,QUERY(Loot!$A$2:$G$904,""Select G where A = '""&amp; $E490 &amp;""' AND D &gt;= ""&amp;T490 &amp;"" LIMIT 1""),)"),"")</f>
        <v/>
      </c>
      <c r="N490" s="61"/>
      <c r="O490" s="32" t="str">
        <f ca="1">IFERROR(__xludf.DUMMYFUNCTION("if($F490&gt;=5,QUERY(Loot!$A$2:$G$904,""Select G where A = '""&amp; $E490 &amp;""' AND D &gt;= ""&amp; U490 &amp;"" LIMIT 1""),)"),"")</f>
        <v/>
      </c>
      <c r="P490" s="61"/>
      <c r="Q490" s="62">
        <v>0.17046048400482372</v>
      </c>
      <c r="R490" s="63">
        <v>0.82184412014761754</v>
      </c>
      <c r="S490" s="63">
        <v>0.20635702625992525</v>
      </c>
      <c r="T490" s="63">
        <v>0.19303553870205781</v>
      </c>
      <c r="U490" s="63">
        <v>0.93897491695425539</v>
      </c>
    </row>
    <row r="491" spans="1:21" ht="16.2">
      <c r="A491" s="5">
        <f t="shared" ca="1" si="3"/>
        <v>490</v>
      </c>
      <c r="B491" s="5" t="str">
        <f ca="1">IFERROR(__xludf.DUMMYFUNCTION("if(ISBLANK(C491),,QUERY(MD!A492:D1490,""Select A where C = '""&amp; C491 &amp;""'""))"),"")</f>
        <v/>
      </c>
      <c r="C491" s="5"/>
      <c r="D491" s="5" t="str">
        <f ca="1">IFERROR(__xludf.DUMMYFUNCTION("if(ISBLANK(C491),,QUERY(MD!$A$2:$D$1000,""Select D where C = '""&amp; C491 &amp;""'""))"),"")</f>
        <v/>
      </c>
      <c r="E491" s="59" t="str">
        <f ca="1">IFERROR(__xludf.DUMMYFUNCTION("if(ISBLANK(C491),,QUERY(MD!$A$2:$D$1000,""Select B where C = '""&amp; C491 &amp;""'""))"),"")</f>
        <v/>
      </c>
      <c r="F491" s="5">
        <f t="shared" ca="1" si="2"/>
        <v>0</v>
      </c>
      <c r="G491" s="32" t="str">
        <f ca="1">IFERROR(__xludf.DUMMYFUNCTION("if($F491&gt;=1,QUERY(Loot!$A$2:$G$904,""Select G where A = '""&amp; $E491 &amp;""' AND D &gt;= ""&amp; Q491  &amp;"" LIMIT 1""),)"),"")</f>
        <v/>
      </c>
      <c r="H491" s="61"/>
      <c r="I491" s="32" t="str">
        <f ca="1">IFERROR(__xludf.DUMMYFUNCTION("if($F491&gt;=2,QUERY(Loot!$A$2:$G$904,""Select G where A = '""&amp; $E491 &amp;""' AND D &gt;= ""&amp; R491 &amp;"" LIMIT 1""),)"),"")</f>
        <v/>
      </c>
      <c r="J491" s="61"/>
      <c r="K491" s="32" t="str">
        <f ca="1">IFERROR(__xludf.DUMMYFUNCTION("if($F491&gt;=3,QUERY(Loot!$A$2:$G$904,""Select G where A = '""&amp; $E491 &amp;""' AND D &gt;= ""&amp; S491  &amp;"" LIMIT 1""),)"),"")</f>
        <v/>
      </c>
      <c r="L491" s="61"/>
      <c r="M491" s="32" t="str">
        <f ca="1">IFERROR(__xludf.DUMMYFUNCTION("if($F491&gt;=4,QUERY(Loot!$A$2:$G$904,""Select G where A = '""&amp; $E491 &amp;""' AND D &gt;= ""&amp;T491 &amp;"" LIMIT 1""),)"),"")</f>
        <v/>
      </c>
      <c r="N491" s="61"/>
      <c r="O491" s="32" t="str">
        <f ca="1">IFERROR(__xludf.DUMMYFUNCTION("if($F491&gt;=5,QUERY(Loot!$A$2:$G$904,""Select G where A = '""&amp; $E491 &amp;""' AND D &gt;= ""&amp; U491 &amp;"" LIMIT 1""),)"),"")</f>
        <v/>
      </c>
      <c r="P491" s="61"/>
      <c r="Q491" s="62">
        <v>9.3552608681331972E-2</v>
      </c>
      <c r="R491" s="63">
        <v>9.4051807849430347E-2</v>
      </c>
      <c r="S491" s="63">
        <v>0.84501631276982625</v>
      </c>
      <c r="T491" s="63">
        <v>2.7653380005859818E-2</v>
      </c>
      <c r="U491" s="63">
        <v>0.74998640471566924</v>
      </c>
    </row>
    <row r="492" spans="1:21" ht="16.2">
      <c r="A492" s="5">
        <f t="shared" ca="1" si="3"/>
        <v>491</v>
      </c>
      <c r="B492" s="5" t="str">
        <f ca="1">IFERROR(__xludf.DUMMYFUNCTION("if(ISBLANK(C492),,QUERY(MD!A493:D1491,""Select A where C = '""&amp; C492 &amp;""'""))"),"")</f>
        <v/>
      </c>
      <c r="C492" s="5"/>
      <c r="D492" s="5" t="str">
        <f ca="1">IFERROR(__xludf.DUMMYFUNCTION("if(ISBLANK(C492),,QUERY(MD!$A$2:$D$1000,""Select D where C = '""&amp; C492 &amp;""'""))"),"")</f>
        <v/>
      </c>
      <c r="E492" s="59" t="str">
        <f ca="1">IFERROR(__xludf.DUMMYFUNCTION("if(ISBLANK(C492),,QUERY(MD!$A$2:$D$1000,""Select B where C = '""&amp; C492 &amp;""'""))"),"")</f>
        <v/>
      </c>
      <c r="F492" s="5">
        <f t="shared" ca="1" si="2"/>
        <v>0</v>
      </c>
      <c r="G492" s="32" t="str">
        <f ca="1">IFERROR(__xludf.DUMMYFUNCTION("if($F492&gt;=1,QUERY(Loot!$A$2:$G$904,""Select G where A = '""&amp; $E492 &amp;""' AND D &gt;= ""&amp; Q492  &amp;"" LIMIT 1""),)"),"")</f>
        <v/>
      </c>
      <c r="H492" s="61"/>
      <c r="I492" s="32" t="str">
        <f ca="1">IFERROR(__xludf.DUMMYFUNCTION("if($F492&gt;=2,QUERY(Loot!$A$2:$G$904,""Select G where A = '""&amp; $E492 &amp;""' AND D &gt;= ""&amp; R492 &amp;"" LIMIT 1""),)"),"")</f>
        <v/>
      </c>
      <c r="J492" s="61"/>
      <c r="K492" s="32" t="str">
        <f ca="1">IFERROR(__xludf.DUMMYFUNCTION("if($F492&gt;=3,QUERY(Loot!$A$2:$G$904,""Select G where A = '""&amp; $E492 &amp;""' AND D &gt;= ""&amp; S492  &amp;"" LIMIT 1""),)"),"")</f>
        <v/>
      </c>
      <c r="L492" s="61"/>
      <c r="M492" s="32" t="str">
        <f ca="1">IFERROR(__xludf.DUMMYFUNCTION("if($F492&gt;=4,QUERY(Loot!$A$2:$G$904,""Select G where A = '""&amp; $E492 &amp;""' AND D &gt;= ""&amp;T492 &amp;"" LIMIT 1""),)"),"")</f>
        <v/>
      </c>
      <c r="N492" s="61"/>
      <c r="O492" s="32" t="str">
        <f ca="1">IFERROR(__xludf.DUMMYFUNCTION("if($F492&gt;=5,QUERY(Loot!$A$2:$G$904,""Select G where A = '""&amp; $E492 &amp;""' AND D &gt;= ""&amp; U492 &amp;"" LIMIT 1""),)"),"")</f>
        <v/>
      </c>
      <c r="P492" s="61"/>
      <c r="Q492" s="62">
        <v>0.67995002341474053</v>
      </c>
      <c r="R492" s="63">
        <v>0.31874664553578236</v>
      </c>
      <c r="S492" s="63">
        <v>0.22919638405881715</v>
      </c>
      <c r="T492" s="63">
        <v>0.63071981649767506</v>
      </c>
      <c r="U492" s="63">
        <v>0.37803922502830112</v>
      </c>
    </row>
    <row r="493" spans="1:21" ht="16.2">
      <c r="A493" s="5">
        <f t="shared" ca="1" si="3"/>
        <v>492</v>
      </c>
      <c r="B493" s="5" t="str">
        <f ca="1">IFERROR(__xludf.DUMMYFUNCTION("if(ISBLANK(C493),,QUERY(MD!A494:D1492,""Select A where C = '""&amp; C493 &amp;""'""))"),"")</f>
        <v/>
      </c>
      <c r="C493" s="5"/>
      <c r="D493" s="5" t="str">
        <f ca="1">IFERROR(__xludf.DUMMYFUNCTION("if(ISBLANK(C493),,QUERY(MD!$A$2:$D$1000,""Select D where C = '""&amp; C493 &amp;""'""))"),"")</f>
        <v/>
      </c>
      <c r="E493" s="59" t="str">
        <f ca="1">IFERROR(__xludf.DUMMYFUNCTION("if(ISBLANK(C493),,QUERY(MD!$A$2:$D$1000,""Select B where C = '""&amp; C493 &amp;""'""))"),"")</f>
        <v/>
      </c>
      <c r="F493" s="5">
        <f t="shared" ca="1" si="2"/>
        <v>0</v>
      </c>
      <c r="G493" s="32" t="str">
        <f ca="1">IFERROR(__xludf.DUMMYFUNCTION("if($F493&gt;=1,QUERY(Loot!$A$2:$G$904,""Select G where A = '""&amp; $E493 &amp;""' AND D &gt;= ""&amp; Q493  &amp;"" LIMIT 1""),)"),"")</f>
        <v/>
      </c>
      <c r="H493" s="61"/>
      <c r="I493" s="32" t="str">
        <f ca="1">IFERROR(__xludf.DUMMYFUNCTION("if($F493&gt;=2,QUERY(Loot!$A$2:$G$904,""Select G where A = '""&amp; $E493 &amp;""' AND D &gt;= ""&amp; R493 &amp;"" LIMIT 1""),)"),"")</f>
        <v/>
      </c>
      <c r="J493" s="61"/>
      <c r="K493" s="32" t="str">
        <f ca="1">IFERROR(__xludf.DUMMYFUNCTION("if($F493&gt;=3,QUERY(Loot!$A$2:$G$904,""Select G where A = '""&amp; $E493 &amp;""' AND D &gt;= ""&amp; S493  &amp;"" LIMIT 1""),)"),"")</f>
        <v/>
      </c>
      <c r="L493" s="61"/>
      <c r="M493" s="32" t="str">
        <f ca="1">IFERROR(__xludf.DUMMYFUNCTION("if($F493&gt;=4,QUERY(Loot!$A$2:$G$904,""Select G where A = '""&amp; $E493 &amp;""' AND D &gt;= ""&amp;T493 &amp;"" LIMIT 1""),)"),"")</f>
        <v/>
      </c>
      <c r="N493" s="61"/>
      <c r="O493" s="32" t="str">
        <f ca="1">IFERROR(__xludf.DUMMYFUNCTION("if($F493&gt;=5,QUERY(Loot!$A$2:$G$904,""Select G where A = '""&amp; $E493 &amp;""' AND D &gt;= ""&amp; U493 &amp;"" LIMIT 1""),)"),"")</f>
        <v/>
      </c>
      <c r="P493" s="61"/>
      <c r="Q493" s="62">
        <v>0.44451693743590914</v>
      </c>
      <c r="R493" s="63">
        <v>9.3809088580963595E-2</v>
      </c>
      <c r="S493" s="63">
        <v>0.26855996958489869</v>
      </c>
      <c r="T493" s="63">
        <v>0.12048780089114353</v>
      </c>
      <c r="U493" s="63">
        <v>0.5415679786066484</v>
      </c>
    </row>
    <row r="494" spans="1:21" ht="16.2">
      <c r="A494" s="5">
        <f t="shared" ca="1" si="3"/>
        <v>493</v>
      </c>
      <c r="B494" s="5" t="str">
        <f ca="1">IFERROR(__xludf.DUMMYFUNCTION("if(ISBLANK(C494),,QUERY(MD!A495:D1493,""Select A where C = '""&amp; C494 &amp;""'""))"),"")</f>
        <v/>
      </c>
      <c r="C494" s="5"/>
      <c r="D494" s="5" t="str">
        <f ca="1">IFERROR(__xludf.DUMMYFUNCTION("if(ISBLANK(C494),,QUERY(MD!$A$2:$D$1000,""Select D where C = '""&amp; C494 &amp;""'""))"),"")</f>
        <v/>
      </c>
      <c r="E494" s="59" t="str">
        <f ca="1">IFERROR(__xludf.DUMMYFUNCTION("if(ISBLANK(C494),,QUERY(MD!$A$2:$D$1000,""Select B where C = '""&amp; C494 &amp;""'""))"),"")</f>
        <v/>
      </c>
      <c r="F494" s="5">
        <f t="shared" ca="1" si="2"/>
        <v>0</v>
      </c>
      <c r="G494" s="32" t="str">
        <f ca="1">IFERROR(__xludf.DUMMYFUNCTION("if($F494&gt;=1,QUERY(Loot!$A$2:$G$904,""Select G where A = '""&amp; $E494 &amp;""' AND D &gt;= ""&amp; Q494  &amp;"" LIMIT 1""),)"),"")</f>
        <v/>
      </c>
      <c r="H494" s="61"/>
      <c r="I494" s="32" t="str">
        <f ca="1">IFERROR(__xludf.DUMMYFUNCTION("if($F494&gt;=2,QUERY(Loot!$A$2:$G$904,""Select G where A = '""&amp; $E494 &amp;""' AND D &gt;= ""&amp; R494 &amp;"" LIMIT 1""),)"),"")</f>
        <v/>
      </c>
      <c r="J494" s="61"/>
      <c r="K494" s="32" t="str">
        <f ca="1">IFERROR(__xludf.DUMMYFUNCTION("if($F494&gt;=3,QUERY(Loot!$A$2:$G$904,""Select G where A = '""&amp; $E494 &amp;""' AND D &gt;= ""&amp; S494  &amp;"" LIMIT 1""),)"),"")</f>
        <v/>
      </c>
      <c r="L494" s="61"/>
      <c r="M494" s="32" t="str">
        <f ca="1">IFERROR(__xludf.DUMMYFUNCTION("if($F494&gt;=4,QUERY(Loot!$A$2:$G$904,""Select G where A = '""&amp; $E494 &amp;""' AND D &gt;= ""&amp;T494 &amp;"" LIMIT 1""),)"),"")</f>
        <v/>
      </c>
      <c r="N494" s="61"/>
      <c r="O494" s="32" t="str">
        <f ca="1">IFERROR(__xludf.DUMMYFUNCTION("if($F494&gt;=5,QUERY(Loot!$A$2:$G$904,""Select G where A = '""&amp; $E494 &amp;""' AND D &gt;= ""&amp; U494 &amp;"" LIMIT 1""),)"),"")</f>
        <v/>
      </c>
      <c r="P494" s="61"/>
      <c r="Q494" s="62">
        <v>0.62106323679102537</v>
      </c>
      <c r="R494" s="63">
        <v>0.38900419898459104</v>
      </c>
      <c r="S494" s="63">
        <v>0.59908692658205209</v>
      </c>
      <c r="T494" s="63">
        <v>0.54850740505257922</v>
      </c>
      <c r="U494" s="63">
        <v>7.1645894636136465E-3</v>
      </c>
    </row>
    <row r="495" spans="1:21" ht="16.2">
      <c r="A495" s="5">
        <f t="shared" ca="1" si="3"/>
        <v>494</v>
      </c>
      <c r="B495" s="5" t="str">
        <f ca="1">IFERROR(__xludf.DUMMYFUNCTION("if(ISBLANK(C495),,QUERY(MD!A496:D1494,""Select A where C = '""&amp; C495 &amp;""'""))"),"")</f>
        <v/>
      </c>
      <c r="C495" s="5"/>
      <c r="D495" s="5" t="str">
        <f ca="1">IFERROR(__xludf.DUMMYFUNCTION("if(ISBLANK(C495),,QUERY(MD!$A$2:$D$1000,""Select D where C = '""&amp; C495 &amp;""'""))"),"")</f>
        <v/>
      </c>
      <c r="E495" s="59" t="str">
        <f ca="1">IFERROR(__xludf.DUMMYFUNCTION("if(ISBLANK(C495),,QUERY(MD!$A$2:$D$1000,""Select B where C = '""&amp; C495 &amp;""'""))"),"")</f>
        <v/>
      </c>
      <c r="F495" s="5">
        <f t="shared" ca="1" si="2"/>
        <v>0</v>
      </c>
      <c r="G495" s="32" t="str">
        <f ca="1">IFERROR(__xludf.DUMMYFUNCTION("if($F495&gt;=1,QUERY(Loot!$A$2:$G$904,""Select G where A = '""&amp; $E495 &amp;""' AND D &gt;= ""&amp; Q495  &amp;"" LIMIT 1""),)"),"")</f>
        <v/>
      </c>
      <c r="H495" s="61"/>
      <c r="I495" s="32" t="str">
        <f ca="1">IFERROR(__xludf.DUMMYFUNCTION("if($F495&gt;=2,QUERY(Loot!$A$2:$G$904,""Select G where A = '""&amp; $E495 &amp;""' AND D &gt;= ""&amp; R495 &amp;"" LIMIT 1""),)"),"")</f>
        <v/>
      </c>
      <c r="J495" s="61"/>
      <c r="K495" s="32" t="str">
        <f ca="1">IFERROR(__xludf.DUMMYFUNCTION("if($F495&gt;=3,QUERY(Loot!$A$2:$G$904,""Select G where A = '""&amp; $E495 &amp;""' AND D &gt;= ""&amp; S495  &amp;"" LIMIT 1""),)"),"")</f>
        <v/>
      </c>
      <c r="L495" s="61"/>
      <c r="M495" s="32" t="str">
        <f ca="1">IFERROR(__xludf.DUMMYFUNCTION("if($F495&gt;=4,QUERY(Loot!$A$2:$G$904,""Select G where A = '""&amp; $E495 &amp;""' AND D &gt;= ""&amp;T495 &amp;"" LIMIT 1""),)"),"")</f>
        <v/>
      </c>
      <c r="N495" s="61"/>
      <c r="O495" s="32" t="str">
        <f ca="1">IFERROR(__xludf.DUMMYFUNCTION("if($F495&gt;=5,QUERY(Loot!$A$2:$G$904,""Select G where A = '""&amp; $E495 &amp;""' AND D &gt;= ""&amp; U495 &amp;"" LIMIT 1""),)"),"")</f>
        <v/>
      </c>
      <c r="P495" s="61"/>
      <c r="Q495" s="62">
        <v>6.5666102685280059E-2</v>
      </c>
      <c r="R495" s="63">
        <v>0.66318767377382271</v>
      </c>
      <c r="S495" s="63">
        <v>0.21315245129355453</v>
      </c>
      <c r="T495" s="63">
        <v>0.76333045762630836</v>
      </c>
      <c r="U495" s="63">
        <v>0.88375156917359932</v>
      </c>
    </row>
    <row r="496" spans="1:21" ht="16.2">
      <c r="A496" s="5">
        <f t="shared" ca="1" si="3"/>
        <v>495</v>
      </c>
      <c r="B496" s="5" t="str">
        <f ca="1">IFERROR(__xludf.DUMMYFUNCTION("if(ISBLANK(C496),,QUERY(MD!A497:D1495,""Select A where C = '""&amp; C496 &amp;""'""))"),"")</f>
        <v/>
      </c>
      <c r="C496" s="5"/>
      <c r="D496" s="5" t="str">
        <f ca="1">IFERROR(__xludf.DUMMYFUNCTION("if(ISBLANK(C496),,QUERY(MD!$A$2:$D$1000,""Select D where C = '""&amp; C496 &amp;""'""))"),"")</f>
        <v/>
      </c>
      <c r="E496" s="59" t="str">
        <f ca="1">IFERROR(__xludf.DUMMYFUNCTION("if(ISBLANK(C496),,QUERY(MD!$A$2:$D$1000,""Select B where C = '""&amp; C496 &amp;""'""))"),"")</f>
        <v/>
      </c>
      <c r="F496" s="5">
        <f t="shared" ca="1" si="2"/>
        <v>0</v>
      </c>
      <c r="G496" s="32" t="str">
        <f ca="1">IFERROR(__xludf.DUMMYFUNCTION("if($F496&gt;=1,QUERY(Loot!$A$2:$G$904,""Select G where A = '""&amp; $E496 &amp;""' AND D &gt;= ""&amp; Q496  &amp;"" LIMIT 1""),)"),"")</f>
        <v/>
      </c>
      <c r="H496" s="61"/>
      <c r="I496" s="32" t="str">
        <f ca="1">IFERROR(__xludf.DUMMYFUNCTION("if($F496&gt;=2,QUERY(Loot!$A$2:$G$904,""Select G where A = '""&amp; $E496 &amp;""' AND D &gt;= ""&amp; R496 &amp;"" LIMIT 1""),)"),"")</f>
        <v/>
      </c>
      <c r="J496" s="61"/>
      <c r="K496" s="32" t="str">
        <f ca="1">IFERROR(__xludf.DUMMYFUNCTION("if($F496&gt;=3,QUERY(Loot!$A$2:$G$904,""Select G where A = '""&amp; $E496 &amp;""' AND D &gt;= ""&amp; S496  &amp;"" LIMIT 1""),)"),"")</f>
        <v/>
      </c>
      <c r="L496" s="61"/>
      <c r="M496" s="32" t="str">
        <f ca="1">IFERROR(__xludf.DUMMYFUNCTION("if($F496&gt;=4,QUERY(Loot!$A$2:$G$904,""Select G where A = '""&amp; $E496 &amp;""' AND D &gt;= ""&amp;T496 &amp;"" LIMIT 1""),)"),"")</f>
        <v/>
      </c>
      <c r="N496" s="61"/>
      <c r="O496" s="32" t="str">
        <f ca="1">IFERROR(__xludf.DUMMYFUNCTION("if($F496&gt;=5,QUERY(Loot!$A$2:$G$904,""Select G where A = '""&amp; $E496 &amp;""' AND D &gt;= ""&amp; U496 &amp;"" LIMIT 1""),)"),"")</f>
        <v/>
      </c>
      <c r="P496" s="61"/>
      <c r="Q496" s="62">
        <v>0.17079456035616902</v>
      </c>
      <c r="R496" s="63">
        <v>0.94436853452260305</v>
      </c>
      <c r="S496" s="63">
        <v>5.3207968116111615E-2</v>
      </c>
      <c r="T496" s="63">
        <v>0.84745503978215253</v>
      </c>
      <c r="U496" s="63">
        <v>0.38732848475306403</v>
      </c>
    </row>
    <row r="497" spans="1:32" ht="16.2">
      <c r="A497" s="5">
        <f t="shared" ca="1" si="3"/>
        <v>496</v>
      </c>
      <c r="B497" s="5" t="str">
        <f ca="1">IFERROR(__xludf.DUMMYFUNCTION("if(ISBLANK(C497),,QUERY(MD!A498:D1496,""Select A where C = '""&amp; C497 &amp;""'""))"),"")</f>
        <v/>
      </c>
      <c r="C497" s="5"/>
      <c r="D497" s="5" t="str">
        <f ca="1">IFERROR(__xludf.DUMMYFUNCTION("if(ISBLANK(C497),,QUERY(MD!$A$2:$D$1000,""Select D where C = '""&amp; C497 &amp;""'""))"),"")</f>
        <v/>
      </c>
      <c r="E497" s="59" t="str">
        <f ca="1">IFERROR(__xludf.DUMMYFUNCTION("if(ISBLANK(C497),,QUERY(MD!$A$2:$D$1000,""Select B where C = '""&amp; C497 &amp;""'""))"),"")</f>
        <v/>
      </c>
      <c r="F497" s="5">
        <f t="shared" ca="1" si="2"/>
        <v>0</v>
      </c>
      <c r="G497" s="32" t="str">
        <f ca="1">IFERROR(__xludf.DUMMYFUNCTION("if($F497&gt;=1,QUERY(Loot!$A$2:$G$904,""Select G where A = '""&amp; $E497 &amp;""' AND D &gt;= ""&amp; Q497  &amp;"" LIMIT 1""),)"),"")</f>
        <v/>
      </c>
      <c r="H497" s="61"/>
      <c r="I497" s="32" t="str">
        <f ca="1">IFERROR(__xludf.DUMMYFUNCTION("if($F497&gt;=2,QUERY(Loot!$A$2:$G$904,""Select G where A = '""&amp; $E497 &amp;""' AND D &gt;= ""&amp; R497 &amp;"" LIMIT 1""),)"),"")</f>
        <v/>
      </c>
      <c r="J497" s="61"/>
      <c r="K497" s="32" t="str">
        <f ca="1">IFERROR(__xludf.DUMMYFUNCTION("if($F497&gt;=3,QUERY(Loot!$A$2:$G$904,""Select G where A = '""&amp; $E497 &amp;""' AND D &gt;= ""&amp; S497  &amp;"" LIMIT 1""),)"),"")</f>
        <v/>
      </c>
      <c r="L497" s="61"/>
      <c r="M497" s="32" t="str">
        <f ca="1">IFERROR(__xludf.DUMMYFUNCTION("if($F497&gt;=4,QUERY(Loot!$A$2:$G$904,""Select G where A = '""&amp; $E497 &amp;""' AND D &gt;= ""&amp;T497 &amp;"" LIMIT 1""),)"),"")</f>
        <v/>
      </c>
      <c r="N497" s="61"/>
      <c r="O497" s="32" t="str">
        <f ca="1">IFERROR(__xludf.DUMMYFUNCTION("if($F497&gt;=5,QUERY(Loot!$A$2:$G$904,""Select G where A = '""&amp; $E497 &amp;""' AND D &gt;= ""&amp; U497 &amp;"" LIMIT 1""),)"),"")</f>
        <v/>
      </c>
      <c r="P497" s="61"/>
      <c r="Q497" s="62">
        <v>0.20288743784503327</v>
      </c>
      <c r="R497" s="63">
        <v>0.41074093898286623</v>
      </c>
      <c r="S497" s="63">
        <v>0.18218577236367683</v>
      </c>
      <c r="T497" s="63">
        <v>0.10567370055290659</v>
      </c>
      <c r="U497" s="63">
        <v>0.11375267407880751</v>
      </c>
    </row>
    <row r="498" spans="1:32" ht="16.2">
      <c r="A498" s="5">
        <f t="shared" ca="1" si="3"/>
        <v>497</v>
      </c>
      <c r="B498" s="5" t="str">
        <f ca="1">IFERROR(__xludf.DUMMYFUNCTION("if(ISBLANK(C498),,QUERY(MD!A499:D1497,""Select A where C = '""&amp; C498 &amp;""'""))"),"")</f>
        <v/>
      </c>
      <c r="C498" s="5"/>
      <c r="D498" s="5" t="str">
        <f ca="1">IFERROR(__xludf.DUMMYFUNCTION("if(ISBLANK(C498),,QUERY(MD!$A$2:$D$1000,""Select D where C = '""&amp; C498 &amp;""'""))"),"")</f>
        <v/>
      </c>
      <c r="E498" s="59" t="str">
        <f ca="1">IFERROR(__xludf.DUMMYFUNCTION("if(ISBLANK(C498),,QUERY(MD!$A$2:$D$1000,""Select B where C = '""&amp; C498 &amp;""'""))"),"")</f>
        <v/>
      </c>
      <c r="F498" s="5">
        <f t="shared" ca="1" si="2"/>
        <v>0</v>
      </c>
      <c r="G498" s="32" t="str">
        <f ca="1">IFERROR(__xludf.DUMMYFUNCTION("if($F498&gt;=1,QUERY(Loot!$A$2:$G$904,""Select G where A = '""&amp; $E498 &amp;""' AND D &gt;= ""&amp; Q498  &amp;"" LIMIT 1""),)"),"")</f>
        <v/>
      </c>
      <c r="H498" s="61"/>
      <c r="I498" s="32" t="str">
        <f ca="1">IFERROR(__xludf.DUMMYFUNCTION("if($F498&gt;=2,QUERY(Loot!$A$2:$G$904,""Select G where A = '""&amp; $E498 &amp;""' AND D &gt;= ""&amp; R498 &amp;"" LIMIT 1""),)"),"")</f>
        <v/>
      </c>
      <c r="J498" s="61"/>
      <c r="K498" s="32" t="str">
        <f ca="1">IFERROR(__xludf.DUMMYFUNCTION("if($F498&gt;=3,QUERY(Loot!$A$2:$G$904,""Select G where A = '""&amp; $E498 &amp;""' AND D &gt;= ""&amp; S498  &amp;"" LIMIT 1""),)"),"")</f>
        <v/>
      </c>
      <c r="L498" s="61"/>
      <c r="M498" s="32" t="str">
        <f ca="1">IFERROR(__xludf.DUMMYFUNCTION("if($F498&gt;=4,QUERY(Loot!$A$2:$G$904,""Select G where A = '""&amp; $E498 &amp;""' AND D &gt;= ""&amp;T498 &amp;"" LIMIT 1""),)"),"")</f>
        <v/>
      </c>
      <c r="N498" s="61"/>
      <c r="O498" s="32" t="str">
        <f ca="1">IFERROR(__xludf.DUMMYFUNCTION("if($F498&gt;=5,QUERY(Loot!$A$2:$G$904,""Select G where A = '""&amp; $E498 &amp;""' AND D &gt;= ""&amp; U498 &amp;"" LIMIT 1""),)"),"")</f>
        <v/>
      </c>
      <c r="P498" s="61"/>
      <c r="Q498" s="62">
        <v>9.4618698936514201E-2</v>
      </c>
      <c r="R498" s="63">
        <v>0.62882204338532821</v>
      </c>
      <c r="S498" s="63">
        <v>2.1474614632939759E-2</v>
      </c>
      <c r="T498" s="63">
        <v>0.31995382644025672</v>
      </c>
      <c r="U498" s="63">
        <v>0.21141832678167027</v>
      </c>
    </row>
    <row r="499" spans="1:32" ht="16.2">
      <c r="A499" s="5">
        <f t="shared" ca="1" si="3"/>
        <v>498</v>
      </c>
      <c r="B499" s="5" t="str">
        <f ca="1">IFERROR(__xludf.DUMMYFUNCTION("if(ISBLANK(C499),,QUERY(MD!A500:D1498,""Select A where C = '""&amp; C499 &amp;""'""))"),"")</f>
        <v/>
      </c>
      <c r="C499" s="5"/>
      <c r="D499" s="5" t="str">
        <f ca="1">IFERROR(__xludf.DUMMYFUNCTION("if(ISBLANK(C499),,QUERY(MD!$A$2:$D$1000,""Select D where C = '""&amp; C499 &amp;""'""))"),"")</f>
        <v/>
      </c>
      <c r="E499" s="59" t="str">
        <f ca="1">IFERROR(__xludf.DUMMYFUNCTION("if(ISBLANK(C499),,QUERY(MD!$A$2:$D$1000,""Select B where C = '""&amp; C499 &amp;""'""))"),"")</f>
        <v/>
      </c>
      <c r="F499" s="5">
        <f t="shared" ca="1" si="2"/>
        <v>0</v>
      </c>
      <c r="G499" s="32" t="str">
        <f ca="1">IFERROR(__xludf.DUMMYFUNCTION("if($F499&gt;=1,QUERY(Loot!$A$2:$G$904,""Select G where A = '""&amp; $E499 &amp;""' AND D &gt;= ""&amp; Q499  &amp;"" LIMIT 1""),)"),"")</f>
        <v/>
      </c>
      <c r="H499" s="61"/>
      <c r="I499" s="32" t="str">
        <f ca="1">IFERROR(__xludf.DUMMYFUNCTION("if($F499&gt;=2,QUERY(Loot!$A$2:$G$904,""Select G where A = '""&amp; $E499 &amp;""' AND D &gt;= ""&amp; R499 &amp;"" LIMIT 1""),)"),"")</f>
        <v/>
      </c>
      <c r="J499" s="61"/>
      <c r="K499" s="32" t="str">
        <f ca="1">IFERROR(__xludf.DUMMYFUNCTION("if($F499&gt;=3,QUERY(Loot!$A$2:$G$904,""Select G where A = '""&amp; $E499 &amp;""' AND D &gt;= ""&amp; S499  &amp;"" LIMIT 1""),)"),"")</f>
        <v/>
      </c>
      <c r="L499" s="61"/>
      <c r="M499" s="32" t="str">
        <f ca="1">IFERROR(__xludf.DUMMYFUNCTION("if($F499&gt;=4,QUERY(Loot!$A$2:$G$904,""Select G where A = '""&amp; $E499 &amp;""' AND D &gt;= ""&amp;T499 &amp;"" LIMIT 1""),)"),"")</f>
        <v/>
      </c>
      <c r="N499" s="61"/>
      <c r="O499" s="32" t="str">
        <f ca="1">IFERROR(__xludf.DUMMYFUNCTION("if($F499&gt;=5,QUERY(Loot!$A$2:$G$904,""Select G where A = '""&amp; $E499 &amp;""' AND D &gt;= ""&amp; U499 &amp;"" LIMIT 1""),)"),"")</f>
        <v/>
      </c>
      <c r="P499" s="61"/>
      <c r="Q499" s="62">
        <v>0.30473122013073906</v>
      </c>
      <c r="R499" s="63">
        <v>0.53925022287095203</v>
      </c>
      <c r="S499" s="63">
        <v>0.96497586098505883</v>
      </c>
      <c r="T499" s="63">
        <v>0.39677668240475217</v>
      </c>
      <c r="U499" s="63">
        <v>0.71508250285667185</v>
      </c>
    </row>
    <row r="500" spans="1:32" ht="13.2">
      <c r="A500" s="5">
        <f t="shared" ca="1" si="3"/>
        <v>499</v>
      </c>
      <c r="B500" s="5" t="str">
        <f ca="1">IFERROR(__xludf.DUMMYFUNCTION("if(ISBLANK(C500),,QUERY(MD!A501:D1499,""Select A where C = '""&amp; C500 &amp;""'""))"),"")</f>
        <v/>
      </c>
      <c r="C500" s="22"/>
      <c r="D500" s="7"/>
      <c r="E500" s="64"/>
      <c r="F500" s="22"/>
      <c r="G500" s="27"/>
      <c r="H500" s="61"/>
      <c r="I500" s="27"/>
      <c r="J500" s="61"/>
      <c r="K500" s="27"/>
      <c r="L500" s="61"/>
      <c r="M500" s="27"/>
      <c r="N500" s="61"/>
      <c r="O500" s="27"/>
      <c r="P500" s="61"/>
      <c r="Q500" s="65"/>
      <c r="R500" s="66"/>
      <c r="S500" s="66"/>
      <c r="T500" s="66"/>
      <c r="U500" s="66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ht="13.2">
      <c r="A501" s="5">
        <f t="shared" ca="1" si="3"/>
        <v>500</v>
      </c>
      <c r="B501" s="5" t="str">
        <f ca="1">IFERROR(__xludf.DUMMYFUNCTION("if(ISBLANK(C501),,QUERY(MD!A502:D1500,""Select A where C = '""&amp; C501 &amp;""'""))"),"")</f>
        <v/>
      </c>
      <c r="C501" s="5"/>
      <c r="E501" s="49"/>
      <c r="F501" s="5"/>
      <c r="G501" s="32"/>
      <c r="H501" s="61"/>
      <c r="I501" s="32"/>
      <c r="J501" s="61"/>
      <c r="K501" s="32"/>
      <c r="L501" s="61"/>
      <c r="M501" s="32"/>
      <c r="N501" s="61"/>
      <c r="O501" s="32"/>
      <c r="P501" s="61"/>
      <c r="Q501" s="62"/>
      <c r="R501" s="63"/>
      <c r="S501" s="63"/>
      <c r="T501" s="63"/>
      <c r="U501" s="63"/>
    </row>
    <row r="502" spans="1:32" ht="13.2">
      <c r="A502" s="5">
        <f t="shared" ca="1" si="3"/>
        <v>501</v>
      </c>
      <c r="B502" s="5" t="str">
        <f ca="1">IFERROR(__xludf.DUMMYFUNCTION("if(ISBLANK(C502),,QUERY(MD!A503:D1501,""Select A where C = '""&amp; C502 &amp;""'""))"),"")</f>
        <v/>
      </c>
      <c r="C502" s="5"/>
      <c r="E502" s="49"/>
      <c r="F502" s="5"/>
      <c r="G502" s="32"/>
      <c r="H502" s="61"/>
      <c r="I502" s="32"/>
      <c r="J502" s="61"/>
      <c r="K502" s="32"/>
      <c r="L502" s="61"/>
      <c r="M502" s="32"/>
      <c r="N502" s="61"/>
      <c r="O502" s="32"/>
      <c r="P502" s="61"/>
      <c r="Q502" s="62"/>
      <c r="R502" s="63"/>
      <c r="S502" s="63"/>
      <c r="T502" s="63"/>
      <c r="U502" s="63"/>
    </row>
    <row r="503" spans="1:32" ht="13.2">
      <c r="A503" s="5">
        <f t="shared" ca="1" si="3"/>
        <v>502</v>
      </c>
      <c r="B503" s="5" t="str">
        <f ca="1">IFERROR(__xludf.DUMMYFUNCTION("if(ISBLANK(C503),,QUERY(MD!A504:D1502,""Select A where C = '""&amp; C503 &amp;""'""))"),"")</f>
        <v/>
      </c>
      <c r="C503" s="5"/>
      <c r="E503" s="49"/>
      <c r="F503" s="5"/>
      <c r="G503" s="32"/>
      <c r="H503" s="61"/>
      <c r="I503" s="32"/>
      <c r="J503" s="61"/>
      <c r="K503" s="32"/>
      <c r="L503" s="61"/>
      <c r="M503" s="32"/>
      <c r="N503" s="61"/>
      <c r="O503" s="32"/>
      <c r="P503" s="61"/>
      <c r="Q503" s="62"/>
      <c r="R503" s="63"/>
      <c r="S503" s="63"/>
      <c r="T503" s="63"/>
      <c r="U503" s="63"/>
    </row>
    <row r="504" spans="1:32" ht="13.2">
      <c r="A504" s="5">
        <f t="shared" ca="1" si="3"/>
        <v>503</v>
      </c>
      <c r="B504" s="5" t="str">
        <f ca="1">IFERROR(__xludf.DUMMYFUNCTION("if(ISBLANK(C504),,QUERY(MD!A505:D1503,""Select A where C = '""&amp; C504 &amp;""'""))"),"")</f>
        <v/>
      </c>
      <c r="C504" s="5"/>
      <c r="E504" s="49"/>
      <c r="F504" s="5"/>
      <c r="G504" s="32"/>
      <c r="H504" s="61"/>
      <c r="I504" s="32"/>
      <c r="J504" s="61"/>
      <c r="K504" s="32"/>
      <c r="L504" s="61"/>
      <c r="M504" s="32"/>
      <c r="N504" s="61"/>
      <c r="O504" s="32"/>
      <c r="P504" s="61"/>
      <c r="Q504" s="62"/>
      <c r="R504" s="63"/>
      <c r="S504" s="63"/>
      <c r="T504" s="63"/>
      <c r="U504" s="63"/>
    </row>
    <row r="505" spans="1:32" ht="13.2">
      <c r="A505" s="5">
        <f t="shared" ca="1" si="3"/>
        <v>504</v>
      </c>
      <c r="B505" s="5" t="str">
        <f ca="1">IFERROR(__xludf.DUMMYFUNCTION("if(ISBLANK(C505),,QUERY(MD!A506:D1504,""Select A where C = '""&amp; C505 &amp;""'""))"),"")</f>
        <v/>
      </c>
      <c r="C505" s="5"/>
      <c r="E505" s="49"/>
      <c r="F505" s="5"/>
      <c r="G505" s="32"/>
      <c r="H505" s="61"/>
      <c r="I505" s="32"/>
      <c r="J505" s="61"/>
      <c r="K505" s="32"/>
      <c r="L505" s="61"/>
      <c r="M505" s="32"/>
      <c r="N505" s="61"/>
      <c r="O505" s="32"/>
      <c r="P505" s="61"/>
      <c r="Q505" s="62"/>
      <c r="R505" s="63"/>
      <c r="S505" s="63"/>
      <c r="T505" s="63"/>
      <c r="U505" s="63"/>
    </row>
    <row r="506" spans="1:32" ht="13.2">
      <c r="A506" s="5">
        <f t="shared" ca="1" si="3"/>
        <v>505</v>
      </c>
      <c r="B506" s="5" t="str">
        <f ca="1">IFERROR(__xludf.DUMMYFUNCTION("if(ISBLANK(C506),,QUERY(MD!A507:D1505,""Select A where C = '""&amp; C506 &amp;""'""))"),"")</f>
        <v/>
      </c>
      <c r="C506" s="5"/>
      <c r="E506" s="49"/>
      <c r="F506" s="5"/>
      <c r="G506" s="32"/>
      <c r="H506" s="61"/>
      <c r="I506" s="32"/>
      <c r="J506" s="61"/>
      <c r="K506" s="32"/>
      <c r="L506" s="61"/>
      <c r="M506" s="32"/>
      <c r="N506" s="61"/>
      <c r="O506" s="32"/>
      <c r="P506" s="61"/>
      <c r="Q506" s="62"/>
      <c r="R506" s="63"/>
      <c r="S506" s="63"/>
      <c r="T506" s="63"/>
      <c r="U506" s="63"/>
    </row>
    <row r="507" spans="1:32" ht="13.2">
      <c r="A507" s="5">
        <f t="shared" ca="1" si="3"/>
        <v>506</v>
      </c>
      <c r="B507" s="5" t="str">
        <f ca="1">IFERROR(__xludf.DUMMYFUNCTION("if(ISBLANK(C507),,QUERY(MD!A508:D1506,""Select A where C = '""&amp; C507 &amp;""'""))"),"")</f>
        <v/>
      </c>
      <c r="C507" s="5"/>
      <c r="E507" s="49"/>
      <c r="F507" s="5"/>
      <c r="G507" s="32"/>
      <c r="H507" s="61"/>
      <c r="I507" s="32"/>
      <c r="J507" s="61"/>
      <c r="K507" s="32"/>
      <c r="L507" s="61"/>
      <c r="M507" s="32"/>
      <c r="N507" s="61"/>
      <c r="O507" s="32"/>
      <c r="P507" s="61"/>
      <c r="Q507" s="62"/>
      <c r="R507" s="63"/>
      <c r="S507" s="63"/>
      <c r="T507" s="63"/>
      <c r="U507" s="63"/>
    </row>
    <row r="508" spans="1:32" ht="13.2">
      <c r="A508" s="5">
        <f t="shared" ca="1" si="3"/>
        <v>507</v>
      </c>
      <c r="B508" s="5" t="str">
        <f ca="1">IFERROR(__xludf.DUMMYFUNCTION("if(ISBLANK(C508),,QUERY(MD!A509:D1507,""Select A where C = '""&amp; C508 &amp;""'""))"),"")</f>
        <v/>
      </c>
      <c r="C508" s="5"/>
      <c r="E508" s="49"/>
      <c r="F508" s="5"/>
      <c r="G508" s="32"/>
      <c r="H508" s="61"/>
      <c r="I508" s="32"/>
      <c r="J508" s="61"/>
      <c r="K508" s="32"/>
      <c r="L508" s="61"/>
      <c r="M508" s="32"/>
      <c r="N508" s="61"/>
      <c r="O508" s="32"/>
      <c r="P508" s="61"/>
      <c r="Q508" s="62"/>
      <c r="R508" s="63"/>
      <c r="S508" s="63"/>
      <c r="T508" s="63"/>
      <c r="U508" s="63"/>
    </row>
    <row r="509" spans="1:32" ht="13.2">
      <c r="A509" s="5">
        <f t="shared" ca="1" si="3"/>
        <v>508</v>
      </c>
      <c r="B509" s="5" t="str">
        <f ca="1">IFERROR(__xludf.DUMMYFUNCTION("if(ISBLANK(C509),,QUERY(MD!A510:D1508,""Select A where C = '""&amp; C509 &amp;""'""))"),"")</f>
        <v/>
      </c>
      <c r="C509" s="5"/>
      <c r="E509" s="49"/>
      <c r="F509" s="5"/>
      <c r="G509" s="32"/>
      <c r="H509" s="61"/>
      <c r="I509" s="32"/>
      <c r="J509" s="61"/>
      <c r="K509" s="32"/>
      <c r="L509" s="61"/>
      <c r="M509" s="32"/>
      <c r="N509" s="61"/>
      <c r="O509" s="32"/>
      <c r="P509" s="61"/>
      <c r="Q509" s="62"/>
      <c r="R509" s="63"/>
      <c r="S509" s="63"/>
      <c r="T509" s="63"/>
      <c r="U509" s="63"/>
    </row>
    <row r="510" spans="1:32" ht="13.2">
      <c r="A510" s="5">
        <f t="shared" ca="1" si="3"/>
        <v>509</v>
      </c>
      <c r="B510" s="5" t="str">
        <f ca="1">IFERROR(__xludf.DUMMYFUNCTION("if(ISBLANK(C510),,QUERY(MD!A511:D1509,""Select A where C = '""&amp; C510 &amp;""'""))"),"")</f>
        <v/>
      </c>
      <c r="C510" s="5"/>
      <c r="E510" s="49"/>
      <c r="F510" s="5"/>
      <c r="G510" s="32"/>
      <c r="H510" s="61"/>
      <c r="I510" s="32"/>
      <c r="J510" s="61"/>
      <c r="K510" s="32"/>
      <c r="L510" s="61"/>
      <c r="M510" s="32"/>
      <c r="N510" s="61"/>
      <c r="O510" s="32"/>
      <c r="P510" s="61"/>
      <c r="Q510" s="62"/>
      <c r="R510" s="63"/>
      <c r="S510" s="63"/>
      <c r="T510" s="63"/>
      <c r="U510" s="63"/>
    </row>
    <row r="511" spans="1:32" ht="13.2">
      <c r="A511" s="5">
        <f t="shared" ca="1" si="3"/>
        <v>510</v>
      </c>
      <c r="B511" s="5" t="str">
        <f ca="1">IFERROR(__xludf.DUMMYFUNCTION("if(ISBLANK(C511),,QUERY(MD!A512:D1510,""Select A where C = '""&amp; C511 &amp;""'""))"),"")</f>
        <v/>
      </c>
      <c r="C511" s="5"/>
      <c r="E511" s="49"/>
      <c r="F511" s="5"/>
      <c r="G511" s="32"/>
      <c r="H511" s="61"/>
      <c r="I511" s="32"/>
      <c r="J511" s="61"/>
      <c r="K511" s="32"/>
      <c r="L511" s="61"/>
      <c r="M511" s="32"/>
      <c r="N511" s="61"/>
      <c r="O511" s="32"/>
      <c r="P511" s="61"/>
      <c r="Q511" s="62"/>
      <c r="R511" s="63"/>
      <c r="S511" s="63"/>
      <c r="T511" s="63"/>
      <c r="U511" s="63"/>
    </row>
    <row r="512" spans="1:32" ht="13.2">
      <c r="A512" s="5">
        <f t="shared" ca="1" si="3"/>
        <v>511</v>
      </c>
      <c r="B512" s="5" t="str">
        <f ca="1">IFERROR(__xludf.DUMMYFUNCTION("if(ISBLANK(C512),,QUERY(MD!A513:D1511,""Select A where C = '""&amp; C512 &amp;""'""))"),"")</f>
        <v/>
      </c>
      <c r="C512" s="5"/>
      <c r="E512" s="49"/>
      <c r="F512" s="5"/>
      <c r="G512" s="32"/>
      <c r="H512" s="61"/>
      <c r="I512" s="32"/>
      <c r="J512" s="61"/>
      <c r="K512" s="32"/>
      <c r="L512" s="61"/>
      <c r="M512" s="32"/>
      <c r="N512" s="61"/>
      <c r="O512" s="32"/>
      <c r="P512" s="61"/>
      <c r="Q512" s="62"/>
      <c r="R512" s="63"/>
      <c r="S512" s="63"/>
      <c r="T512" s="63"/>
      <c r="U512" s="63"/>
    </row>
    <row r="513" spans="1:21" ht="13.2">
      <c r="A513" s="5">
        <f t="shared" ref="A513:A767" ca="1" si="4">IF(ISBLANK(B513),,A512+1)</f>
        <v>512</v>
      </c>
      <c r="B513" s="5" t="str">
        <f ca="1">IFERROR(__xludf.DUMMYFUNCTION("if(ISBLANK(C513),,QUERY(MD!A514:D1512,""Select A where C = '""&amp; C513 &amp;""'""))"),"")</f>
        <v/>
      </c>
      <c r="C513" s="5"/>
      <c r="E513" s="49"/>
      <c r="F513" s="5"/>
      <c r="G513" s="32"/>
      <c r="H513" s="61"/>
      <c r="I513" s="32"/>
      <c r="J513" s="61"/>
      <c r="K513" s="32"/>
      <c r="L513" s="61"/>
      <c r="M513" s="32"/>
      <c r="N513" s="61"/>
      <c r="O513" s="32"/>
      <c r="P513" s="61"/>
      <c r="Q513" s="62"/>
      <c r="R513" s="63"/>
      <c r="S513" s="63"/>
      <c r="T513" s="63"/>
      <c r="U513" s="63"/>
    </row>
    <row r="514" spans="1:21" ht="13.2">
      <c r="A514" s="5">
        <f t="shared" ca="1" si="4"/>
        <v>513</v>
      </c>
      <c r="B514" s="5" t="str">
        <f ca="1">IFERROR(__xludf.DUMMYFUNCTION("if(ISBLANK(C514),,QUERY(MD!A515:D1513,""Select A where C = '""&amp; C514 &amp;""'""))"),"")</f>
        <v/>
      </c>
      <c r="C514" s="5"/>
      <c r="E514" s="49"/>
      <c r="F514" s="5"/>
      <c r="G514" s="32"/>
      <c r="H514" s="61"/>
      <c r="I514" s="32"/>
      <c r="J514" s="61"/>
      <c r="K514" s="32"/>
      <c r="L514" s="61"/>
      <c r="M514" s="32"/>
      <c r="N514" s="61"/>
      <c r="O514" s="32"/>
      <c r="P514" s="61"/>
      <c r="Q514" s="62"/>
      <c r="R514" s="63"/>
      <c r="S514" s="63"/>
      <c r="T514" s="63"/>
      <c r="U514" s="63"/>
    </row>
    <row r="515" spans="1:21" ht="13.2">
      <c r="A515" s="5">
        <f t="shared" ca="1" si="4"/>
        <v>514</v>
      </c>
      <c r="B515" s="5" t="str">
        <f ca="1">IFERROR(__xludf.DUMMYFUNCTION("if(ISBLANK(C515),,QUERY(MD!A516:D1514,""Select A where C = '""&amp; C515 &amp;""'""))"),"")</f>
        <v/>
      </c>
      <c r="C515" s="5"/>
      <c r="E515" s="49"/>
      <c r="F515" s="5"/>
      <c r="G515" s="32"/>
      <c r="H515" s="61"/>
      <c r="I515" s="32"/>
      <c r="J515" s="61"/>
      <c r="K515" s="32"/>
      <c r="L515" s="61"/>
      <c r="M515" s="32"/>
      <c r="N515" s="61"/>
      <c r="O515" s="32"/>
      <c r="P515" s="61"/>
      <c r="Q515" s="62"/>
      <c r="R515" s="63"/>
      <c r="S515" s="63"/>
      <c r="T515" s="63"/>
      <c r="U515" s="63"/>
    </row>
    <row r="516" spans="1:21" ht="13.2">
      <c r="A516" s="5">
        <f t="shared" ca="1" si="4"/>
        <v>515</v>
      </c>
      <c r="B516" s="5" t="str">
        <f ca="1">IFERROR(__xludf.DUMMYFUNCTION("if(ISBLANK(C516),,QUERY(MD!A517:D1515,""Select A where C = '""&amp; C516 &amp;""'""))"),"")</f>
        <v/>
      </c>
      <c r="C516" s="5"/>
      <c r="E516" s="49"/>
      <c r="F516" s="5"/>
      <c r="G516" s="32"/>
      <c r="H516" s="61"/>
      <c r="I516" s="32"/>
      <c r="J516" s="61"/>
      <c r="K516" s="32"/>
      <c r="L516" s="61"/>
      <c r="M516" s="32"/>
      <c r="N516" s="61"/>
      <c r="O516" s="32"/>
      <c r="P516" s="61"/>
      <c r="Q516" s="62"/>
      <c r="R516" s="63"/>
      <c r="S516" s="63"/>
      <c r="T516" s="63"/>
      <c r="U516" s="63"/>
    </row>
    <row r="517" spans="1:21" ht="13.2">
      <c r="A517" s="5">
        <f t="shared" ca="1" si="4"/>
        <v>516</v>
      </c>
      <c r="B517" s="5" t="str">
        <f ca="1">IFERROR(__xludf.DUMMYFUNCTION("if(ISBLANK(C517),,QUERY(MD!A518:D1516,""Select A where C = '""&amp; C517 &amp;""'""))"),"")</f>
        <v/>
      </c>
      <c r="C517" s="5"/>
      <c r="E517" s="49"/>
      <c r="F517" s="5"/>
      <c r="G517" s="32"/>
      <c r="H517" s="61"/>
      <c r="I517" s="32"/>
      <c r="J517" s="61"/>
      <c r="K517" s="32"/>
      <c r="L517" s="61"/>
      <c r="M517" s="32"/>
      <c r="N517" s="61"/>
      <c r="O517" s="32"/>
      <c r="P517" s="61"/>
      <c r="Q517" s="62"/>
      <c r="R517" s="63"/>
      <c r="S517" s="63"/>
      <c r="T517" s="63"/>
      <c r="U517" s="63"/>
    </row>
    <row r="518" spans="1:21" ht="13.2">
      <c r="A518" s="5">
        <f t="shared" ca="1" si="4"/>
        <v>517</v>
      </c>
      <c r="B518" s="5" t="str">
        <f ca="1">IFERROR(__xludf.DUMMYFUNCTION("if(ISBLANK(C518),,QUERY(MD!A519:D1517,""Select A where C = '""&amp; C518 &amp;""'""))"),"")</f>
        <v/>
      </c>
      <c r="C518" s="5"/>
      <c r="E518" s="49"/>
      <c r="F518" s="5"/>
      <c r="G518" s="32"/>
      <c r="H518" s="61"/>
      <c r="I518" s="32"/>
      <c r="J518" s="61"/>
      <c r="K518" s="32"/>
      <c r="L518" s="61"/>
      <c r="M518" s="32"/>
      <c r="N518" s="61"/>
      <c r="O518" s="32"/>
      <c r="P518" s="61"/>
      <c r="Q518" s="62"/>
      <c r="R518" s="63"/>
      <c r="S518" s="63"/>
      <c r="T518" s="63"/>
      <c r="U518" s="63"/>
    </row>
    <row r="519" spans="1:21" ht="13.2">
      <c r="A519" s="5">
        <f t="shared" ca="1" si="4"/>
        <v>518</v>
      </c>
      <c r="B519" s="5" t="str">
        <f ca="1">IFERROR(__xludf.DUMMYFUNCTION("if(ISBLANK(C519),,QUERY(MD!A520:D1518,""Select A where C = '""&amp; C519 &amp;""'""))"),"")</f>
        <v/>
      </c>
      <c r="C519" s="5"/>
      <c r="E519" s="49"/>
      <c r="F519" s="5"/>
      <c r="G519" s="32"/>
      <c r="H519" s="61"/>
      <c r="I519" s="32"/>
      <c r="J519" s="61"/>
      <c r="K519" s="32"/>
      <c r="L519" s="61"/>
      <c r="M519" s="32"/>
      <c r="N519" s="61"/>
      <c r="O519" s="32"/>
      <c r="P519" s="61"/>
      <c r="Q519" s="62"/>
      <c r="R519" s="63"/>
      <c r="S519" s="63"/>
      <c r="T519" s="63"/>
      <c r="U519" s="63"/>
    </row>
    <row r="520" spans="1:21" ht="13.2">
      <c r="A520" s="5">
        <f t="shared" ca="1" si="4"/>
        <v>519</v>
      </c>
      <c r="B520" s="5" t="str">
        <f ca="1">IFERROR(__xludf.DUMMYFUNCTION("if(ISBLANK(C520),,QUERY(MD!A521:D1519,""Select A where C = '""&amp; C520 &amp;""'""))"),"")</f>
        <v/>
      </c>
      <c r="C520" s="5"/>
      <c r="E520" s="49"/>
      <c r="F520" s="5"/>
      <c r="G520" s="32"/>
      <c r="H520" s="61"/>
      <c r="I520" s="32"/>
      <c r="J520" s="61"/>
      <c r="K520" s="32"/>
      <c r="L520" s="61"/>
      <c r="M520" s="32"/>
      <c r="N520" s="61"/>
      <c r="O520" s="32"/>
      <c r="P520" s="61"/>
      <c r="Q520" s="62"/>
      <c r="R520" s="63"/>
      <c r="S520" s="63"/>
      <c r="T520" s="63"/>
      <c r="U520" s="63"/>
    </row>
    <row r="521" spans="1:21" ht="13.2">
      <c r="A521" s="5">
        <f t="shared" ca="1" si="4"/>
        <v>520</v>
      </c>
      <c r="B521" s="5" t="str">
        <f ca="1">IFERROR(__xludf.DUMMYFUNCTION("if(ISBLANK(C521),,QUERY(MD!A522:D1520,""Select A where C = '""&amp; C521 &amp;""'""))"),"")</f>
        <v/>
      </c>
      <c r="C521" s="5"/>
      <c r="E521" s="49"/>
      <c r="F521" s="5"/>
      <c r="G521" s="32"/>
      <c r="H521" s="61"/>
      <c r="I521" s="32"/>
      <c r="J521" s="61"/>
      <c r="K521" s="32"/>
      <c r="L521" s="61"/>
      <c r="M521" s="32"/>
      <c r="N521" s="61"/>
      <c r="O521" s="32"/>
      <c r="P521" s="61"/>
      <c r="Q521" s="62"/>
      <c r="R521" s="63"/>
      <c r="S521" s="63"/>
      <c r="T521" s="63"/>
      <c r="U521" s="63"/>
    </row>
    <row r="522" spans="1:21" ht="13.2">
      <c r="A522" s="5">
        <f t="shared" ca="1" si="4"/>
        <v>521</v>
      </c>
      <c r="B522" s="5" t="str">
        <f ca="1">IFERROR(__xludf.DUMMYFUNCTION("if(ISBLANK(C522),,QUERY(MD!A523:D1521,""Select A where C = '""&amp; C522 &amp;""'""))"),"")</f>
        <v/>
      </c>
      <c r="C522" s="5"/>
      <c r="E522" s="49"/>
      <c r="F522" s="5"/>
      <c r="G522" s="32"/>
      <c r="H522" s="61"/>
      <c r="I522" s="32"/>
      <c r="J522" s="61"/>
      <c r="K522" s="32"/>
      <c r="L522" s="61"/>
      <c r="M522" s="32"/>
      <c r="N522" s="61"/>
      <c r="O522" s="32"/>
      <c r="P522" s="61"/>
      <c r="Q522" s="62"/>
      <c r="R522" s="63"/>
      <c r="S522" s="63"/>
      <c r="T522" s="63"/>
      <c r="U522" s="63"/>
    </row>
    <row r="523" spans="1:21" ht="13.2">
      <c r="A523" s="5">
        <f t="shared" ca="1" si="4"/>
        <v>522</v>
      </c>
      <c r="B523" s="5" t="str">
        <f ca="1">IFERROR(__xludf.DUMMYFUNCTION("if(ISBLANK(C523),,QUERY(MD!A524:D1522,""Select A where C = '""&amp; C523 &amp;""'""))"),"")</f>
        <v/>
      </c>
      <c r="C523" s="5"/>
      <c r="E523" s="49"/>
      <c r="F523" s="5"/>
      <c r="G523" s="32"/>
      <c r="H523" s="61"/>
      <c r="I523" s="32"/>
      <c r="J523" s="61"/>
      <c r="K523" s="32"/>
      <c r="L523" s="61"/>
      <c r="M523" s="32"/>
      <c r="N523" s="61"/>
      <c r="O523" s="32"/>
      <c r="P523" s="61"/>
      <c r="Q523" s="62"/>
      <c r="R523" s="63"/>
      <c r="S523" s="63"/>
      <c r="T523" s="63"/>
      <c r="U523" s="63"/>
    </row>
    <row r="524" spans="1:21" ht="13.2">
      <c r="A524" s="5">
        <f t="shared" ca="1" si="4"/>
        <v>523</v>
      </c>
      <c r="B524" s="5" t="str">
        <f ca="1">IFERROR(__xludf.DUMMYFUNCTION("if(ISBLANK(C524),,QUERY(MD!A525:D1523,""Select A where C = '""&amp; C524 &amp;""'""))"),"")</f>
        <v/>
      </c>
      <c r="C524" s="5"/>
      <c r="E524" s="49"/>
      <c r="F524" s="5"/>
      <c r="G524" s="32"/>
      <c r="H524" s="61"/>
      <c r="I524" s="32"/>
      <c r="J524" s="61"/>
      <c r="K524" s="32"/>
      <c r="L524" s="61"/>
      <c r="M524" s="32"/>
      <c r="N524" s="61"/>
      <c r="O524" s="32"/>
      <c r="P524" s="61"/>
      <c r="Q524" s="62"/>
      <c r="R524" s="63"/>
      <c r="S524" s="63"/>
      <c r="T524" s="63"/>
      <c r="U524" s="63"/>
    </row>
    <row r="525" spans="1:21" ht="13.2">
      <c r="A525" s="5">
        <f t="shared" ca="1" si="4"/>
        <v>524</v>
      </c>
      <c r="B525" s="5" t="str">
        <f ca="1">IFERROR(__xludf.DUMMYFUNCTION("if(ISBLANK(C525),,QUERY(MD!A526:D1524,""Select A where C = '""&amp; C525 &amp;""'""))"),"")</f>
        <v/>
      </c>
      <c r="C525" s="5"/>
      <c r="E525" s="49"/>
      <c r="F525" s="5"/>
      <c r="G525" s="32"/>
      <c r="H525" s="61"/>
      <c r="I525" s="32"/>
      <c r="J525" s="61"/>
      <c r="K525" s="32"/>
      <c r="L525" s="61"/>
      <c r="M525" s="32"/>
      <c r="N525" s="61"/>
      <c r="O525" s="32"/>
      <c r="P525" s="61"/>
      <c r="Q525" s="62"/>
      <c r="R525" s="63"/>
      <c r="S525" s="63"/>
      <c r="T525" s="63"/>
      <c r="U525" s="63"/>
    </row>
    <row r="526" spans="1:21" ht="13.2">
      <c r="A526" s="5">
        <f t="shared" ca="1" si="4"/>
        <v>525</v>
      </c>
      <c r="B526" s="5" t="str">
        <f ca="1">IFERROR(__xludf.DUMMYFUNCTION("if(ISBLANK(C526),,QUERY(MD!A527:D1525,""Select A where C = '""&amp; C526 &amp;""'""))"),"")</f>
        <v/>
      </c>
      <c r="C526" s="5"/>
      <c r="E526" s="49"/>
      <c r="F526" s="5"/>
      <c r="G526" s="32"/>
      <c r="H526" s="61"/>
      <c r="I526" s="32"/>
      <c r="J526" s="61"/>
      <c r="K526" s="32"/>
      <c r="L526" s="61"/>
      <c r="M526" s="32"/>
      <c r="N526" s="61"/>
      <c r="O526" s="32"/>
      <c r="P526" s="61"/>
      <c r="Q526" s="62"/>
      <c r="R526" s="63"/>
      <c r="S526" s="63"/>
      <c r="T526" s="63"/>
      <c r="U526" s="63"/>
    </row>
    <row r="527" spans="1:21" ht="13.2">
      <c r="A527" s="5">
        <f t="shared" ca="1" si="4"/>
        <v>526</v>
      </c>
      <c r="B527" s="5" t="str">
        <f ca="1">IFERROR(__xludf.DUMMYFUNCTION("if(ISBLANK(C527),,QUERY(MD!A528:D1526,""Select A where C = '""&amp; C527 &amp;""'""))"),"")</f>
        <v/>
      </c>
      <c r="C527" s="5"/>
      <c r="E527" s="49"/>
      <c r="F527" s="5"/>
      <c r="G527" s="32"/>
      <c r="H527" s="61"/>
      <c r="I527" s="32"/>
      <c r="J527" s="61"/>
      <c r="K527" s="32"/>
      <c r="L527" s="61"/>
      <c r="M527" s="32"/>
      <c r="N527" s="61"/>
      <c r="O527" s="32"/>
      <c r="P527" s="61"/>
      <c r="Q527" s="62"/>
      <c r="R527" s="63"/>
      <c r="S527" s="63"/>
      <c r="T527" s="63"/>
      <c r="U527" s="63"/>
    </row>
    <row r="528" spans="1:21" ht="13.2">
      <c r="A528" s="5">
        <f t="shared" ca="1" si="4"/>
        <v>527</v>
      </c>
      <c r="B528" s="5" t="str">
        <f ca="1">IFERROR(__xludf.DUMMYFUNCTION("if(ISBLANK(C528),,QUERY(MD!A529:D1527,""Select A where C = '""&amp; C528 &amp;""'""))"),"")</f>
        <v/>
      </c>
      <c r="C528" s="5"/>
      <c r="E528" s="49"/>
      <c r="F528" s="5"/>
      <c r="G528" s="32"/>
      <c r="H528" s="61"/>
      <c r="I528" s="32"/>
      <c r="J528" s="61"/>
      <c r="K528" s="32"/>
      <c r="L528" s="61"/>
      <c r="M528" s="32"/>
      <c r="N528" s="61"/>
      <c r="O528" s="32"/>
      <c r="P528" s="61"/>
      <c r="Q528" s="62"/>
      <c r="R528" s="63"/>
      <c r="S528" s="63"/>
      <c r="T528" s="63"/>
      <c r="U528" s="63"/>
    </row>
    <row r="529" spans="1:21" ht="13.2">
      <c r="A529" s="5">
        <f t="shared" ca="1" si="4"/>
        <v>528</v>
      </c>
      <c r="B529" s="5" t="str">
        <f ca="1">IFERROR(__xludf.DUMMYFUNCTION("if(ISBLANK(C529),,QUERY(MD!A530:D1528,""Select A where C = '""&amp; C529 &amp;""'""))"),"")</f>
        <v/>
      </c>
      <c r="C529" s="5"/>
      <c r="E529" s="49"/>
      <c r="F529" s="5"/>
      <c r="G529" s="32"/>
      <c r="H529" s="61"/>
      <c r="I529" s="32"/>
      <c r="J529" s="61"/>
      <c r="K529" s="32"/>
      <c r="L529" s="61"/>
      <c r="M529" s="32"/>
      <c r="N529" s="61"/>
      <c r="O529" s="32"/>
      <c r="P529" s="61"/>
      <c r="Q529" s="62"/>
      <c r="R529" s="63"/>
      <c r="S529" s="63"/>
      <c r="T529" s="63"/>
      <c r="U529" s="63"/>
    </row>
    <row r="530" spans="1:21" ht="13.2">
      <c r="A530" s="5">
        <f t="shared" ca="1" si="4"/>
        <v>529</v>
      </c>
      <c r="B530" s="5" t="str">
        <f ca="1">IFERROR(__xludf.DUMMYFUNCTION("if(ISBLANK(C530),,QUERY(MD!A531:D1529,""Select A where C = '""&amp; C530 &amp;""'""))"),"")</f>
        <v/>
      </c>
      <c r="C530" s="5"/>
      <c r="E530" s="49"/>
      <c r="F530" s="5"/>
      <c r="G530" s="32"/>
      <c r="H530" s="61"/>
      <c r="I530" s="32"/>
      <c r="J530" s="61"/>
      <c r="K530" s="32"/>
      <c r="L530" s="61"/>
      <c r="M530" s="32"/>
      <c r="N530" s="61"/>
      <c r="O530" s="32"/>
      <c r="P530" s="61"/>
      <c r="Q530" s="62"/>
      <c r="R530" s="63"/>
      <c r="S530" s="63"/>
      <c r="T530" s="63"/>
      <c r="U530" s="63"/>
    </row>
    <row r="531" spans="1:21" ht="13.2">
      <c r="A531" s="5">
        <f t="shared" ca="1" si="4"/>
        <v>530</v>
      </c>
      <c r="B531" s="5" t="str">
        <f ca="1">IFERROR(__xludf.DUMMYFUNCTION("if(ISBLANK(C531),,QUERY(MD!A532:D1530,""Select A where C = '""&amp; C531 &amp;""'""))"),"")</f>
        <v/>
      </c>
      <c r="C531" s="5"/>
      <c r="E531" s="49"/>
      <c r="F531" s="5"/>
      <c r="G531" s="32"/>
      <c r="H531" s="61"/>
      <c r="I531" s="32"/>
      <c r="J531" s="61"/>
      <c r="K531" s="32"/>
      <c r="L531" s="61"/>
      <c r="M531" s="32"/>
      <c r="N531" s="61"/>
      <c r="O531" s="32"/>
      <c r="P531" s="61"/>
      <c r="Q531" s="62"/>
      <c r="R531" s="63"/>
      <c r="S531" s="63"/>
      <c r="T531" s="63"/>
      <c r="U531" s="63"/>
    </row>
    <row r="532" spans="1:21" ht="13.2">
      <c r="A532" s="5">
        <f t="shared" ca="1" si="4"/>
        <v>531</v>
      </c>
      <c r="B532" s="5" t="str">
        <f ca="1">IFERROR(__xludf.DUMMYFUNCTION("if(ISBLANK(C532),,QUERY(MD!A533:D1531,""Select A where C = '""&amp; C532 &amp;""'""))"),"")</f>
        <v/>
      </c>
      <c r="C532" s="5"/>
      <c r="E532" s="49"/>
      <c r="F532" s="5"/>
      <c r="G532" s="32"/>
      <c r="H532" s="61"/>
      <c r="I532" s="32"/>
      <c r="J532" s="61"/>
      <c r="K532" s="32"/>
      <c r="L532" s="61"/>
      <c r="M532" s="32"/>
      <c r="N532" s="61"/>
      <c r="O532" s="32"/>
      <c r="P532" s="61"/>
      <c r="Q532" s="62"/>
      <c r="R532" s="63"/>
      <c r="S532" s="63"/>
      <c r="T532" s="63"/>
      <c r="U532" s="63"/>
    </row>
    <row r="533" spans="1:21" ht="13.2">
      <c r="A533" s="5">
        <f t="shared" ca="1" si="4"/>
        <v>532</v>
      </c>
      <c r="B533" s="5" t="str">
        <f ca="1">IFERROR(__xludf.DUMMYFUNCTION("if(ISBLANK(C533),,QUERY(MD!A534:D1532,""Select A where C = '""&amp; C533 &amp;""'""))"),"")</f>
        <v/>
      </c>
      <c r="C533" s="5"/>
      <c r="E533" s="49"/>
      <c r="F533" s="5"/>
      <c r="G533" s="32"/>
      <c r="H533" s="61"/>
      <c r="I533" s="32"/>
      <c r="J533" s="61"/>
      <c r="K533" s="32"/>
      <c r="L533" s="61"/>
      <c r="M533" s="32"/>
      <c r="N533" s="61"/>
      <c r="O533" s="32"/>
      <c r="P533" s="61"/>
      <c r="Q533" s="62"/>
      <c r="R533" s="63"/>
      <c r="S533" s="63"/>
      <c r="T533" s="63"/>
      <c r="U533" s="63"/>
    </row>
    <row r="534" spans="1:21" ht="13.2">
      <c r="A534" s="5">
        <f t="shared" ca="1" si="4"/>
        <v>533</v>
      </c>
      <c r="B534" s="5" t="str">
        <f ca="1">IFERROR(__xludf.DUMMYFUNCTION("if(ISBLANK(C534),,QUERY(MD!A535:D1533,""Select A where C = '""&amp; C534 &amp;""'""))"),"")</f>
        <v/>
      </c>
      <c r="C534" s="5"/>
      <c r="E534" s="49"/>
      <c r="F534" s="5"/>
      <c r="G534" s="32"/>
      <c r="H534" s="61"/>
      <c r="I534" s="32"/>
      <c r="J534" s="61"/>
      <c r="K534" s="32"/>
      <c r="L534" s="61"/>
      <c r="M534" s="32"/>
      <c r="N534" s="61"/>
      <c r="O534" s="32"/>
      <c r="P534" s="61"/>
      <c r="Q534" s="62"/>
      <c r="R534" s="63"/>
      <c r="S534" s="63"/>
      <c r="T534" s="63"/>
      <c r="U534" s="63"/>
    </row>
    <row r="535" spans="1:21" ht="13.2">
      <c r="A535" s="5">
        <f t="shared" ca="1" si="4"/>
        <v>534</v>
      </c>
      <c r="B535" s="5" t="str">
        <f ca="1">IFERROR(__xludf.DUMMYFUNCTION("if(ISBLANK(C535),,QUERY(MD!A536:D1534,""Select A where C = '""&amp; C535 &amp;""'""))"),"")</f>
        <v/>
      </c>
      <c r="C535" s="5"/>
      <c r="E535" s="49"/>
      <c r="F535" s="5"/>
      <c r="G535" s="32"/>
      <c r="H535" s="61"/>
      <c r="I535" s="32"/>
      <c r="J535" s="61"/>
      <c r="K535" s="32"/>
      <c r="L535" s="61"/>
      <c r="M535" s="32"/>
      <c r="N535" s="61"/>
      <c r="O535" s="32"/>
      <c r="P535" s="61"/>
      <c r="Q535" s="62"/>
      <c r="R535" s="63"/>
      <c r="S535" s="63"/>
      <c r="T535" s="63"/>
      <c r="U535" s="63"/>
    </row>
    <row r="536" spans="1:21" ht="13.2">
      <c r="A536" s="5">
        <f t="shared" ca="1" si="4"/>
        <v>535</v>
      </c>
      <c r="B536" s="5" t="str">
        <f ca="1">IFERROR(__xludf.DUMMYFUNCTION("if(ISBLANK(C536),,QUERY(MD!A537:D1535,""Select A where C = '""&amp; C536 &amp;""'""))"),"")</f>
        <v/>
      </c>
      <c r="C536" s="5"/>
      <c r="E536" s="49"/>
      <c r="F536" s="5"/>
      <c r="G536" s="32"/>
      <c r="H536" s="61"/>
      <c r="I536" s="32"/>
      <c r="J536" s="61"/>
      <c r="K536" s="32"/>
      <c r="L536" s="61"/>
      <c r="M536" s="32"/>
      <c r="N536" s="61"/>
      <c r="O536" s="32"/>
      <c r="P536" s="61"/>
      <c r="Q536" s="62"/>
      <c r="R536" s="63"/>
      <c r="S536" s="63"/>
      <c r="T536" s="63"/>
      <c r="U536" s="63"/>
    </row>
    <row r="537" spans="1:21" ht="13.2">
      <c r="A537" s="5">
        <f t="shared" ca="1" si="4"/>
        <v>536</v>
      </c>
      <c r="B537" s="5" t="str">
        <f ca="1">IFERROR(__xludf.DUMMYFUNCTION("if(ISBLANK(C537),,QUERY(MD!A538:D1536,""Select A where C = '""&amp; C537 &amp;""'""))"),"")</f>
        <v/>
      </c>
      <c r="C537" s="5"/>
      <c r="E537" s="49"/>
      <c r="F537" s="5"/>
      <c r="G537" s="32"/>
      <c r="H537" s="61"/>
      <c r="I537" s="32"/>
      <c r="J537" s="61"/>
      <c r="K537" s="32"/>
      <c r="L537" s="61"/>
      <c r="M537" s="32"/>
      <c r="N537" s="61"/>
      <c r="O537" s="32"/>
      <c r="P537" s="61"/>
      <c r="Q537" s="62"/>
      <c r="R537" s="63"/>
      <c r="S537" s="63"/>
      <c r="T537" s="63"/>
      <c r="U537" s="63"/>
    </row>
    <row r="538" spans="1:21" ht="13.2">
      <c r="A538" s="5">
        <f t="shared" ca="1" si="4"/>
        <v>537</v>
      </c>
      <c r="B538" s="5" t="str">
        <f ca="1">IFERROR(__xludf.DUMMYFUNCTION("if(ISBLANK(C538),,QUERY(MD!A539:D1537,""Select A where C = '""&amp; C538 &amp;""'""))"),"")</f>
        <v/>
      </c>
      <c r="C538" s="5"/>
      <c r="E538" s="49"/>
      <c r="F538" s="5"/>
      <c r="G538" s="32"/>
      <c r="H538" s="61"/>
      <c r="I538" s="32"/>
      <c r="J538" s="61"/>
      <c r="K538" s="32"/>
      <c r="L538" s="61"/>
      <c r="M538" s="32"/>
      <c r="N538" s="61"/>
      <c r="O538" s="32"/>
      <c r="P538" s="61"/>
      <c r="Q538" s="62"/>
      <c r="R538" s="63"/>
      <c r="S538" s="63"/>
      <c r="T538" s="63"/>
      <c r="U538" s="63"/>
    </row>
    <row r="539" spans="1:21" ht="13.2">
      <c r="A539" s="5">
        <f t="shared" ca="1" si="4"/>
        <v>538</v>
      </c>
      <c r="B539" s="5" t="str">
        <f ca="1">IFERROR(__xludf.DUMMYFUNCTION("if(ISBLANK(C539),,QUERY(MD!A540:D1538,""Select A where C = '""&amp; C539 &amp;""'""))"),"")</f>
        <v/>
      </c>
      <c r="C539" s="5"/>
      <c r="E539" s="49"/>
      <c r="F539" s="5"/>
      <c r="G539" s="32"/>
      <c r="H539" s="61"/>
      <c r="I539" s="32"/>
      <c r="J539" s="61"/>
      <c r="K539" s="32"/>
      <c r="L539" s="61"/>
      <c r="M539" s="32"/>
      <c r="N539" s="61"/>
      <c r="O539" s="32"/>
      <c r="P539" s="61"/>
      <c r="Q539" s="62"/>
      <c r="R539" s="63"/>
      <c r="S539" s="63"/>
      <c r="T539" s="63"/>
      <c r="U539" s="63"/>
    </row>
    <row r="540" spans="1:21" ht="13.2">
      <c r="A540" s="5">
        <f t="shared" ca="1" si="4"/>
        <v>539</v>
      </c>
      <c r="B540" s="5" t="str">
        <f ca="1">IFERROR(__xludf.DUMMYFUNCTION("if(ISBLANK(C540),,QUERY(MD!A541:D1539,""Select A where C = '""&amp; C540 &amp;""'""))"),"")</f>
        <v/>
      </c>
      <c r="C540" s="5"/>
      <c r="E540" s="49"/>
      <c r="F540" s="5"/>
      <c r="G540" s="32"/>
      <c r="H540" s="61"/>
      <c r="I540" s="32"/>
      <c r="J540" s="61"/>
      <c r="K540" s="32"/>
      <c r="L540" s="61"/>
      <c r="M540" s="32"/>
      <c r="N540" s="61"/>
      <c r="O540" s="32"/>
      <c r="P540" s="61"/>
      <c r="Q540" s="62"/>
      <c r="R540" s="63"/>
      <c r="S540" s="63"/>
      <c r="T540" s="63"/>
      <c r="U540" s="63"/>
    </row>
    <row r="541" spans="1:21" ht="13.2">
      <c r="A541" s="5">
        <f t="shared" ca="1" si="4"/>
        <v>540</v>
      </c>
      <c r="B541" s="5" t="str">
        <f ca="1">IFERROR(__xludf.DUMMYFUNCTION("if(ISBLANK(C541),,QUERY(MD!A542:D1540,""Select A where C = '""&amp; C541 &amp;""'""))"),"")</f>
        <v/>
      </c>
      <c r="C541" s="5"/>
      <c r="E541" s="49"/>
      <c r="F541" s="5"/>
      <c r="G541" s="32"/>
      <c r="H541" s="61"/>
      <c r="I541" s="32"/>
      <c r="J541" s="61"/>
      <c r="K541" s="32"/>
      <c r="L541" s="61"/>
      <c r="M541" s="32"/>
      <c r="N541" s="61"/>
      <c r="O541" s="32"/>
      <c r="P541" s="61"/>
      <c r="Q541" s="62"/>
      <c r="R541" s="63"/>
      <c r="S541" s="63"/>
      <c r="T541" s="63"/>
      <c r="U541" s="63"/>
    </row>
    <row r="542" spans="1:21" ht="13.2">
      <c r="A542" s="5">
        <f t="shared" ca="1" si="4"/>
        <v>541</v>
      </c>
      <c r="B542" s="5" t="str">
        <f ca="1">IFERROR(__xludf.DUMMYFUNCTION("if(ISBLANK(C542),,QUERY(MD!A543:D1541,""Select A where C = '""&amp; C542 &amp;""'""))"),"")</f>
        <v/>
      </c>
      <c r="C542" s="5"/>
      <c r="E542" s="49"/>
      <c r="F542" s="5"/>
      <c r="G542" s="32"/>
      <c r="H542" s="61"/>
      <c r="I542" s="32"/>
      <c r="J542" s="61"/>
      <c r="K542" s="32"/>
      <c r="L542" s="61"/>
      <c r="M542" s="32"/>
      <c r="N542" s="61"/>
      <c r="O542" s="32"/>
      <c r="P542" s="61"/>
      <c r="Q542" s="62"/>
      <c r="R542" s="63"/>
      <c r="S542" s="63"/>
      <c r="T542" s="63"/>
      <c r="U542" s="63"/>
    </row>
    <row r="543" spans="1:21" ht="13.2">
      <c r="A543" s="5">
        <f t="shared" ca="1" si="4"/>
        <v>542</v>
      </c>
      <c r="B543" s="5" t="str">
        <f ca="1">IFERROR(__xludf.DUMMYFUNCTION("if(ISBLANK(C543),,QUERY(MD!A544:D1542,""Select A where C = '""&amp; C543 &amp;""'""))"),"")</f>
        <v/>
      </c>
      <c r="C543" s="5"/>
      <c r="E543" s="49"/>
      <c r="F543" s="5"/>
      <c r="G543" s="32"/>
      <c r="H543" s="61"/>
      <c r="I543" s="32"/>
      <c r="J543" s="61"/>
      <c r="K543" s="32"/>
      <c r="L543" s="61"/>
      <c r="M543" s="32"/>
      <c r="N543" s="61"/>
      <c r="O543" s="32"/>
      <c r="P543" s="61"/>
      <c r="Q543" s="62"/>
      <c r="R543" s="63"/>
      <c r="S543" s="63"/>
      <c r="T543" s="63"/>
      <c r="U543" s="63"/>
    </row>
    <row r="544" spans="1:21" ht="13.2">
      <c r="A544" s="5">
        <f t="shared" ca="1" si="4"/>
        <v>543</v>
      </c>
      <c r="B544" s="5" t="str">
        <f ca="1">IFERROR(__xludf.DUMMYFUNCTION("if(ISBLANK(C544),,QUERY(MD!A545:D1543,""Select A where C = '""&amp; C544 &amp;""'""))"),"")</f>
        <v/>
      </c>
      <c r="C544" s="5"/>
      <c r="E544" s="49"/>
      <c r="F544" s="5"/>
      <c r="G544" s="32"/>
      <c r="H544" s="61"/>
      <c r="I544" s="32"/>
      <c r="J544" s="61"/>
      <c r="K544" s="32"/>
      <c r="L544" s="61"/>
      <c r="M544" s="32"/>
      <c r="N544" s="61"/>
      <c r="O544" s="32"/>
      <c r="P544" s="61"/>
      <c r="Q544" s="62"/>
      <c r="R544" s="63"/>
      <c r="S544" s="63"/>
      <c r="T544" s="63"/>
      <c r="U544" s="63"/>
    </row>
    <row r="545" spans="1:21" ht="13.2">
      <c r="A545" s="5">
        <f t="shared" ca="1" si="4"/>
        <v>544</v>
      </c>
      <c r="B545" s="5" t="str">
        <f ca="1">IFERROR(__xludf.DUMMYFUNCTION("if(ISBLANK(C545),,QUERY(MD!A546:D1544,""Select A where C = '""&amp; C545 &amp;""'""))"),"")</f>
        <v/>
      </c>
      <c r="C545" s="5"/>
      <c r="E545" s="49"/>
      <c r="F545" s="5"/>
      <c r="G545" s="32"/>
      <c r="H545" s="61"/>
      <c r="I545" s="32"/>
      <c r="J545" s="61"/>
      <c r="K545" s="32"/>
      <c r="L545" s="61"/>
      <c r="M545" s="32"/>
      <c r="N545" s="61"/>
      <c r="O545" s="32"/>
      <c r="P545" s="61"/>
      <c r="Q545" s="62"/>
      <c r="R545" s="63"/>
      <c r="S545" s="63"/>
      <c r="T545" s="63"/>
      <c r="U545" s="63"/>
    </row>
    <row r="546" spans="1:21" ht="13.2">
      <c r="A546" s="5">
        <f t="shared" ca="1" si="4"/>
        <v>545</v>
      </c>
      <c r="B546" s="5" t="str">
        <f ca="1">IFERROR(__xludf.DUMMYFUNCTION("if(ISBLANK(C546),,QUERY(MD!A547:D1545,""Select A where C = '""&amp; C546 &amp;""'""))"),"")</f>
        <v/>
      </c>
      <c r="C546" s="5"/>
      <c r="E546" s="49"/>
      <c r="F546" s="5"/>
      <c r="G546" s="32"/>
      <c r="H546" s="61"/>
      <c r="I546" s="32"/>
      <c r="J546" s="61"/>
      <c r="K546" s="32"/>
      <c r="L546" s="61"/>
      <c r="M546" s="32"/>
      <c r="N546" s="61"/>
      <c r="O546" s="32"/>
      <c r="P546" s="61"/>
      <c r="Q546" s="62"/>
      <c r="R546" s="63"/>
      <c r="S546" s="63"/>
      <c r="T546" s="63"/>
      <c r="U546" s="63"/>
    </row>
    <row r="547" spans="1:21" ht="13.2">
      <c r="A547" s="5">
        <f t="shared" ca="1" si="4"/>
        <v>546</v>
      </c>
      <c r="B547" s="5" t="str">
        <f ca="1">IFERROR(__xludf.DUMMYFUNCTION("if(ISBLANK(C547),,QUERY(MD!A548:D1546,""Select A where C = '""&amp; C547 &amp;""'""))"),"")</f>
        <v/>
      </c>
      <c r="C547" s="5"/>
      <c r="E547" s="49"/>
      <c r="F547" s="5"/>
      <c r="G547" s="32"/>
      <c r="H547" s="61"/>
      <c r="I547" s="32"/>
      <c r="J547" s="61"/>
      <c r="K547" s="32"/>
      <c r="L547" s="61"/>
      <c r="M547" s="32"/>
      <c r="N547" s="61"/>
      <c r="O547" s="32"/>
      <c r="P547" s="61"/>
      <c r="Q547" s="62"/>
      <c r="R547" s="63"/>
      <c r="S547" s="63"/>
      <c r="T547" s="63"/>
      <c r="U547" s="63"/>
    </row>
    <row r="548" spans="1:21" ht="13.2">
      <c r="A548" s="5">
        <f t="shared" ca="1" si="4"/>
        <v>547</v>
      </c>
      <c r="B548" s="5" t="str">
        <f ca="1">IFERROR(__xludf.DUMMYFUNCTION("if(ISBLANK(C548),,QUERY(MD!A549:D1547,""Select A where C = '""&amp; C548 &amp;""'""))"),"")</f>
        <v/>
      </c>
      <c r="C548" s="5"/>
      <c r="E548" s="49"/>
      <c r="F548" s="5"/>
      <c r="G548" s="32"/>
      <c r="H548" s="61"/>
      <c r="I548" s="32"/>
      <c r="J548" s="61"/>
      <c r="K548" s="32"/>
      <c r="L548" s="61"/>
      <c r="M548" s="32"/>
      <c r="N548" s="61"/>
      <c r="O548" s="32"/>
      <c r="P548" s="61"/>
      <c r="Q548" s="62"/>
      <c r="R548" s="63"/>
      <c r="S548" s="63"/>
      <c r="T548" s="63"/>
      <c r="U548" s="63"/>
    </row>
    <row r="549" spans="1:21" ht="13.2">
      <c r="A549" s="5">
        <f t="shared" ca="1" si="4"/>
        <v>548</v>
      </c>
      <c r="B549" s="5" t="str">
        <f ca="1">IFERROR(__xludf.DUMMYFUNCTION("if(ISBLANK(C549),,QUERY(MD!A550:D1548,""Select A where C = '""&amp; C549 &amp;""'""))"),"")</f>
        <v/>
      </c>
      <c r="C549" s="5"/>
      <c r="E549" s="49"/>
      <c r="F549" s="5"/>
      <c r="G549" s="32"/>
      <c r="H549" s="61"/>
      <c r="I549" s="32"/>
      <c r="J549" s="61"/>
      <c r="K549" s="32"/>
      <c r="L549" s="61"/>
      <c r="M549" s="32"/>
      <c r="N549" s="61"/>
      <c r="O549" s="32"/>
      <c r="P549" s="61"/>
      <c r="Q549" s="62"/>
      <c r="R549" s="63"/>
      <c r="S549" s="63"/>
      <c r="T549" s="63"/>
      <c r="U549" s="63"/>
    </row>
    <row r="550" spans="1:21" ht="13.2">
      <c r="A550" s="5">
        <f t="shared" ca="1" si="4"/>
        <v>549</v>
      </c>
      <c r="B550" s="5" t="str">
        <f ca="1">IFERROR(__xludf.DUMMYFUNCTION("if(ISBLANK(C550),,QUERY(MD!A551:D1549,""Select A where C = '""&amp; C550 &amp;""'""))"),"")</f>
        <v/>
      </c>
      <c r="C550" s="5"/>
      <c r="E550" s="49"/>
      <c r="F550" s="5"/>
      <c r="G550" s="32"/>
      <c r="H550" s="61"/>
      <c r="I550" s="32"/>
      <c r="J550" s="61"/>
      <c r="K550" s="32"/>
      <c r="L550" s="61"/>
      <c r="M550" s="32"/>
      <c r="N550" s="61"/>
      <c r="O550" s="32"/>
      <c r="P550" s="61"/>
      <c r="Q550" s="62"/>
      <c r="R550" s="63"/>
      <c r="S550" s="63"/>
      <c r="T550" s="63"/>
      <c r="U550" s="63"/>
    </row>
    <row r="551" spans="1:21" ht="13.2">
      <c r="A551" s="5">
        <f t="shared" ca="1" si="4"/>
        <v>550</v>
      </c>
      <c r="B551" s="5" t="str">
        <f ca="1">IFERROR(__xludf.DUMMYFUNCTION("if(ISBLANK(C551),,QUERY(MD!A552:D1550,""Select A where C = '""&amp; C551 &amp;""'""))"),"")</f>
        <v/>
      </c>
      <c r="C551" s="5"/>
      <c r="E551" s="49"/>
      <c r="F551" s="5"/>
      <c r="G551" s="32"/>
      <c r="H551" s="61"/>
      <c r="I551" s="32"/>
      <c r="J551" s="61"/>
      <c r="K551" s="32"/>
      <c r="L551" s="61"/>
      <c r="M551" s="32"/>
      <c r="N551" s="61"/>
      <c r="O551" s="32"/>
      <c r="P551" s="61"/>
      <c r="Q551" s="62"/>
      <c r="R551" s="63"/>
      <c r="S551" s="63"/>
      <c r="T551" s="63"/>
      <c r="U551" s="63"/>
    </row>
    <row r="552" spans="1:21" ht="13.2">
      <c r="A552" s="5">
        <f t="shared" ca="1" si="4"/>
        <v>551</v>
      </c>
      <c r="B552" s="5" t="str">
        <f ca="1">IFERROR(__xludf.DUMMYFUNCTION("if(ISBLANK(C552),,QUERY(MD!A553:D1551,""Select A where C = '""&amp; C552 &amp;""'""))"),"")</f>
        <v/>
      </c>
      <c r="C552" s="5"/>
      <c r="E552" s="49"/>
      <c r="F552" s="5"/>
      <c r="G552" s="32"/>
      <c r="H552" s="61"/>
      <c r="I552" s="32"/>
      <c r="J552" s="61"/>
      <c r="K552" s="32"/>
      <c r="L552" s="61"/>
      <c r="M552" s="32"/>
      <c r="N552" s="61"/>
      <c r="O552" s="32"/>
      <c r="P552" s="61"/>
      <c r="Q552" s="62"/>
      <c r="R552" s="63"/>
      <c r="S552" s="63"/>
      <c r="T552" s="63"/>
      <c r="U552" s="63"/>
    </row>
    <row r="553" spans="1:21" ht="13.2">
      <c r="A553" s="5">
        <f t="shared" ca="1" si="4"/>
        <v>552</v>
      </c>
      <c r="B553" s="5" t="str">
        <f ca="1">IFERROR(__xludf.DUMMYFUNCTION("if(ISBLANK(C553),,QUERY(MD!A554:D1552,""Select A where C = '""&amp; C553 &amp;""'""))"),"")</f>
        <v/>
      </c>
      <c r="C553" s="5"/>
      <c r="E553" s="49"/>
      <c r="F553" s="5"/>
      <c r="G553" s="32"/>
      <c r="H553" s="61"/>
      <c r="I553" s="32"/>
      <c r="J553" s="61"/>
      <c r="K553" s="32"/>
      <c r="L553" s="61"/>
      <c r="M553" s="32"/>
      <c r="N553" s="61"/>
      <c r="O553" s="32"/>
      <c r="P553" s="61"/>
      <c r="Q553" s="62"/>
      <c r="R553" s="63"/>
      <c r="S553" s="63"/>
      <c r="T553" s="63"/>
      <c r="U553" s="63"/>
    </row>
    <row r="554" spans="1:21" ht="13.2">
      <c r="A554" s="5">
        <f t="shared" ca="1" si="4"/>
        <v>553</v>
      </c>
      <c r="B554" s="5" t="str">
        <f ca="1">IFERROR(__xludf.DUMMYFUNCTION("if(ISBLANK(C554),,QUERY(MD!A555:D1553,""Select A where C = '""&amp; C554 &amp;""'""))"),"")</f>
        <v/>
      </c>
      <c r="C554" s="5"/>
      <c r="E554" s="49"/>
      <c r="F554" s="5"/>
      <c r="G554" s="32"/>
      <c r="H554" s="61"/>
      <c r="I554" s="32"/>
      <c r="J554" s="61"/>
      <c r="K554" s="32"/>
      <c r="L554" s="61"/>
      <c r="M554" s="32"/>
      <c r="N554" s="61"/>
      <c r="O554" s="32"/>
      <c r="P554" s="61"/>
      <c r="Q554" s="62"/>
      <c r="R554" s="63"/>
      <c r="S554" s="63"/>
      <c r="T554" s="63"/>
      <c r="U554" s="63"/>
    </row>
    <row r="555" spans="1:21" ht="13.2">
      <c r="A555" s="5">
        <f t="shared" ca="1" si="4"/>
        <v>554</v>
      </c>
      <c r="B555" s="5" t="str">
        <f ca="1">IFERROR(__xludf.DUMMYFUNCTION("if(ISBLANK(C555),,QUERY(MD!A556:D1554,""Select A where C = '""&amp; C555 &amp;""'""))"),"")</f>
        <v/>
      </c>
      <c r="C555" s="5"/>
      <c r="E555" s="49"/>
      <c r="F555" s="5"/>
      <c r="G555" s="32"/>
      <c r="H555" s="61"/>
      <c r="I555" s="32"/>
      <c r="J555" s="61"/>
      <c r="K555" s="32"/>
      <c r="L555" s="61"/>
      <c r="M555" s="32"/>
      <c r="N555" s="61"/>
      <c r="O555" s="32"/>
      <c r="P555" s="61"/>
      <c r="Q555" s="62"/>
      <c r="R555" s="63"/>
      <c r="S555" s="63"/>
      <c r="T555" s="63"/>
      <c r="U555" s="63"/>
    </row>
    <row r="556" spans="1:21" ht="13.2">
      <c r="A556" s="5">
        <f t="shared" ca="1" si="4"/>
        <v>555</v>
      </c>
      <c r="B556" s="5" t="str">
        <f ca="1">IFERROR(__xludf.DUMMYFUNCTION("if(ISBLANK(C556),,QUERY(MD!A557:D1555,""Select A where C = '""&amp; C556 &amp;""'""))"),"")</f>
        <v/>
      </c>
      <c r="C556" s="5"/>
      <c r="E556" s="49"/>
      <c r="F556" s="5"/>
      <c r="G556" s="32"/>
      <c r="H556" s="61"/>
      <c r="I556" s="32"/>
      <c r="J556" s="61"/>
      <c r="K556" s="32"/>
      <c r="L556" s="61"/>
      <c r="M556" s="32"/>
      <c r="N556" s="61"/>
      <c r="O556" s="32"/>
      <c r="P556" s="61"/>
      <c r="Q556" s="62"/>
      <c r="R556" s="63"/>
      <c r="S556" s="63"/>
      <c r="T556" s="63"/>
      <c r="U556" s="63"/>
    </row>
    <row r="557" spans="1:21" ht="13.2">
      <c r="A557" s="5">
        <f t="shared" ca="1" si="4"/>
        <v>556</v>
      </c>
      <c r="B557" s="5" t="str">
        <f ca="1">IFERROR(__xludf.DUMMYFUNCTION("if(ISBLANK(C557),,QUERY(MD!A558:D1556,""Select A where C = '""&amp; C557 &amp;""'""))"),"")</f>
        <v/>
      </c>
      <c r="C557" s="5"/>
      <c r="E557" s="49"/>
      <c r="F557" s="5"/>
      <c r="G557" s="32"/>
      <c r="H557" s="61"/>
      <c r="I557" s="32"/>
      <c r="J557" s="61"/>
      <c r="K557" s="32"/>
      <c r="L557" s="61"/>
      <c r="M557" s="32"/>
      <c r="N557" s="61"/>
      <c r="O557" s="32"/>
      <c r="P557" s="61"/>
      <c r="Q557" s="62"/>
      <c r="R557" s="63"/>
      <c r="S557" s="63"/>
      <c r="T557" s="63"/>
      <c r="U557" s="63"/>
    </row>
    <row r="558" spans="1:21" ht="13.2">
      <c r="A558" s="5">
        <f t="shared" ca="1" si="4"/>
        <v>557</v>
      </c>
      <c r="B558" s="5" t="str">
        <f ca="1">IFERROR(__xludf.DUMMYFUNCTION("if(ISBLANK(C558),,QUERY(MD!A559:D1557,""Select A where C = '""&amp; C558 &amp;""'""))"),"")</f>
        <v/>
      </c>
      <c r="C558" s="5"/>
      <c r="E558" s="49"/>
      <c r="F558" s="5"/>
      <c r="G558" s="32"/>
      <c r="H558" s="61"/>
      <c r="I558" s="32"/>
      <c r="J558" s="61"/>
      <c r="K558" s="32"/>
      <c r="L558" s="61"/>
      <c r="M558" s="32"/>
      <c r="N558" s="61"/>
      <c r="O558" s="32"/>
      <c r="P558" s="61"/>
      <c r="Q558" s="62"/>
      <c r="R558" s="63"/>
      <c r="S558" s="63"/>
      <c r="T558" s="63"/>
      <c r="U558" s="63"/>
    </row>
    <row r="559" spans="1:21" ht="13.2">
      <c r="A559" s="5">
        <f t="shared" ca="1" si="4"/>
        <v>558</v>
      </c>
      <c r="B559" s="5" t="str">
        <f ca="1">IFERROR(__xludf.DUMMYFUNCTION("if(ISBLANK(C559),,QUERY(MD!A560:D1558,""Select A where C = '""&amp; C559 &amp;""'""))"),"")</f>
        <v/>
      </c>
      <c r="C559" s="5"/>
      <c r="E559" s="49"/>
      <c r="F559" s="5"/>
      <c r="G559" s="32"/>
      <c r="H559" s="61"/>
      <c r="I559" s="32"/>
      <c r="J559" s="61"/>
      <c r="K559" s="32"/>
      <c r="L559" s="61"/>
      <c r="M559" s="32"/>
      <c r="N559" s="61"/>
      <c r="O559" s="32"/>
      <c r="P559" s="61"/>
      <c r="Q559" s="62"/>
      <c r="R559" s="63"/>
      <c r="S559" s="63"/>
      <c r="T559" s="63"/>
      <c r="U559" s="63"/>
    </row>
    <row r="560" spans="1:21" ht="13.2">
      <c r="A560" s="5">
        <f t="shared" ca="1" si="4"/>
        <v>559</v>
      </c>
      <c r="B560" s="5" t="str">
        <f ca="1">IFERROR(__xludf.DUMMYFUNCTION("if(ISBLANK(C560),,QUERY(MD!A561:D1559,""Select A where C = '""&amp; C560 &amp;""'""))"),"")</f>
        <v/>
      </c>
      <c r="C560" s="5"/>
      <c r="E560" s="49"/>
      <c r="F560" s="5"/>
      <c r="G560" s="32"/>
      <c r="H560" s="61"/>
      <c r="I560" s="32"/>
      <c r="J560" s="61"/>
      <c r="K560" s="32"/>
      <c r="L560" s="61"/>
      <c r="M560" s="32"/>
      <c r="N560" s="61"/>
      <c r="O560" s="32"/>
      <c r="P560" s="61"/>
      <c r="Q560" s="62"/>
      <c r="R560" s="63"/>
      <c r="S560" s="63"/>
      <c r="T560" s="63"/>
      <c r="U560" s="63"/>
    </row>
    <row r="561" spans="1:21" ht="13.2">
      <c r="A561" s="5">
        <f t="shared" ca="1" si="4"/>
        <v>560</v>
      </c>
      <c r="B561" s="5" t="str">
        <f ca="1">IFERROR(__xludf.DUMMYFUNCTION("if(ISBLANK(C561),,QUERY(MD!A562:D1560,""Select A where C = '""&amp; C561 &amp;""'""))"),"")</f>
        <v/>
      </c>
      <c r="C561" s="5"/>
      <c r="E561" s="49"/>
      <c r="F561" s="5"/>
      <c r="G561" s="32"/>
      <c r="H561" s="61"/>
      <c r="I561" s="32"/>
      <c r="J561" s="61"/>
      <c r="K561" s="32"/>
      <c r="L561" s="61"/>
      <c r="M561" s="32"/>
      <c r="N561" s="61"/>
      <c r="O561" s="32"/>
      <c r="P561" s="61"/>
      <c r="Q561" s="62"/>
      <c r="R561" s="63"/>
      <c r="S561" s="63"/>
      <c r="T561" s="63"/>
      <c r="U561" s="63"/>
    </row>
    <row r="562" spans="1:21" ht="13.2">
      <c r="A562" s="5">
        <f t="shared" ca="1" si="4"/>
        <v>561</v>
      </c>
      <c r="B562" s="5" t="str">
        <f ca="1">IFERROR(__xludf.DUMMYFUNCTION("if(ISBLANK(C562),,QUERY(MD!A563:D1561,""Select A where C = '""&amp; C562 &amp;""'""))"),"")</f>
        <v/>
      </c>
      <c r="C562" s="5"/>
      <c r="E562" s="49"/>
      <c r="F562" s="5"/>
      <c r="G562" s="32"/>
      <c r="H562" s="61"/>
      <c r="I562" s="32"/>
      <c r="J562" s="61"/>
      <c r="K562" s="32"/>
      <c r="L562" s="61"/>
      <c r="M562" s="32"/>
      <c r="N562" s="61"/>
      <c r="O562" s="32"/>
      <c r="P562" s="61"/>
      <c r="Q562" s="62"/>
      <c r="R562" s="63"/>
      <c r="S562" s="63"/>
      <c r="T562" s="63"/>
      <c r="U562" s="63"/>
    </row>
    <row r="563" spans="1:21" ht="13.2">
      <c r="A563" s="5">
        <f t="shared" ca="1" si="4"/>
        <v>562</v>
      </c>
      <c r="B563" s="5" t="str">
        <f ca="1">IFERROR(__xludf.DUMMYFUNCTION("if(ISBLANK(C563),,QUERY(MD!A564:D1562,""Select A where C = '""&amp; C563 &amp;""'""))"),"")</f>
        <v/>
      </c>
      <c r="C563" s="5"/>
      <c r="E563" s="49"/>
      <c r="F563" s="5"/>
      <c r="G563" s="32"/>
      <c r="H563" s="61"/>
      <c r="I563" s="32"/>
      <c r="J563" s="61"/>
      <c r="K563" s="32"/>
      <c r="L563" s="61"/>
      <c r="M563" s="32"/>
      <c r="N563" s="61"/>
      <c r="O563" s="32"/>
      <c r="P563" s="61"/>
      <c r="Q563" s="62"/>
      <c r="R563" s="63"/>
      <c r="S563" s="63"/>
      <c r="T563" s="63"/>
      <c r="U563" s="63"/>
    </row>
    <row r="564" spans="1:21" ht="13.2">
      <c r="A564" s="5">
        <f t="shared" ca="1" si="4"/>
        <v>563</v>
      </c>
      <c r="B564" s="5" t="str">
        <f ca="1">IFERROR(__xludf.DUMMYFUNCTION("if(ISBLANK(C564),,QUERY(MD!A565:D1563,""Select A where C = '""&amp; C564 &amp;""'""))"),"")</f>
        <v/>
      </c>
      <c r="C564" s="5"/>
      <c r="E564" s="49"/>
      <c r="F564" s="5"/>
      <c r="G564" s="32"/>
      <c r="H564" s="61"/>
      <c r="I564" s="32"/>
      <c r="J564" s="61"/>
      <c r="K564" s="32"/>
      <c r="L564" s="61"/>
      <c r="M564" s="32"/>
      <c r="N564" s="61"/>
      <c r="O564" s="32"/>
      <c r="P564" s="61"/>
      <c r="Q564" s="62"/>
      <c r="R564" s="63"/>
      <c r="S564" s="63"/>
      <c r="T564" s="63"/>
      <c r="U564" s="63"/>
    </row>
    <row r="565" spans="1:21" ht="13.2">
      <c r="A565" s="5">
        <f t="shared" ca="1" si="4"/>
        <v>564</v>
      </c>
      <c r="B565" s="5" t="str">
        <f ca="1">IFERROR(__xludf.DUMMYFUNCTION("if(ISBLANK(C565),,QUERY(MD!A566:D1564,""Select A where C = '""&amp; C565 &amp;""'""))"),"")</f>
        <v/>
      </c>
      <c r="C565" s="5"/>
      <c r="E565" s="49"/>
      <c r="F565" s="5"/>
      <c r="G565" s="32"/>
      <c r="H565" s="61"/>
      <c r="I565" s="32"/>
      <c r="J565" s="61"/>
      <c r="K565" s="32"/>
      <c r="L565" s="61"/>
      <c r="M565" s="32"/>
      <c r="N565" s="61"/>
      <c r="O565" s="32"/>
      <c r="P565" s="61"/>
      <c r="Q565" s="62"/>
      <c r="R565" s="63"/>
      <c r="S565" s="63"/>
      <c r="T565" s="63"/>
      <c r="U565" s="63"/>
    </row>
    <row r="566" spans="1:21" ht="13.2">
      <c r="A566" s="5">
        <f t="shared" ca="1" si="4"/>
        <v>565</v>
      </c>
      <c r="B566" s="5" t="str">
        <f ca="1">IFERROR(__xludf.DUMMYFUNCTION("if(ISBLANK(C566),,QUERY(MD!A567:D1565,""Select A where C = '""&amp; C566 &amp;""'""))"),"")</f>
        <v/>
      </c>
      <c r="C566" s="5"/>
      <c r="E566" s="49"/>
      <c r="F566" s="5"/>
      <c r="G566" s="32"/>
      <c r="H566" s="61"/>
      <c r="I566" s="32"/>
      <c r="J566" s="61"/>
      <c r="K566" s="32"/>
      <c r="L566" s="61"/>
      <c r="M566" s="32"/>
      <c r="N566" s="61"/>
      <c r="O566" s="32"/>
      <c r="P566" s="61"/>
      <c r="Q566" s="62"/>
      <c r="R566" s="63"/>
      <c r="S566" s="63"/>
      <c r="T566" s="63"/>
      <c r="U566" s="63"/>
    </row>
    <row r="567" spans="1:21" ht="13.2">
      <c r="A567" s="5">
        <f t="shared" ca="1" si="4"/>
        <v>566</v>
      </c>
      <c r="B567" s="5" t="str">
        <f ca="1">IFERROR(__xludf.DUMMYFUNCTION("if(ISBLANK(C567),,QUERY(MD!A568:D1566,""Select A where C = '""&amp; C567 &amp;""'""))"),"")</f>
        <v/>
      </c>
      <c r="C567" s="5"/>
      <c r="E567" s="49"/>
      <c r="F567" s="5"/>
      <c r="G567" s="32"/>
      <c r="H567" s="61"/>
      <c r="I567" s="32"/>
      <c r="J567" s="61"/>
      <c r="K567" s="32"/>
      <c r="L567" s="61"/>
      <c r="M567" s="32"/>
      <c r="N567" s="61"/>
      <c r="O567" s="32"/>
      <c r="P567" s="61"/>
      <c r="Q567" s="62"/>
      <c r="R567" s="63"/>
      <c r="S567" s="63"/>
      <c r="T567" s="63"/>
      <c r="U567" s="63"/>
    </row>
    <row r="568" spans="1:21" ht="13.2">
      <c r="A568" s="5">
        <f t="shared" ca="1" si="4"/>
        <v>567</v>
      </c>
      <c r="B568" s="5" t="str">
        <f ca="1">IFERROR(__xludf.DUMMYFUNCTION("if(ISBLANK(C568),,QUERY(MD!A569:D1567,""Select A where C = '""&amp; C568 &amp;""'""))"),"")</f>
        <v/>
      </c>
      <c r="C568" s="5"/>
      <c r="E568" s="49"/>
      <c r="F568" s="5"/>
      <c r="G568" s="32"/>
      <c r="H568" s="61"/>
      <c r="I568" s="32"/>
      <c r="J568" s="61"/>
      <c r="K568" s="32"/>
      <c r="L568" s="61"/>
      <c r="M568" s="32"/>
      <c r="N568" s="61"/>
      <c r="O568" s="32"/>
      <c r="P568" s="61"/>
      <c r="Q568" s="62"/>
      <c r="R568" s="63"/>
      <c r="S568" s="63"/>
      <c r="T568" s="63"/>
      <c r="U568" s="63"/>
    </row>
    <row r="569" spans="1:21" ht="13.2">
      <c r="A569" s="5">
        <f t="shared" ca="1" si="4"/>
        <v>568</v>
      </c>
      <c r="B569" s="5" t="str">
        <f ca="1">IFERROR(__xludf.DUMMYFUNCTION("if(ISBLANK(C569),,QUERY(MD!A570:D1568,""Select A where C = '""&amp; C569 &amp;""'""))"),"")</f>
        <v/>
      </c>
      <c r="C569" s="5"/>
      <c r="E569" s="49"/>
      <c r="F569" s="5"/>
      <c r="G569" s="32"/>
      <c r="H569" s="61"/>
      <c r="I569" s="32"/>
      <c r="J569" s="61"/>
      <c r="K569" s="32"/>
      <c r="L569" s="61"/>
      <c r="M569" s="32"/>
      <c r="N569" s="61"/>
      <c r="O569" s="32"/>
      <c r="P569" s="61"/>
      <c r="Q569" s="62"/>
      <c r="R569" s="63"/>
      <c r="S569" s="63"/>
      <c r="T569" s="63"/>
      <c r="U569" s="63"/>
    </row>
    <row r="570" spans="1:21" ht="13.2">
      <c r="A570" s="5">
        <f t="shared" ca="1" si="4"/>
        <v>569</v>
      </c>
      <c r="B570" s="5" t="str">
        <f ca="1">IFERROR(__xludf.DUMMYFUNCTION("if(ISBLANK(C570),,QUERY(MD!A571:D1569,""Select A where C = '""&amp; C570 &amp;""'""))"),"")</f>
        <v/>
      </c>
      <c r="C570" s="5"/>
      <c r="E570" s="49"/>
      <c r="F570" s="5"/>
      <c r="G570" s="32"/>
      <c r="H570" s="61"/>
      <c r="I570" s="32"/>
      <c r="J570" s="61"/>
      <c r="K570" s="32"/>
      <c r="L570" s="61"/>
      <c r="M570" s="32"/>
      <c r="N570" s="61"/>
      <c r="O570" s="32"/>
      <c r="P570" s="61"/>
      <c r="Q570" s="62"/>
      <c r="R570" s="63"/>
      <c r="S570" s="63"/>
      <c r="T570" s="63"/>
      <c r="U570" s="63"/>
    </row>
    <row r="571" spans="1:21" ht="13.2">
      <c r="A571" s="5">
        <f t="shared" ca="1" si="4"/>
        <v>570</v>
      </c>
      <c r="B571" s="5" t="str">
        <f ca="1">IFERROR(__xludf.DUMMYFUNCTION("if(ISBLANK(C571),,QUERY(MD!A572:D1570,""Select A where C = '""&amp; C571 &amp;""'""))"),"")</f>
        <v/>
      </c>
      <c r="C571" s="5"/>
      <c r="E571" s="49"/>
      <c r="F571" s="5"/>
      <c r="G571" s="32"/>
      <c r="H571" s="61"/>
      <c r="I571" s="32"/>
      <c r="J571" s="61"/>
      <c r="K571" s="32"/>
      <c r="L571" s="61"/>
      <c r="M571" s="32"/>
      <c r="N571" s="61"/>
      <c r="O571" s="32"/>
      <c r="P571" s="61"/>
      <c r="Q571" s="62"/>
      <c r="R571" s="63"/>
      <c r="S571" s="63"/>
      <c r="T571" s="63"/>
      <c r="U571" s="63"/>
    </row>
    <row r="572" spans="1:21" ht="13.2">
      <c r="A572" s="5">
        <f t="shared" ca="1" si="4"/>
        <v>571</v>
      </c>
      <c r="B572" s="5" t="str">
        <f ca="1">IFERROR(__xludf.DUMMYFUNCTION("if(ISBLANK(C572),,QUERY(MD!A573:D1571,""Select A where C = '""&amp; C572 &amp;""'""))"),"")</f>
        <v/>
      </c>
      <c r="C572" s="5"/>
      <c r="E572" s="49"/>
      <c r="F572" s="5"/>
      <c r="G572" s="32"/>
      <c r="H572" s="61"/>
      <c r="I572" s="32"/>
      <c r="J572" s="61"/>
      <c r="K572" s="32"/>
      <c r="L572" s="61"/>
      <c r="M572" s="32"/>
      <c r="N572" s="61"/>
      <c r="O572" s="32"/>
      <c r="P572" s="61"/>
      <c r="Q572" s="62"/>
      <c r="R572" s="63"/>
      <c r="S572" s="63"/>
      <c r="T572" s="63"/>
      <c r="U572" s="63"/>
    </row>
    <row r="573" spans="1:21" ht="13.2">
      <c r="A573" s="5">
        <f t="shared" ca="1" si="4"/>
        <v>572</v>
      </c>
      <c r="B573" s="5" t="str">
        <f ca="1">IFERROR(__xludf.DUMMYFUNCTION("if(ISBLANK(C573),,QUERY(MD!A574:D1572,""Select A where C = '""&amp; C573 &amp;""'""))"),"")</f>
        <v/>
      </c>
      <c r="C573" s="5"/>
      <c r="E573" s="49"/>
      <c r="F573" s="5"/>
      <c r="G573" s="32"/>
      <c r="H573" s="61"/>
      <c r="I573" s="32"/>
      <c r="J573" s="61"/>
      <c r="K573" s="32"/>
      <c r="L573" s="61"/>
      <c r="M573" s="32"/>
      <c r="N573" s="61"/>
      <c r="O573" s="32"/>
      <c r="P573" s="61"/>
      <c r="Q573" s="62"/>
      <c r="R573" s="63"/>
      <c r="S573" s="63"/>
      <c r="T573" s="63"/>
      <c r="U573" s="63"/>
    </row>
    <row r="574" spans="1:21" ht="13.2">
      <c r="A574" s="5">
        <f t="shared" ca="1" si="4"/>
        <v>573</v>
      </c>
      <c r="B574" s="5" t="str">
        <f ca="1">IFERROR(__xludf.DUMMYFUNCTION("if(ISBLANK(C574),,QUERY(MD!A575:D1573,""Select A where C = '""&amp; C574 &amp;""'""))"),"")</f>
        <v/>
      </c>
      <c r="C574" s="5"/>
      <c r="E574" s="49"/>
      <c r="F574" s="5"/>
      <c r="G574" s="32"/>
      <c r="H574" s="61"/>
      <c r="I574" s="32"/>
      <c r="J574" s="61"/>
      <c r="K574" s="32"/>
      <c r="L574" s="61"/>
      <c r="M574" s="32"/>
      <c r="N574" s="61"/>
      <c r="O574" s="32"/>
      <c r="P574" s="61"/>
      <c r="Q574" s="62"/>
      <c r="R574" s="63"/>
      <c r="S574" s="63"/>
      <c r="T574" s="63"/>
      <c r="U574" s="63"/>
    </row>
    <row r="575" spans="1:21" ht="13.2">
      <c r="A575" s="5">
        <f t="shared" ca="1" si="4"/>
        <v>574</v>
      </c>
      <c r="B575" s="5" t="str">
        <f ca="1">IFERROR(__xludf.DUMMYFUNCTION("if(ISBLANK(C575),,QUERY(MD!A576:D1574,""Select A where C = '""&amp; C575 &amp;""'""))"),"")</f>
        <v/>
      </c>
      <c r="C575" s="5"/>
      <c r="E575" s="49"/>
      <c r="F575" s="5"/>
      <c r="G575" s="32"/>
      <c r="H575" s="61"/>
      <c r="I575" s="32"/>
      <c r="J575" s="61"/>
      <c r="K575" s="32"/>
      <c r="L575" s="61"/>
      <c r="M575" s="32"/>
      <c r="N575" s="61"/>
      <c r="O575" s="32"/>
      <c r="P575" s="61"/>
      <c r="Q575" s="62"/>
      <c r="R575" s="63"/>
      <c r="S575" s="63"/>
      <c r="T575" s="63"/>
      <c r="U575" s="63"/>
    </row>
    <row r="576" spans="1:21" ht="13.2">
      <c r="A576" s="5">
        <f t="shared" ca="1" si="4"/>
        <v>575</v>
      </c>
      <c r="B576" s="5" t="str">
        <f ca="1">IFERROR(__xludf.DUMMYFUNCTION("if(ISBLANK(C576),,QUERY(MD!A577:D1575,""Select A where C = '""&amp; C576 &amp;""'""))"),"")</f>
        <v/>
      </c>
      <c r="C576" s="5"/>
      <c r="E576" s="49"/>
      <c r="F576" s="5"/>
      <c r="G576" s="32"/>
      <c r="H576" s="61"/>
      <c r="I576" s="32"/>
      <c r="J576" s="61"/>
      <c r="K576" s="32"/>
      <c r="L576" s="61"/>
      <c r="M576" s="32"/>
      <c r="N576" s="61"/>
      <c r="O576" s="32"/>
      <c r="P576" s="61"/>
      <c r="Q576" s="62"/>
      <c r="R576" s="63"/>
      <c r="S576" s="63"/>
      <c r="T576" s="63"/>
      <c r="U576" s="63"/>
    </row>
    <row r="577" spans="1:21" ht="13.2">
      <c r="A577" s="5">
        <f t="shared" ca="1" si="4"/>
        <v>576</v>
      </c>
      <c r="B577" s="5" t="str">
        <f ca="1">IFERROR(__xludf.DUMMYFUNCTION("if(ISBLANK(C577),,QUERY(MD!A578:D1576,""Select A where C = '""&amp; C577 &amp;""'""))"),"")</f>
        <v/>
      </c>
      <c r="C577" s="5"/>
      <c r="E577" s="49"/>
      <c r="F577" s="5"/>
      <c r="G577" s="32"/>
      <c r="H577" s="61"/>
      <c r="I577" s="32"/>
      <c r="J577" s="61"/>
      <c r="K577" s="32"/>
      <c r="L577" s="61"/>
      <c r="M577" s="32"/>
      <c r="N577" s="61"/>
      <c r="O577" s="32"/>
      <c r="P577" s="61"/>
      <c r="Q577" s="62"/>
      <c r="R577" s="63"/>
      <c r="S577" s="63"/>
      <c r="T577" s="63"/>
      <c r="U577" s="63"/>
    </row>
    <row r="578" spans="1:21" ht="13.2">
      <c r="A578" s="5">
        <f t="shared" ca="1" si="4"/>
        <v>577</v>
      </c>
      <c r="B578" s="5" t="str">
        <f ca="1">IFERROR(__xludf.DUMMYFUNCTION("if(ISBLANK(C578),,QUERY(MD!A579:D1577,""Select A where C = '""&amp; C578 &amp;""'""))"),"")</f>
        <v/>
      </c>
      <c r="C578" s="5"/>
      <c r="E578" s="49"/>
      <c r="F578" s="5"/>
      <c r="G578" s="32"/>
      <c r="H578" s="61"/>
      <c r="I578" s="32"/>
      <c r="J578" s="61"/>
      <c r="K578" s="32"/>
      <c r="L578" s="61"/>
      <c r="M578" s="32"/>
      <c r="N578" s="61"/>
      <c r="O578" s="32"/>
      <c r="P578" s="61"/>
      <c r="Q578" s="62"/>
      <c r="R578" s="63"/>
      <c r="S578" s="63"/>
      <c r="T578" s="63"/>
      <c r="U578" s="63"/>
    </row>
    <row r="579" spans="1:21" ht="13.2">
      <c r="A579" s="5">
        <f t="shared" ca="1" si="4"/>
        <v>578</v>
      </c>
      <c r="B579" s="5" t="str">
        <f ca="1">IFERROR(__xludf.DUMMYFUNCTION("if(ISBLANK(C579),,QUERY(MD!A580:D1578,""Select A where C = '""&amp; C579 &amp;""'""))"),"")</f>
        <v/>
      </c>
      <c r="C579" s="5"/>
      <c r="E579" s="49"/>
      <c r="F579" s="5"/>
      <c r="G579" s="32"/>
      <c r="H579" s="61"/>
      <c r="I579" s="32"/>
      <c r="J579" s="61"/>
      <c r="K579" s="32"/>
      <c r="L579" s="61"/>
      <c r="M579" s="32"/>
      <c r="N579" s="61"/>
      <c r="O579" s="32"/>
      <c r="P579" s="61"/>
      <c r="Q579" s="62"/>
      <c r="R579" s="63"/>
      <c r="S579" s="63"/>
      <c r="T579" s="63"/>
      <c r="U579" s="63"/>
    </row>
    <row r="580" spans="1:21" ht="13.2">
      <c r="A580" s="5">
        <f t="shared" ca="1" si="4"/>
        <v>579</v>
      </c>
      <c r="B580" s="5" t="str">
        <f ca="1">IFERROR(__xludf.DUMMYFUNCTION("if(ISBLANK(C580),,QUERY(MD!A581:D1579,""Select A where C = '""&amp; C580 &amp;""'""))"),"")</f>
        <v/>
      </c>
      <c r="C580" s="5"/>
      <c r="E580" s="49"/>
      <c r="F580" s="5"/>
      <c r="G580" s="32"/>
      <c r="H580" s="61"/>
      <c r="I580" s="32"/>
      <c r="J580" s="61"/>
      <c r="K580" s="32"/>
      <c r="L580" s="61"/>
      <c r="M580" s="32"/>
      <c r="N580" s="61"/>
      <c r="O580" s="32"/>
      <c r="P580" s="61"/>
      <c r="Q580" s="62"/>
      <c r="R580" s="63"/>
      <c r="S580" s="63"/>
      <c r="T580" s="63"/>
      <c r="U580" s="63"/>
    </row>
    <row r="581" spans="1:21" ht="13.2">
      <c r="A581" s="5">
        <f t="shared" ca="1" si="4"/>
        <v>580</v>
      </c>
      <c r="B581" s="5" t="str">
        <f ca="1">IFERROR(__xludf.DUMMYFUNCTION("if(ISBLANK(C581),,QUERY(MD!A582:D1580,""Select A where C = '""&amp; C581 &amp;""'""))"),"")</f>
        <v/>
      </c>
      <c r="C581" s="5"/>
      <c r="E581" s="49"/>
      <c r="F581" s="5"/>
      <c r="G581" s="32"/>
      <c r="H581" s="61"/>
      <c r="I581" s="32"/>
      <c r="J581" s="61"/>
      <c r="K581" s="32"/>
      <c r="L581" s="61"/>
      <c r="M581" s="32"/>
      <c r="N581" s="61"/>
      <c r="O581" s="32"/>
      <c r="P581" s="61"/>
      <c r="Q581" s="62"/>
      <c r="R581" s="63"/>
      <c r="S581" s="63"/>
      <c r="T581" s="63"/>
      <c r="U581" s="63"/>
    </row>
    <row r="582" spans="1:21" ht="13.2">
      <c r="A582" s="5">
        <f t="shared" ca="1" si="4"/>
        <v>581</v>
      </c>
      <c r="B582" s="5" t="str">
        <f ca="1">IFERROR(__xludf.DUMMYFUNCTION("if(ISBLANK(C582),,QUERY(MD!A583:D1581,""Select A where C = '""&amp; C582 &amp;""'""))"),"")</f>
        <v/>
      </c>
      <c r="C582" s="5"/>
      <c r="E582" s="49"/>
      <c r="F582" s="5"/>
      <c r="G582" s="32"/>
      <c r="H582" s="61"/>
      <c r="I582" s="32"/>
      <c r="J582" s="61"/>
      <c r="K582" s="32"/>
      <c r="L582" s="61"/>
      <c r="M582" s="32"/>
      <c r="N582" s="61"/>
      <c r="O582" s="32"/>
      <c r="P582" s="61"/>
      <c r="Q582" s="62"/>
      <c r="R582" s="63"/>
      <c r="S582" s="63"/>
      <c r="T582" s="63"/>
      <c r="U582" s="63"/>
    </row>
    <row r="583" spans="1:21" ht="13.2">
      <c r="A583" s="5">
        <f t="shared" ca="1" si="4"/>
        <v>582</v>
      </c>
      <c r="B583" s="5" t="str">
        <f ca="1">IFERROR(__xludf.DUMMYFUNCTION("if(ISBLANK(C583),,QUERY(MD!A584:D1582,""Select A where C = '""&amp; C583 &amp;""'""))"),"")</f>
        <v/>
      </c>
      <c r="C583" s="5"/>
      <c r="E583" s="49"/>
      <c r="F583" s="5"/>
      <c r="G583" s="32"/>
      <c r="H583" s="61"/>
      <c r="I583" s="32"/>
      <c r="J583" s="61"/>
      <c r="K583" s="32"/>
      <c r="L583" s="61"/>
      <c r="M583" s="32"/>
      <c r="N583" s="61"/>
      <c r="O583" s="32"/>
      <c r="P583" s="61"/>
      <c r="Q583" s="62"/>
      <c r="R583" s="63"/>
      <c r="S583" s="63"/>
      <c r="T583" s="63"/>
      <c r="U583" s="63"/>
    </row>
    <row r="584" spans="1:21" ht="13.2">
      <c r="A584" s="5">
        <f t="shared" ca="1" si="4"/>
        <v>583</v>
      </c>
      <c r="B584" s="5" t="str">
        <f ca="1">IFERROR(__xludf.DUMMYFUNCTION("if(ISBLANK(C584),,QUERY(MD!A585:D1583,""Select A where C = '""&amp; C584 &amp;""'""))"),"")</f>
        <v/>
      </c>
      <c r="C584" s="5"/>
      <c r="E584" s="49"/>
      <c r="F584" s="5"/>
      <c r="G584" s="32"/>
      <c r="H584" s="61"/>
      <c r="I584" s="32"/>
      <c r="J584" s="61"/>
      <c r="K584" s="32"/>
      <c r="L584" s="61"/>
      <c r="M584" s="32"/>
      <c r="N584" s="61"/>
      <c r="O584" s="32"/>
      <c r="P584" s="61"/>
      <c r="Q584" s="62"/>
      <c r="R584" s="63"/>
      <c r="S584" s="63"/>
      <c r="T584" s="63"/>
      <c r="U584" s="63"/>
    </row>
    <row r="585" spans="1:21" ht="13.2">
      <c r="A585" s="5">
        <f t="shared" ca="1" si="4"/>
        <v>584</v>
      </c>
      <c r="B585" s="5" t="str">
        <f ca="1">IFERROR(__xludf.DUMMYFUNCTION("if(ISBLANK(C585),,QUERY(MD!A586:D1584,""Select A where C = '""&amp; C585 &amp;""'""))"),"")</f>
        <v/>
      </c>
      <c r="C585" s="5"/>
      <c r="E585" s="49"/>
      <c r="F585" s="5"/>
      <c r="G585" s="32"/>
      <c r="H585" s="61"/>
      <c r="I585" s="32"/>
      <c r="J585" s="61"/>
      <c r="K585" s="32"/>
      <c r="L585" s="61"/>
      <c r="M585" s="32"/>
      <c r="N585" s="61"/>
      <c r="O585" s="32"/>
      <c r="P585" s="61"/>
      <c r="Q585" s="62"/>
      <c r="R585" s="63"/>
      <c r="S585" s="63"/>
      <c r="T585" s="63"/>
      <c r="U585" s="63"/>
    </row>
    <row r="586" spans="1:21" ht="13.2">
      <c r="A586" s="5">
        <f t="shared" ca="1" si="4"/>
        <v>585</v>
      </c>
      <c r="B586" s="5" t="str">
        <f ca="1">IFERROR(__xludf.DUMMYFUNCTION("if(ISBLANK(C586),,QUERY(MD!A587:D1585,""Select A where C = '""&amp; C586 &amp;""'""))"),"")</f>
        <v/>
      </c>
      <c r="C586" s="5"/>
      <c r="E586" s="49"/>
      <c r="F586" s="5"/>
      <c r="G586" s="32"/>
      <c r="H586" s="61"/>
      <c r="I586" s="32"/>
      <c r="J586" s="61"/>
      <c r="K586" s="32"/>
      <c r="L586" s="61"/>
      <c r="M586" s="32"/>
      <c r="N586" s="61"/>
      <c r="O586" s="32"/>
      <c r="P586" s="61"/>
      <c r="Q586" s="62"/>
      <c r="R586" s="63"/>
      <c r="S586" s="63"/>
      <c r="T586" s="63"/>
      <c r="U586" s="63"/>
    </row>
    <row r="587" spans="1:21" ht="13.2">
      <c r="A587" s="5">
        <f t="shared" ca="1" si="4"/>
        <v>586</v>
      </c>
      <c r="B587" s="5" t="str">
        <f ca="1">IFERROR(__xludf.DUMMYFUNCTION("if(ISBLANK(C587),,QUERY(MD!A588:D1586,""Select A where C = '""&amp; C587 &amp;""'""))"),"")</f>
        <v/>
      </c>
      <c r="C587" s="5"/>
      <c r="E587" s="49"/>
      <c r="F587" s="5"/>
      <c r="G587" s="32"/>
      <c r="H587" s="61"/>
      <c r="I587" s="32"/>
      <c r="J587" s="61"/>
      <c r="K587" s="32"/>
      <c r="L587" s="61"/>
      <c r="M587" s="32"/>
      <c r="N587" s="61"/>
      <c r="O587" s="32"/>
      <c r="P587" s="61"/>
      <c r="Q587" s="62"/>
      <c r="R587" s="63"/>
      <c r="S587" s="63"/>
      <c r="T587" s="63"/>
      <c r="U587" s="63"/>
    </row>
    <row r="588" spans="1:21" ht="13.2">
      <c r="A588" s="5">
        <f t="shared" ca="1" si="4"/>
        <v>587</v>
      </c>
      <c r="B588" s="5" t="str">
        <f ca="1">IFERROR(__xludf.DUMMYFUNCTION("if(ISBLANK(C588),,QUERY(MD!A589:D1587,""Select A where C = '""&amp; C588 &amp;""'""))"),"")</f>
        <v/>
      </c>
      <c r="C588" s="5"/>
      <c r="E588" s="49"/>
      <c r="F588" s="5"/>
      <c r="G588" s="32"/>
      <c r="H588" s="61"/>
      <c r="I588" s="32"/>
      <c r="J588" s="61"/>
      <c r="K588" s="32"/>
      <c r="L588" s="61"/>
      <c r="M588" s="32"/>
      <c r="N588" s="61"/>
      <c r="O588" s="32"/>
      <c r="P588" s="61"/>
      <c r="Q588" s="62"/>
      <c r="R588" s="63"/>
      <c r="S588" s="63"/>
      <c r="T588" s="63"/>
      <c r="U588" s="63"/>
    </row>
    <row r="589" spans="1:21" ht="13.2">
      <c r="A589" s="5">
        <f t="shared" ca="1" si="4"/>
        <v>588</v>
      </c>
      <c r="B589" s="5" t="str">
        <f ca="1">IFERROR(__xludf.DUMMYFUNCTION("if(ISBLANK(C589),,QUERY(MD!A590:D1588,""Select A where C = '""&amp; C589 &amp;""'""))"),"")</f>
        <v/>
      </c>
      <c r="C589" s="5"/>
      <c r="E589" s="49"/>
      <c r="F589" s="5"/>
      <c r="G589" s="32"/>
      <c r="H589" s="61"/>
      <c r="I589" s="32"/>
      <c r="J589" s="61"/>
      <c r="K589" s="32"/>
      <c r="L589" s="61"/>
      <c r="M589" s="32"/>
      <c r="N589" s="61"/>
      <c r="O589" s="32"/>
      <c r="P589" s="61"/>
      <c r="Q589" s="62"/>
      <c r="R589" s="63"/>
      <c r="S589" s="63"/>
      <c r="T589" s="63"/>
      <c r="U589" s="63"/>
    </row>
    <row r="590" spans="1:21" ht="13.2">
      <c r="A590" s="5">
        <f t="shared" ca="1" si="4"/>
        <v>589</v>
      </c>
      <c r="B590" s="5" t="str">
        <f ca="1">IFERROR(__xludf.DUMMYFUNCTION("if(ISBLANK(C590),,QUERY(MD!A591:D1589,""Select A where C = '""&amp; C590 &amp;""'""))"),"")</f>
        <v/>
      </c>
      <c r="C590" s="5"/>
      <c r="E590" s="49"/>
      <c r="F590" s="5"/>
      <c r="G590" s="32"/>
      <c r="H590" s="61"/>
      <c r="I590" s="32"/>
      <c r="J590" s="61"/>
      <c r="K590" s="32"/>
      <c r="L590" s="61"/>
      <c r="M590" s="32"/>
      <c r="N590" s="61"/>
      <c r="O590" s="32"/>
      <c r="P590" s="61"/>
      <c r="Q590" s="62"/>
      <c r="R590" s="63"/>
      <c r="S590" s="63"/>
      <c r="T590" s="63"/>
      <c r="U590" s="63"/>
    </row>
    <row r="591" spans="1:21" ht="13.2">
      <c r="A591" s="5">
        <f t="shared" ca="1" si="4"/>
        <v>590</v>
      </c>
      <c r="B591" s="5" t="str">
        <f ca="1">IFERROR(__xludf.DUMMYFUNCTION("if(ISBLANK(C591),,QUERY(MD!A592:D1590,""Select A where C = '""&amp; C591 &amp;""'""))"),"")</f>
        <v/>
      </c>
      <c r="C591" s="5"/>
      <c r="E591" s="49"/>
      <c r="F591" s="5"/>
      <c r="G591" s="32"/>
      <c r="H591" s="61"/>
      <c r="I591" s="32"/>
      <c r="J591" s="61"/>
      <c r="K591" s="32"/>
      <c r="L591" s="61"/>
      <c r="M591" s="32"/>
      <c r="N591" s="61"/>
      <c r="O591" s="32"/>
      <c r="P591" s="61"/>
      <c r="Q591" s="62"/>
      <c r="R591" s="63"/>
      <c r="S591" s="63"/>
      <c r="T591" s="63"/>
      <c r="U591" s="63"/>
    </row>
    <row r="592" spans="1:21" ht="13.2">
      <c r="A592" s="5">
        <f t="shared" ca="1" si="4"/>
        <v>591</v>
      </c>
      <c r="B592" s="5" t="str">
        <f ca="1">IFERROR(__xludf.DUMMYFUNCTION("if(ISBLANK(C592),,QUERY(MD!A593:D1591,""Select A where C = '""&amp; C592 &amp;""'""))"),"")</f>
        <v/>
      </c>
      <c r="C592" s="5"/>
      <c r="E592" s="49"/>
      <c r="F592" s="5"/>
      <c r="G592" s="32"/>
      <c r="H592" s="61"/>
      <c r="I592" s="32"/>
      <c r="J592" s="61"/>
      <c r="K592" s="32"/>
      <c r="L592" s="61"/>
      <c r="M592" s="32"/>
      <c r="N592" s="61"/>
      <c r="O592" s="32"/>
      <c r="P592" s="61"/>
      <c r="Q592" s="62"/>
      <c r="R592" s="63"/>
      <c r="S592" s="63"/>
      <c r="T592" s="63"/>
      <c r="U592" s="63"/>
    </row>
    <row r="593" spans="1:21" ht="13.2">
      <c r="A593" s="5">
        <f t="shared" ca="1" si="4"/>
        <v>592</v>
      </c>
      <c r="B593" s="5" t="str">
        <f ca="1">IFERROR(__xludf.DUMMYFUNCTION("if(ISBLANK(C593),,QUERY(MD!A594:D1592,""Select A where C = '""&amp; C593 &amp;""'""))"),"")</f>
        <v/>
      </c>
      <c r="C593" s="5"/>
      <c r="E593" s="49"/>
      <c r="F593" s="5"/>
      <c r="G593" s="32"/>
      <c r="H593" s="61"/>
      <c r="I593" s="32"/>
      <c r="J593" s="61"/>
      <c r="K593" s="32"/>
      <c r="L593" s="61"/>
      <c r="M593" s="32"/>
      <c r="N593" s="61"/>
      <c r="O593" s="32"/>
      <c r="P593" s="61"/>
      <c r="Q593" s="62"/>
      <c r="R593" s="63"/>
      <c r="S593" s="63"/>
      <c r="T593" s="63"/>
      <c r="U593" s="63"/>
    </row>
    <row r="594" spans="1:21" ht="13.2">
      <c r="A594" s="5">
        <f t="shared" ca="1" si="4"/>
        <v>593</v>
      </c>
      <c r="B594" s="5" t="str">
        <f ca="1">IFERROR(__xludf.DUMMYFUNCTION("if(ISBLANK(C594),,QUERY(MD!A595:D1593,""Select A where C = '""&amp; C594 &amp;""'""))"),"")</f>
        <v/>
      </c>
      <c r="C594" s="5"/>
      <c r="E594" s="49"/>
      <c r="F594" s="5"/>
      <c r="G594" s="32"/>
      <c r="H594" s="61"/>
      <c r="I594" s="32"/>
      <c r="J594" s="61"/>
      <c r="K594" s="32"/>
      <c r="L594" s="61"/>
      <c r="M594" s="32"/>
      <c r="N594" s="61"/>
      <c r="O594" s="32"/>
      <c r="P594" s="61"/>
      <c r="Q594" s="62"/>
      <c r="R594" s="63"/>
      <c r="S594" s="63"/>
      <c r="T594" s="63"/>
      <c r="U594" s="63"/>
    </row>
    <row r="595" spans="1:21" ht="13.2">
      <c r="A595" s="5">
        <f t="shared" ca="1" si="4"/>
        <v>594</v>
      </c>
      <c r="B595" s="5" t="str">
        <f ca="1">IFERROR(__xludf.DUMMYFUNCTION("if(ISBLANK(C595),,QUERY(MD!A596:D1594,""Select A where C = '""&amp; C595 &amp;""'""))"),"")</f>
        <v/>
      </c>
      <c r="C595" s="5"/>
      <c r="E595" s="49"/>
      <c r="F595" s="5"/>
      <c r="G595" s="32"/>
      <c r="H595" s="61"/>
      <c r="I595" s="32"/>
      <c r="J595" s="61"/>
      <c r="K595" s="32"/>
      <c r="L595" s="61"/>
      <c r="M595" s="32"/>
      <c r="N595" s="61"/>
      <c r="O595" s="32"/>
      <c r="P595" s="61"/>
      <c r="Q595" s="62"/>
      <c r="R595" s="63"/>
      <c r="S595" s="63"/>
      <c r="T595" s="63"/>
      <c r="U595" s="63"/>
    </row>
    <row r="596" spans="1:21" ht="13.2">
      <c r="A596" s="5">
        <f t="shared" ca="1" si="4"/>
        <v>595</v>
      </c>
      <c r="B596" s="5" t="str">
        <f ca="1">IFERROR(__xludf.DUMMYFUNCTION("if(ISBLANK(C596),,QUERY(MD!A597:D1595,""Select A where C = '""&amp; C596 &amp;""'""))"),"")</f>
        <v/>
      </c>
      <c r="C596" s="5"/>
      <c r="E596" s="49"/>
      <c r="F596" s="5"/>
      <c r="G596" s="32"/>
      <c r="H596" s="61"/>
      <c r="I596" s="32"/>
      <c r="J596" s="61"/>
      <c r="K596" s="32"/>
      <c r="L596" s="61"/>
      <c r="M596" s="32"/>
      <c r="N596" s="61"/>
      <c r="O596" s="32"/>
      <c r="P596" s="61"/>
      <c r="Q596" s="62"/>
      <c r="R596" s="63"/>
      <c r="S596" s="63"/>
      <c r="T596" s="63"/>
      <c r="U596" s="63"/>
    </row>
    <row r="597" spans="1:21" ht="13.2">
      <c r="A597" s="5">
        <f t="shared" ca="1" si="4"/>
        <v>596</v>
      </c>
      <c r="B597" s="5" t="str">
        <f ca="1">IFERROR(__xludf.DUMMYFUNCTION("if(ISBLANK(C597),,QUERY(MD!A598:D1596,""Select A where C = '""&amp; C597 &amp;""'""))"),"")</f>
        <v/>
      </c>
      <c r="C597" s="5"/>
      <c r="E597" s="49"/>
      <c r="F597" s="5"/>
      <c r="G597" s="32"/>
      <c r="H597" s="61"/>
      <c r="I597" s="32"/>
      <c r="J597" s="61"/>
      <c r="K597" s="32"/>
      <c r="L597" s="61"/>
      <c r="M597" s="32"/>
      <c r="N597" s="61"/>
      <c r="O597" s="32"/>
      <c r="P597" s="61"/>
      <c r="Q597" s="62"/>
      <c r="R597" s="63"/>
      <c r="S597" s="63"/>
      <c r="T597" s="63"/>
      <c r="U597" s="63"/>
    </row>
    <row r="598" spans="1:21" ht="13.2">
      <c r="A598" s="5">
        <f t="shared" ca="1" si="4"/>
        <v>597</v>
      </c>
      <c r="B598" s="5" t="str">
        <f ca="1">IFERROR(__xludf.DUMMYFUNCTION("if(ISBLANK(C598),,QUERY(MD!A599:D1597,""Select A where C = '""&amp; C598 &amp;""'""))"),"")</f>
        <v/>
      </c>
      <c r="C598" s="5"/>
      <c r="E598" s="49"/>
      <c r="F598" s="5"/>
      <c r="G598" s="32"/>
      <c r="H598" s="61"/>
      <c r="I598" s="32"/>
      <c r="J598" s="61"/>
      <c r="K598" s="32"/>
      <c r="L598" s="61"/>
      <c r="M598" s="32"/>
      <c r="N598" s="61"/>
      <c r="O598" s="32"/>
      <c r="P598" s="61"/>
      <c r="Q598" s="62"/>
      <c r="R598" s="63"/>
      <c r="S598" s="63"/>
      <c r="T598" s="63"/>
      <c r="U598" s="63"/>
    </row>
    <row r="599" spans="1:21" ht="13.2">
      <c r="A599" s="5">
        <f t="shared" ca="1" si="4"/>
        <v>598</v>
      </c>
      <c r="B599" s="5" t="str">
        <f ca="1">IFERROR(__xludf.DUMMYFUNCTION("if(ISBLANK(C599),,QUERY(MD!A600:D1598,""Select A where C = '""&amp; C599 &amp;""'""))"),"")</f>
        <v/>
      </c>
      <c r="C599" s="5"/>
      <c r="E599" s="49"/>
      <c r="F599" s="5"/>
      <c r="G599" s="32"/>
      <c r="H599" s="61"/>
      <c r="I599" s="32"/>
      <c r="J599" s="61"/>
      <c r="K599" s="32"/>
      <c r="L599" s="61"/>
      <c r="M599" s="32"/>
      <c r="N599" s="61"/>
      <c r="O599" s="32"/>
      <c r="P599" s="61"/>
      <c r="Q599" s="62"/>
      <c r="R599" s="63"/>
      <c r="S599" s="63"/>
      <c r="T599" s="63"/>
      <c r="U599" s="63"/>
    </row>
    <row r="600" spans="1:21" ht="13.2">
      <c r="A600" s="5">
        <f t="shared" ca="1" si="4"/>
        <v>599</v>
      </c>
      <c r="B600" s="5" t="str">
        <f ca="1">IFERROR(__xludf.DUMMYFUNCTION("if(ISBLANK(C600),,QUERY(MD!A601:D1599,""Select A where C = '""&amp; C600 &amp;""'""))"),"")</f>
        <v/>
      </c>
      <c r="C600" s="5"/>
      <c r="E600" s="49"/>
      <c r="F600" s="5"/>
      <c r="G600" s="32"/>
      <c r="H600" s="61"/>
      <c r="I600" s="32"/>
      <c r="J600" s="61"/>
      <c r="K600" s="32"/>
      <c r="L600" s="61"/>
      <c r="M600" s="32"/>
      <c r="N600" s="61"/>
      <c r="O600" s="32"/>
      <c r="P600" s="61"/>
      <c r="Q600" s="62"/>
      <c r="R600" s="63"/>
      <c r="S600" s="63"/>
      <c r="T600" s="63"/>
      <c r="U600" s="63"/>
    </row>
    <row r="601" spans="1:21" ht="13.2">
      <c r="A601" s="5">
        <f t="shared" ca="1" si="4"/>
        <v>600</v>
      </c>
      <c r="B601" s="5" t="str">
        <f ca="1">IFERROR(__xludf.DUMMYFUNCTION("if(ISBLANK(C601),,QUERY(MD!A602:D1600,""Select A where C = '""&amp; C601 &amp;""'""))"),"")</f>
        <v/>
      </c>
      <c r="C601" s="5"/>
      <c r="E601" s="49"/>
      <c r="F601" s="5"/>
      <c r="G601" s="32"/>
      <c r="H601" s="61"/>
      <c r="I601" s="32"/>
      <c r="J601" s="61"/>
      <c r="K601" s="32"/>
      <c r="L601" s="61"/>
      <c r="M601" s="32"/>
      <c r="N601" s="61"/>
      <c r="O601" s="32"/>
      <c r="P601" s="61"/>
      <c r="Q601" s="62"/>
      <c r="R601" s="63"/>
      <c r="S601" s="63"/>
      <c r="T601" s="63"/>
      <c r="U601" s="63"/>
    </row>
    <row r="602" spans="1:21" ht="13.2">
      <c r="A602" s="5">
        <f t="shared" ca="1" si="4"/>
        <v>601</v>
      </c>
      <c r="B602" s="5" t="str">
        <f ca="1">IFERROR(__xludf.DUMMYFUNCTION("if(ISBLANK(C602),,QUERY(MD!A603:D1601,""Select A where C = '""&amp; C602 &amp;""'""))"),"")</f>
        <v/>
      </c>
      <c r="C602" s="5"/>
      <c r="E602" s="49"/>
      <c r="F602" s="5"/>
      <c r="G602" s="32"/>
      <c r="H602" s="61"/>
      <c r="I602" s="32"/>
      <c r="J602" s="61"/>
      <c r="K602" s="32"/>
      <c r="L602" s="61"/>
      <c r="M602" s="32"/>
      <c r="N602" s="61"/>
      <c r="O602" s="32"/>
      <c r="P602" s="61"/>
      <c r="Q602" s="62"/>
      <c r="R602" s="63"/>
      <c r="S602" s="63"/>
      <c r="T602" s="63"/>
      <c r="U602" s="63"/>
    </row>
    <row r="603" spans="1:21" ht="13.2">
      <c r="A603" s="5">
        <f t="shared" ca="1" si="4"/>
        <v>602</v>
      </c>
      <c r="B603" s="5" t="str">
        <f ca="1">IFERROR(__xludf.DUMMYFUNCTION("if(ISBLANK(C603),,QUERY(MD!A604:D1602,""Select A where C = '""&amp; C603 &amp;""'""))"),"")</f>
        <v/>
      </c>
      <c r="C603" s="5"/>
      <c r="E603" s="49"/>
      <c r="F603" s="5"/>
      <c r="G603" s="32"/>
      <c r="H603" s="61"/>
      <c r="I603" s="32"/>
      <c r="J603" s="61"/>
      <c r="K603" s="32"/>
      <c r="L603" s="61"/>
      <c r="M603" s="32"/>
      <c r="N603" s="61"/>
      <c r="O603" s="32"/>
      <c r="P603" s="61"/>
      <c r="Q603" s="62"/>
      <c r="R603" s="63"/>
      <c r="S603" s="63"/>
      <c r="T603" s="63"/>
      <c r="U603" s="63"/>
    </row>
    <row r="604" spans="1:21" ht="13.2">
      <c r="A604" s="5">
        <f t="shared" ca="1" si="4"/>
        <v>603</v>
      </c>
      <c r="B604" s="5" t="str">
        <f ca="1">IFERROR(__xludf.DUMMYFUNCTION("if(ISBLANK(C604),,QUERY(MD!A605:D1603,""Select A where C = '""&amp; C604 &amp;""'""))"),"")</f>
        <v/>
      </c>
      <c r="C604" s="5"/>
      <c r="E604" s="49"/>
      <c r="F604" s="5"/>
      <c r="G604" s="32"/>
      <c r="H604" s="61"/>
      <c r="I604" s="32"/>
      <c r="J604" s="61"/>
      <c r="K604" s="32"/>
      <c r="L604" s="61"/>
      <c r="M604" s="32"/>
      <c r="N604" s="61"/>
      <c r="O604" s="32"/>
      <c r="P604" s="61"/>
      <c r="Q604" s="62"/>
      <c r="R604" s="63"/>
      <c r="S604" s="63"/>
      <c r="T604" s="63"/>
      <c r="U604" s="63"/>
    </row>
    <row r="605" spans="1:21" ht="13.2">
      <c r="A605" s="5">
        <f t="shared" ca="1" si="4"/>
        <v>604</v>
      </c>
      <c r="B605" s="5" t="str">
        <f ca="1">IFERROR(__xludf.DUMMYFUNCTION("if(ISBLANK(C605),,QUERY(MD!A606:D1604,""Select A where C = '""&amp; C605 &amp;""'""))"),"")</f>
        <v/>
      </c>
      <c r="C605" s="5"/>
      <c r="E605" s="49"/>
      <c r="F605" s="5"/>
      <c r="G605" s="32"/>
      <c r="H605" s="61"/>
      <c r="I605" s="32"/>
      <c r="J605" s="61"/>
      <c r="K605" s="32"/>
      <c r="L605" s="61"/>
      <c r="M605" s="32"/>
      <c r="N605" s="61"/>
      <c r="O605" s="32"/>
      <c r="P605" s="61"/>
      <c r="Q605" s="62"/>
      <c r="R605" s="63"/>
      <c r="S605" s="63"/>
      <c r="T605" s="63"/>
      <c r="U605" s="63"/>
    </row>
    <row r="606" spans="1:21" ht="13.2">
      <c r="A606" s="5">
        <f t="shared" ca="1" si="4"/>
        <v>605</v>
      </c>
      <c r="B606" s="5" t="str">
        <f ca="1">IFERROR(__xludf.DUMMYFUNCTION("if(ISBLANK(C606),,QUERY(MD!A607:D1605,""Select A where C = '""&amp; C606 &amp;""'""))"),"")</f>
        <v/>
      </c>
      <c r="C606" s="5"/>
      <c r="E606" s="49"/>
      <c r="F606" s="5"/>
      <c r="G606" s="32"/>
      <c r="H606" s="61"/>
      <c r="I606" s="32"/>
      <c r="J606" s="61"/>
      <c r="K606" s="32"/>
      <c r="L606" s="61"/>
      <c r="M606" s="32"/>
      <c r="N606" s="61"/>
      <c r="O606" s="32"/>
      <c r="P606" s="61"/>
      <c r="Q606" s="62"/>
      <c r="R606" s="63"/>
      <c r="S606" s="63"/>
      <c r="T606" s="63"/>
      <c r="U606" s="63"/>
    </row>
    <row r="607" spans="1:21" ht="13.2">
      <c r="A607" s="5">
        <f t="shared" ca="1" si="4"/>
        <v>606</v>
      </c>
      <c r="B607" s="5" t="str">
        <f ca="1">IFERROR(__xludf.DUMMYFUNCTION("if(ISBLANK(C607),,QUERY(MD!A608:D1606,""Select A where C = '""&amp; C607 &amp;""'""))"),"")</f>
        <v/>
      </c>
      <c r="C607" s="5"/>
      <c r="E607" s="49"/>
      <c r="F607" s="5"/>
      <c r="G607" s="32"/>
      <c r="H607" s="61"/>
      <c r="I607" s="32"/>
      <c r="J607" s="61"/>
      <c r="K607" s="32"/>
      <c r="L607" s="61"/>
      <c r="M607" s="32"/>
      <c r="N607" s="61"/>
      <c r="O607" s="32"/>
      <c r="P607" s="61"/>
      <c r="Q607" s="62"/>
      <c r="R607" s="63"/>
      <c r="S607" s="63"/>
      <c r="T607" s="63"/>
      <c r="U607" s="63"/>
    </row>
    <row r="608" spans="1:21" ht="13.2">
      <c r="A608" s="5">
        <f t="shared" ca="1" si="4"/>
        <v>607</v>
      </c>
      <c r="B608" s="5" t="str">
        <f ca="1">IFERROR(__xludf.DUMMYFUNCTION("if(ISBLANK(C608),,QUERY(MD!A609:D1607,""Select A where C = '""&amp; C608 &amp;""'""))"),"")</f>
        <v/>
      </c>
      <c r="C608" s="5"/>
      <c r="E608" s="49"/>
      <c r="F608" s="5"/>
      <c r="G608" s="32"/>
      <c r="H608" s="61"/>
      <c r="I608" s="32"/>
      <c r="J608" s="61"/>
      <c r="K608" s="32"/>
      <c r="L608" s="61"/>
      <c r="M608" s="32"/>
      <c r="N608" s="61"/>
      <c r="O608" s="32"/>
      <c r="P608" s="61"/>
      <c r="Q608" s="62"/>
      <c r="R608" s="63"/>
      <c r="S608" s="63"/>
      <c r="T608" s="63"/>
      <c r="U608" s="63"/>
    </row>
    <row r="609" spans="1:21" ht="13.2">
      <c r="A609" s="5">
        <f t="shared" ca="1" si="4"/>
        <v>608</v>
      </c>
      <c r="B609" s="5" t="str">
        <f ca="1">IFERROR(__xludf.DUMMYFUNCTION("if(ISBLANK(C609),,QUERY(MD!A610:D1608,""Select A where C = '""&amp; C609 &amp;""'""))"),"")</f>
        <v/>
      </c>
      <c r="C609" s="5"/>
      <c r="E609" s="49"/>
      <c r="F609" s="5"/>
      <c r="G609" s="32"/>
      <c r="H609" s="61"/>
      <c r="I609" s="32"/>
      <c r="J609" s="61"/>
      <c r="K609" s="32"/>
      <c r="L609" s="61"/>
      <c r="M609" s="32"/>
      <c r="N609" s="61"/>
      <c r="O609" s="32"/>
      <c r="P609" s="61"/>
      <c r="Q609" s="62"/>
      <c r="R609" s="63"/>
      <c r="S609" s="63"/>
      <c r="T609" s="63"/>
      <c r="U609" s="63"/>
    </row>
    <row r="610" spans="1:21" ht="13.2">
      <c r="A610" s="5">
        <f t="shared" ca="1" si="4"/>
        <v>609</v>
      </c>
      <c r="B610" s="5" t="str">
        <f ca="1">IFERROR(__xludf.DUMMYFUNCTION("if(ISBLANK(C610),,QUERY(MD!A611:D1609,""Select A where C = '""&amp; C610 &amp;""'""))"),"")</f>
        <v/>
      </c>
      <c r="C610" s="5"/>
      <c r="E610" s="49"/>
      <c r="F610" s="5"/>
      <c r="G610" s="32"/>
      <c r="H610" s="61"/>
      <c r="I610" s="32"/>
      <c r="J610" s="61"/>
      <c r="K610" s="32"/>
      <c r="L610" s="61"/>
      <c r="M610" s="32"/>
      <c r="N610" s="61"/>
      <c r="O610" s="32"/>
      <c r="P610" s="61"/>
      <c r="Q610" s="62"/>
      <c r="R610" s="63"/>
      <c r="S610" s="63"/>
      <c r="T610" s="63"/>
      <c r="U610" s="63"/>
    </row>
    <row r="611" spans="1:21" ht="13.2">
      <c r="A611" s="5">
        <f t="shared" ca="1" si="4"/>
        <v>610</v>
      </c>
      <c r="B611" s="5" t="str">
        <f ca="1">IFERROR(__xludf.DUMMYFUNCTION("if(ISBLANK(C611),,QUERY(MD!A612:D1610,""Select A where C = '""&amp; C611 &amp;""'""))"),"")</f>
        <v/>
      </c>
      <c r="C611" s="5"/>
      <c r="E611" s="49"/>
      <c r="F611" s="5"/>
      <c r="G611" s="32"/>
      <c r="H611" s="61"/>
      <c r="I611" s="32"/>
      <c r="J611" s="61"/>
      <c r="K611" s="32"/>
      <c r="L611" s="61"/>
      <c r="M611" s="32"/>
      <c r="N611" s="61"/>
      <c r="O611" s="32"/>
      <c r="P611" s="61"/>
      <c r="Q611" s="62"/>
      <c r="R611" s="63"/>
      <c r="S611" s="63"/>
      <c r="T611" s="63"/>
      <c r="U611" s="63"/>
    </row>
    <row r="612" spans="1:21" ht="13.2">
      <c r="A612" s="5">
        <f t="shared" ca="1" si="4"/>
        <v>611</v>
      </c>
      <c r="B612" s="5" t="str">
        <f ca="1">IFERROR(__xludf.DUMMYFUNCTION("if(ISBLANK(C612),,QUERY(MD!A613:D1611,""Select A where C = '""&amp; C612 &amp;""'""))"),"")</f>
        <v/>
      </c>
      <c r="C612" s="5"/>
      <c r="E612" s="49"/>
      <c r="F612" s="5"/>
      <c r="G612" s="32"/>
      <c r="H612" s="61"/>
      <c r="I612" s="32"/>
      <c r="J612" s="61"/>
      <c r="K612" s="32"/>
      <c r="L612" s="61"/>
      <c r="M612" s="32"/>
      <c r="N612" s="61"/>
      <c r="O612" s="32"/>
      <c r="P612" s="61"/>
      <c r="Q612" s="62"/>
      <c r="R612" s="63"/>
      <c r="S612" s="63"/>
      <c r="T612" s="63"/>
      <c r="U612" s="63"/>
    </row>
    <row r="613" spans="1:21" ht="13.2">
      <c r="A613" s="5">
        <f t="shared" ca="1" si="4"/>
        <v>612</v>
      </c>
      <c r="B613" s="5" t="str">
        <f ca="1">IFERROR(__xludf.DUMMYFUNCTION("if(ISBLANK(C613),,QUERY(MD!A614:D1612,""Select A where C = '""&amp; C613 &amp;""'""))"),"")</f>
        <v/>
      </c>
      <c r="C613" s="5"/>
      <c r="E613" s="49"/>
      <c r="F613" s="5"/>
      <c r="G613" s="32"/>
      <c r="H613" s="61"/>
      <c r="I613" s="32"/>
      <c r="J613" s="61"/>
      <c r="K613" s="32"/>
      <c r="L613" s="61"/>
      <c r="M613" s="32"/>
      <c r="N613" s="61"/>
      <c r="O613" s="32"/>
      <c r="P613" s="61"/>
      <c r="Q613" s="62"/>
      <c r="R613" s="63"/>
      <c r="S613" s="63"/>
      <c r="T613" s="63"/>
      <c r="U613" s="63"/>
    </row>
    <row r="614" spans="1:21" ht="13.2">
      <c r="A614" s="5">
        <f t="shared" ca="1" si="4"/>
        <v>613</v>
      </c>
      <c r="B614" s="5" t="str">
        <f ca="1">IFERROR(__xludf.DUMMYFUNCTION("if(ISBLANK(C614),,QUERY(MD!A615:D1613,""Select A where C = '""&amp; C614 &amp;""'""))"),"")</f>
        <v/>
      </c>
      <c r="C614" s="5"/>
      <c r="E614" s="49"/>
      <c r="F614" s="5"/>
      <c r="G614" s="32"/>
      <c r="H614" s="61"/>
      <c r="I614" s="32"/>
      <c r="J614" s="61"/>
      <c r="K614" s="32"/>
      <c r="L614" s="61"/>
      <c r="M614" s="32"/>
      <c r="N614" s="61"/>
      <c r="O614" s="32"/>
      <c r="P614" s="61"/>
      <c r="Q614" s="62"/>
      <c r="R614" s="63"/>
      <c r="S614" s="63"/>
      <c r="T614" s="63"/>
      <c r="U614" s="63"/>
    </row>
    <row r="615" spans="1:21" ht="13.2">
      <c r="A615" s="5">
        <f t="shared" ca="1" si="4"/>
        <v>614</v>
      </c>
      <c r="B615" s="5" t="str">
        <f ca="1">IFERROR(__xludf.DUMMYFUNCTION("if(ISBLANK(C615),,QUERY(MD!A616:D1614,""Select A where C = '""&amp; C615 &amp;""'""))"),"")</f>
        <v/>
      </c>
      <c r="C615" s="5"/>
      <c r="E615" s="49"/>
      <c r="F615" s="5"/>
      <c r="G615" s="32"/>
      <c r="H615" s="61"/>
      <c r="I615" s="32"/>
      <c r="J615" s="61"/>
      <c r="K615" s="32"/>
      <c r="L615" s="61"/>
      <c r="M615" s="32"/>
      <c r="N615" s="61"/>
      <c r="O615" s="32"/>
      <c r="P615" s="61"/>
      <c r="Q615" s="62"/>
      <c r="R615" s="63"/>
      <c r="S615" s="63"/>
      <c r="T615" s="63"/>
      <c r="U615" s="63"/>
    </row>
    <row r="616" spans="1:21" ht="13.2">
      <c r="A616" s="5">
        <f t="shared" ca="1" si="4"/>
        <v>615</v>
      </c>
      <c r="B616" s="5" t="str">
        <f ca="1">IFERROR(__xludf.DUMMYFUNCTION("if(ISBLANK(C616),,QUERY(MD!A617:D1615,""Select A where C = '""&amp; C616 &amp;""'""))"),"")</f>
        <v/>
      </c>
      <c r="C616" s="5"/>
      <c r="E616" s="49"/>
      <c r="F616" s="5"/>
      <c r="G616" s="32"/>
      <c r="H616" s="61"/>
      <c r="I616" s="32"/>
      <c r="J616" s="61"/>
      <c r="K616" s="32"/>
      <c r="L616" s="61"/>
      <c r="M616" s="32"/>
      <c r="N616" s="61"/>
      <c r="O616" s="32"/>
      <c r="P616" s="61"/>
      <c r="Q616" s="62"/>
      <c r="R616" s="63"/>
      <c r="S616" s="63"/>
      <c r="T616" s="63"/>
      <c r="U616" s="63"/>
    </row>
    <row r="617" spans="1:21" ht="13.2">
      <c r="A617" s="5">
        <f t="shared" ca="1" si="4"/>
        <v>616</v>
      </c>
      <c r="B617" s="5" t="str">
        <f ca="1">IFERROR(__xludf.DUMMYFUNCTION("if(ISBLANK(C617),,QUERY(MD!A618:D1616,""Select A where C = '""&amp; C617 &amp;""'""))"),"")</f>
        <v/>
      </c>
      <c r="C617" s="5"/>
      <c r="E617" s="49"/>
      <c r="F617" s="5"/>
      <c r="G617" s="32"/>
      <c r="H617" s="61"/>
      <c r="I617" s="32"/>
      <c r="J617" s="61"/>
      <c r="K617" s="32"/>
      <c r="L617" s="61"/>
      <c r="M617" s="32"/>
      <c r="N617" s="61"/>
      <c r="O617" s="32"/>
      <c r="P617" s="61"/>
      <c r="Q617" s="62"/>
      <c r="R617" s="63"/>
      <c r="S617" s="63"/>
      <c r="T617" s="63"/>
      <c r="U617" s="63"/>
    </row>
    <row r="618" spans="1:21" ht="13.2">
      <c r="A618" s="5">
        <f t="shared" ca="1" si="4"/>
        <v>617</v>
      </c>
      <c r="B618" s="5" t="str">
        <f ca="1">IFERROR(__xludf.DUMMYFUNCTION("if(ISBLANK(C618),,QUERY(MD!A619:D1617,""Select A where C = '""&amp; C618 &amp;""'""))"),"")</f>
        <v/>
      </c>
      <c r="C618" s="5"/>
      <c r="E618" s="49"/>
      <c r="F618" s="5"/>
      <c r="G618" s="32"/>
      <c r="H618" s="61"/>
      <c r="I618" s="32"/>
      <c r="J618" s="61"/>
      <c r="K618" s="32"/>
      <c r="L618" s="61"/>
      <c r="M618" s="32"/>
      <c r="N618" s="61"/>
      <c r="O618" s="32"/>
      <c r="P618" s="61"/>
      <c r="Q618" s="62"/>
      <c r="R618" s="63"/>
      <c r="S618" s="63"/>
      <c r="T618" s="63"/>
      <c r="U618" s="63"/>
    </row>
    <row r="619" spans="1:21" ht="13.2">
      <c r="A619" s="5">
        <f t="shared" ca="1" si="4"/>
        <v>618</v>
      </c>
      <c r="B619" s="5" t="str">
        <f ca="1">IFERROR(__xludf.DUMMYFUNCTION("if(ISBLANK(C619),,QUERY(MD!A620:D1618,""Select A where C = '""&amp; C619 &amp;""'""))"),"")</f>
        <v/>
      </c>
      <c r="C619" s="5"/>
      <c r="E619" s="49"/>
      <c r="F619" s="5"/>
      <c r="G619" s="32"/>
      <c r="H619" s="61"/>
      <c r="I619" s="32"/>
      <c r="J619" s="61"/>
      <c r="K619" s="32"/>
      <c r="L619" s="61"/>
      <c r="M619" s="32"/>
      <c r="N619" s="61"/>
      <c r="O619" s="32"/>
      <c r="P619" s="61"/>
      <c r="Q619" s="62"/>
      <c r="R619" s="63"/>
      <c r="S619" s="63"/>
      <c r="T619" s="63"/>
      <c r="U619" s="63"/>
    </row>
    <row r="620" spans="1:21" ht="13.2">
      <c r="A620" s="5">
        <f t="shared" ca="1" si="4"/>
        <v>619</v>
      </c>
      <c r="B620" s="5" t="str">
        <f ca="1">IFERROR(__xludf.DUMMYFUNCTION("if(ISBLANK(C620),,QUERY(MD!A621:D1619,""Select A where C = '""&amp; C620 &amp;""'""))"),"")</f>
        <v/>
      </c>
      <c r="C620" s="5"/>
      <c r="E620" s="49"/>
      <c r="F620" s="5"/>
      <c r="G620" s="32"/>
      <c r="H620" s="61"/>
      <c r="I620" s="32"/>
      <c r="J620" s="61"/>
      <c r="K620" s="32"/>
      <c r="L620" s="61"/>
      <c r="M620" s="32"/>
      <c r="N620" s="61"/>
      <c r="O620" s="32"/>
      <c r="P620" s="61"/>
      <c r="Q620" s="62"/>
      <c r="R620" s="63"/>
      <c r="S620" s="63"/>
      <c r="T620" s="63"/>
      <c r="U620" s="63"/>
    </row>
    <row r="621" spans="1:21" ht="13.2">
      <c r="A621" s="5">
        <f t="shared" ca="1" si="4"/>
        <v>620</v>
      </c>
      <c r="B621" s="5" t="str">
        <f ca="1">IFERROR(__xludf.DUMMYFUNCTION("if(ISBLANK(C621),,QUERY(MD!A622:D1620,""Select A where C = '""&amp; C621 &amp;""'""))"),"")</f>
        <v/>
      </c>
      <c r="C621" s="5"/>
      <c r="E621" s="49"/>
      <c r="F621" s="5"/>
      <c r="G621" s="32"/>
      <c r="H621" s="61"/>
      <c r="I621" s="32"/>
      <c r="J621" s="61"/>
      <c r="K621" s="32"/>
      <c r="L621" s="61"/>
      <c r="M621" s="32"/>
      <c r="N621" s="61"/>
      <c r="O621" s="32"/>
      <c r="P621" s="61"/>
      <c r="Q621" s="62"/>
      <c r="R621" s="63"/>
      <c r="S621" s="63"/>
      <c r="T621" s="63"/>
      <c r="U621" s="63"/>
    </row>
    <row r="622" spans="1:21" ht="13.2">
      <c r="A622" s="5">
        <f t="shared" ca="1" si="4"/>
        <v>621</v>
      </c>
      <c r="B622" s="5" t="str">
        <f ca="1">IFERROR(__xludf.DUMMYFUNCTION("if(ISBLANK(C622),,QUERY(MD!A623:D1621,""Select A where C = '""&amp; C622 &amp;""'""))"),"")</f>
        <v/>
      </c>
      <c r="C622" s="5"/>
      <c r="E622" s="49"/>
      <c r="F622" s="5"/>
      <c r="G622" s="32"/>
      <c r="H622" s="61"/>
      <c r="I622" s="32"/>
      <c r="J622" s="61"/>
      <c r="K622" s="32"/>
      <c r="L622" s="61"/>
      <c r="M622" s="32"/>
      <c r="N622" s="61"/>
      <c r="O622" s="32"/>
      <c r="P622" s="61"/>
      <c r="Q622" s="62"/>
      <c r="R622" s="63"/>
      <c r="S622" s="63"/>
      <c r="T622" s="63"/>
      <c r="U622" s="63"/>
    </row>
    <row r="623" spans="1:21" ht="13.2">
      <c r="A623" s="5">
        <f t="shared" ca="1" si="4"/>
        <v>622</v>
      </c>
      <c r="B623" s="5" t="str">
        <f ca="1">IFERROR(__xludf.DUMMYFUNCTION("if(ISBLANK(C623),,QUERY(MD!A624:D1622,""Select A where C = '""&amp; C623 &amp;""'""))"),"")</f>
        <v/>
      </c>
      <c r="C623" s="5"/>
      <c r="E623" s="49"/>
      <c r="F623" s="5"/>
      <c r="G623" s="32"/>
      <c r="H623" s="61"/>
      <c r="I623" s="32"/>
      <c r="J623" s="61"/>
      <c r="K623" s="32"/>
      <c r="L623" s="61"/>
      <c r="M623" s="32"/>
      <c r="N623" s="61"/>
      <c r="O623" s="32"/>
      <c r="P623" s="61"/>
      <c r="Q623" s="62"/>
      <c r="R623" s="63"/>
      <c r="S623" s="63"/>
      <c r="T623" s="63"/>
      <c r="U623" s="63"/>
    </row>
    <row r="624" spans="1:21" ht="13.2">
      <c r="A624" s="5">
        <f t="shared" ca="1" si="4"/>
        <v>623</v>
      </c>
      <c r="B624" s="5" t="str">
        <f ca="1">IFERROR(__xludf.DUMMYFUNCTION("if(ISBLANK(C624),,QUERY(MD!A625:D1623,""Select A where C = '""&amp; C624 &amp;""'""))"),"")</f>
        <v/>
      </c>
      <c r="C624" s="5"/>
      <c r="E624" s="49"/>
      <c r="F624" s="5"/>
      <c r="G624" s="32"/>
      <c r="H624" s="61"/>
      <c r="I624" s="32"/>
      <c r="J624" s="61"/>
      <c r="K624" s="32"/>
      <c r="L624" s="61"/>
      <c r="M624" s="32"/>
      <c r="N624" s="61"/>
      <c r="O624" s="32"/>
      <c r="P624" s="61"/>
      <c r="Q624" s="62"/>
      <c r="R624" s="63"/>
      <c r="S624" s="63"/>
      <c r="T624" s="63"/>
      <c r="U624" s="63"/>
    </row>
    <row r="625" spans="1:21" ht="13.2">
      <c r="A625" s="5">
        <f t="shared" ca="1" si="4"/>
        <v>624</v>
      </c>
      <c r="B625" s="5" t="str">
        <f ca="1">IFERROR(__xludf.DUMMYFUNCTION("if(ISBLANK(C625),,QUERY(MD!A626:D1624,""Select A where C = '""&amp; C625 &amp;""'""))"),"")</f>
        <v/>
      </c>
      <c r="C625" s="5"/>
      <c r="E625" s="49"/>
      <c r="F625" s="5"/>
      <c r="G625" s="32"/>
      <c r="H625" s="61"/>
      <c r="I625" s="32"/>
      <c r="J625" s="61"/>
      <c r="K625" s="32"/>
      <c r="L625" s="61"/>
      <c r="M625" s="32"/>
      <c r="N625" s="61"/>
      <c r="O625" s="32"/>
      <c r="P625" s="61"/>
      <c r="Q625" s="62"/>
      <c r="R625" s="63"/>
      <c r="S625" s="63"/>
      <c r="T625" s="63"/>
      <c r="U625" s="63"/>
    </row>
    <row r="626" spans="1:21" ht="13.2">
      <c r="A626" s="5">
        <f t="shared" ca="1" si="4"/>
        <v>625</v>
      </c>
      <c r="B626" s="5" t="str">
        <f ca="1">IFERROR(__xludf.DUMMYFUNCTION("if(ISBLANK(C626),,QUERY(MD!A627:D1625,""Select A where C = '""&amp; C626 &amp;""'""))"),"")</f>
        <v/>
      </c>
      <c r="C626" s="5"/>
      <c r="E626" s="49"/>
      <c r="F626" s="5"/>
      <c r="G626" s="32"/>
      <c r="H626" s="61"/>
      <c r="I626" s="32"/>
      <c r="J626" s="61"/>
      <c r="K626" s="32"/>
      <c r="L626" s="61"/>
      <c r="M626" s="32"/>
      <c r="N626" s="61"/>
      <c r="O626" s="32"/>
      <c r="P626" s="61"/>
      <c r="Q626" s="62"/>
      <c r="R626" s="63"/>
      <c r="S626" s="63"/>
      <c r="T626" s="63"/>
      <c r="U626" s="63"/>
    </row>
    <row r="627" spans="1:21" ht="13.2">
      <c r="A627" s="5">
        <f t="shared" ca="1" si="4"/>
        <v>626</v>
      </c>
      <c r="B627" s="5" t="str">
        <f ca="1">IFERROR(__xludf.DUMMYFUNCTION("if(ISBLANK(C627),,QUERY(MD!A628:D1626,""Select A where C = '""&amp; C627 &amp;""'""))"),"")</f>
        <v/>
      </c>
      <c r="C627" s="5"/>
      <c r="E627" s="49"/>
      <c r="F627" s="5"/>
      <c r="G627" s="32"/>
      <c r="H627" s="61"/>
      <c r="I627" s="32"/>
      <c r="J627" s="61"/>
      <c r="K627" s="32"/>
      <c r="L627" s="61"/>
      <c r="M627" s="32"/>
      <c r="N627" s="61"/>
      <c r="O627" s="32"/>
      <c r="P627" s="61"/>
      <c r="Q627" s="62"/>
      <c r="R627" s="63"/>
      <c r="S627" s="63"/>
      <c r="T627" s="63"/>
      <c r="U627" s="63"/>
    </row>
    <row r="628" spans="1:21" ht="13.2">
      <c r="A628" s="5">
        <f t="shared" ca="1" si="4"/>
        <v>627</v>
      </c>
      <c r="B628" s="5" t="str">
        <f ca="1">IFERROR(__xludf.DUMMYFUNCTION("if(ISBLANK(C628),,QUERY(MD!A629:D1627,""Select A where C = '""&amp; C628 &amp;""'""))"),"")</f>
        <v/>
      </c>
      <c r="C628" s="5"/>
      <c r="E628" s="49"/>
      <c r="F628" s="5"/>
      <c r="G628" s="32"/>
      <c r="H628" s="61"/>
      <c r="I628" s="32"/>
      <c r="J628" s="61"/>
      <c r="K628" s="32"/>
      <c r="L628" s="61"/>
      <c r="M628" s="32"/>
      <c r="N628" s="61"/>
      <c r="O628" s="32"/>
      <c r="P628" s="61"/>
      <c r="Q628" s="62"/>
      <c r="R628" s="63"/>
      <c r="S628" s="63"/>
      <c r="T628" s="63"/>
      <c r="U628" s="63"/>
    </row>
    <row r="629" spans="1:21" ht="13.2">
      <c r="A629" s="5">
        <f t="shared" ca="1" si="4"/>
        <v>628</v>
      </c>
      <c r="B629" s="5" t="str">
        <f ca="1">IFERROR(__xludf.DUMMYFUNCTION("if(ISBLANK(C629),,QUERY(MD!A630:D1628,""Select A where C = '""&amp; C629 &amp;""'""))"),"")</f>
        <v/>
      </c>
      <c r="C629" s="5"/>
      <c r="E629" s="49"/>
      <c r="F629" s="5"/>
      <c r="G629" s="32"/>
      <c r="H629" s="61"/>
      <c r="I629" s="32"/>
      <c r="J629" s="61"/>
      <c r="K629" s="32"/>
      <c r="L629" s="61"/>
      <c r="M629" s="32"/>
      <c r="N629" s="61"/>
      <c r="O629" s="32"/>
      <c r="P629" s="61"/>
      <c r="Q629" s="62"/>
      <c r="R629" s="63"/>
      <c r="S629" s="63"/>
      <c r="T629" s="63"/>
      <c r="U629" s="63"/>
    </row>
    <row r="630" spans="1:21" ht="13.2">
      <c r="A630" s="5">
        <f t="shared" ca="1" si="4"/>
        <v>629</v>
      </c>
      <c r="B630" s="5" t="str">
        <f ca="1">IFERROR(__xludf.DUMMYFUNCTION("if(ISBLANK(C630),,QUERY(MD!A631:D1629,""Select A where C = '""&amp; C630 &amp;""'""))"),"")</f>
        <v/>
      </c>
      <c r="C630" s="5"/>
      <c r="E630" s="49"/>
      <c r="F630" s="5"/>
      <c r="G630" s="32"/>
      <c r="H630" s="61"/>
      <c r="I630" s="32"/>
      <c r="J630" s="61"/>
      <c r="K630" s="32"/>
      <c r="L630" s="61"/>
      <c r="M630" s="32"/>
      <c r="N630" s="61"/>
      <c r="O630" s="32"/>
      <c r="P630" s="61"/>
      <c r="Q630" s="62"/>
      <c r="R630" s="63"/>
      <c r="S630" s="63"/>
      <c r="T630" s="63"/>
      <c r="U630" s="63"/>
    </row>
    <row r="631" spans="1:21" ht="13.2">
      <c r="A631" s="5">
        <f t="shared" ca="1" si="4"/>
        <v>630</v>
      </c>
      <c r="B631" s="5" t="str">
        <f ca="1">IFERROR(__xludf.DUMMYFUNCTION("if(ISBLANK(C631),,QUERY(MD!A632:D1630,""Select A where C = '""&amp; C631 &amp;""'""))"),"")</f>
        <v/>
      </c>
      <c r="C631" s="5"/>
      <c r="E631" s="49"/>
      <c r="F631" s="5"/>
      <c r="G631" s="32"/>
      <c r="H631" s="61"/>
      <c r="I631" s="32"/>
      <c r="J631" s="61"/>
      <c r="K631" s="32"/>
      <c r="L631" s="61"/>
      <c r="M631" s="32"/>
      <c r="N631" s="61"/>
      <c r="O631" s="32"/>
      <c r="P631" s="61"/>
      <c r="Q631" s="62"/>
      <c r="R631" s="63"/>
      <c r="S631" s="63"/>
      <c r="T631" s="63"/>
      <c r="U631" s="63"/>
    </row>
    <row r="632" spans="1:21" ht="13.2">
      <c r="A632" s="5">
        <f t="shared" ca="1" si="4"/>
        <v>631</v>
      </c>
      <c r="B632" s="5" t="str">
        <f ca="1">IFERROR(__xludf.DUMMYFUNCTION("if(ISBLANK(C632),,QUERY(MD!A633:D1631,""Select A where C = '""&amp; C632 &amp;""'""))"),"")</f>
        <v/>
      </c>
      <c r="C632" s="5"/>
      <c r="E632" s="49"/>
      <c r="F632" s="5"/>
      <c r="G632" s="32"/>
      <c r="H632" s="61"/>
      <c r="I632" s="32"/>
      <c r="J632" s="61"/>
      <c r="K632" s="32"/>
      <c r="L632" s="61"/>
      <c r="M632" s="32"/>
      <c r="N632" s="61"/>
      <c r="O632" s="32"/>
      <c r="P632" s="61"/>
      <c r="Q632" s="62"/>
      <c r="R632" s="63"/>
      <c r="S632" s="63"/>
      <c r="T632" s="63"/>
      <c r="U632" s="63"/>
    </row>
    <row r="633" spans="1:21" ht="13.2">
      <c r="A633" s="5">
        <f t="shared" ca="1" si="4"/>
        <v>632</v>
      </c>
      <c r="B633" s="5" t="str">
        <f ca="1">IFERROR(__xludf.DUMMYFUNCTION("if(ISBLANK(C633),,QUERY(MD!A634:D1632,""Select A where C = '""&amp; C633 &amp;""'""))"),"")</f>
        <v/>
      </c>
      <c r="C633" s="5"/>
      <c r="E633" s="49"/>
      <c r="F633" s="5"/>
      <c r="G633" s="32"/>
      <c r="H633" s="61"/>
      <c r="I633" s="32"/>
      <c r="J633" s="61"/>
      <c r="K633" s="32"/>
      <c r="L633" s="61"/>
      <c r="M633" s="32"/>
      <c r="N633" s="61"/>
      <c r="O633" s="32"/>
      <c r="P633" s="61"/>
      <c r="Q633" s="62"/>
      <c r="R633" s="63"/>
      <c r="S633" s="63"/>
      <c r="T633" s="63"/>
      <c r="U633" s="63"/>
    </row>
    <row r="634" spans="1:21" ht="13.2">
      <c r="A634" s="5">
        <f t="shared" ca="1" si="4"/>
        <v>633</v>
      </c>
      <c r="B634" s="5" t="str">
        <f ca="1">IFERROR(__xludf.DUMMYFUNCTION("if(ISBLANK(C634),,QUERY(MD!A635:D1633,""Select A where C = '""&amp; C634 &amp;""'""))"),"")</f>
        <v/>
      </c>
      <c r="C634" s="5"/>
      <c r="E634" s="49"/>
      <c r="F634" s="5"/>
      <c r="G634" s="32"/>
      <c r="H634" s="61"/>
      <c r="I634" s="32"/>
      <c r="J634" s="61"/>
      <c r="K634" s="32"/>
      <c r="L634" s="61"/>
      <c r="M634" s="32"/>
      <c r="N634" s="61"/>
      <c r="O634" s="32"/>
      <c r="P634" s="61"/>
      <c r="Q634" s="62"/>
      <c r="R634" s="63"/>
      <c r="S634" s="63"/>
      <c r="T634" s="63"/>
      <c r="U634" s="63"/>
    </row>
    <row r="635" spans="1:21" ht="13.2">
      <c r="A635" s="5">
        <f t="shared" ca="1" si="4"/>
        <v>634</v>
      </c>
      <c r="B635" s="5" t="str">
        <f ca="1">IFERROR(__xludf.DUMMYFUNCTION("if(ISBLANK(C635),,QUERY(MD!A636:D1634,""Select A where C = '""&amp; C635 &amp;""'""))"),"")</f>
        <v/>
      </c>
      <c r="C635" s="5"/>
      <c r="E635" s="49"/>
      <c r="F635" s="5"/>
      <c r="G635" s="32"/>
      <c r="H635" s="61"/>
      <c r="I635" s="32"/>
      <c r="J635" s="61"/>
      <c r="K635" s="32"/>
      <c r="L635" s="61"/>
      <c r="M635" s="32"/>
      <c r="N635" s="61"/>
      <c r="O635" s="32"/>
      <c r="P635" s="61"/>
      <c r="Q635" s="62"/>
      <c r="R635" s="63"/>
      <c r="S635" s="63"/>
      <c r="T635" s="63"/>
      <c r="U635" s="63"/>
    </row>
    <row r="636" spans="1:21" ht="13.2">
      <c r="A636" s="5">
        <f t="shared" ca="1" si="4"/>
        <v>635</v>
      </c>
      <c r="B636" s="5" t="str">
        <f ca="1">IFERROR(__xludf.DUMMYFUNCTION("if(ISBLANK(C636),,QUERY(MD!A637:D1635,""Select A where C = '""&amp; C636 &amp;""'""))"),"")</f>
        <v/>
      </c>
      <c r="C636" s="5"/>
      <c r="E636" s="49"/>
      <c r="F636" s="5"/>
      <c r="G636" s="32"/>
      <c r="H636" s="61"/>
      <c r="I636" s="32"/>
      <c r="J636" s="61"/>
      <c r="K636" s="32"/>
      <c r="L636" s="61"/>
      <c r="M636" s="32"/>
      <c r="N636" s="61"/>
      <c r="O636" s="32"/>
      <c r="P636" s="61"/>
      <c r="Q636" s="62"/>
      <c r="R636" s="63"/>
      <c r="S636" s="63"/>
      <c r="T636" s="63"/>
      <c r="U636" s="63"/>
    </row>
    <row r="637" spans="1:21" ht="13.2">
      <c r="A637" s="5">
        <f t="shared" ca="1" si="4"/>
        <v>636</v>
      </c>
      <c r="B637" s="5" t="str">
        <f ca="1">IFERROR(__xludf.DUMMYFUNCTION("if(ISBLANK(C637),,QUERY(MD!A638:D1636,""Select A where C = '""&amp; C637 &amp;""'""))"),"")</f>
        <v/>
      </c>
      <c r="C637" s="5"/>
      <c r="E637" s="49"/>
      <c r="F637" s="5"/>
      <c r="G637" s="32"/>
      <c r="H637" s="61"/>
      <c r="I637" s="32"/>
      <c r="J637" s="61"/>
      <c r="K637" s="32"/>
      <c r="L637" s="61"/>
      <c r="M637" s="32"/>
      <c r="N637" s="61"/>
      <c r="O637" s="32"/>
      <c r="P637" s="61"/>
      <c r="Q637" s="62"/>
      <c r="R637" s="63"/>
      <c r="S637" s="63"/>
      <c r="T637" s="63"/>
      <c r="U637" s="63"/>
    </row>
    <row r="638" spans="1:21" ht="13.2">
      <c r="A638" s="5">
        <f t="shared" ca="1" si="4"/>
        <v>637</v>
      </c>
      <c r="B638" s="5" t="str">
        <f ca="1">IFERROR(__xludf.DUMMYFUNCTION("if(ISBLANK(C638),,QUERY(MD!A639:D1637,""Select A where C = '""&amp; C638 &amp;""'""))"),"")</f>
        <v/>
      </c>
      <c r="C638" s="5"/>
      <c r="E638" s="49"/>
      <c r="F638" s="5"/>
      <c r="G638" s="32"/>
      <c r="H638" s="61"/>
      <c r="I638" s="32"/>
      <c r="J638" s="61"/>
      <c r="K638" s="32"/>
      <c r="L638" s="61"/>
      <c r="M638" s="32"/>
      <c r="N638" s="61"/>
      <c r="O638" s="32"/>
      <c r="P638" s="61"/>
      <c r="Q638" s="62"/>
      <c r="R638" s="63"/>
      <c r="S638" s="63"/>
      <c r="T638" s="63"/>
      <c r="U638" s="63"/>
    </row>
    <row r="639" spans="1:21" ht="13.2">
      <c r="A639" s="5">
        <f t="shared" ca="1" si="4"/>
        <v>638</v>
      </c>
      <c r="B639" s="5" t="str">
        <f ca="1">IFERROR(__xludf.DUMMYFUNCTION("if(ISBLANK(C639),,QUERY(MD!A640:D1638,""Select A where C = '""&amp; C639 &amp;""'""))"),"")</f>
        <v/>
      </c>
      <c r="C639" s="5"/>
      <c r="E639" s="49"/>
      <c r="F639" s="5"/>
      <c r="G639" s="32"/>
      <c r="H639" s="61"/>
      <c r="I639" s="32"/>
      <c r="J639" s="61"/>
      <c r="K639" s="32"/>
      <c r="L639" s="61"/>
      <c r="M639" s="32"/>
      <c r="N639" s="61"/>
      <c r="O639" s="32"/>
      <c r="P639" s="61"/>
      <c r="Q639" s="62"/>
      <c r="R639" s="63"/>
      <c r="S639" s="63"/>
      <c r="T639" s="63"/>
      <c r="U639" s="63"/>
    </row>
    <row r="640" spans="1:21" ht="13.2">
      <c r="A640" s="5">
        <f t="shared" ca="1" si="4"/>
        <v>639</v>
      </c>
      <c r="B640" s="5" t="str">
        <f ca="1">IFERROR(__xludf.DUMMYFUNCTION("if(ISBLANK(C640),,QUERY(MD!A641:D1639,""Select A where C = '""&amp; C640 &amp;""'""))"),"")</f>
        <v/>
      </c>
      <c r="C640" s="5"/>
      <c r="E640" s="49"/>
      <c r="F640" s="5"/>
      <c r="G640" s="32"/>
      <c r="H640" s="61"/>
      <c r="I640" s="32"/>
      <c r="J640" s="61"/>
      <c r="K640" s="32"/>
      <c r="L640" s="61"/>
      <c r="M640" s="32"/>
      <c r="N640" s="61"/>
      <c r="O640" s="32"/>
      <c r="P640" s="61"/>
      <c r="Q640" s="62"/>
      <c r="R640" s="63"/>
      <c r="S640" s="63"/>
      <c r="T640" s="63"/>
      <c r="U640" s="63"/>
    </row>
    <row r="641" spans="1:21" ht="13.2">
      <c r="A641" s="5">
        <f t="shared" ca="1" si="4"/>
        <v>640</v>
      </c>
      <c r="B641" s="5" t="str">
        <f ca="1">IFERROR(__xludf.DUMMYFUNCTION("if(ISBLANK(C641),,QUERY(MD!A642:D1640,""Select A where C = '""&amp; C641 &amp;""'""))"),"")</f>
        <v/>
      </c>
      <c r="C641" s="5"/>
      <c r="E641" s="49"/>
      <c r="F641" s="5"/>
      <c r="G641" s="32"/>
      <c r="H641" s="61"/>
      <c r="I641" s="32"/>
      <c r="J641" s="61"/>
      <c r="K641" s="32"/>
      <c r="L641" s="61"/>
      <c r="M641" s="32"/>
      <c r="N641" s="61"/>
      <c r="O641" s="32"/>
      <c r="P641" s="61"/>
      <c r="Q641" s="62"/>
      <c r="R641" s="63"/>
      <c r="S641" s="63"/>
      <c r="T641" s="63"/>
      <c r="U641" s="63"/>
    </row>
    <row r="642" spans="1:21" ht="13.2">
      <c r="A642" s="5">
        <f t="shared" ca="1" si="4"/>
        <v>641</v>
      </c>
      <c r="B642" s="5" t="str">
        <f ca="1">IFERROR(__xludf.DUMMYFUNCTION("if(ISBLANK(C642),,QUERY(MD!A643:D1641,""Select A where C = '""&amp; C642 &amp;""'""))"),"")</f>
        <v/>
      </c>
      <c r="C642" s="5"/>
      <c r="E642" s="49"/>
      <c r="F642" s="5"/>
      <c r="G642" s="32"/>
      <c r="H642" s="61"/>
      <c r="I642" s="32"/>
      <c r="J642" s="61"/>
      <c r="K642" s="32"/>
      <c r="L642" s="61"/>
      <c r="M642" s="32"/>
      <c r="N642" s="61"/>
      <c r="O642" s="32"/>
      <c r="P642" s="61"/>
      <c r="Q642" s="62"/>
      <c r="R642" s="63"/>
      <c r="S642" s="63"/>
      <c r="T642" s="63"/>
      <c r="U642" s="63"/>
    </row>
    <row r="643" spans="1:21" ht="13.2">
      <c r="A643" s="5">
        <f t="shared" ca="1" si="4"/>
        <v>642</v>
      </c>
      <c r="B643" s="5" t="str">
        <f ca="1">IFERROR(__xludf.DUMMYFUNCTION("if(ISBLANK(C643),,QUERY(MD!A644:D1642,""Select A where C = '""&amp; C643 &amp;""'""))"),"")</f>
        <v/>
      </c>
      <c r="C643" s="5"/>
      <c r="E643" s="49"/>
      <c r="F643" s="5"/>
      <c r="G643" s="32"/>
      <c r="H643" s="61"/>
      <c r="I643" s="32"/>
      <c r="J643" s="61"/>
      <c r="K643" s="32"/>
      <c r="L643" s="61"/>
      <c r="M643" s="32"/>
      <c r="N643" s="61"/>
      <c r="O643" s="32"/>
      <c r="P643" s="61"/>
      <c r="Q643" s="62"/>
      <c r="R643" s="63"/>
      <c r="S643" s="63"/>
      <c r="T643" s="63"/>
      <c r="U643" s="63"/>
    </row>
    <row r="644" spans="1:21" ht="13.2">
      <c r="A644" s="5">
        <f t="shared" ca="1" si="4"/>
        <v>643</v>
      </c>
      <c r="B644" s="5" t="str">
        <f ca="1">IFERROR(__xludf.DUMMYFUNCTION("if(ISBLANK(C644),,QUERY(MD!A645:D1643,""Select A where C = '""&amp; C644 &amp;""'""))"),"")</f>
        <v/>
      </c>
      <c r="C644" s="5"/>
      <c r="E644" s="49"/>
      <c r="F644" s="5"/>
      <c r="G644" s="32"/>
      <c r="H644" s="61"/>
      <c r="I644" s="32"/>
      <c r="J644" s="61"/>
      <c r="K644" s="32"/>
      <c r="L644" s="61"/>
      <c r="M644" s="32"/>
      <c r="N644" s="61"/>
      <c r="O644" s="32"/>
      <c r="P644" s="61"/>
      <c r="Q644" s="62"/>
      <c r="R644" s="63"/>
      <c r="S644" s="63"/>
      <c r="T644" s="63"/>
      <c r="U644" s="63"/>
    </row>
    <row r="645" spans="1:21" ht="13.2">
      <c r="A645" s="5">
        <f t="shared" ca="1" si="4"/>
        <v>644</v>
      </c>
      <c r="B645" s="5" t="str">
        <f ca="1">IFERROR(__xludf.DUMMYFUNCTION("if(ISBLANK(C645),,QUERY(MD!A646:D1644,""Select A where C = '""&amp; C645 &amp;""'""))"),"")</f>
        <v/>
      </c>
      <c r="C645" s="5"/>
      <c r="E645" s="49"/>
      <c r="F645" s="5"/>
      <c r="G645" s="32"/>
      <c r="H645" s="61"/>
      <c r="I645" s="32"/>
      <c r="J645" s="61"/>
      <c r="K645" s="32"/>
      <c r="L645" s="61"/>
      <c r="M645" s="32"/>
      <c r="N645" s="61"/>
      <c r="O645" s="32"/>
      <c r="P645" s="61"/>
      <c r="Q645" s="62"/>
      <c r="R645" s="63"/>
      <c r="S645" s="63"/>
      <c r="T645" s="63"/>
      <c r="U645" s="63"/>
    </row>
    <row r="646" spans="1:21" ht="13.2">
      <c r="A646" s="5">
        <f t="shared" ca="1" si="4"/>
        <v>645</v>
      </c>
      <c r="B646" s="5" t="str">
        <f ca="1">IFERROR(__xludf.DUMMYFUNCTION("if(ISBLANK(C646),,QUERY(MD!A647:D1645,""Select A where C = '""&amp; C646 &amp;""'""))"),"")</f>
        <v/>
      </c>
      <c r="C646" s="5"/>
      <c r="E646" s="49"/>
      <c r="F646" s="5"/>
      <c r="G646" s="32"/>
      <c r="H646" s="61"/>
      <c r="I646" s="32"/>
      <c r="J646" s="61"/>
      <c r="K646" s="32"/>
      <c r="L646" s="61"/>
      <c r="M646" s="32"/>
      <c r="N646" s="61"/>
      <c r="O646" s="32"/>
      <c r="P646" s="61"/>
      <c r="Q646" s="62"/>
      <c r="R646" s="63"/>
      <c r="S646" s="63"/>
      <c r="T646" s="63"/>
      <c r="U646" s="63"/>
    </row>
    <row r="647" spans="1:21" ht="13.2">
      <c r="A647" s="5">
        <f t="shared" ca="1" si="4"/>
        <v>646</v>
      </c>
      <c r="B647" s="5" t="str">
        <f ca="1">IFERROR(__xludf.DUMMYFUNCTION("if(ISBLANK(C647),,QUERY(MD!A648:D1646,""Select A where C = '""&amp; C647 &amp;""'""))"),"")</f>
        <v/>
      </c>
      <c r="C647" s="5"/>
      <c r="E647" s="49"/>
      <c r="F647" s="5"/>
      <c r="G647" s="32"/>
      <c r="H647" s="61"/>
      <c r="I647" s="32"/>
      <c r="J647" s="61"/>
      <c r="K647" s="32"/>
      <c r="L647" s="61"/>
      <c r="M647" s="32"/>
      <c r="N647" s="61"/>
      <c r="O647" s="32"/>
      <c r="P647" s="61"/>
      <c r="Q647" s="62"/>
      <c r="R647" s="63"/>
      <c r="S647" s="63"/>
      <c r="T647" s="63"/>
      <c r="U647" s="63"/>
    </row>
    <row r="648" spans="1:21" ht="13.2">
      <c r="A648" s="5">
        <f t="shared" ca="1" si="4"/>
        <v>647</v>
      </c>
      <c r="B648" s="5" t="str">
        <f ca="1">IFERROR(__xludf.DUMMYFUNCTION("if(ISBLANK(C648),,QUERY(MD!A649:D1647,""Select A where C = '""&amp; C648 &amp;""'""))"),"")</f>
        <v/>
      </c>
      <c r="C648" s="5"/>
      <c r="E648" s="49"/>
      <c r="F648" s="5"/>
      <c r="G648" s="32"/>
      <c r="H648" s="61"/>
      <c r="I648" s="32"/>
      <c r="J648" s="61"/>
      <c r="K648" s="32"/>
      <c r="L648" s="61"/>
      <c r="M648" s="32"/>
      <c r="N648" s="61"/>
      <c r="O648" s="32"/>
      <c r="P648" s="61"/>
      <c r="Q648" s="62"/>
      <c r="R648" s="63"/>
      <c r="S648" s="63"/>
      <c r="T648" s="63"/>
      <c r="U648" s="63"/>
    </row>
    <row r="649" spans="1:21" ht="13.2">
      <c r="A649" s="5">
        <f t="shared" ca="1" si="4"/>
        <v>648</v>
      </c>
      <c r="B649" s="5" t="str">
        <f ca="1">IFERROR(__xludf.DUMMYFUNCTION("if(ISBLANK(C649),,QUERY(MD!A650:D1648,""Select A where C = '""&amp; C649 &amp;""'""))"),"")</f>
        <v/>
      </c>
      <c r="C649" s="5"/>
      <c r="E649" s="49"/>
      <c r="F649" s="5"/>
      <c r="G649" s="32"/>
      <c r="H649" s="61"/>
      <c r="I649" s="32"/>
      <c r="J649" s="61"/>
      <c r="K649" s="32"/>
      <c r="L649" s="61"/>
      <c r="M649" s="32"/>
      <c r="N649" s="61"/>
      <c r="O649" s="32"/>
      <c r="P649" s="61"/>
      <c r="Q649" s="62"/>
      <c r="R649" s="63"/>
      <c r="S649" s="63"/>
      <c r="T649" s="63"/>
      <c r="U649" s="63"/>
    </row>
    <row r="650" spans="1:21" ht="13.2">
      <c r="A650" s="5">
        <f t="shared" ca="1" si="4"/>
        <v>649</v>
      </c>
      <c r="B650" s="5" t="str">
        <f ca="1">IFERROR(__xludf.DUMMYFUNCTION("if(ISBLANK(C650),,QUERY(MD!A651:D1649,""Select A where C = '""&amp; C650 &amp;""'""))"),"")</f>
        <v/>
      </c>
      <c r="C650" s="5"/>
      <c r="E650" s="49"/>
      <c r="F650" s="5"/>
      <c r="G650" s="32"/>
      <c r="H650" s="61"/>
      <c r="I650" s="32"/>
      <c r="J650" s="61"/>
      <c r="K650" s="32"/>
      <c r="L650" s="61"/>
      <c r="M650" s="32"/>
      <c r="N650" s="61"/>
      <c r="O650" s="32"/>
      <c r="P650" s="61"/>
      <c r="Q650" s="62"/>
      <c r="R650" s="63"/>
      <c r="S650" s="63"/>
      <c r="T650" s="63"/>
      <c r="U650" s="63"/>
    </row>
    <row r="651" spans="1:21" ht="13.2">
      <c r="A651" s="5">
        <f t="shared" ca="1" si="4"/>
        <v>650</v>
      </c>
      <c r="B651" s="5" t="str">
        <f ca="1">IFERROR(__xludf.DUMMYFUNCTION("if(ISBLANK(C651),,QUERY(MD!A652:D1650,""Select A where C = '""&amp; C651 &amp;""'""))"),"")</f>
        <v/>
      </c>
      <c r="C651" s="5"/>
      <c r="E651" s="49"/>
      <c r="F651" s="5"/>
      <c r="G651" s="32"/>
      <c r="H651" s="61"/>
      <c r="I651" s="32"/>
      <c r="J651" s="61"/>
      <c r="K651" s="32"/>
      <c r="L651" s="61"/>
      <c r="M651" s="32"/>
      <c r="N651" s="61"/>
      <c r="O651" s="32"/>
      <c r="P651" s="61"/>
      <c r="Q651" s="62"/>
      <c r="R651" s="63"/>
      <c r="S651" s="63"/>
      <c r="T651" s="63"/>
      <c r="U651" s="63"/>
    </row>
    <row r="652" spans="1:21" ht="13.2">
      <c r="A652" s="5">
        <f t="shared" ca="1" si="4"/>
        <v>651</v>
      </c>
      <c r="B652" s="5" t="str">
        <f ca="1">IFERROR(__xludf.DUMMYFUNCTION("if(ISBLANK(C652),,QUERY(MD!A653:D1651,""Select A where C = '""&amp; C652 &amp;""'""))"),"")</f>
        <v/>
      </c>
      <c r="C652" s="5"/>
      <c r="E652" s="49"/>
      <c r="F652" s="5"/>
      <c r="G652" s="32"/>
      <c r="H652" s="61"/>
      <c r="I652" s="32"/>
      <c r="J652" s="61"/>
      <c r="K652" s="32"/>
      <c r="L652" s="61"/>
      <c r="M652" s="32"/>
      <c r="N652" s="61"/>
      <c r="O652" s="32"/>
      <c r="P652" s="61"/>
      <c r="Q652" s="62"/>
      <c r="R652" s="63"/>
      <c r="S652" s="63"/>
      <c r="T652" s="63"/>
      <c r="U652" s="63"/>
    </row>
    <row r="653" spans="1:21" ht="13.2">
      <c r="A653" s="5">
        <f t="shared" ca="1" si="4"/>
        <v>652</v>
      </c>
      <c r="B653" s="5" t="str">
        <f ca="1">IFERROR(__xludf.DUMMYFUNCTION("if(ISBLANK(C653),,QUERY(MD!A654:D1652,""Select A where C = '""&amp; C653 &amp;""'""))"),"")</f>
        <v/>
      </c>
      <c r="C653" s="5"/>
      <c r="E653" s="49"/>
      <c r="F653" s="5"/>
      <c r="G653" s="32"/>
      <c r="H653" s="61"/>
      <c r="I653" s="32"/>
      <c r="J653" s="61"/>
      <c r="K653" s="32"/>
      <c r="L653" s="61"/>
      <c r="M653" s="32"/>
      <c r="N653" s="61"/>
      <c r="O653" s="32"/>
      <c r="P653" s="61"/>
      <c r="Q653" s="62"/>
      <c r="R653" s="63"/>
      <c r="S653" s="63"/>
      <c r="T653" s="63"/>
      <c r="U653" s="63"/>
    </row>
    <row r="654" spans="1:21" ht="13.2">
      <c r="A654" s="5">
        <f t="shared" ca="1" si="4"/>
        <v>653</v>
      </c>
      <c r="B654" s="5" t="str">
        <f ca="1">IFERROR(__xludf.DUMMYFUNCTION("if(ISBLANK(C654),,QUERY(MD!A655:D1653,""Select A where C = '""&amp; C654 &amp;""'""))"),"")</f>
        <v/>
      </c>
      <c r="C654" s="5"/>
      <c r="E654" s="49"/>
      <c r="F654" s="5"/>
      <c r="G654" s="32"/>
      <c r="H654" s="61"/>
      <c r="I654" s="32"/>
      <c r="J654" s="61"/>
      <c r="K654" s="32"/>
      <c r="L654" s="61"/>
      <c r="M654" s="32"/>
      <c r="N654" s="61"/>
      <c r="O654" s="32"/>
      <c r="P654" s="61"/>
      <c r="Q654" s="62"/>
      <c r="R654" s="63"/>
      <c r="S654" s="63"/>
      <c r="T654" s="63"/>
      <c r="U654" s="63"/>
    </row>
    <row r="655" spans="1:21" ht="13.2">
      <c r="A655" s="5">
        <f t="shared" ca="1" si="4"/>
        <v>654</v>
      </c>
      <c r="B655" s="5" t="str">
        <f ca="1">IFERROR(__xludf.DUMMYFUNCTION("if(ISBLANK(C655),,QUERY(MD!A656:D1654,""Select A where C = '""&amp; C655 &amp;""'""))"),"")</f>
        <v/>
      </c>
      <c r="C655" s="5"/>
      <c r="E655" s="49"/>
      <c r="F655" s="5"/>
      <c r="G655" s="32"/>
      <c r="H655" s="61"/>
      <c r="I655" s="32"/>
      <c r="J655" s="61"/>
      <c r="K655" s="32"/>
      <c r="L655" s="61"/>
      <c r="M655" s="32"/>
      <c r="N655" s="61"/>
      <c r="O655" s="32"/>
      <c r="P655" s="61"/>
      <c r="Q655" s="62"/>
      <c r="R655" s="63"/>
      <c r="S655" s="63"/>
      <c r="T655" s="63"/>
      <c r="U655" s="63"/>
    </row>
    <row r="656" spans="1:21" ht="13.2">
      <c r="A656" s="5">
        <f t="shared" ca="1" si="4"/>
        <v>655</v>
      </c>
      <c r="B656" s="5" t="str">
        <f ca="1">IFERROR(__xludf.DUMMYFUNCTION("if(ISBLANK(C656),,QUERY(MD!A657:D1655,""Select A where C = '""&amp; C656 &amp;""'""))"),"")</f>
        <v/>
      </c>
      <c r="C656" s="5"/>
      <c r="E656" s="49"/>
      <c r="F656" s="5"/>
      <c r="G656" s="32"/>
      <c r="H656" s="61"/>
      <c r="I656" s="32"/>
      <c r="J656" s="61"/>
      <c r="K656" s="32"/>
      <c r="L656" s="61"/>
      <c r="M656" s="32"/>
      <c r="N656" s="61"/>
      <c r="O656" s="32"/>
      <c r="P656" s="61"/>
      <c r="Q656" s="62"/>
      <c r="R656" s="63"/>
      <c r="S656" s="63"/>
      <c r="T656" s="63"/>
      <c r="U656" s="63"/>
    </row>
    <row r="657" spans="1:21" ht="13.2">
      <c r="A657" s="5">
        <f t="shared" ca="1" si="4"/>
        <v>656</v>
      </c>
      <c r="B657" s="5" t="str">
        <f ca="1">IFERROR(__xludf.DUMMYFUNCTION("if(ISBLANK(C657),,QUERY(MD!A658:D1656,""Select A where C = '""&amp; C657 &amp;""'""))"),"")</f>
        <v/>
      </c>
      <c r="C657" s="5"/>
      <c r="E657" s="49"/>
      <c r="F657" s="5"/>
      <c r="G657" s="32"/>
      <c r="H657" s="61"/>
      <c r="I657" s="32"/>
      <c r="J657" s="61"/>
      <c r="K657" s="32"/>
      <c r="L657" s="61"/>
      <c r="M657" s="32"/>
      <c r="N657" s="61"/>
      <c r="O657" s="32"/>
      <c r="P657" s="61"/>
      <c r="Q657" s="62"/>
      <c r="R657" s="63"/>
      <c r="S657" s="63"/>
      <c r="T657" s="63"/>
      <c r="U657" s="63"/>
    </row>
    <row r="658" spans="1:21" ht="13.2">
      <c r="A658" s="5">
        <f t="shared" ca="1" si="4"/>
        <v>657</v>
      </c>
      <c r="B658" s="5" t="str">
        <f ca="1">IFERROR(__xludf.DUMMYFUNCTION("if(ISBLANK(C658),,QUERY(MD!A659:D1657,""Select A where C = '""&amp; C658 &amp;""'""))"),"")</f>
        <v/>
      </c>
      <c r="C658" s="5"/>
      <c r="E658" s="49"/>
      <c r="F658" s="5"/>
      <c r="G658" s="32"/>
      <c r="H658" s="61"/>
      <c r="I658" s="32"/>
      <c r="J658" s="61"/>
      <c r="K658" s="32"/>
      <c r="L658" s="61"/>
      <c r="M658" s="32"/>
      <c r="N658" s="61"/>
      <c r="O658" s="32"/>
      <c r="P658" s="61"/>
      <c r="Q658" s="62"/>
      <c r="R658" s="63"/>
      <c r="S658" s="63"/>
      <c r="T658" s="63"/>
      <c r="U658" s="63"/>
    </row>
    <row r="659" spans="1:21" ht="13.2">
      <c r="A659" s="5">
        <f t="shared" ca="1" si="4"/>
        <v>658</v>
      </c>
      <c r="B659" s="5" t="str">
        <f ca="1">IFERROR(__xludf.DUMMYFUNCTION("if(ISBLANK(C659),,QUERY(MD!A660:D1658,""Select A where C = '""&amp; C659 &amp;""'""))"),"")</f>
        <v/>
      </c>
      <c r="C659" s="5"/>
      <c r="E659" s="49"/>
      <c r="F659" s="5"/>
      <c r="G659" s="32"/>
      <c r="H659" s="61"/>
      <c r="I659" s="32"/>
      <c r="J659" s="61"/>
      <c r="K659" s="32"/>
      <c r="L659" s="61"/>
      <c r="M659" s="32"/>
      <c r="N659" s="61"/>
      <c r="O659" s="32"/>
      <c r="P659" s="61"/>
      <c r="Q659" s="62"/>
      <c r="R659" s="63"/>
      <c r="S659" s="63"/>
      <c r="T659" s="63"/>
      <c r="U659" s="63"/>
    </row>
    <row r="660" spans="1:21" ht="13.2">
      <c r="A660" s="5">
        <f t="shared" ca="1" si="4"/>
        <v>659</v>
      </c>
      <c r="B660" s="5" t="str">
        <f ca="1">IFERROR(__xludf.DUMMYFUNCTION("if(ISBLANK(C660),,QUERY(MD!A661:D1659,""Select A where C = '""&amp; C660 &amp;""'""))"),"")</f>
        <v/>
      </c>
      <c r="C660" s="5"/>
      <c r="E660" s="49"/>
      <c r="F660" s="5"/>
      <c r="G660" s="32"/>
      <c r="H660" s="61"/>
      <c r="I660" s="32"/>
      <c r="J660" s="61"/>
      <c r="K660" s="32"/>
      <c r="L660" s="61"/>
      <c r="M660" s="32"/>
      <c r="N660" s="61"/>
      <c r="O660" s="32"/>
      <c r="P660" s="61"/>
      <c r="Q660" s="62"/>
      <c r="R660" s="63"/>
      <c r="S660" s="63"/>
      <c r="T660" s="63"/>
      <c r="U660" s="63"/>
    </row>
    <row r="661" spans="1:21" ht="13.2">
      <c r="A661" s="5">
        <f t="shared" ca="1" si="4"/>
        <v>660</v>
      </c>
      <c r="B661" s="5" t="str">
        <f ca="1">IFERROR(__xludf.DUMMYFUNCTION("if(ISBLANK(C661),,QUERY(MD!A662:D1660,""Select A where C = '""&amp; C661 &amp;""'""))"),"")</f>
        <v/>
      </c>
      <c r="C661" s="5"/>
      <c r="E661" s="49"/>
      <c r="F661" s="5"/>
      <c r="G661" s="32"/>
      <c r="H661" s="61"/>
      <c r="I661" s="32"/>
      <c r="J661" s="61"/>
      <c r="K661" s="32"/>
      <c r="L661" s="61"/>
      <c r="M661" s="32"/>
      <c r="N661" s="61"/>
      <c r="O661" s="32"/>
      <c r="P661" s="61"/>
      <c r="Q661" s="62"/>
      <c r="R661" s="63"/>
      <c r="S661" s="63"/>
      <c r="T661" s="63"/>
      <c r="U661" s="63"/>
    </row>
    <row r="662" spans="1:21" ht="13.2">
      <c r="A662" s="5">
        <f t="shared" ca="1" si="4"/>
        <v>661</v>
      </c>
      <c r="B662" s="5" t="str">
        <f ca="1">IFERROR(__xludf.DUMMYFUNCTION("if(ISBLANK(C662),,QUERY(MD!A663:D1661,""Select A where C = '""&amp; C662 &amp;""'""))"),"")</f>
        <v/>
      </c>
      <c r="C662" s="5"/>
      <c r="E662" s="49"/>
      <c r="F662" s="5"/>
      <c r="G662" s="32"/>
      <c r="H662" s="61"/>
      <c r="I662" s="32"/>
      <c r="J662" s="61"/>
      <c r="K662" s="32"/>
      <c r="L662" s="61"/>
      <c r="M662" s="32"/>
      <c r="N662" s="61"/>
      <c r="O662" s="32"/>
      <c r="P662" s="61"/>
      <c r="Q662" s="62"/>
      <c r="R662" s="63"/>
      <c r="S662" s="63"/>
      <c r="T662" s="63"/>
      <c r="U662" s="63"/>
    </row>
    <row r="663" spans="1:21" ht="13.2">
      <c r="A663" s="5">
        <f t="shared" ca="1" si="4"/>
        <v>662</v>
      </c>
      <c r="B663" s="5" t="str">
        <f ca="1">IFERROR(__xludf.DUMMYFUNCTION("if(ISBLANK(C663),,QUERY(MD!A664:D1662,""Select A where C = '""&amp; C663 &amp;""'""))"),"")</f>
        <v/>
      </c>
      <c r="C663" s="5"/>
      <c r="E663" s="49"/>
      <c r="F663" s="5"/>
      <c r="G663" s="32"/>
      <c r="H663" s="61"/>
      <c r="I663" s="32"/>
      <c r="J663" s="61"/>
      <c r="K663" s="32"/>
      <c r="L663" s="61"/>
      <c r="M663" s="32"/>
      <c r="N663" s="61"/>
      <c r="O663" s="32"/>
      <c r="P663" s="61"/>
      <c r="Q663" s="62"/>
      <c r="R663" s="63"/>
      <c r="S663" s="63"/>
      <c r="T663" s="63"/>
      <c r="U663" s="63"/>
    </row>
    <row r="664" spans="1:21" ht="13.2">
      <c r="A664" s="5">
        <f t="shared" ca="1" si="4"/>
        <v>663</v>
      </c>
      <c r="B664" s="5" t="str">
        <f ca="1">IFERROR(__xludf.DUMMYFUNCTION("if(ISBLANK(C664),,QUERY(MD!A665:D1663,""Select A where C = '""&amp; C664 &amp;""'""))"),"")</f>
        <v/>
      </c>
      <c r="C664" s="5"/>
      <c r="E664" s="49"/>
      <c r="F664" s="5"/>
      <c r="G664" s="32"/>
      <c r="H664" s="61"/>
      <c r="I664" s="32"/>
      <c r="J664" s="61"/>
      <c r="K664" s="32"/>
      <c r="L664" s="61"/>
      <c r="M664" s="32"/>
      <c r="N664" s="61"/>
      <c r="O664" s="32"/>
      <c r="P664" s="61"/>
      <c r="Q664" s="62"/>
      <c r="R664" s="63"/>
      <c r="S664" s="63"/>
      <c r="T664" s="63"/>
      <c r="U664" s="63"/>
    </row>
    <row r="665" spans="1:21" ht="13.2">
      <c r="A665" s="5">
        <f t="shared" ca="1" si="4"/>
        <v>664</v>
      </c>
      <c r="B665" s="5" t="str">
        <f ca="1">IFERROR(__xludf.DUMMYFUNCTION("if(ISBLANK(C665),,QUERY(MD!A666:D1664,""Select A where C = '""&amp; C665 &amp;""'""))"),"")</f>
        <v/>
      </c>
      <c r="C665" s="5"/>
      <c r="E665" s="49"/>
      <c r="F665" s="5"/>
      <c r="G665" s="32"/>
      <c r="H665" s="61"/>
      <c r="I665" s="32"/>
      <c r="J665" s="61"/>
      <c r="K665" s="32"/>
      <c r="L665" s="61"/>
      <c r="M665" s="32"/>
      <c r="N665" s="61"/>
      <c r="O665" s="32"/>
      <c r="P665" s="61"/>
      <c r="Q665" s="62"/>
      <c r="R665" s="63"/>
      <c r="S665" s="63"/>
      <c r="T665" s="63"/>
      <c r="U665" s="63"/>
    </row>
    <row r="666" spans="1:21" ht="13.2">
      <c r="A666" s="5">
        <f t="shared" ca="1" si="4"/>
        <v>665</v>
      </c>
      <c r="B666" s="5" t="str">
        <f ca="1">IFERROR(__xludf.DUMMYFUNCTION("if(ISBLANK(C666),,QUERY(MD!A667:D1665,""Select A where C = '""&amp; C666 &amp;""'""))"),"")</f>
        <v/>
      </c>
      <c r="C666" s="5"/>
      <c r="E666" s="49"/>
      <c r="F666" s="5"/>
      <c r="G666" s="32"/>
      <c r="H666" s="61"/>
      <c r="I666" s="32"/>
      <c r="J666" s="61"/>
      <c r="K666" s="32"/>
      <c r="L666" s="61"/>
      <c r="M666" s="32"/>
      <c r="N666" s="61"/>
      <c r="O666" s="32"/>
      <c r="P666" s="61"/>
      <c r="Q666" s="62"/>
      <c r="R666" s="63"/>
      <c r="S666" s="63"/>
      <c r="T666" s="63"/>
      <c r="U666" s="63"/>
    </row>
    <row r="667" spans="1:21" ht="13.2">
      <c r="A667" s="5">
        <f t="shared" ca="1" si="4"/>
        <v>666</v>
      </c>
      <c r="B667" s="5" t="str">
        <f ca="1">IFERROR(__xludf.DUMMYFUNCTION("if(ISBLANK(C667),,QUERY(MD!A668:D1666,""Select A where C = '""&amp; C667 &amp;""'""))"),"")</f>
        <v/>
      </c>
      <c r="C667" s="5"/>
      <c r="E667" s="49"/>
      <c r="F667" s="5"/>
      <c r="G667" s="32"/>
      <c r="H667" s="61"/>
      <c r="I667" s="32"/>
      <c r="J667" s="61"/>
      <c r="K667" s="32"/>
      <c r="L667" s="61"/>
      <c r="M667" s="32"/>
      <c r="N667" s="61"/>
      <c r="O667" s="32"/>
      <c r="P667" s="61"/>
      <c r="Q667" s="62"/>
      <c r="R667" s="63"/>
      <c r="S667" s="63"/>
      <c r="T667" s="63"/>
      <c r="U667" s="63"/>
    </row>
    <row r="668" spans="1:21" ht="13.2">
      <c r="A668" s="5">
        <f t="shared" ca="1" si="4"/>
        <v>667</v>
      </c>
      <c r="B668" s="5" t="str">
        <f ca="1">IFERROR(__xludf.DUMMYFUNCTION("if(ISBLANK(C668),,QUERY(MD!A669:D1667,""Select A where C = '""&amp; C668 &amp;""'""))"),"")</f>
        <v/>
      </c>
      <c r="C668" s="5"/>
      <c r="E668" s="49"/>
      <c r="F668" s="5"/>
      <c r="G668" s="32"/>
      <c r="H668" s="61"/>
      <c r="I668" s="32"/>
      <c r="J668" s="61"/>
      <c r="K668" s="32"/>
      <c r="L668" s="61"/>
      <c r="M668" s="32"/>
      <c r="N668" s="61"/>
      <c r="O668" s="32"/>
      <c r="P668" s="61"/>
      <c r="Q668" s="62"/>
      <c r="R668" s="63"/>
      <c r="S668" s="63"/>
      <c r="T668" s="63"/>
      <c r="U668" s="63"/>
    </row>
    <row r="669" spans="1:21" ht="13.2">
      <c r="A669" s="5">
        <f t="shared" ca="1" si="4"/>
        <v>668</v>
      </c>
      <c r="B669" s="5" t="str">
        <f ca="1">IFERROR(__xludf.DUMMYFUNCTION("if(ISBLANK(C669),,QUERY(MD!A670:D1668,""Select A where C = '""&amp; C669 &amp;""'""))"),"")</f>
        <v/>
      </c>
      <c r="C669" s="5"/>
      <c r="E669" s="49"/>
      <c r="F669" s="5"/>
      <c r="G669" s="32"/>
      <c r="H669" s="61"/>
      <c r="I669" s="32"/>
      <c r="J669" s="61"/>
      <c r="K669" s="32"/>
      <c r="L669" s="61"/>
      <c r="M669" s="32"/>
      <c r="N669" s="61"/>
      <c r="O669" s="32"/>
      <c r="P669" s="61"/>
      <c r="Q669" s="62"/>
      <c r="R669" s="63"/>
      <c r="S669" s="63"/>
      <c r="T669" s="63"/>
      <c r="U669" s="63"/>
    </row>
    <row r="670" spans="1:21" ht="13.2">
      <c r="A670" s="5">
        <f t="shared" ca="1" si="4"/>
        <v>669</v>
      </c>
      <c r="B670" s="5" t="str">
        <f ca="1">IFERROR(__xludf.DUMMYFUNCTION("if(ISBLANK(C670),,QUERY(MD!A671:D1669,""Select A where C = '""&amp; C670 &amp;""'""))"),"")</f>
        <v/>
      </c>
      <c r="C670" s="5"/>
      <c r="E670" s="49"/>
      <c r="F670" s="5"/>
      <c r="G670" s="32"/>
      <c r="H670" s="61"/>
      <c r="I670" s="32"/>
      <c r="J670" s="61"/>
      <c r="K670" s="32"/>
      <c r="L670" s="61"/>
      <c r="M670" s="32"/>
      <c r="N670" s="61"/>
      <c r="O670" s="32"/>
      <c r="P670" s="61"/>
      <c r="Q670" s="62"/>
      <c r="R670" s="63"/>
      <c r="S670" s="63"/>
      <c r="T670" s="63"/>
      <c r="U670" s="63"/>
    </row>
    <row r="671" spans="1:21" ht="13.2">
      <c r="A671" s="5">
        <f t="shared" ca="1" si="4"/>
        <v>670</v>
      </c>
      <c r="B671" s="5" t="str">
        <f ca="1">IFERROR(__xludf.DUMMYFUNCTION("if(ISBLANK(C671),,QUERY(MD!A672:D1670,""Select A where C = '""&amp; C671 &amp;""'""))"),"")</f>
        <v/>
      </c>
      <c r="C671" s="5"/>
      <c r="E671" s="49"/>
      <c r="F671" s="5"/>
      <c r="G671" s="32"/>
      <c r="H671" s="61"/>
      <c r="I671" s="32"/>
      <c r="J671" s="61"/>
      <c r="K671" s="32"/>
      <c r="L671" s="61"/>
      <c r="M671" s="32"/>
      <c r="N671" s="61"/>
      <c r="O671" s="32"/>
      <c r="P671" s="61"/>
      <c r="Q671" s="62"/>
      <c r="R671" s="63"/>
      <c r="S671" s="63"/>
      <c r="T671" s="63"/>
      <c r="U671" s="63"/>
    </row>
    <row r="672" spans="1:21" ht="13.2">
      <c r="A672" s="5">
        <f t="shared" ca="1" si="4"/>
        <v>671</v>
      </c>
      <c r="B672" s="5" t="str">
        <f ca="1">IFERROR(__xludf.DUMMYFUNCTION("if(ISBLANK(C672),,QUERY(MD!A673:D1671,""Select A where C = '""&amp; C672 &amp;""'""))"),"")</f>
        <v/>
      </c>
      <c r="C672" s="5"/>
      <c r="E672" s="49"/>
      <c r="F672" s="5"/>
      <c r="G672" s="32"/>
      <c r="H672" s="61"/>
      <c r="I672" s="32"/>
      <c r="J672" s="61"/>
      <c r="K672" s="32"/>
      <c r="L672" s="61"/>
      <c r="M672" s="32"/>
      <c r="N672" s="61"/>
      <c r="O672" s="32"/>
      <c r="P672" s="61"/>
      <c r="Q672" s="62"/>
      <c r="R672" s="63"/>
      <c r="S672" s="63"/>
      <c r="T672" s="63"/>
      <c r="U672" s="63"/>
    </row>
    <row r="673" spans="1:21" ht="13.2">
      <c r="A673" s="5">
        <f t="shared" ca="1" si="4"/>
        <v>672</v>
      </c>
      <c r="B673" s="5" t="str">
        <f ca="1">IFERROR(__xludf.DUMMYFUNCTION("if(ISBLANK(C673),,QUERY(MD!A674:D1672,""Select A where C = '""&amp; C673 &amp;""'""))"),"")</f>
        <v/>
      </c>
      <c r="C673" s="5"/>
      <c r="E673" s="49"/>
      <c r="F673" s="5"/>
      <c r="G673" s="32"/>
      <c r="H673" s="61"/>
      <c r="I673" s="32"/>
      <c r="J673" s="61"/>
      <c r="K673" s="32"/>
      <c r="L673" s="61"/>
      <c r="M673" s="32"/>
      <c r="N673" s="61"/>
      <c r="O673" s="32"/>
      <c r="P673" s="61"/>
      <c r="Q673" s="62"/>
      <c r="R673" s="63"/>
      <c r="S673" s="63"/>
      <c r="T673" s="63"/>
      <c r="U673" s="63"/>
    </row>
    <row r="674" spans="1:21" ht="13.2">
      <c r="A674" s="5">
        <f t="shared" ca="1" si="4"/>
        <v>673</v>
      </c>
      <c r="B674" s="5" t="str">
        <f ca="1">IFERROR(__xludf.DUMMYFUNCTION("if(ISBLANK(C674),,QUERY(MD!A675:D1673,""Select A where C = '""&amp; C674 &amp;""'""))"),"")</f>
        <v/>
      </c>
      <c r="C674" s="5"/>
      <c r="E674" s="49"/>
      <c r="F674" s="5"/>
      <c r="G674" s="32"/>
      <c r="H674" s="61"/>
      <c r="I674" s="32"/>
      <c r="J674" s="61"/>
      <c r="K674" s="32"/>
      <c r="L674" s="61"/>
      <c r="M674" s="32"/>
      <c r="N674" s="61"/>
      <c r="O674" s="32"/>
      <c r="P674" s="61"/>
      <c r="Q674" s="62"/>
      <c r="R674" s="63"/>
      <c r="S674" s="63"/>
      <c r="T674" s="63"/>
      <c r="U674" s="63"/>
    </row>
    <row r="675" spans="1:21" ht="13.2">
      <c r="A675" s="5">
        <f t="shared" ca="1" si="4"/>
        <v>674</v>
      </c>
      <c r="B675" s="5" t="str">
        <f ca="1">IFERROR(__xludf.DUMMYFUNCTION("if(ISBLANK(C675),,QUERY(MD!A676:D1674,""Select A where C = '""&amp; C675 &amp;""'""))"),"")</f>
        <v/>
      </c>
      <c r="C675" s="5"/>
      <c r="E675" s="49"/>
      <c r="F675" s="5"/>
      <c r="G675" s="32"/>
      <c r="H675" s="61"/>
      <c r="I675" s="32"/>
      <c r="J675" s="61"/>
      <c r="K675" s="32"/>
      <c r="L675" s="61"/>
      <c r="M675" s="32"/>
      <c r="N675" s="61"/>
      <c r="O675" s="32"/>
      <c r="P675" s="61"/>
      <c r="Q675" s="62"/>
      <c r="R675" s="63"/>
      <c r="S675" s="63"/>
      <c r="T675" s="63"/>
      <c r="U675" s="63"/>
    </row>
    <row r="676" spans="1:21" ht="13.2">
      <c r="A676" s="5">
        <f t="shared" ca="1" si="4"/>
        <v>675</v>
      </c>
      <c r="B676" s="5" t="str">
        <f ca="1">IFERROR(__xludf.DUMMYFUNCTION("if(ISBLANK(C676),,QUERY(MD!A677:D1675,""Select A where C = '""&amp; C676 &amp;""'""))"),"")</f>
        <v/>
      </c>
      <c r="C676" s="5"/>
      <c r="E676" s="49"/>
      <c r="F676" s="5"/>
      <c r="G676" s="32"/>
      <c r="H676" s="61"/>
      <c r="I676" s="32"/>
      <c r="J676" s="61"/>
      <c r="K676" s="32"/>
      <c r="L676" s="61"/>
      <c r="M676" s="32"/>
      <c r="N676" s="61"/>
      <c r="O676" s="32"/>
      <c r="P676" s="61"/>
      <c r="Q676" s="62"/>
      <c r="R676" s="63"/>
      <c r="S676" s="63"/>
      <c r="T676" s="63"/>
      <c r="U676" s="63"/>
    </row>
    <row r="677" spans="1:21" ht="13.2">
      <c r="A677" s="5">
        <f t="shared" ca="1" si="4"/>
        <v>676</v>
      </c>
      <c r="B677" s="5" t="str">
        <f ca="1">IFERROR(__xludf.DUMMYFUNCTION("if(ISBLANK(C677),,QUERY(MD!A678:D1676,""Select A where C = '""&amp; C677 &amp;""'""))"),"")</f>
        <v/>
      </c>
      <c r="C677" s="5"/>
      <c r="E677" s="49"/>
      <c r="F677" s="5"/>
      <c r="G677" s="32"/>
      <c r="H677" s="61"/>
      <c r="I677" s="32"/>
      <c r="J677" s="61"/>
      <c r="K677" s="32"/>
      <c r="L677" s="61"/>
      <c r="M677" s="32"/>
      <c r="N677" s="61"/>
      <c r="O677" s="32"/>
      <c r="P677" s="61"/>
      <c r="Q677" s="62"/>
      <c r="R677" s="63"/>
      <c r="S677" s="63"/>
      <c r="T677" s="63"/>
      <c r="U677" s="63"/>
    </row>
    <row r="678" spans="1:21" ht="13.2">
      <c r="A678" s="5">
        <f t="shared" ca="1" si="4"/>
        <v>677</v>
      </c>
      <c r="B678" s="5" t="str">
        <f ca="1">IFERROR(__xludf.DUMMYFUNCTION("if(ISBLANK(C678),,QUERY(MD!A679:D1677,""Select A where C = '""&amp; C678 &amp;""'""))"),"")</f>
        <v/>
      </c>
      <c r="C678" s="5"/>
      <c r="E678" s="49"/>
      <c r="F678" s="5"/>
      <c r="G678" s="32"/>
      <c r="H678" s="61"/>
      <c r="I678" s="32"/>
      <c r="J678" s="61"/>
      <c r="K678" s="32"/>
      <c r="L678" s="61"/>
      <c r="M678" s="32"/>
      <c r="N678" s="61"/>
      <c r="O678" s="32"/>
      <c r="P678" s="61"/>
      <c r="Q678" s="62"/>
      <c r="R678" s="63"/>
      <c r="S678" s="63"/>
      <c r="T678" s="63"/>
      <c r="U678" s="63"/>
    </row>
    <row r="679" spans="1:21" ht="13.2">
      <c r="A679" s="5">
        <f t="shared" ca="1" si="4"/>
        <v>678</v>
      </c>
      <c r="B679" s="5" t="str">
        <f ca="1">IFERROR(__xludf.DUMMYFUNCTION("if(ISBLANK(C679),,QUERY(MD!A680:D1678,""Select A where C = '""&amp; C679 &amp;""'""))"),"")</f>
        <v/>
      </c>
      <c r="C679" s="5"/>
      <c r="E679" s="49"/>
      <c r="F679" s="5"/>
      <c r="G679" s="32"/>
      <c r="H679" s="61"/>
      <c r="I679" s="32"/>
      <c r="J679" s="61"/>
      <c r="K679" s="32"/>
      <c r="L679" s="61"/>
      <c r="M679" s="32"/>
      <c r="N679" s="61"/>
      <c r="O679" s="32"/>
      <c r="P679" s="61"/>
      <c r="Q679" s="62"/>
      <c r="R679" s="63"/>
      <c r="S679" s="63"/>
      <c r="T679" s="63"/>
      <c r="U679" s="63"/>
    </row>
    <row r="680" spans="1:21" ht="13.2">
      <c r="A680" s="5">
        <f t="shared" ca="1" si="4"/>
        <v>679</v>
      </c>
      <c r="B680" s="5" t="str">
        <f ca="1">IFERROR(__xludf.DUMMYFUNCTION("if(ISBLANK(C680),,QUERY(MD!A681:D1679,""Select A where C = '""&amp; C680 &amp;""'""))"),"")</f>
        <v/>
      </c>
      <c r="C680" s="5"/>
      <c r="E680" s="49"/>
      <c r="F680" s="5"/>
      <c r="G680" s="32"/>
      <c r="H680" s="61"/>
      <c r="I680" s="32"/>
      <c r="J680" s="61"/>
      <c r="K680" s="32"/>
      <c r="L680" s="61"/>
      <c r="M680" s="32"/>
      <c r="N680" s="61"/>
      <c r="O680" s="32"/>
      <c r="P680" s="61"/>
      <c r="Q680" s="62"/>
      <c r="R680" s="63"/>
      <c r="S680" s="63"/>
      <c r="T680" s="63"/>
      <c r="U680" s="63"/>
    </row>
    <row r="681" spans="1:21" ht="13.2">
      <c r="A681" s="5">
        <f t="shared" ca="1" si="4"/>
        <v>680</v>
      </c>
      <c r="B681" s="5" t="str">
        <f ca="1">IFERROR(__xludf.DUMMYFUNCTION("if(ISBLANK(C681),,QUERY(MD!A682:D1680,""Select A where C = '""&amp; C681 &amp;""'""))"),"")</f>
        <v/>
      </c>
      <c r="C681" s="5"/>
      <c r="E681" s="49"/>
      <c r="F681" s="5"/>
      <c r="G681" s="32"/>
      <c r="H681" s="61"/>
      <c r="I681" s="32"/>
      <c r="J681" s="61"/>
      <c r="K681" s="32"/>
      <c r="L681" s="61"/>
      <c r="M681" s="32"/>
      <c r="N681" s="61"/>
      <c r="O681" s="32"/>
      <c r="P681" s="61"/>
      <c r="Q681" s="62"/>
      <c r="R681" s="63"/>
      <c r="S681" s="63"/>
      <c r="T681" s="63"/>
      <c r="U681" s="63"/>
    </row>
    <row r="682" spans="1:21" ht="13.2">
      <c r="A682" s="5">
        <f t="shared" ca="1" si="4"/>
        <v>681</v>
      </c>
      <c r="B682" s="5" t="str">
        <f ca="1">IFERROR(__xludf.DUMMYFUNCTION("if(ISBLANK(C682),,QUERY(MD!A683:D1681,""Select A where C = '""&amp; C682 &amp;""'""))"),"")</f>
        <v/>
      </c>
      <c r="C682" s="5"/>
      <c r="E682" s="49"/>
      <c r="F682" s="5"/>
      <c r="G682" s="32"/>
      <c r="H682" s="61"/>
      <c r="I682" s="32"/>
      <c r="J682" s="61"/>
      <c r="K682" s="32"/>
      <c r="L682" s="61"/>
      <c r="M682" s="32"/>
      <c r="N682" s="61"/>
      <c r="O682" s="32"/>
      <c r="P682" s="61"/>
      <c r="Q682" s="62"/>
      <c r="R682" s="63"/>
      <c r="S682" s="63"/>
      <c r="T682" s="63"/>
      <c r="U682" s="63"/>
    </row>
    <row r="683" spans="1:21" ht="13.2">
      <c r="A683" s="5">
        <f t="shared" ca="1" si="4"/>
        <v>682</v>
      </c>
      <c r="B683" s="5" t="str">
        <f ca="1">IFERROR(__xludf.DUMMYFUNCTION("if(ISBLANK(C683),,QUERY(MD!A684:D1682,""Select A where C = '""&amp; C683 &amp;""'""))"),"")</f>
        <v/>
      </c>
      <c r="C683" s="5"/>
      <c r="E683" s="49"/>
      <c r="F683" s="5"/>
      <c r="G683" s="32"/>
      <c r="H683" s="61"/>
      <c r="I683" s="32"/>
      <c r="J683" s="61"/>
      <c r="K683" s="32"/>
      <c r="L683" s="61"/>
      <c r="M683" s="32"/>
      <c r="N683" s="61"/>
      <c r="O683" s="32"/>
      <c r="P683" s="61"/>
      <c r="Q683" s="62"/>
      <c r="R683" s="63"/>
      <c r="S683" s="63"/>
      <c r="T683" s="63"/>
      <c r="U683" s="63"/>
    </row>
    <row r="684" spans="1:21" ht="13.2">
      <c r="A684" s="5">
        <f t="shared" ca="1" si="4"/>
        <v>683</v>
      </c>
      <c r="B684" s="5" t="str">
        <f ca="1">IFERROR(__xludf.DUMMYFUNCTION("if(ISBLANK(C684),,QUERY(MD!A685:D1683,""Select A where C = '""&amp; C684 &amp;""'""))"),"")</f>
        <v/>
      </c>
      <c r="C684" s="5"/>
      <c r="E684" s="49"/>
      <c r="F684" s="5"/>
      <c r="G684" s="32"/>
      <c r="H684" s="61"/>
      <c r="I684" s="32"/>
      <c r="J684" s="61"/>
      <c r="K684" s="32"/>
      <c r="L684" s="61"/>
      <c r="M684" s="32"/>
      <c r="N684" s="61"/>
      <c r="O684" s="32"/>
      <c r="P684" s="61"/>
      <c r="Q684" s="62"/>
      <c r="R684" s="63"/>
      <c r="S684" s="63"/>
      <c r="T684" s="63"/>
      <c r="U684" s="63"/>
    </row>
    <row r="685" spans="1:21" ht="13.2">
      <c r="A685" s="5">
        <f t="shared" ca="1" si="4"/>
        <v>684</v>
      </c>
      <c r="B685" s="5" t="str">
        <f ca="1">IFERROR(__xludf.DUMMYFUNCTION("if(ISBLANK(C685),,QUERY(MD!A686:D1684,""Select A where C = '""&amp; C685 &amp;""'""))"),"")</f>
        <v/>
      </c>
      <c r="C685" s="5"/>
      <c r="E685" s="49"/>
      <c r="F685" s="5"/>
      <c r="G685" s="32"/>
      <c r="H685" s="61"/>
      <c r="I685" s="32"/>
      <c r="J685" s="61"/>
      <c r="K685" s="32"/>
      <c r="L685" s="61"/>
      <c r="M685" s="32"/>
      <c r="N685" s="61"/>
      <c r="O685" s="32"/>
      <c r="P685" s="61"/>
      <c r="Q685" s="62"/>
      <c r="R685" s="63"/>
      <c r="S685" s="63"/>
      <c r="T685" s="63"/>
      <c r="U685" s="63"/>
    </row>
    <row r="686" spans="1:21" ht="13.2">
      <c r="A686" s="5">
        <f t="shared" ca="1" si="4"/>
        <v>685</v>
      </c>
      <c r="B686" s="5" t="str">
        <f ca="1">IFERROR(__xludf.DUMMYFUNCTION("if(ISBLANK(C686),,QUERY(MD!A687:D1685,""Select A where C = '""&amp; C686 &amp;""'""))"),"")</f>
        <v/>
      </c>
      <c r="C686" s="5"/>
      <c r="E686" s="49"/>
      <c r="F686" s="5"/>
      <c r="G686" s="32"/>
      <c r="H686" s="61"/>
      <c r="I686" s="32"/>
      <c r="J686" s="61"/>
      <c r="K686" s="32"/>
      <c r="L686" s="61"/>
      <c r="M686" s="32"/>
      <c r="N686" s="61"/>
      <c r="O686" s="32"/>
      <c r="P686" s="61"/>
      <c r="Q686" s="62"/>
      <c r="R686" s="63"/>
      <c r="S686" s="63"/>
      <c r="T686" s="63"/>
      <c r="U686" s="63"/>
    </row>
    <row r="687" spans="1:21" ht="13.2">
      <c r="A687" s="5">
        <f t="shared" ca="1" si="4"/>
        <v>686</v>
      </c>
      <c r="B687" s="5" t="str">
        <f ca="1">IFERROR(__xludf.DUMMYFUNCTION("if(ISBLANK(C687),,QUERY(MD!A688:D1686,""Select A where C = '""&amp; C687 &amp;""'""))"),"")</f>
        <v/>
      </c>
      <c r="C687" s="5"/>
      <c r="E687" s="49"/>
      <c r="F687" s="5"/>
      <c r="G687" s="32"/>
      <c r="H687" s="61"/>
      <c r="I687" s="32"/>
      <c r="J687" s="61"/>
      <c r="K687" s="32"/>
      <c r="L687" s="61"/>
      <c r="M687" s="32"/>
      <c r="N687" s="61"/>
      <c r="O687" s="32"/>
      <c r="P687" s="61"/>
      <c r="Q687" s="62"/>
      <c r="R687" s="63"/>
      <c r="S687" s="63"/>
      <c r="T687" s="63"/>
      <c r="U687" s="63"/>
    </row>
    <row r="688" spans="1:21" ht="13.2">
      <c r="A688" s="5">
        <f t="shared" ca="1" si="4"/>
        <v>687</v>
      </c>
      <c r="B688" s="5" t="str">
        <f ca="1">IFERROR(__xludf.DUMMYFUNCTION("if(ISBLANK(C688),,QUERY(MD!A689:D1687,""Select A where C = '""&amp; C688 &amp;""'""))"),"")</f>
        <v/>
      </c>
      <c r="C688" s="5"/>
      <c r="E688" s="49"/>
      <c r="F688" s="5"/>
      <c r="G688" s="32"/>
      <c r="H688" s="61"/>
      <c r="I688" s="32"/>
      <c r="J688" s="61"/>
      <c r="K688" s="32"/>
      <c r="L688" s="61"/>
      <c r="M688" s="32"/>
      <c r="N688" s="61"/>
      <c r="O688" s="32"/>
      <c r="P688" s="61"/>
      <c r="Q688" s="62"/>
      <c r="R688" s="63"/>
      <c r="S688" s="63"/>
      <c r="T688" s="63"/>
      <c r="U688" s="63"/>
    </row>
    <row r="689" spans="1:21" ht="13.2">
      <c r="A689" s="5">
        <f t="shared" ca="1" si="4"/>
        <v>688</v>
      </c>
      <c r="B689" s="5" t="str">
        <f ca="1">IFERROR(__xludf.DUMMYFUNCTION("if(ISBLANK(C689),,QUERY(MD!A690:D1688,""Select A where C = '""&amp; C689 &amp;""'""))"),"")</f>
        <v/>
      </c>
      <c r="C689" s="5"/>
      <c r="E689" s="49"/>
      <c r="F689" s="5"/>
      <c r="G689" s="32"/>
      <c r="H689" s="61"/>
      <c r="I689" s="32"/>
      <c r="J689" s="61"/>
      <c r="K689" s="32"/>
      <c r="L689" s="61"/>
      <c r="M689" s="32"/>
      <c r="N689" s="61"/>
      <c r="O689" s="32"/>
      <c r="P689" s="61"/>
      <c r="Q689" s="62"/>
      <c r="R689" s="63"/>
      <c r="S689" s="63"/>
      <c r="T689" s="63"/>
      <c r="U689" s="63"/>
    </row>
    <row r="690" spans="1:21" ht="13.2">
      <c r="A690" s="5">
        <f t="shared" ca="1" si="4"/>
        <v>689</v>
      </c>
      <c r="B690" s="5" t="str">
        <f ca="1">IFERROR(__xludf.DUMMYFUNCTION("if(ISBLANK(C690),,QUERY(MD!A691:D1689,""Select A where C = '""&amp; C690 &amp;""'""))"),"")</f>
        <v/>
      </c>
      <c r="C690" s="5"/>
      <c r="E690" s="49"/>
      <c r="F690" s="5"/>
      <c r="G690" s="32"/>
      <c r="H690" s="61"/>
      <c r="I690" s="32"/>
      <c r="J690" s="61"/>
      <c r="K690" s="32"/>
      <c r="L690" s="61"/>
      <c r="M690" s="32"/>
      <c r="N690" s="61"/>
      <c r="O690" s="32"/>
      <c r="P690" s="61"/>
      <c r="Q690" s="62"/>
      <c r="R690" s="63"/>
      <c r="S690" s="63"/>
      <c r="T690" s="63"/>
      <c r="U690" s="63"/>
    </row>
    <row r="691" spans="1:21" ht="13.2">
      <c r="A691" s="5">
        <f t="shared" ca="1" si="4"/>
        <v>690</v>
      </c>
      <c r="B691" s="5" t="str">
        <f ca="1">IFERROR(__xludf.DUMMYFUNCTION("if(ISBLANK(C691),,QUERY(MD!A692:D1690,""Select A where C = '""&amp; C691 &amp;""'""))"),"")</f>
        <v/>
      </c>
      <c r="C691" s="5"/>
      <c r="E691" s="49"/>
      <c r="F691" s="5"/>
      <c r="G691" s="32"/>
      <c r="H691" s="61"/>
      <c r="I691" s="32"/>
      <c r="J691" s="61"/>
      <c r="K691" s="32"/>
      <c r="L691" s="61"/>
      <c r="M691" s="32"/>
      <c r="N691" s="61"/>
      <c r="O691" s="32"/>
      <c r="P691" s="61"/>
      <c r="Q691" s="62"/>
      <c r="R691" s="63"/>
      <c r="S691" s="63"/>
      <c r="T691" s="63"/>
      <c r="U691" s="63"/>
    </row>
    <row r="692" spans="1:21" ht="13.2">
      <c r="A692" s="5">
        <f t="shared" ca="1" si="4"/>
        <v>691</v>
      </c>
      <c r="B692" s="5" t="str">
        <f ca="1">IFERROR(__xludf.DUMMYFUNCTION("if(ISBLANK(C692),,QUERY(MD!A693:D1691,""Select A where C = '""&amp; C692 &amp;""'""))"),"")</f>
        <v/>
      </c>
      <c r="C692" s="5"/>
      <c r="E692" s="49"/>
      <c r="F692" s="5"/>
      <c r="G692" s="32"/>
      <c r="H692" s="61"/>
      <c r="I692" s="32"/>
      <c r="J692" s="61"/>
      <c r="K692" s="32"/>
      <c r="L692" s="61"/>
      <c r="M692" s="32"/>
      <c r="N692" s="61"/>
      <c r="O692" s="32"/>
      <c r="P692" s="61"/>
      <c r="Q692" s="62"/>
      <c r="R692" s="63"/>
      <c r="S692" s="63"/>
      <c r="T692" s="63"/>
      <c r="U692" s="63"/>
    </row>
    <row r="693" spans="1:21" ht="13.2">
      <c r="A693" s="5">
        <f t="shared" ca="1" si="4"/>
        <v>692</v>
      </c>
      <c r="B693" s="5" t="str">
        <f ca="1">IFERROR(__xludf.DUMMYFUNCTION("if(ISBLANK(C693),,QUERY(MD!A694:D1692,""Select A where C = '""&amp; C693 &amp;""'""))"),"")</f>
        <v/>
      </c>
      <c r="C693" s="5"/>
      <c r="E693" s="49"/>
      <c r="F693" s="5"/>
      <c r="G693" s="32"/>
      <c r="H693" s="61"/>
      <c r="I693" s="32"/>
      <c r="J693" s="61"/>
      <c r="K693" s="32"/>
      <c r="L693" s="61"/>
      <c r="M693" s="32"/>
      <c r="N693" s="61"/>
      <c r="O693" s="32"/>
      <c r="P693" s="61"/>
      <c r="Q693" s="62"/>
      <c r="R693" s="63"/>
      <c r="S693" s="63"/>
      <c r="T693" s="63"/>
      <c r="U693" s="63"/>
    </row>
    <row r="694" spans="1:21" ht="13.2">
      <c r="A694" s="5">
        <f t="shared" ca="1" si="4"/>
        <v>693</v>
      </c>
      <c r="B694" s="5" t="str">
        <f ca="1">IFERROR(__xludf.DUMMYFUNCTION("if(ISBLANK(C694),,QUERY(MD!A695:D1693,""Select A where C = '""&amp; C694 &amp;""'""))"),"")</f>
        <v/>
      </c>
      <c r="C694" s="5"/>
      <c r="E694" s="49"/>
      <c r="F694" s="5"/>
      <c r="G694" s="32"/>
      <c r="H694" s="61"/>
      <c r="I694" s="32"/>
      <c r="J694" s="61"/>
      <c r="K694" s="32"/>
      <c r="L694" s="61"/>
      <c r="M694" s="32"/>
      <c r="N694" s="61"/>
      <c r="O694" s="32"/>
      <c r="P694" s="61"/>
      <c r="Q694" s="62"/>
      <c r="R694" s="63"/>
      <c r="S694" s="63"/>
      <c r="T694" s="63"/>
      <c r="U694" s="63"/>
    </row>
    <row r="695" spans="1:21" ht="13.2">
      <c r="A695" s="5">
        <f t="shared" ca="1" si="4"/>
        <v>694</v>
      </c>
      <c r="B695" s="5" t="str">
        <f ca="1">IFERROR(__xludf.DUMMYFUNCTION("if(ISBLANK(C695),,QUERY(MD!A696:D1694,""Select A where C = '""&amp; C695 &amp;""'""))"),"")</f>
        <v/>
      </c>
      <c r="C695" s="5"/>
      <c r="E695" s="49"/>
      <c r="F695" s="5"/>
      <c r="G695" s="32"/>
      <c r="H695" s="61"/>
      <c r="I695" s="32"/>
      <c r="J695" s="61"/>
      <c r="K695" s="32"/>
      <c r="L695" s="61"/>
      <c r="M695" s="32"/>
      <c r="N695" s="61"/>
      <c r="O695" s="32"/>
      <c r="P695" s="61"/>
      <c r="Q695" s="62"/>
      <c r="R695" s="63"/>
      <c r="S695" s="63"/>
      <c r="T695" s="63"/>
      <c r="U695" s="63"/>
    </row>
    <row r="696" spans="1:21" ht="13.2">
      <c r="A696" s="5">
        <f t="shared" ca="1" si="4"/>
        <v>695</v>
      </c>
      <c r="B696" s="5" t="str">
        <f ca="1">IFERROR(__xludf.DUMMYFUNCTION("if(ISBLANK(C696),,QUERY(MD!A697:D1695,""Select A where C = '""&amp; C696 &amp;""'""))"),"")</f>
        <v/>
      </c>
      <c r="C696" s="5"/>
      <c r="E696" s="49"/>
      <c r="F696" s="5"/>
      <c r="G696" s="32"/>
      <c r="H696" s="61"/>
      <c r="I696" s="32"/>
      <c r="J696" s="61"/>
      <c r="K696" s="32"/>
      <c r="L696" s="61"/>
      <c r="M696" s="32"/>
      <c r="N696" s="61"/>
      <c r="O696" s="32"/>
      <c r="P696" s="61"/>
      <c r="Q696" s="62"/>
      <c r="R696" s="63"/>
      <c r="S696" s="63"/>
      <c r="T696" s="63"/>
      <c r="U696" s="63"/>
    </row>
    <row r="697" spans="1:21" ht="13.2">
      <c r="A697" s="5">
        <f t="shared" ca="1" si="4"/>
        <v>696</v>
      </c>
      <c r="B697" s="5" t="str">
        <f ca="1">IFERROR(__xludf.DUMMYFUNCTION("if(ISBLANK(C697),,QUERY(MD!A698:D1696,""Select A where C = '""&amp; C697 &amp;""'""))"),"")</f>
        <v/>
      </c>
      <c r="C697" s="5"/>
      <c r="E697" s="49"/>
      <c r="F697" s="5"/>
      <c r="G697" s="32"/>
      <c r="H697" s="61"/>
      <c r="I697" s="32"/>
      <c r="J697" s="61"/>
      <c r="K697" s="32"/>
      <c r="L697" s="61"/>
      <c r="M697" s="32"/>
      <c r="N697" s="61"/>
      <c r="O697" s="32"/>
      <c r="P697" s="61"/>
      <c r="Q697" s="62"/>
      <c r="R697" s="63"/>
      <c r="S697" s="63"/>
      <c r="T697" s="63"/>
      <c r="U697" s="63"/>
    </row>
    <row r="698" spans="1:21" ht="13.2">
      <c r="A698" s="5">
        <f t="shared" ca="1" si="4"/>
        <v>697</v>
      </c>
      <c r="B698" s="5" t="str">
        <f ca="1">IFERROR(__xludf.DUMMYFUNCTION("if(ISBLANK(C698),,QUERY(MD!A699:D1697,""Select A where C = '""&amp; C698 &amp;""'""))"),"")</f>
        <v/>
      </c>
      <c r="C698" s="5"/>
      <c r="E698" s="49"/>
      <c r="F698" s="5"/>
      <c r="G698" s="32"/>
      <c r="H698" s="61"/>
      <c r="I698" s="32"/>
      <c r="J698" s="61"/>
      <c r="K698" s="32"/>
      <c r="L698" s="61"/>
      <c r="M698" s="32"/>
      <c r="N698" s="61"/>
      <c r="O698" s="32"/>
      <c r="P698" s="61"/>
      <c r="Q698" s="62"/>
      <c r="R698" s="63"/>
      <c r="S698" s="63"/>
      <c r="T698" s="63"/>
      <c r="U698" s="63"/>
    </row>
    <row r="699" spans="1:21" ht="13.2">
      <c r="A699" s="5">
        <f t="shared" ca="1" si="4"/>
        <v>698</v>
      </c>
      <c r="B699" s="5" t="str">
        <f ca="1">IFERROR(__xludf.DUMMYFUNCTION("if(ISBLANK(C699),,QUERY(MD!A700:D1698,""Select A where C = '""&amp; C699 &amp;""'""))"),"")</f>
        <v/>
      </c>
      <c r="C699" s="5"/>
      <c r="E699" s="49"/>
      <c r="F699" s="5"/>
      <c r="G699" s="32"/>
      <c r="H699" s="61"/>
      <c r="I699" s="32"/>
      <c r="J699" s="61"/>
      <c r="K699" s="32"/>
      <c r="L699" s="61"/>
      <c r="M699" s="32"/>
      <c r="N699" s="61"/>
      <c r="O699" s="32"/>
      <c r="P699" s="61"/>
      <c r="Q699" s="62"/>
      <c r="R699" s="63"/>
      <c r="S699" s="63"/>
      <c r="T699" s="63"/>
      <c r="U699" s="63"/>
    </row>
    <row r="700" spans="1:21" ht="13.2">
      <c r="A700" s="5">
        <f t="shared" ca="1" si="4"/>
        <v>699</v>
      </c>
      <c r="B700" s="5" t="str">
        <f ca="1">IFERROR(__xludf.DUMMYFUNCTION("if(ISBLANK(C700),,QUERY(MD!A701:D1699,""Select A where C = '""&amp; C700 &amp;""'""))"),"")</f>
        <v/>
      </c>
      <c r="C700" s="5"/>
      <c r="E700" s="49"/>
      <c r="F700" s="5"/>
      <c r="G700" s="32"/>
      <c r="H700" s="61"/>
      <c r="I700" s="32"/>
      <c r="J700" s="61"/>
      <c r="K700" s="32"/>
      <c r="L700" s="61"/>
      <c r="M700" s="32"/>
      <c r="N700" s="61"/>
      <c r="O700" s="32"/>
      <c r="P700" s="61"/>
      <c r="Q700" s="62"/>
      <c r="R700" s="63"/>
      <c r="S700" s="63"/>
      <c r="T700" s="63"/>
      <c r="U700" s="63"/>
    </row>
    <row r="701" spans="1:21" ht="13.2">
      <c r="A701" s="5">
        <f t="shared" ca="1" si="4"/>
        <v>700</v>
      </c>
      <c r="B701" s="5" t="str">
        <f ca="1">IFERROR(__xludf.DUMMYFUNCTION("if(ISBLANK(C701),,QUERY(MD!A702:D1700,""Select A where C = '""&amp; C701 &amp;""'""))"),"")</f>
        <v/>
      </c>
      <c r="C701" s="5"/>
      <c r="E701" s="49"/>
      <c r="F701" s="5"/>
      <c r="G701" s="32"/>
      <c r="H701" s="61"/>
      <c r="I701" s="32"/>
      <c r="J701" s="61"/>
      <c r="K701" s="32"/>
      <c r="L701" s="61"/>
      <c r="M701" s="32"/>
      <c r="N701" s="61"/>
      <c r="O701" s="32"/>
      <c r="P701" s="61"/>
      <c r="Q701" s="62"/>
      <c r="R701" s="63"/>
      <c r="S701" s="63"/>
      <c r="T701" s="63"/>
      <c r="U701" s="63"/>
    </row>
    <row r="702" spans="1:21" ht="13.2">
      <c r="A702" s="5">
        <f t="shared" ca="1" si="4"/>
        <v>701</v>
      </c>
      <c r="B702" s="5" t="str">
        <f ca="1">IFERROR(__xludf.DUMMYFUNCTION("if(ISBLANK(C702),,QUERY(MD!A703:D1701,""Select A where C = '""&amp; C702 &amp;""'""))"),"")</f>
        <v/>
      </c>
      <c r="C702" s="5"/>
      <c r="E702" s="49"/>
      <c r="F702" s="5"/>
      <c r="G702" s="32"/>
      <c r="H702" s="61"/>
      <c r="I702" s="32"/>
      <c r="J702" s="61"/>
      <c r="K702" s="32"/>
      <c r="L702" s="61"/>
      <c r="M702" s="32"/>
      <c r="N702" s="61"/>
      <c r="O702" s="32"/>
      <c r="P702" s="61"/>
      <c r="Q702" s="62"/>
      <c r="R702" s="63"/>
      <c r="S702" s="63"/>
      <c r="T702" s="63"/>
      <c r="U702" s="63"/>
    </row>
    <row r="703" spans="1:21" ht="13.2">
      <c r="A703" s="5">
        <f t="shared" ca="1" si="4"/>
        <v>702</v>
      </c>
      <c r="B703" s="5" t="str">
        <f ca="1">IFERROR(__xludf.DUMMYFUNCTION("if(ISBLANK(C703),,QUERY(MD!A704:D1702,""Select A where C = '""&amp; C703 &amp;""'""))"),"")</f>
        <v/>
      </c>
      <c r="C703" s="5"/>
      <c r="E703" s="49"/>
      <c r="F703" s="5"/>
      <c r="G703" s="32"/>
      <c r="H703" s="61"/>
      <c r="I703" s="32"/>
      <c r="J703" s="61"/>
      <c r="K703" s="32"/>
      <c r="L703" s="61"/>
      <c r="M703" s="32"/>
      <c r="N703" s="61"/>
      <c r="O703" s="32"/>
      <c r="P703" s="61"/>
      <c r="Q703" s="62"/>
      <c r="R703" s="63"/>
      <c r="S703" s="63"/>
      <c r="T703" s="63"/>
      <c r="U703" s="63"/>
    </row>
    <row r="704" spans="1:21" ht="13.2">
      <c r="A704" s="5">
        <f t="shared" ca="1" si="4"/>
        <v>703</v>
      </c>
      <c r="B704" s="5" t="str">
        <f ca="1">IFERROR(__xludf.DUMMYFUNCTION("if(ISBLANK(C704),,QUERY(MD!A705:D1703,""Select A where C = '""&amp; C704 &amp;""'""))"),"")</f>
        <v/>
      </c>
      <c r="C704" s="5"/>
      <c r="E704" s="49"/>
      <c r="F704" s="5"/>
      <c r="G704" s="32"/>
      <c r="H704" s="61"/>
      <c r="I704" s="32"/>
      <c r="J704" s="61"/>
      <c r="K704" s="32"/>
      <c r="L704" s="61"/>
      <c r="M704" s="32"/>
      <c r="N704" s="61"/>
      <c r="O704" s="32"/>
      <c r="P704" s="61"/>
      <c r="Q704" s="62"/>
      <c r="R704" s="63"/>
      <c r="S704" s="63"/>
      <c r="T704" s="63"/>
      <c r="U704" s="63"/>
    </row>
    <row r="705" spans="1:21" ht="13.2">
      <c r="A705" s="5">
        <f t="shared" ca="1" si="4"/>
        <v>704</v>
      </c>
      <c r="B705" s="5" t="str">
        <f ca="1">IFERROR(__xludf.DUMMYFUNCTION("if(ISBLANK(C705),,QUERY(MD!A706:D1704,""Select A where C = '""&amp; C705 &amp;""'""))"),"")</f>
        <v/>
      </c>
      <c r="C705" s="5"/>
      <c r="E705" s="49"/>
      <c r="F705" s="5"/>
      <c r="G705" s="32"/>
      <c r="H705" s="61"/>
      <c r="I705" s="32"/>
      <c r="J705" s="61"/>
      <c r="K705" s="32"/>
      <c r="L705" s="61"/>
      <c r="M705" s="32"/>
      <c r="N705" s="61"/>
      <c r="O705" s="32"/>
      <c r="P705" s="61"/>
      <c r="Q705" s="62"/>
      <c r="R705" s="63"/>
      <c r="S705" s="63"/>
      <c r="T705" s="63"/>
      <c r="U705" s="63"/>
    </row>
    <row r="706" spans="1:21" ht="13.2">
      <c r="A706" s="5">
        <f t="shared" ca="1" si="4"/>
        <v>705</v>
      </c>
      <c r="B706" s="5" t="str">
        <f ca="1">IFERROR(__xludf.DUMMYFUNCTION("if(ISBLANK(C706),,QUERY(MD!A707:D1705,""Select A where C = '""&amp; C706 &amp;""'""))"),"")</f>
        <v/>
      </c>
      <c r="C706" s="5"/>
      <c r="E706" s="49"/>
      <c r="F706" s="5"/>
      <c r="G706" s="32"/>
      <c r="H706" s="61"/>
      <c r="I706" s="32"/>
      <c r="J706" s="61"/>
      <c r="K706" s="32"/>
      <c r="L706" s="61"/>
      <c r="M706" s="32"/>
      <c r="N706" s="61"/>
      <c r="O706" s="32"/>
      <c r="P706" s="61"/>
      <c r="Q706" s="62"/>
      <c r="R706" s="63"/>
      <c r="S706" s="63"/>
      <c r="T706" s="63"/>
      <c r="U706" s="63"/>
    </row>
    <row r="707" spans="1:21" ht="13.2">
      <c r="A707" s="5">
        <f t="shared" ca="1" si="4"/>
        <v>706</v>
      </c>
      <c r="B707" s="5" t="str">
        <f ca="1">IFERROR(__xludf.DUMMYFUNCTION("if(ISBLANK(C707),,QUERY(MD!A708:D1706,""Select A where C = '""&amp; C707 &amp;""'""))"),"")</f>
        <v/>
      </c>
      <c r="C707" s="5"/>
      <c r="E707" s="49"/>
      <c r="F707" s="5"/>
      <c r="G707" s="32"/>
      <c r="H707" s="61"/>
      <c r="I707" s="32"/>
      <c r="J707" s="61"/>
      <c r="K707" s="32"/>
      <c r="L707" s="61"/>
      <c r="M707" s="32"/>
      <c r="N707" s="61"/>
      <c r="O707" s="32"/>
      <c r="P707" s="61"/>
      <c r="Q707" s="62"/>
      <c r="R707" s="63"/>
      <c r="S707" s="63"/>
      <c r="T707" s="63"/>
      <c r="U707" s="63"/>
    </row>
    <row r="708" spans="1:21" ht="13.2">
      <c r="A708" s="5">
        <f t="shared" ca="1" si="4"/>
        <v>707</v>
      </c>
      <c r="B708" s="5" t="str">
        <f ca="1">IFERROR(__xludf.DUMMYFUNCTION("if(ISBLANK(C708),,QUERY(MD!A709:D1707,""Select A where C = '""&amp; C708 &amp;""'""))"),"")</f>
        <v/>
      </c>
      <c r="C708" s="5"/>
      <c r="E708" s="49"/>
      <c r="F708" s="5"/>
      <c r="G708" s="32"/>
      <c r="H708" s="61"/>
      <c r="I708" s="32"/>
      <c r="J708" s="61"/>
      <c r="K708" s="32"/>
      <c r="L708" s="61"/>
      <c r="M708" s="32"/>
      <c r="N708" s="61"/>
      <c r="O708" s="32"/>
      <c r="P708" s="61"/>
      <c r="Q708" s="62"/>
      <c r="R708" s="63"/>
      <c r="S708" s="63"/>
      <c r="T708" s="63"/>
      <c r="U708" s="63"/>
    </row>
    <row r="709" spans="1:21" ht="13.2">
      <c r="A709" s="5">
        <f t="shared" ca="1" si="4"/>
        <v>708</v>
      </c>
      <c r="B709" s="5" t="str">
        <f ca="1">IFERROR(__xludf.DUMMYFUNCTION("if(ISBLANK(C709),,QUERY(MD!A710:D1708,""Select A where C = '""&amp; C709 &amp;""'""))"),"")</f>
        <v/>
      </c>
      <c r="C709" s="5"/>
      <c r="E709" s="49"/>
      <c r="F709" s="5"/>
      <c r="G709" s="32"/>
      <c r="H709" s="61"/>
      <c r="I709" s="32"/>
      <c r="J709" s="61"/>
      <c r="K709" s="32"/>
      <c r="L709" s="61"/>
      <c r="M709" s="32"/>
      <c r="N709" s="61"/>
      <c r="O709" s="32"/>
      <c r="P709" s="61"/>
      <c r="Q709" s="62"/>
      <c r="R709" s="63"/>
      <c r="S709" s="63"/>
      <c r="T709" s="63"/>
      <c r="U709" s="63"/>
    </row>
    <row r="710" spans="1:21" ht="13.2">
      <c r="A710" s="5">
        <f t="shared" ca="1" si="4"/>
        <v>709</v>
      </c>
      <c r="B710" s="5" t="str">
        <f ca="1">IFERROR(__xludf.DUMMYFUNCTION("if(ISBLANK(C710),,QUERY(MD!A711:D1709,""Select A where C = '""&amp; C710 &amp;""'""))"),"")</f>
        <v/>
      </c>
      <c r="C710" s="5"/>
      <c r="E710" s="49"/>
      <c r="F710" s="5"/>
      <c r="G710" s="32"/>
      <c r="H710" s="61"/>
      <c r="I710" s="32"/>
      <c r="J710" s="61"/>
      <c r="K710" s="32"/>
      <c r="L710" s="61"/>
      <c r="M710" s="32"/>
      <c r="N710" s="61"/>
      <c r="O710" s="32"/>
      <c r="P710" s="61"/>
      <c r="Q710" s="62"/>
      <c r="R710" s="63"/>
      <c r="S710" s="63"/>
      <c r="T710" s="63"/>
      <c r="U710" s="63"/>
    </row>
    <row r="711" spans="1:21" ht="13.2">
      <c r="A711" s="5">
        <f t="shared" ca="1" si="4"/>
        <v>710</v>
      </c>
      <c r="B711" s="5" t="str">
        <f ca="1">IFERROR(__xludf.DUMMYFUNCTION("if(ISBLANK(C711),,QUERY(MD!A712:D1710,""Select A where C = '""&amp; C711 &amp;""'""))"),"")</f>
        <v/>
      </c>
      <c r="C711" s="5"/>
      <c r="E711" s="49"/>
      <c r="F711" s="5"/>
      <c r="G711" s="32"/>
      <c r="H711" s="61"/>
      <c r="I711" s="32"/>
      <c r="J711" s="61"/>
      <c r="K711" s="32"/>
      <c r="L711" s="61"/>
      <c r="M711" s="32"/>
      <c r="N711" s="61"/>
      <c r="O711" s="32"/>
      <c r="P711" s="61"/>
      <c r="Q711" s="62"/>
      <c r="R711" s="63"/>
      <c r="S711" s="63"/>
      <c r="T711" s="63"/>
      <c r="U711" s="63"/>
    </row>
    <row r="712" spans="1:21" ht="13.2">
      <c r="A712" s="5">
        <f t="shared" ca="1" si="4"/>
        <v>711</v>
      </c>
      <c r="B712" s="5" t="str">
        <f ca="1">IFERROR(__xludf.DUMMYFUNCTION("if(ISBLANK(C712),,QUERY(MD!A713:D1711,""Select A where C = '""&amp; C712 &amp;""'""))"),"")</f>
        <v/>
      </c>
      <c r="C712" s="5"/>
      <c r="E712" s="49"/>
      <c r="F712" s="5"/>
      <c r="G712" s="32"/>
      <c r="H712" s="61"/>
      <c r="I712" s="32"/>
      <c r="J712" s="61"/>
      <c r="K712" s="32"/>
      <c r="L712" s="61"/>
      <c r="M712" s="32"/>
      <c r="N712" s="61"/>
      <c r="O712" s="32"/>
      <c r="P712" s="61"/>
      <c r="Q712" s="62"/>
      <c r="R712" s="63"/>
      <c r="S712" s="63"/>
      <c r="T712" s="63"/>
      <c r="U712" s="63"/>
    </row>
    <row r="713" spans="1:21" ht="13.2">
      <c r="A713" s="5">
        <f t="shared" ca="1" si="4"/>
        <v>712</v>
      </c>
      <c r="B713" s="5" t="str">
        <f ca="1">IFERROR(__xludf.DUMMYFUNCTION("if(ISBLANK(C713),,QUERY(MD!A714:D1712,""Select A where C = '""&amp; C713 &amp;""'""))"),"")</f>
        <v/>
      </c>
      <c r="C713" s="5"/>
      <c r="E713" s="49"/>
      <c r="F713" s="5"/>
      <c r="G713" s="32"/>
      <c r="H713" s="61"/>
      <c r="I713" s="32"/>
      <c r="J713" s="61"/>
      <c r="K713" s="32"/>
      <c r="L713" s="61"/>
      <c r="M713" s="32"/>
      <c r="N713" s="61"/>
      <c r="O713" s="32"/>
      <c r="P713" s="61"/>
      <c r="Q713" s="62"/>
      <c r="R713" s="63"/>
      <c r="S713" s="63"/>
      <c r="T713" s="63"/>
      <c r="U713" s="63"/>
    </row>
    <row r="714" spans="1:21" ht="13.2">
      <c r="A714" s="5">
        <f t="shared" ca="1" si="4"/>
        <v>713</v>
      </c>
      <c r="B714" s="5" t="str">
        <f ca="1">IFERROR(__xludf.DUMMYFUNCTION("if(ISBLANK(C714),,QUERY(MD!A715:D1713,""Select A where C = '""&amp; C714 &amp;""'""))"),"")</f>
        <v/>
      </c>
      <c r="C714" s="5"/>
      <c r="E714" s="49"/>
      <c r="F714" s="5"/>
      <c r="G714" s="32"/>
      <c r="H714" s="61"/>
      <c r="I714" s="32"/>
      <c r="J714" s="61"/>
      <c r="K714" s="32"/>
      <c r="L714" s="61"/>
      <c r="M714" s="32"/>
      <c r="N714" s="61"/>
      <c r="O714" s="32"/>
      <c r="P714" s="61"/>
      <c r="Q714" s="62"/>
      <c r="R714" s="63"/>
      <c r="S714" s="63"/>
      <c r="T714" s="63"/>
      <c r="U714" s="63"/>
    </row>
    <row r="715" spans="1:21" ht="13.2">
      <c r="A715" s="5">
        <f t="shared" ca="1" si="4"/>
        <v>714</v>
      </c>
      <c r="B715" s="5" t="str">
        <f ca="1">IFERROR(__xludf.DUMMYFUNCTION("if(ISBLANK(C715),,QUERY(MD!A716:D1714,""Select A where C = '""&amp; C715 &amp;""'""))"),"")</f>
        <v/>
      </c>
      <c r="C715" s="5"/>
      <c r="E715" s="49"/>
      <c r="F715" s="5"/>
      <c r="G715" s="32"/>
      <c r="H715" s="61"/>
      <c r="I715" s="32"/>
      <c r="J715" s="61"/>
      <c r="K715" s="32"/>
      <c r="L715" s="61"/>
      <c r="M715" s="32"/>
      <c r="N715" s="61"/>
      <c r="O715" s="32"/>
      <c r="P715" s="61"/>
      <c r="Q715" s="62"/>
      <c r="R715" s="63"/>
      <c r="S715" s="63"/>
      <c r="T715" s="63"/>
      <c r="U715" s="63"/>
    </row>
    <row r="716" spans="1:21" ht="13.2">
      <c r="A716" s="5">
        <f t="shared" ca="1" si="4"/>
        <v>715</v>
      </c>
      <c r="B716" s="5" t="str">
        <f ca="1">IFERROR(__xludf.DUMMYFUNCTION("if(ISBLANK(C716),,QUERY(MD!A717:D1715,""Select A where C = '""&amp; C716 &amp;""'""))"),"")</f>
        <v/>
      </c>
      <c r="C716" s="5"/>
      <c r="E716" s="49"/>
      <c r="F716" s="5"/>
      <c r="G716" s="32"/>
      <c r="H716" s="61"/>
      <c r="I716" s="32"/>
      <c r="J716" s="61"/>
      <c r="K716" s="32"/>
      <c r="L716" s="61"/>
      <c r="M716" s="32"/>
      <c r="N716" s="61"/>
      <c r="O716" s="32"/>
      <c r="P716" s="61"/>
      <c r="Q716" s="62"/>
      <c r="R716" s="63"/>
      <c r="S716" s="63"/>
      <c r="T716" s="63"/>
      <c r="U716" s="63"/>
    </row>
    <row r="717" spans="1:21" ht="13.2">
      <c r="A717" s="5">
        <f t="shared" ca="1" si="4"/>
        <v>716</v>
      </c>
      <c r="B717" s="5" t="str">
        <f ca="1">IFERROR(__xludf.DUMMYFUNCTION("if(ISBLANK(C717),,QUERY(MD!A718:D1716,""Select A where C = '""&amp; C717 &amp;""'""))"),"")</f>
        <v/>
      </c>
      <c r="C717" s="5"/>
      <c r="E717" s="49"/>
      <c r="F717" s="5"/>
      <c r="G717" s="32"/>
      <c r="H717" s="61"/>
      <c r="I717" s="32"/>
      <c r="J717" s="61"/>
      <c r="K717" s="32"/>
      <c r="L717" s="61"/>
      <c r="M717" s="32"/>
      <c r="N717" s="61"/>
      <c r="O717" s="32"/>
      <c r="P717" s="61"/>
      <c r="Q717" s="62"/>
      <c r="R717" s="63"/>
      <c r="S717" s="63"/>
      <c r="T717" s="63"/>
      <c r="U717" s="63"/>
    </row>
    <row r="718" spans="1:21" ht="13.2">
      <c r="A718" s="5">
        <f t="shared" ca="1" si="4"/>
        <v>717</v>
      </c>
      <c r="B718" s="5" t="str">
        <f ca="1">IFERROR(__xludf.DUMMYFUNCTION("if(ISBLANK(C718),,QUERY(MD!A719:D1717,""Select A where C = '""&amp; C718 &amp;""'""))"),"")</f>
        <v/>
      </c>
      <c r="C718" s="5"/>
      <c r="E718" s="49"/>
      <c r="F718" s="5"/>
      <c r="G718" s="32"/>
      <c r="H718" s="61"/>
      <c r="I718" s="32"/>
      <c r="J718" s="61"/>
      <c r="K718" s="32"/>
      <c r="L718" s="61"/>
      <c r="M718" s="32"/>
      <c r="N718" s="61"/>
      <c r="O718" s="32"/>
      <c r="P718" s="61"/>
      <c r="Q718" s="62"/>
      <c r="R718" s="63"/>
      <c r="S718" s="63"/>
      <c r="T718" s="63"/>
      <c r="U718" s="63"/>
    </row>
    <row r="719" spans="1:21" ht="13.2">
      <c r="A719" s="5">
        <f t="shared" ca="1" si="4"/>
        <v>718</v>
      </c>
      <c r="B719" s="5" t="str">
        <f ca="1">IFERROR(__xludf.DUMMYFUNCTION("if(ISBLANK(C719),,QUERY(MD!A720:D1718,""Select A where C = '""&amp; C719 &amp;""'""))"),"")</f>
        <v/>
      </c>
      <c r="C719" s="5"/>
      <c r="E719" s="49"/>
      <c r="F719" s="5"/>
      <c r="G719" s="32"/>
      <c r="H719" s="61"/>
      <c r="I719" s="32"/>
      <c r="J719" s="61"/>
      <c r="K719" s="32"/>
      <c r="L719" s="61"/>
      <c r="M719" s="32"/>
      <c r="N719" s="61"/>
      <c r="O719" s="32"/>
      <c r="P719" s="61"/>
      <c r="Q719" s="62"/>
      <c r="R719" s="63"/>
      <c r="S719" s="63"/>
      <c r="T719" s="63"/>
      <c r="U719" s="63"/>
    </row>
    <row r="720" spans="1:21" ht="13.2">
      <c r="A720" s="5">
        <f t="shared" ca="1" si="4"/>
        <v>719</v>
      </c>
      <c r="B720" s="5" t="str">
        <f ca="1">IFERROR(__xludf.DUMMYFUNCTION("if(ISBLANK(C720),,QUERY(MD!A721:D1719,""Select A where C = '""&amp; C720 &amp;""'""))"),"")</f>
        <v/>
      </c>
      <c r="C720" s="5"/>
      <c r="E720" s="49"/>
      <c r="F720" s="5"/>
      <c r="G720" s="32"/>
      <c r="H720" s="61"/>
      <c r="I720" s="32"/>
      <c r="J720" s="61"/>
      <c r="K720" s="32"/>
      <c r="L720" s="61"/>
      <c r="M720" s="32"/>
      <c r="N720" s="61"/>
      <c r="O720" s="32"/>
      <c r="P720" s="61"/>
      <c r="Q720" s="62"/>
      <c r="R720" s="63"/>
      <c r="S720" s="63"/>
      <c r="T720" s="63"/>
      <c r="U720" s="63"/>
    </row>
    <row r="721" spans="1:21" ht="13.2">
      <c r="A721" s="5">
        <f t="shared" ca="1" si="4"/>
        <v>720</v>
      </c>
      <c r="B721" s="5" t="str">
        <f ca="1">IFERROR(__xludf.DUMMYFUNCTION("if(ISBLANK(C721),,QUERY(MD!A722:D1720,""Select A where C = '""&amp; C721 &amp;""'""))"),"")</f>
        <v/>
      </c>
      <c r="C721" s="5"/>
      <c r="E721" s="49"/>
      <c r="F721" s="5"/>
      <c r="G721" s="32"/>
      <c r="H721" s="61"/>
      <c r="I721" s="32"/>
      <c r="J721" s="61"/>
      <c r="K721" s="32"/>
      <c r="L721" s="61"/>
      <c r="M721" s="32"/>
      <c r="N721" s="61"/>
      <c r="O721" s="32"/>
      <c r="P721" s="61"/>
      <c r="Q721" s="62"/>
      <c r="R721" s="63"/>
      <c r="S721" s="63"/>
      <c r="T721" s="63"/>
      <c r="U721" s="63"/>
    </row>
    <row r="722" spans="1:21" ht="13.2">
      <c r="A722" s="5">
        <f t="shared" ca="1" si="4"/>
        <v>721</v>
      </c>
      <c r="B722" s="5" t="str">
        <f ca="1">IFERROR(__xludf.DUMMYFUNCTION("if(ISBLANK(C722),,QUERY(MD!A723:D1721,""Select A where C = '""&amp; C722 &amp;""'""))"),"")</f>
        <v/>
      </c>
      <c r="C722" s="5"/>
      <c r="E722" s="49"/>
      <c r="F722" s="5"/>
      <c r="G722" s="32"/>
      <c r="H722" s="61"/>
      <c r="I722" s="32"/>
      <c r="J722" s="61"/>
      <c r="K722" s="32"/>
      <c r="L722" s="61"/>
      <c r="M722" s="32"/>
      <c r="N722" s="61"/>
      <c r="O722" s="32"/>
      <c r="P722" s="61"/>
      <c r="Q722" s="62"/>
      <c r="R722" s="63"/>
      <c r="S722" s="63"/>
      <c r="T722" s="63"/>
      <c r="U722" s="63"/>
    </row>
    <row r="723" spans="1:21" ht="13.2">
      <c r="A723" s="5">
        <f t="shared" ca="1" si="4"/>
        <v>722</v>
      </c>
      <c r="B723" s="5" t="str">
        <f ca="1">IFERROR(__xludf.DUMMYFUNCTION("if(ISBLANK(C723),,QUERY(MD!A724:D1722,""Select A where C = '""&amp; C723 &amp;""'""))"),"")</f>
        <v/>
      </c>
      <c r="C723" s="5"/>
      <c r="E723" s="49"/>
      <c r="F723" s="5"/>
      <c r="G723" s="32"/>
      <c r="H723" s="61"/>
      <c r="I723" s="32"/>
      <c r="J723" s="61"/>
      <c r="K723" s="32"/>
      <c r="L723" s="61"/>
      <c r="M723" s="32"/>
      <c r="N723" s="61"/>
      <c r="O723" s="32"/>
      <c r="P723" s="61"/>
      <c r="Q723" s="62"/>
      <c r="R723" s="63"/>
      <c r="S723" s="63"/>
      <c r="T723" s="63"/>
      <c r="U723" s="63"/>
    </row>
    <row r="724" spans="1:21" ht="13.2">
      <c r="A724" s="5">
        <f t="shared" ca="1" si="4"/>
        <v>723</v>
      </c>
      <c r="B724" s="5" t="str">
        <f ca="1">IFERROR(__xludf.DUMMYFUNCTION("if(ISBLANK(C724),,QUERY(MD!A725:D1723,""Select A where C = '""&amp; C724 &amp;""'""))"),"")</f>
        <v/>
      </c>
      <c r="C724" s="5"/>
      <c r="E724" s="49"/>
      <c r="F724" s="5"/>
      <c r="G724" s="32"/>
      <c r="H724" s="61"/>
      <c r="I724" s="32"/>
      <c r="J724" s="61"/>
      <c r="K724" s="32"/>
      <c r="L724" s="61"/>
      <c r="M724" s="32"/>
      <c r="N724" s="61"/>
      <c r="O724" s="32"/>
      <c r="P724" s="61"/>
      <c r="Q724" s="62"/>
      <c r="R724" s="63"/>
      <c r="S724" s="63"/>
      <c r="T724" s="63"/>
      <c r="U724" s="63"/>
    </row>
    <row r="725" spans="1:21" ht="13.2">
      <c r="A725" s="5">
        <f t="shared" ca="1" si="4"/>
        <v>724</v>
      </c>
      <c r="B725" s="5" t="str">
        <f ca="1">IFERROR(__xludf.DUMMYFUNCTION("if(ISBLANK(C725),,QUERY(MD!A726:D1724,""Select A where C = '""&amp; C725 &amp;""'""))"),"")</f>
        <v/>
      </c>
      <c r="C725" s="5"/>
      <c r="E725" s="49"/>
      <c r="F725" s="5"/>
      <c r="G725" s="32"/>
      <c r="H725" s="61"/>
      <c r="I725" s="32"/>
      <c r="J725" s="61"/>
      <c r="K725" s="32"/>
      <c r="L725" s="61"/>
      <c r="M725" s="32"/>
      <c r="N725" s="61"/>
      <c r="O725" s="32"/>
      <c r="P725" s="61"/>
      <c r="Q725" s="62"/>
      <c r="R725" s="63"/>
      <c r="S725" s="63"/>
      <c r="T725" s="63"/>
      <c r="U725" s="63"/>
    </row>
    <row r="726" spans="1:21" ht="13.2">
      <c r="A726" s="5">
        <f t="shared" ca="1" si="4"/>
        <v>725</v>
      </c>
      <c r="B726" s="5" t="str">
        <f ca="1">IFERROR(__xludf.DUMMYFUNCTION("if(ISBLANK(C726),,QUERY(MD!A727:D1725,""Select A where C = '""&amp; C726 &amp;""'""))"),"")</f>
        <v/>
      </c>
      <c r="C726" s="5"/>
      <c r="E726" s="49"/>
      <c r="F726" s="5"/>
      <c r="G726" s="32"/>
      <c r="H726" s="61"/>
      <c r="I726" s="32"/>
      <c r="J726" s="61"/>
      <c r="K726" s="32"/>
      <c r="L726" s="61"/>
      <c r="M726" s="32"/>
      <c r="N726" s="61"/>
      <c r="O726" s="32"/>
      <c r="P726" s="61"/>
      <c r="Q726" s="62"/>
      <c r="R726" s="63"/>
      <c r="S726" s="63"/>
      <c r="T726" s="63"/>
      <c r="U726" s="63"/>
    </row>
    <row r="727" spans="1:21" ht="13.2">
      <c r="A727" s="5">
        <f t="shared" ca="1" si="4"/>
        <v>726</v>
      </c>
      <c r="B727" s="5" t="str">
        <f ca="1">IFERROR(__xludf.DUMMYFUNCTION("if(ISBLANK(C727),,QUERY(MD!A728:D1726,""Select A where C = '""&amp; C727 &amp;""'""))"),"")</f>
        <v/>
      </c>
      <c r="C727" s="5"/>
      <c r="E727" s="49"/>
      <c r="F727" s="5"/>
      <c r="G727" s="32"/>
      <c r="H727" s="61"/>
      <c r="I727" s="32"/>
      <c r="J727" s="61"/>
      <c r="K727" s="32"/>
      <c r="L727" s="61"/>
      <c r="M727" s="32"/>
      <c r="N727" s="61"/>
      <c r="O727" s="32"/>
      <c r="P727" s="61"/>
      <c r="Q727" s="62"/>
      <c r="R727" s="63"/>
      <c r="S727" s="63"/>
      <c r="T727" s="63"/>
      <c r="U727" s="63"/>
    </row>
    <row r="728" spans="1:21" ht="13.2">
      <c r="A728" s="5">
        <f t="shared" ca="1" si="4"/>
        <v>727</v>
      </c>
      <c r="B728" s="5" t="str">
        <f ca="1">IFERROR(__xludf.DUMMYFUNCTION("if(ISBLANK(C728),,QUERY(MD!A729:D1727,""Select A where C = '""&amp; C728 &amp;""'""))"),"")</f>
        <v/>
      </c>
      <c r="C728" s="5"/>
      <c r="E728" s="49"/>
      <c r="F728" s="5"/>
      <c r="G728" s="32"/>
      <c r="H728" s="61"/>
      <c r="I728" s="32"/>
      <c r="J728" s="61"/>
      <c r="K728" s="32"/>
      <c r="L728" s="61"/>
      <c r="M728" s="32"/>
      <c r="N728" s="61"/>
      <c r="O728" s="32"/>
      <c r="P728" s="61"/>
      <c r="Q728" s="62"/>
      <c r="R728" s="63"/>
      <c r="S728" s="63"/>
      <c r="T728" s="63"/>
      <c r="U728" s="63"/>
    </row>
    <row r="729" spans="1:21" ht="13.2">
      <c r="A729" s="5">
        <f t="shared" ca="1" si="4"/>
        <v>728</v>
      </c>
      <c r="B729" s="5" t="str">
        <f ca="1">IFERROR(__xludf.DUMMYFUNCTION("if(ISBLANK(C729),,QUERY(MD!A730:D1728,""Select A where C = '""&amp; C729 &amp;""'""))"),"")</f>
        <v/>
      </c>
      <c r="C729" s="5"/>
      <c r="E729" s="49"/>
      <c r="F729" s="5"/>
      <c r="G729" s="32"/>
      <c r="H729" s="61"/>
      <c r="I729" s="32"/>
      <c r="J729" s="61"/>
      <c r="K729" s="32"/>
      <c r="L729" s="61"/>
      <c r="M729" s="32"/>
      <c r="N729" s="61"/>
      <c r="O729" s="32"/>
      <c r="P729" s="61"/>
      <c r="Q729" s="62"/>
      <c r="R729" s="63"/>
      <c r="S729" s="63"/>
      <c r="T729" s="63"/>
      <c r="U729" s="63"/>
    </row>
    <row r="730" spans="1:21" ht="13.2">
      <c r="A730" s="5">
        <f t="shared" ca="1" si="4"/>
        <v>729</v>
      </c>
      <c r="B730" s="5" t="str">
        <f ca="1">IFERROR(__xludf.DUMMYFUNCTION("if(ISBLANK(C730),,QUERY(MD!A731:D1729,""Select A where C = '""&amp; C730 &amp;""'""))"),"")</f>
        <v/>
      </c>
      <c r="C730" s="5"/>
      <c r="E730" s="49"/>
      <c r="F730" s="5"/>
      <c r="G730" s="32"/>
      <c r="H730" s="61"/>
      <c r="I730" s="32"/>
      <c r="J730" s="61"/>
      <c r="K730" s="32"/>
      <c r="L730" s="61"/>
      <c r="M730" s="32"/>
      <c r="N730" s="61"/>
      <c r="O730" s="32"/>
      <c r="P730" s="61"/>
      <c r="Q730" s="62"/>
      <c r="R730" s="63"/>
      <c r="S730" s="63"/>
      <c r="T730" s="63"/>
      <c r="U730" s="63"/>
    </row>
    <row r="731" spans="1:21" ht="13.2">
      <c r="A731" s="5">
        <f t="shared" ca="1" si="4"/>
        <v>730</v>
      </c>
      <c r="B731" s="5" t="str">
        <f ca="1">IFERROR(__xludf.DUMMYFUNCTION("if(ISBLANK(C731),,QUERY(MD!A732:D1730,""Select A where C = '""&amp; C731 &amp;""'""))"),"")</f>
        <v/>
      </c>
      <c r="C731" s="5"/>
      <c r="E731" s="49"/>
      <c r="F731" s="5"/>
      <c r="G731" s="32"/>
      <c r="H731" s="61"/>
      <c r="I731" s="32"/>
      <c r="J731" s="61"/>
      <c r="K731" s="32"/>
      <c r="L731" s="61"/>
      <c r="M731" s="32"/>
      <c r="N731" s="61"/>
      <c r="O731" s="32"/>
      <c r="P731" s="61"/>
      <c r="Q731" s="62"/>
      <c r="R731" s="63"/>
      <c r="S731" s="63"/>
      <c r="T731" s="63"/>
      <c r="U731" s="63"/>
    </row>
    <row r="732" spans="1:21" ht="13.2">
      <c r="A732" s="5">
        <f t="shared" ca="1" si="4"/>
        <v>731</v>
      </c>
      <c r="B732" s="5" t="str">
        <f ca="1">IFERROR(__xludf.DUMMYFUNCTION("if(ISBLANK(C732),,QUERY(MD!A733:D1731,""Select A where C = '""&amp; C732 &amp;""'""))"),"")</f>
        <v/>
      </c>
      <c r="C732" s="5"/>
      <c r="E732" s="49"/>
      <c r="F732" s="5"/>
      <c r="G732" s="32"/>
      <c r="H732" s="61"/>
      <c r="I732" s="32"/>
      <c r="J732" s="61"/>
      <c r="K732" s="32"/>
      <c r="L732" s="61"/>
      <c r="M732" s="32"/>
      <c r="N732" s="61"/>
      <c r="O732" s="32"/>
      <c r="P732" s="61"/>
      <c r="Q732" s="62"/>
      <c r="R732" s="63"/>
      <c r="S732" s="63"/>
      <c r="T732" s="63"/>
      <c r="U732" s="63"/>
    </row>
    <row r="733" spans="1:21" ht="13.2">
      <c r="A733" s="5">
        <f t="shared" ca="1" si="4"/>
        <v>732</v>
      </c>
      <c r="B733" s="5" t="str">
        <f ca="1">IFERROR(__xludf.DUMMYFUNCTION("if(ISBLANK(C733),,QUERY(MD!A734:D1732,""Select A where C = '""&amp; C733 &amp;""'""))"),"")</f>
        <v/>
      </c>
      <c r="C733" s="5"/>
      <c r="E733" s="49"/>
      <c r="F733" s="5"/>
      <c r="G733" s="32"/>
      <c r="H733" s="61"/>
      <c r="I733" s="32"/>
      <c r="J733" s="61"/>
      <c r="K733" s="32"/>
      <c r="L733" s="61"/>
      <c r="M733" s="32"/>
      <c r="N733" s="61"/>
      <c r="O733" s="32"/>
      <c r="P733" s="61"/>
      <c r="Q733" s="62"/>
      <c r="R733" s="63"/>
      <c r="S733" s="63"/>
      <c r="T733" s="63"/>
      <c r="U733" s="63"/>
    </row>
    <row r="734" spans="1:21" ht="13.2">
      <c r="A734" s="5">
        <f t="shared" ca="1" si="4"/>
        <v>733</v>
      </c>
      <c r="B734" s="5" t="str">
        <f ca="1">IFERROR(__xludf.DUMMYFUNCTION("if(ISBLANK(C734),,QUERY(MD!A735:D1733,""Select A where C = '""&amp; C734 &amp;""'""))"),"")</f>
        <v/>
      </c>
      <c r="C734" s="5"/>
      <c r="E734" s="49"/>
      <c r="F734" s="5"/>
      <c r="G734" s="32"/>
      <c r="H734" s="61"/>
      <c r="I734" s="32"/>
      <c r="J734" s="61"/>
      <c r="K734" s="32"/>
      <c r="L734" s="61"/>
      <c r="M734" s="32"/>
      <c r="N734" s="61"/>
      <c r="O734" s="32"/>
      <c r="P734" s="61"/>
      <c r="Q734" s="62"/>
      <c r="R734" s="63"/>
      <c r="S734" s="63"/>
      <c r="T734" s="63"/>
      <c r="U734" s="63"/>
    </row>
    <row r="735" spans="1:21" ht="13.2">
      <c r="A735" s="5">
        <f t="shared" ca="1" si="4"/>
        <v>734</v>
      </c>
      <c r="B735" s="5" t="str">
        <f ca="1">IFERROR(__xludf.DUMMYFUNCTION("if(ISBLANK(C735),,QUERY(MD!A736:D1734,""Select A where C = '""&amp; C735 &amp;""'""))"),"")</f>
        <v/>
      </c>
      <c r="C735" s="5"/>
      <c r="E735" s="49"/>
      <c r="F735" s="5"/>
      <c r="G735" s="32"/>
      <c r="H735" s="61"/>
      <c r="I735" s="32"/>
      <c r="J735" s="61"/>
      <c r="K735" s="32"/>
      <c r="L735" s="61"/>
      <c r="M735" s="32"/>
      <c r="N735" s="61"/>
      <c r="O735" s="32"/>
      <c r="P735" s="61"/>
      <c r="Q735" s="62"/>
      <c r="R735" s="63"/>
      <c r="S735" s="63"/>
      <c r="T735" s="63"/>
      <c r="U735" s="63"/>
    </row>
    <row r="736" spans="1:21" ht="13.2">
      <c r="A736" s="5">
        <f t="shared" ca="1" si="4"/>
        <v>735</v>
      </c>
      <c r="B736" s="5" t="str">
        <f ca="1">IFERROR(__xludf.DUMMYFUNCTION("if(ISBLANK(C736),,QUERY(MD!A737:D1735,""Select A where C = '""&amp; C736 &amp;""'""))"),"")</f>
        <v/>
      </c>
      <c r="C736" s="5"/>
      <c r="E736" s="49"/>
      <c r="F736" s="5"/>
      <c r="G736" s="32"/>
      <c r="H736" s="61"/>
      <c r="I736" s="32"/>
      <c r="J736" s="61"/>
      <c r="K736" s="32"/>
      <c r="L736" s="61"/>
      <c r="M736" s="32"/>
      <c r="N736" s="61"/>
      <c r="O736" s="32"/>
      <c r="P736" s="61"/>
      <c r="Q736" s="62"/>
      <c r="R736" s="63"/>
      <c r="S736" s="63"/>
      <c r="T736" s="63"/>
      <c r="U736" s="63"/>
    </row>
    <row r="737" spans="1:21" ht="13.2">
      <c r="A737" s="5">
        <f t="shared" ca="1" si="4"/>
        <v>736</v>
      </c>
      <c r="B737" s="5" t="str">
        <f ca="1">IFERROR(__xludf.DUMMYFUNCTION("if(ISBLANK(C737),,QUERY(MD!A738:D1736,""Select A where C = '""&amp; C737 &amp;""'""))"),"")</f>
        <v/>
      </c>
      <c r="C737" s="5"/>
      <c r="E737" s="49"/>
      <c r="F737" s="5"/>
      <c r="G737" s="32"/>
      <c r="H737" s="61"/>
      <c r="I737" s="32"/>
      <c r="J737" s="61"/>
      <c r="K737" s="32"/>
      <c r="L737" s="61"/>
      <c r="M737" s="32"/>
      <c r="N737" s="61"/>
      <c r="O737" s="32"/>
      <c r="P737" s="61"/>
      <c r="Q737" s="62"/>
      <c r="R737" s="63"/>
      <c r="S737" s="63"/>
      <c r="T737" s="63"/>
      <c r="U737" s="63"/>
    </row>
    <row r="738" spans="1:21" ht="13.2">
      <c r="A738" s="5">
        <f t="shared" ca="1" si="4"/>
        <v>737</v>
      </c>
      <c r="B738" s="5" t="str">
        <f ca="1">IFERROR(__xludf.DUMMYFUNCTION("if(ISBLANK(C738),,QUERY(MD!A739:D1737,""Select A where C = '""&amp; C738 &amp;""'""))"),"")</f>
        <v/>
      </c>
      <c r="C738" s="5"/>
      <c r="E738" s="49"/>
      <c r="F738" s="5"/>
      <c r="G738" s="32"/>
      <c r="H738" s="61"/>
      <c r="I738" s="32"/>
      <c r="J738" s="61"/>
      <c r="K738" s="32"/>
      <c r="L738" s="61"/>
      <c r="M738" s="32"/>
      <c r="N738" s="61"/>
      <c r="O738" s="32"/>
      <c r="P738" s="61"/>
      <c r="Q738" s="62"/>
      <c r="R738" s="63"/>
      <c r="S738" s="63"/>
      <c r="T738" s="63"/>
      <c r="U738" s="63"/>
    </row>
    <row r="739" spans="1:21" ht="13.2">
      <c r="A739" s="5">
        <f t="shared" ca="1" si="4"/>
        <v>738</v>
      </c>
      <c r="B739" s="5" t="str">
        <f ca="1">IFERROR(__xludf.DUMMYFUNCTION("if(ISBLANK(C739),,QUERY(MD!A740:D1738,""Select A where C = '""&amp; C739 &amp;""'""))"),"")</f>
        <v/>
      </c>
      <c r="C739" s="5"/>
      <c r="E739" s="49"/>
      <c r="F739" s="5"/>
      <c r="G739" s="32"/>
      <c r="H739" s="61"/>
      <c r="I739" s="32"/>
      <c r="J739" s="61"/>
      <c r="K739" s="32"/>
      <c r="L739" s="61"/>
      <c r="M739" s="32"/>
      <c r="N739" s="61"/>
      <c r="O739" s="32"/>
      <c r="P739" s="61"/>
      <c r="Q739" s="62"/>
      <c r="R739" s="63"/>
      <c r="S739" s="63"/>
      <c r="T739" s="63"/>
      <c r="U739" s="63"/>
    </row>
    <row r="740" spans="1:21" ht="13.2">
      <c r="A740" s="5">
        <f t="shared" ca="1" si="4"/>
        <v>739</v>
      </c>
      <c r="B740" s="5" t="str">
        <f ca="1">IFERROR(__xludf.DUMMYFUNCTION("if(ISBLANK(C740),,QUERY(MD!A741:D1739,""Select A where C = '""&amp; C740 &amp;""'""))"),"")</f>
        <v/>
      </c>
      <c r="C740" s="5"/>
      <c r="E740" s="49"/>
      <c r="F740" s="5"/>
      <c r="G740" s="32"/>
      <c r="H740" s="61"/>
      <c r="I740" s="32"/>
      <c r="J740" s="61"/>
      <c r="K740" s="32"/>
      <c r="L740" s="61"/>
      <c r="M740" s="32"/>
      <c r="N740" s="61"/>
      <c r="O740" s="32"/>
      <c r="P740" s="61"/>
      <c r="Q740" s="62"/>
      <c r="R740" s="63"/>
      <c r="S740" s="63"/>
      <c r="T740" s="63"/>
      <c r="U740" s="63"/>
    </row>
    <row r="741" spans="1:21" ht="13.2">
      <c r="A741" s="5">
        <f t="shared" ca="1" si="4"/>
        <v>740</v>
      </c>
      <c r="B741" s="5" t="str">
        <f ca="1">IFERROR(__xludf.DUMMYFUNCTION("if(ISBLANK(C741),,QUERY(MD!A742:D1740,""Select A where C = '""&amp; C741 &amp;""'""))"),"")</f>
        <v/>
      </c>
      <c r="C741" s="5"/>
      <c r="E741" s="49"/>
      <c r="F741" s="5"/>
      <c r="G741" s="32"/>
      <c r="H741" s="61"/>
      <c r="I741" s="32"/>
      <c r="J741" s="61"/>
      <c r="K741" s="32"/>
      <c r="L741" s="61"/>
      <c r="M741" s="32"/>
      <c r="N741" s="61"/>
      <c r="O741" s="32"/>
      <c r="P741" s="61"/>
      <c r="Q741" s="62"/>
      <c r="R741" s="63"/>
      <c r="S741" s="63"/>
      <c r="T741" s="63"/>
      <c r="U741" s="63"/>
    </row>
    <row r="742" spans="1:21" ht="13.2">
      <c r="A742" s="5">
        <f t="shared" ca="1" si="4"/>
        <v>741</v>
      </c>
      <c r="B742" s="5" t="str">
        <f ca="1">IFERROR(__xludf.DUMMYFUNCTION("if(ISBLANK(C742),,QUERY(MD!A743:D1741,""Select A where C = '""&amp; C742 &amp;""'""))"),"")</f>
        <v/>
      </c>
      <c r="C742" s="5"/>
      <c r="E742" s="49"/>
      <c r="F742" s="5"/>
      <c r="G742" s="32"/>
      <c r="H742" s="61"/>
      <c r="I742" s="32"/>
      <c r="J742" s="61"/>
      <c r="K742" s="32"/>
      <c r="L742" s="61"/>
      <c r="M742" s="32"/>
      <c r="N742" s="61"/>
      <c r="O742" s="32"/>
      <c r="P742" s="61"/>
      <c r="Q742" s="62"/>
      <c r="R742" s="63"/>
      <c r="S742" s="63"/>
      <c r="T742" s="63"/>
      <c r="U742" s="63"/>
    </row>
    <row r="743" spans="1:21" ht="13.2">
      <c r="A743" s="5">
        <f t="shared" ca="1" si="4"/>
        <v>742</v>
      </c>
      <c r="B743" s="5" t="str">
        <f ca="1">IFERROR(__xludf.DUMMYFUNCTION("if(ISBLANK(C743),,QUERY(MD!A744:D1742,""Select A where C = '""&amp; C743 &amp;""'""))"),"")</f>
        <v/>
      </c>
      <c r="C743" s="5"/>
      <c r="E743" s="49"/>
      <c r="F743" s="5"/>
      <c r="G743" s="32"/>
      <c r="H743" s="61"/>
      <c r="I743" s="32"/>
      <c r="J743" s="61"/>
      <c r="K743" s="32"/>
      <c r="L743" s="61"/>
      <c r="M743" s="32"/>
      <c r="N743" s="61"/>
      <c r="O743" s="32"/>
      <c r="P743" s="61"/>
      <c r="Q743" s="62"/>
      <c r="R743" s="63"/>
      <c r="S743" s="63"/>
      <c r="T743" s="63"/>
      <c r="U743" s="63"/>
    </row>
    <row r="744" spans="1:21" ht="13.2">
      <c r="A744" s="5">
        <f t="shared" ca="1" si="4"/>
        <v>743</v>
      </c>
      <c r="B744" s="5" t="str">
        <f ca="1">IFERROR(__xludf.DUMMYFUNCTION("if(ISBLANK(C744),,QUERY(MD!A745:D1743,""Select A where C = '""&amp; C744 &amp;""'""))"),"")</f>
        <v/>
      </c>
      <c r="C744" s="5"/>
      <c r="E744" s="49"/>
      <c r="F744" s="5"/>
      <c r="G744" s="32"/>
      <c r="H744" s="61"/>
      <c r="I744" s="32"/>
      <c r="J744" s="61"/>
      <c r="K744" s="32"/>
      <c r="L744" s="61"/>
      <c r="M744" s="32"/>
      <c r="N744" s="61"/>
      <c r="O744" s="32"/>
      <c r="P744" s="61"/>
      <c r="Q744" s="62"/>
      <c r="R744" s="63"/>
      <c r="S744" s="63"/>
      <c r="T744" s="63"/>
      <c r="U744" s="63"/>
    </row>
    <row r="745" spans="1:21" ht="13.2">
      <c r="A745" s="5">
        <f t="shared" ca="1" si="4"/>
        <v>744</v>
      </c>
      <c r="B745" s="5" t="str">
        <f ca="1">IFERROR(__xludf.DUMMYFUNCTION("if(ISBLANK(C745),,QUERY(MD!A746:D1744,""Select A where C = '""&amp; C745 &amp;""'""))"),"")</f>
        <v/>
      </c>
      <c r="C745" s="5"/>
      <c r="E745" s="49"/>
      <c r="F745" s="5"/>
      <c r="G745" s="32"/>
      <c r="H745" s="61"/>
      <c r="I745" s="32"/>
      <c r="J745" s="61"/>
      <c r="K745" s="32"/>
      <c r="L745" s="61"/>
      <c r="M745" s="32"/>
      <c r="N745" s="61"/>
      <c r="O745" s="32"/>
      <c r="P745" s="61"/>
      <c r="Q745" s="62"/>
      <c r="R745" s="63"/>
      <c r="S745" s="63"/>
      <c r="T745" s="63"/>
      <c r="U745" s="63"/>
    </row>
    <row r="746" spans="1:21" ht="13.2">
      <c r="A746" s="5">
        <f t="shared" ca="1" si="4"/>
        <v>745</v>
      </c>
      <c r="B746" s="5" t="str">
        <f ca="1">IFERROR(__xludf.DUMMYFUNCTION("if(ISBLANK(C746),,QUERY(MD!A747:D1745,""Select A where C = '""&amp; C746 &amp;""'""))"),"")</f>
        <v/>
      </c>
      <c r="C746" s="5"/>
      <c r="E746" s="49"/>
      <c r="F746" s="5"/>
      <c r="G746" s="32"/>
      <c r="H746" s="61"/>
      <c r="I746" s="32"/>
      <c r="J746" s="61"/>
      <c r="K746" s="32"/>
      <c r="L746" s="61"/>
      <c r="M746" s="32"/>
      <c r="N746" s="61"/>
      <c r="O746" s="32"/>
      <c r="P746" s="61"/>
      <c r="Q746" s="62"/>
      <c r="R746" s="63"/>
      <c r="S746" s="63"/>
      <c r="T746" s="63"/>
      <c r="U746" s="63"/>
    </row>
    <row r="747" spans="1:21" ht="13.2">
      <c r="A747" s="5">
        <f t="shared" ca="1" si="4"/>
        <v>746</v>
      </c>
      <c r="B747" s="5" t="str">
        <f ca="1">IFERROR(__xludf.DUMMYFUNCTION("if(ISBLANK(C747),,QUERY(MD!A748:D1746,""Select A where C = '""&amp; C747 &amp;""'""))"),"")</f>
        <v/>
      </c>
      <c r="C747" s="5"/>
      <c r="E747" s="49"/>
      <c r="F747" s="5"/>
      <c r="G747" s="32"/>
      <c r="H747" s="61"/>
      <c r="I747" s="32"/>
      <c r="J747" s="61"/>
      <c r="K747" s="32"/>
      <c r="L747" s="61"/>
      <c r="M747" s="32"/>
      <c r="N747" s="61"/>
      <c r="O747" s="32"/>
      <c r="P747" s="61"/>
      <c r="Q747" s="62"/>
      <c r="R747" s="63"/>
      <c r="S747" s="63"/>
      <c r="T747" s="63"/>
      <c r="U747" s="63"/>
    </row>
    <row r="748" spans="1:21" ht="13.2">
      <c r="A748" s="5">
        <f t="shared" ca="1" si="4"/>
        <v>747</v>
      </c>
      <c r="B748" s="5" t="str">
        <f ca="1">IFERROR(__xludf.DUMMYFUNCTION("if(ISBLANK(C748),,QUERY(MD!A749:D1747,""Select A where C = '""&amp; C748 &amp;""'""))"),"")</f>
        <v/>
      </c>
      <c r="C748" s="5"/>
      <c r="E748" s="49"/>
      <c r="F748" s="5"/>
      <c r="G748" s="32"/>
      <c r="H748" s="61"/>
      <c r="I748" s="32"/>
      <c r="J748" s="61"/>
      <c r="K748" s="32"/>
      <c r="L748" s="61"/>
      <c r="M748" s="32"/>
      <c r="N748" s="61"/>
      <c r="O748" s="32"/>
      <c r="P748" s="61"/>
      <c r="Q748" s="62"/>
      <c r="R748" s="63"/>
      <c r="S748" s="63"/>
      <c r="T748" s="63"/>
      <c r="U748" s="63"/>
    </row>
    <row r="749" spans="1:21" ht="13.2">
      <c r="A749" s="5">
        <f t="shared" ca="1" si="4"/>
        <v>748</v>
      </c>
      <c r="B749" s="5" t="str">
        <f ca="1">IFERROR(__xludf.DUMMYFUNCTION("if(ISBLANK(C749),,QUERY(MD!A750:D1748,""Select A where C = '""&amp; C749 &amp;""'""))"),"")</f>
        <v/>
      </c>
      <c r="C749" s="5"/>
      <c r="E749" s="49"/>
      <c r="F749" s="5"/>
      <c r="G749" s="32"/>
      <c r="H749" s="61"/>
      <c r="I749" s="32"/>
      <c r="J749" s="61"/>
      <c r="K749" s="32"/>
      <c r="L749" s="61"/>
      <c r="M749" s="32"/>
      <c r="N749" s="61"/>
      <c r="O749" s="32"/>
      <c r="P749" s="61"/>
      <c r="Q749" s="62"/>
      <c r="R749" s="63"/>
      <c r="S749" s="63"/>
      <c r="T749" s="63"/>
      <c r="U749" s="63"/>
    </row>
    <row r="750" spans="1:21" ht="13.2">
      <c r="A750" s="5">
        <f t="shared" ca="1" si="4"/>
        <v>749</v>
      </c>
      <c r="B750" s="5" t="str">
        <f ca="1">IFERROR(__xludf.DUMMYFUNCTION("if(ISBLANK(C750),,QUERY(MD!A751:D1749,""Select A where C = '""&amp; C750 &amp;""'""))"),"")</f>
        <v/>
      </c>
      <c r="C750" s="5"/>
      <c r="E750" s="49"/>
      <c r="F750" s="5"/>
      <c r="G750" s="32"/>
      <c r="H750" s="61"/>
      <c r="I750" s="32"/>
      <c r="J750" s="61"/>
      <c r="K750" s="32"/>
      <c r="L750" s="61"/>
      <c r="M750" s="32"/>
      <c r="N750" s="61"/>
      <c r="O750" s="32"/>
      <c r="P750" s="61"/>
      <c r="Q750" s="62"/>
      <c r="R750" s="63"/>
      <c r="S750" s="63"/>
      <c r="T750" s="63"/>
      <c r="U750" s="63"/>
    </row>
    <row r="751" spans="1:21" ht="13.2">
      <c r="A751" s="5">
        <f t="shared" ca="1" si="4"/>
        <v>750</v>
      </c>
      <c r="B751" s="5" t="str">
        <f ca="1">IFERROR(__xludf.DUMMYFUNCTION("if(ISBLANK(C751),,QUERY(MD!A752:D1750,""Select A where C = '""&amp; C751 &amp;""'""))"),"")</f>
        <v/>
      </c>
      <c r="C751" s="5"/>
      <c r="E751" s="49"/>
      <c r="F751" s="5"/>
      <c r="G751" s="32"/>
      <c r="H751" s="61"/>
      <c r="I751" s="32"/>
      <c r="J751" s="61"/>
      <c r="K751" s="32"/>
      <c r="L751" s="61"/>
      <c r="M751" s="32"/>
      <c r="N751" s="61"/>
      <c r="O751" s="32"/>
      <c r="P751" s="61"/>
      <c r="Q751" s="62"/>
      <c r="R751" s="63"/>
      <c r="S751" s="63"/>
      <c r="T751" s="63"/>
      <c r="U751" s="63"/>
    </row>
    <row r="752" spans="1:21" ht="13.2">
      <c r="A752" s="5">
        <f t="shared" ca="1" si="4"/>
        <v>751</v>
      </c>
      <c r="B752" s="5" t="str">
        <f ca="1">IFERROR(__xludf.DUMMYFUNCTION("if(ISBLANK(C752),,QUERY(MD!A753:D1751,""Select A where C = '""&amp; C752 &amp;""'""))"),"")</f>
        <v/>
      </c>
      <c r="C752" s="5"/>
      <c r="E752" s="49"/>
      <c r="F752" s="5"/>
      <c r="G752" s="32"/>
      <c r="H752" s="61"/>
      <c r="I752" s="32"/>
      <c r="J752" s="61"/>
      <c r="K752" s="32"/>
      <c r="L752" s="61"/>
      <c r="M752" s="32"/>
      <c r="N752" s="61"/>
      <c r="O752" s="32"/>
      <c r="P752" s="61"/>
      <c r="Q752" s="62"/>
      <c r="R752" s="63"/>
      <c r="S752" s="63"/>
      <c r="T752" s="63"/>
      <c r="U752" s="63"/>
    </row>
    <row r="753" spans="1:21" ht="13.2">
      <c r="A753" s="5">
        <f t="shared" ca="1" si="4"/>
        <v>752</v>
      </c>
      <c r="B753" s="5" t="str">
        <f ca="1">IFERROR(__xludf.DUMMYFUNCTION("if(ISBLANK(C753),,QUERY(MD!A754:D1752,""Select A where C = '""&amp; C753 &amp;""'""))"),"")</f>
        <v/>
      </c>
      <c r="C753" s="5"/>
      <c r="E753" s="49"/>
      <c r="F753" s="5"/>
      <c r="G753" s="32"/>
      <c r="H753" s="61"/>
      <c r="I753" s="32"/>
      <c r="J753" s="61"/>
      <c r="K753" s="32"/>
      <c r="L753" s="61"/>
      <c r="M753" s="32"/>
      <c r="N753" s="61"/>
      <c r="O753" s="32"/>
      <c r="P753" s="61"/>
      <c r="Q753" s="62"/>
      <c r="R753" s="63"/>
      <c r="S753" s="63"/>
      <c r="T753" s="63"/>
      <c r="U753" s="63"/>
    </row>
    <row r="754" spans="1:21" ht="13.2">
      <c r="A754" s="5">
        <f t="shared" ca="1" si="4"/>
        <v>753</v>
      </c>
      <c r="B754" s="5" t="str">
        <f ca="1">IFERROR(__xludf.DUMMYFUNCTION("if(ISBLANK(C754),,QUERY(MD!A755:D1753,""Select A where C = '""&amp; C754 &amp;""'""))"),"")</f>
        <v/>
      </c>
      <c r="C754" s="5"/>
      <c r="E754" s="49"/>
      <c r="F754" s="5"/>
      <c r="G754" s="32"/>
      <c r="H754" s="61"/>
      <c r="I754" s="32"/>
      <c r="J754" s="61"/>
      <c r="K754" s="32"/>
      <c r="L754" s="61"/>
      <c r="M754" s="32"/>
      <c r="N754" s="61"/>
      <c r="O754" s="32"/>
      <c r="P754" s="61"/>
      <c r="Q754" s="62"/>
      <c r="R754" s="63"/>
      <c r="S754" s="63"/>
      <c r="T754" s="63"/>
      <c r="U754" s="63"/>
    </row>
    <row r="755" spans="1:21" ht="13.2">
      <c r="A755" s="5">
        <f t="shared" ca="1" si="4"/>
        <v>754</v>
      </c>
      <c r="B755" s="5" t="str">
        <f ca="1">IFERROR(__xludf.DUMMYFUNCTION("if(ISBLANK(C755),,QUERY(MD!A756:D1754,""Select A where C = '""&amp; C755 &amp;""'""))"),"")</f>
        <v/>
      </c>
      <c r="C755" s="5"/>
      <c r="E755" s="49"/>
      <c r="F755" s="5"/>
      <c r="G755" s="32"/>
      <c r="H755" s="61"/>
      <c r="I755" s="32"/>
      <c r="J755" s="61"/>
      <c r="K755" s="32"/>
      <c r="L755" s="61"/>
      <c r="M755" s="32"/>
      <c r="N755" s="61"/>
      <c r="O755" s="32"/>
      <c r="P755" s="61"/>
      <c r="Q755" s="62"/>
      <c r="R755" s="63"/>
      <c r="S755" s="63"/>
      <c r="T755" s="63"/>
      <c r="U755" s="63"/>
    </row>
    <row r="756" spans="1:21" ht="13.2">
      <c r="A756" s="5">
        <f t="shared" ca="1" si="4"/>
        <v>755</v>
      </c>
      <c r="B756" s="5" t="str">
        <f ca="1">IFERROR(__xludf.DUMMYFUNCTION("if(ISBLANK(C756),,QUERY(MD!A757:D1755,""Select A where C = '""&amp; C756 &amp;""'""))"),"")</f>
        <v/>
      </c>
      <c r="C756" s="5"/>
      <c r="E756" s="49"/>
      <c r="F756" s="5"/>
      <c r="G756" s="32"/>
      <c r="H756" s="61"/>
      <c r="I756" s="32"/>
      <c r="J756" s="61"/>
      <c r="K756" s="32"/>
      <c r="L756" s="61"/>
      <c r="M756" s="32"/>
      <c r="N756" s="61"/>
      <c r="O756" s="32"/>
      <c r="P756" s="61"/>
      <c r="Q756" s="62"/>
      <c r="R756" s="63"/>
      <c r="S756" s="63"/>
      <c r="T756" s="63"/>
      <c r="U756" s="63"/>
    </row>
    <row r="757" spans="1:21" ht="13.2">
      <c r="A757" s="5">
        <f t="shared" ca="1" si="4"/>
        <v>756</v>
      </c>
      <c r="B757" s="5" t="str">
        <f ca="1">IFERROR(__xludf.DUMMYFUNCTION("if(ISBLANK(C757),,QUERY(MD!A758:D1756,""Select A where C = '""&amp; C757 &amp;""'""))"),"")</f>
        <v/>
      </c>
      <c r="C757" s="5"/>
      <c r="E757" s="49"/>
      <c r="F757" s="5"/>
      <c r="G757" s="32"/>
      <c r="H757" s="61"/>
      <c r="I757" s="32"/>
      <c r="J757" s="61"/>
      <c r="K757" s="32"/>
      <c r="L757" s="61"/>
      <c r="M757" s="32"/>
      <c r="N757" s="61"/>
      <c r="O757" s="32"/>
      <c r="P757" s="61"/>
      <c r="Q757" s="62"/>
      <c r="R757" s="63"/>
      <c r="S757" s="63"/>
      <c r="T757" s="63"/>
      <c r="U757" s="63"/>
    </row>
    <row r="758" spans="1:21" ht="13.2">
      <c r="A758" s="5">
        <f t="shared" ca="1" si="4"/>
        <v>757</v>
      </c>
      <c r="B758" s="5" t="str">
        <f ca="1">IFERROR(__xludf.DUMMYFUNCTION("if(ISBLANK(C758),,QUERY(MD!A759:D1757,""Select A where C = '""&amp; C758 &amp;""'""))"),"")</f>
        <v/>
      </c>
      <c r="C758" s="5"/>
      <c r="E758" s="49"/>
      <c r="F758" s="5"/>
      <c r="G758" s="32"/>
      <c r="H758" s="61"/>
      <c r="I758" s="32"/>
      <c r="J758" s="61"/>
      <c r="K758" s="32"/>
      <c r="L758" s="61"/>
      <c r="M758" s="32"/>
      <c r="N758" s="61"/>
      <c r="O758" s="32"/>
      <c r="P758" s="61"/>
      <c r="Q758" s="62"/>
      <c r="R758" s="63"/>
      <c r="S758" s="63"/>
      <c r="T758" s="63"/>
      <c r="U758" s="63"/>
    </row>
    <row r="759" spans="1:21" ht="13.2">
      <c r="A759" s="5">
        <f t="shared" ca="1" si="4"/>
        <v>758</v>
      </c>
      <c r="B759" s="5" t="str">
        <f ca="1">IFERROR(__xludf.DUMMYFUNCTION("if(ISBLANK(C759),,QUERY(MD!A760:D1758,""Select A where C = '""&amp; C759 &amp;""'""))"),"")</f>
        <v/>
      </c>
      <c r="C759" s="5"/>
      <c r="E759" s="49"/>
      <c r="F759" s="5"/>
      <c r="G759" s="32"/>
      <c r="H759" s="61"/>
      <c r="I759" s="32"/>
      <c r="J759" s="61"/>
      <c r="K759" s="32"/>
      <c r="L759" s="61"/>
      <c r="M759" s="32"/>
      <c r="N759" s="61"/>
      <c r="O759" s="32"/>
      <c r="P759" s="61"/>
      <c r="Q759" s="62"/>
      <c r="R759" s="63"/>
      <c r="S759" s="63"/>
      <c r="T759" s="63"/>
      <c r="U759" s="63"/>
    </row>
    <row r="760" spans="1:21" ht="13.2">
      <c r="A760" s="5">
        <f t="shared" ca="1" si="4"/>
        <v>759</v>
      </c>
      <c r="B760" s="5" t="str">
        <f ca="1">IFERROR(__xludf.DUMMYFUNCTION("if(ISBLANK(C760),,QUERY(MD!A761:D1759,""Select A where C = '""&amp; C760 &amp;""'""))"),"")</f>
        <v/>
      </c>
      <c r="C760" s="5"/>
      <c r="E760" s="49"/>
      <c r="F760" s="5"/>
      <c r="G760" s="32"/>
      <c r="H760" s="61"/>
      <c r="I760" s="32"/>
      <c r="J760" s="61"/>
      <c r="K760" s="32"/>
      <c r="L760" s="61"/>
      <c r="M760" s="32"/>
      <c r="N760" s="61"/>
      <c r="O760" s="32"/>
      <c r="P760" s="61"/>
      <c r="Q760" s="62"/>
      <c r="R760" s="63"/>
      <c r="S760" s="63"/>
      <c r="T760" s="63"/>
      <c r="U760" s="63"/>
    </row>
    <row r="761" spans="1:21" ht="13.2">
      <c r="A761" s="5">
        <f t="shared" ca="1" si="4"/>
        <v>760</v>
      </c>
      <c r="B761" s="5" t="str">
        <f ca="1">IFERROR(__xludf.DUMMYFUNCTION("if(ISBLANK(C761),,QUERY(MD!A762:D1760,""Select A where C = '""&amp; C761 &amp;""'""))"),"")</f>
        <v/>
      </c>
      <c r="C761" s="5"/>
      <c r="E761" s="49"/>
      <c r="F761" s="5"/>
      <c r="G761" s="32"/>
      <c r="H761" s="61"/>
      <c r="I761" s="32"/>
      <c r="J761" s="61"/>
      <c r="K761" s="32"/>
      <c r="L761" s="61"/>
      <c r="M761" s="32"/>
      <c r="N761" s="61"/>
      <c r="O761" s="32"/>
      <c r="P761" s="61"/>
      <c r="Q761" s="62"/>
      <c r="R761" s="63"/>
      <c r="S761" s="63"/>
      <c r="T761" s="63"/>
      <c r="U761" s="63"/>
    </row>
    <row r="762" spans="1:21" ht="13.2">
      <c r="A762" s="5">
        <f t="shared" ca="1" si="4"/>
        <v>761</v>
      </c>
      <c r="B762" s="5" t="str">
        <f ca="1">IFERROR(__xludf.DUMMYFUNCTION("if(ISBLANK(C762),,QUERY(MD!A763:D1761,""Select A where C = '""&amp; C762 &amp;""'""))"),"")</f>
        <v/>
      </c>
      <c r="C762" s="5"/>
      <c r="E762" s="49"/>
      <c r="F762" s="5"/>
      <c r="G762" s="32"/>
      <c r="H762" s="61"/>
      <c r="I762" s="32"/>
      <c r="J762" s="61"/>
      <c r="K762" s="32"/>
      <c r="L762" s="61"/>
      <c r="M762" s="32"/>
      <c r="N762" s="61"/>
      <c r="O762" s="32"/>
      <c r="P762" s="61"/>
      <c r="Q762" s="62"/>
      <c r="R762" s="63"/>
      <c r="S762" s="63"/>
      <c r="T762" s="63"/>
      <c r="U762" s="63"/>
    </row>
    <row r="763" spans="1:21" ht="13.2">
      <c r="A763" s="5">
        <f t="shared" ca="1" si="4"/>
        <v>762</v>
      </c>
      <c r="B763" s="5" t="str">
        <f ca="1">IFERROR(__xludf.DUMMYFUNCTION("if(ISBLANK(C763),,QUERY(MD!A764:D1762,""Select A where C = '""&amp; C763 &amp;""'""))"),"")</f>
        <v/>
      </c>
      <c r="C763" s="5"/>
      <c r="E763" s="49"/>
      <c r="F763" s="5"/>
      <c r="G763" s="32"/>
      <c r="H763" s="61"/>
      <c r="I763" s="32"/>
      <c r="J763" s="61"/>
      <c r="K763" s="32"/>
      <c r="L763" s="61"/>
      <c r="M763" s="32"/>
      <c r="N763" s="61"/>
      <c r="O763" s="32"/>
      <c r="P763" s="61"/>
      <c r="Q763" s="62"/>
      <c r="R763" s="63"/>
      <c r="S763" s="63"/>
      <c r="T763" s="63"/>
      <c r="U763" s="63"/>
    </row>
    <row r="764" spans="1:21" ht="13.2">
      <c r="A764" s="5">
        <f t="shared" ca="1" si="4"/>
        <v>763</v>
      </c>
      <c r="B764" s="5" t="str">
        <f ca="1">IFERROR(__xludf.DUMMYFUNCTION("if(ISBLANK(C764),,QUERY(MD!A765:D1763,""Select A where C = '""&amp; C764 &amp;""'""))"),"")</f>
        <v/>
      </c>
      <c r="C764" s="5"/>
      <c r="E764" s="49"/>
      <c r="F764" s="5"/>
      <c r="G764" s="32"/>
      <c r="H764" s="61"/>
      <c r="I764" s="32"/>
      <c r="J764" s="61"/>
      <c r="K764" s="32"/>
      <c r="L764" s="61"/>
      <c r="M764" s="32"/>
      <c r="N764" s="61"/>
      <c r="O764" s="32"/>
      <c r="P764" s="61"/>
      <c r="Q764" s="62"/>
      <c r="R764" s="63"/>
      <c r="S764" s="63"/>
      <c r="T764" s="63"/>
      <c r="U764" s="63"/>
    </row>
    <row r="765" spans="1:21" ht="13.2">
      <c r="A765" s="5">
        <f t="shared" ca="1" si="4"/>
        <v>764</v>
      </c>
      <c r="B765" s="5" t="str">
        <f ca="1">IFERROR(__xludf.DUMMYFUNCTION("if(ISBLANK(C765),,QUERY(MD!A766:D1764,""Select A where C = '""&amp; C765 &amp;""'""))"),"")</f>
        <v/>
      </c>
      <c r="C765" s="5"/>
      <c r="E765" s="49"/>
      <c r="F765" s="5"/>
      <c r="G765" s="32"/>
      <c r="H765" s="61"/>
      <c r="I765" s="32"/>
      <c r="J765" s="61"/>
      <c r="K765" s="32"/>
      <c r="L765" s="61"/>
      <c r="M765" s="32"/>
      <c r="N765" s="61"/>
      <c r="O765" s="32"/>
      <c r="P765" s="61"/>
      <c r="Q765" s="62"/>
      <c r="R765" s="63"/>
      <c r="S765" s="63"/>
      <c r="T765" s="63"/>
      <c r="U765" s="63"/>
    </row>
    <row r="766" spans="1:21" ht="13.2">
      <c r="A766" s="5">
        <f t="shared" ca="1" si="4"/>
        <v>765</v>
      </c>
      <c r="B766" s="5" t="str">
        <f ca="1">IFERROR(__xludf.DUMMYFUNCTION("if(ISBLANK(C766),,QUERY(MD!A767:D1765,""Select A where C = '""&amp; C766 &amp;""'""))"),"")</f>
        <v/>
      </c>
      <c r="C766" s="5"/>
      <c r="E766" s="49"/>
      <c r="F766" s="5"/>
      <c r="G766" s="32"/>
      <c r="H766" s="61"/>
      <c r="I766" s="32"/>
      <c r="J766" s="61"/>
      <c r="K766" s="32"/>
      <c r="L766" s="61"/>
      <c r="M766" s="32"/>
      <c r="N766" s="61"/>
      <c r="O766" s="32"/>
      <c r="P766" s="61"/>
      <c r="Q766" s="62"/>
      <c r="R766" s="63"/>
      <c r="S766" s="63"/>
      <c r="T766" s="63"/>
      <c r="U766" s="63"/>
    </row>
    <row r="767" spans="1:21" ht="13.2">
      <c r="A767" s="5">
        <f t="shared" ca="1" si="4"/>
        <v>766</v>
      </c>
      <c r="B767" s="5" t="str">
        <f ca="1">IFERROR(__xludf.DUMMYFUNCTION("if(ISBLANK(C767),,QUERY(MD!A768:D1766,""Select A where C = '""&amp; C767 &amp;""'""))"),"")</f>
        <v/>
      </c>
      <c r="C767" s="5"/>
      <c r="E767" s="49"/>
      <c r="F767" s="5"/>
      <c r="G767" s="32"/>
      <c r="H767" s="61"/>
      <c r="I767" s="32"/>
      <c r="J767" s="61"/>
      <c r="K767" s="32"/>
      <c r="L767" s="61"/>
      <c r="M767" s="32"/>
      <c r="N767" s="61"/>
      <c r="O767" s="32"/>
      <c r="P767" s="61"/>
      <c r="Q767" s="62"/>
      <c r="R767" s="63"/>
      <c r="S767" s="63"/>
      <c r="T767" s="63"/>
      <c r="U767" s="63"/>
    </row>
    <row r="768" spans="1:21" ht="13.2">
      <c r="A768" s="5">
        <f t="shared" ref="A768:A998" ca="1" si="5">IF(ISBLANK(B768),,A767+1)</f>
        <v>767</v>
      </c>
      <c r="B768" s="5" t="str">
        <f ca="1">IFERROR(__xludf.DUMMYFUNCTION("if(ISBLANK(C768),,QUERY(MD!A769:D1767,""Select A where C = '""&amp; C768 &amp;""'""))"),"")</f>
        <v/>
      </c>
      <c r="C768" s="5"/>
      <c r="E768" s="49"/>
      <c r="F768" s="5"/>
      <c r="G768" s="32"/>
      <c r="H768" s="61"/>
      <c r="I768" s="32"/>
      <c r="J768" s="61"/>
      <c r="K768" s="32"/>
      <c r="L768" s="61"/>
      <c r="M768" s="32"/>
      <c r="N768" s="61"/>
      <c r="O768" s="32"/>
      <c r="P768" s="61"/>
      <c r="Q768" s="62"/>
      <c r="R768" s="63"/>
      <c r="S768" s="63"/>
      <c r="T768" s="63"/>
      <c r="U768" s="63"/>
    </row>
    <row r="769" spans="1:21" ht="13.2">
      <c r="A769" s="5">
        <f t="shared" ca="1" si="5"/>
        <v>768</v>
      </c>
      <c r="B769" s="5" t="str">
        <f ca="1">IFERROR(__xludf.DUMMYFUNCTION("if(ISBLANK(C769),,QUERY(MD!A770:D1768,""Select A where C = '""&amp; C769 &amp;""'""))"),"")</f>
        <v/>
      </c>
      <c r="C769" s="5"/>
      <c r="E769" s="49"/>
      <c r="F769" s="5"/>
      <c r="G769" s="32"/>
      <c r="H769" s="61"/>
      <c r="I769" s="32"/>
      <c r="J769" s="61"/>
      <c r="K769" s="32"/>
      <c r="L769" s="61"/>
      <c r="M769" s="32"/>
      <c r="N769" s="61"/>
      <c r="O769" s="32"/>
      <c r="P769" s="61"/>
      <c r="Q769" s="62"/>
      <c r="R769" s="63"/>
      <c r="S769" s="63"/>
      <c r="T769" s="63"/>
      <c r="U769" s="63"/>
    </row>
    <row r="770" spans="1:21" ht="13.2">
      <c r="A770" s="5">
        <f t="shared" ca="1" si="5"/>
        <v>769</v>
      </c>
      <c r="B770" s="5" t="str">
        <f ca="1">IFERROR(__xludf.DUMMYFUNCTION("if(ISBLANK(C770),,QUERY(MD!A771:D1769,""Select A where C = '""&amp; C770 &amp;""'""))"),"")</f>
        <v/>
      </c>
      <c r="C770" s="5"/>
      <c r="E770" s="49"/>
      <c r="F770" s="5"/>
      <c r="G770" s="32"/>
      <c r="H770" s="61"/>
      <c r="I770" s="32"/>
      <c r="J770" s="61"/>
      <c r="K770" s="32"/>
      <c r="L770" s="61"/>
      <c r="M770" s="32"/>
      <c r="N770" s="61"/>
      <c r="O770" s="32"/>
      <c r="P770" s="61"/>
      <c r="Q770" s="62"/>
      <c r="R770" s="63"/>
      <c r="S770" s="63"/>
      <c r="T770" s="63"/>
      <c r="U770" s="63"/>
    </row>
    <row r="771" spans="1:21" ht="13.2">
      <c r="A771" s="5">
        <f t="shared" ca="1" si="5"/>
        <v>770</v>
      </c>
      <c r="B771" s="5" t="str">
        <f ca="1">IFERROR(__xludf.DUMMYFUNCTION("if(ISBLANK(C771),,QUERY(MD!A772:D1770,""Select A where C = '""&amp; C771 &amp;""'""))"),"")</f>
        <v/>
      </c>
      <c r="C771" s="5"/>
      <c r="E771" s="49"/>
      <c r="F771" s="5"/>
      <c r="G771" s="32"/>
      <c r="H771" s="61"/>
      <c r="I771" s="32"/>
      <c r="J771" s="61"/>
      <c r="K771" s="32"/>
      <c r="L771" s="61"/>
      <c r="M771" s="32"/>
      <c r="N771" s="61"/>
      <c r="O771" s="32"/>
      <c r="P771" s="61"/>
      <c r="Q771" s="62"/>
      <c r="R771" s="63"/>
      <c r="S771" s="63"/>
      <c r="T771" s="63"/>
      <c r="U771" s="63"/>
    </row>
    <row r="772" spans="1:21" ht="13.2">
      <c r="A772" s="5">
        <f t="shared" ca="1" si="5"/>
        <v>771</v>
      </c>
      <c r="B772" s="5" t="str">
        <f ca="1">IFERROR(__xludf.DUMMYFUNCTION("if(ISBLANK(C772),,QUERY(MD!A773:D1771,""Select A where C = '""&amp; C772 &amp;""'""))"),"")</f>
        <v/>
      </c>
      <c r="C772" s="5"/>
      <c r="E772" s="49"/>
      <c r="F772" s="5"/>
      <c r="G772" s="32"/>
      <c r="H772" s="61"/>
      <c r="I772" s="32"/>
      <c r="J772" s="61"/>
      <c r="K772" s="32"/>
      <c r="L772" s="61"/>
      <c r="M772" s="32"/>
      <c r="N772" s="61"/>
      <c r="O772" s="32"/>
      <c r="P772" s="61"/>
      <c r="Q772" s="62"/>
      <c r="R772" s="63"/>
      <c r="S772" s="63"/>
      <c r="T772" s="63"/>
      <c r="U772" s="63"/>
    </row>
    <row r="773" spans="1:21" ht="13.2">
      <c r="A773" s="5">
        <f t="shared" ca="1" si="5"/>
        <v>772</v>
      </c>
      <c r="B773" s="5" t="str">
        <f ca="1">IFERROR(__xludf.DUMMYFUNCTION("if(ISBLANK(C773),,QUERY(MD!A774:D1772,""Select A where C = '""&amp; C773 &amp;""'""))"),"")</f>
        <v/>
      </c>
      <c r="C773" s="5"/>
      <c r="E773" s="49"/>
      <c r="F773" s="5"/>
      <c r="G773" s="32"/>
      <c r="H773" s="61"/>
      <c r="I773" s="32"/>
      <c r="J773" s="61"/>
      <c r="K773" s="32"/>
      <c r="L773" s="61"/>
      <c r="M773" s="32"/>
      <c r="N773" s="61"/>
      <c r="O773" s="32"/>
      <c r="P773" s="61"/>
      <c r="Q773" s="62"/>
      <c r="R773" s="63"/>
      <c r="S773" s="63"/>
      <c r="T773" s="63"/>
      <c r="U773" s="63"/>
    </row>
    <row r="774" spans="1:21" ht="13.2">
      <c r="A774" s="5">
        <f t="shared" ca="1" si="5"/>
        <v>773</v>
      </c>
      <c r="B774" s="5" t="str">
        <f ca="1">IFERROR(__xludf.DUMMYFUNCTION("if(ISBLANK(C774),,QUERY(MD!A775:D1773,""Select A where C = '""&amp; C774 &amp;""'""))"),"")</f>
        <v/>
      </c>
      <c r="C774" s="5"/>
      <c r="E774" s="49"/>
      <c r="F774" s="5"/>
      <c r="G774" s="32"/>
      <c r="H774" s="61"/>
      <c r="I774" s="32"/>
      <c r="J774" s="61"/>
      <c r="K774" s="32"/>
      <c r="L774" s="61"/>
      <c r="M774" s="32"/>
      <c r="N774" s="61"/>
      <c r="O774" s="32"/>
      <c r="P774" s="61"/>
      <c r="Q774" s="62"/>
      <c r="R774" s="63"/>
      <c r="S774" s="63"/>
      <c r="T774" s="63"/>
      <c r="U774" s="63"/>
    </row>
    <row r="775" spans="1:21" ht="13.2">
      <c r="A775" s="5">
        <f t="shared" ca="1" si="5"/>
        <v>774</v>
      </c>
      <c r="B775" s="5" t="str">
        <f ca="1">IFERROR(__xludf.DUMMYFUNCTION("if(ISBLANK(C775),,QUERY(MD!A776:D1774,""Select A where C = '""&amp; C775 &amp;""'""))"),"")</f>
        <v/>
      </c>
      <c r="C775" s="5"/>
      <c r="E775" s="49"/>
      <c r="F775" s="5"/>
      <c r="G775" s="32"/>
      <c r="H775" s="61"/>
      <c r="I775" s="32"/>
      <c r="J775" s="61"/>
      <c r="K775" s="32"/>
      <c r="L775" s="61"/>
      <c r="M775" s="32"/>
      <c r="N775" s="61"/>
      <c r="O775" s="32"/>
      <c r="P775" s="61"/>
      <c r="Q775" s="62"/>
      <c r="R775" s="63"/>
      <c r="S775" s="63"/>
      <c r="T775" s="63"/>
      <c r="U775" s="63"/>
    </row>
    <row r="776" spans="1:21" ht="13.2">
      <c r="A776" s="5">
        <f t="shared" ca="1" si="5"/>
        <v>775</v>
      </c>
      <c r="B776" s="5" t="str">
        <f ca="1">IFERROR(__xludf.DUMMYFUNCTION("if(ISBLANK(C776),,QUERY(MD!A777:D1775,""Select A where C = '""&amp; C776 &amp;""'""))"),"")</f>
        <v/>
      </c>
      <c r="C776" s="5"/>
      <c r="E776" s="49"/>
      <c r="F776" s="5"/>
      <c r="G776" s="32"/>
      <c r="H776" s="61"/>
      <c r="I776" s="32"/>
      <c r="J776" s="61"/>
      <c r="K776" s="32"/>
      <c r="L776" s="61"/>
      <c r="M776" s="32"/>
      <c r="N776" s="61"/>
      <c r="O776" s="32"/>
      <c r="P776" s="61"/>
      <c r="Q776" s="62"/>
      <c r="R776" s="63"/>
      <c r="S776" s="63"/>
      <c r="T776" s="63"/>
      <c r="U776" s="63"/>
    </row>
    <row r="777" spans="1:21" ht="13.2">
      <c r="A777" s="5">
        <f t="shared" ca="1" si="5"/>
        <v>776</v>
      </c>
      <c r="B777" s="5" t="str">
        <f ca="1">IFERROR(__xludf.DUMMYFUNCTION("if(ISBLANK(C777),,QUERY(MD!A778:D1776,""Select A where C = '""&amp; C777 &amp;""'""))"),"")</f>
        <v/>
      </c>
      <c r="C777" s="5"/>
      <c r="E777" s="49"/>
      <c r="F777" s="5"/>
      <c r="G777" s="32"/>
      <c r="H777" s="61"/>
      <c r="I777" s="32"/>
      <c r="J777" s="61"/>
      <c r="K777" s="32"/>
      <c r="L777" s="61"/>
      <c r="M777" s="32"/>
      <c r="N777" s="61"/>
      <c r="O777" s="32"/>
      <c r="P777" s="61"/>
      <c r="Q777" s="62"/>
      <c r="R777" s="63"/>
      <c r="S777" s="63"/>
      <c r="T777" s="63"/>
      <c r="U777" s="63"/>
    </row>
    <row r="778" spans="1:21" ht="13.2">
      <c r="A778" s="5">
        <f t="shared" ca="1" si="5"/>
        <v>777</v>
      </c>
      <c r="B778" s="5" t="str">
        <f ca="1">IFERROR(__xludf.DUMMYFUNCTION("if(ISBLANK(C778),,QUERY(MD!A779:D1777,""Select A where C = '""&amp; C778 &amp;""'""))"),"")</f>
        <v/>
      </c>
      <c r="C778" s="5"/>
      <c r="E778" s="49"/>
      <c r="F778" s="5"/>
      <c r="G778" s="32"/>
      <c r="H778" s="61"/>
      <c r="I778" s="32"/>
      <c r="J778" s="61"/>
      <c r="K778" s="32"/>
      <c r="L778" s="61"/>
      <c r="M778" s="32"/>
      <c r="N778" s="61"/>
      <c r="O778" s="32"/>
      <c r="P778" s="61"/>
      <c r="Q778" s="62"/>
      <c r="R778" s="63"/>
      <c r="S778" s="63"/>
      <c r="T778" s="63"/>
      <c r="U778" s="63"/>
    </row>
    <row r="779" spans="1:21" ht="13.2">
      <c r="A779" s="5">
        <f t="shared" ca="1" si="5"/>
        <v>778</v>
      </c>
      <c r="B779" s="5" t="str">
        <f ca="1">IFERROR(__xludf.DUMMYFUNCTION("if(ISBLANK(C779),,QUERY(MD!A780:D1778,""Select A where C = '""&amp; C779 &amp;""'""))"),"")</f>
        <v/>
      </c>
      <c r="C779" s="5"/>
      <c r="E779" s="49"/>
      <c r="F779" s="5"/>
      <c r="G779" s="32"/>
      <c r="H779" s="61"/>
      <c r="I779" s="32"/>
      <c r="J779" s="61"/>
      <c r="K779" s="32"/>
      <c r="L779" s="61"/>
      <c r="M779" s="32"/>
      <c r="N779" s="61"/>
      <c r="O779" s="32"/>
      <c r="P779" s="61"/>
      <c r="Q779" s="62"/>
      <c r="R779" s="63"/>
      <c r="S779" s="63"/>
      <c r="T779" s="63"/>
      <c r="U779" s="63"/>
    </row>
    <row r="780" spans="1:21" ht="13.2">
      <c r="A780" s="5">
        <f t="shared" ca="1" si="5"/>
        <v>779</v>
      </c>
      <c r="B780" s="5" t="str">
        <f ca="1">IFERROR(__xludf.DUMMYFUNCTION("if(ISBLANK(C780),,QUERY(MD!A781:D1779,""Select A where C = '""&amp; C780 &amp;""'""))"),"")</f>
        <v/>
      </c>
      <c r="C780" s="5"/>
      <c r="E780" s="49"/>
      <c r="F780" s="5"/>
      <c r="G780" s="32"/>
      <c r="H780" s="61"/>
      <c r="I780" s="32"/>
      <c r="J780" s="61"/>
      <c r="K780" s="32"/>
      <c r="L780" s="61"/>
      <c r="M780" s="32"/>
      <c r="N780" s="61"/>
      <c r="O780" s="32"/>
      <c r="P780" s="61"/>
      <c r="Q780" s="62"/>
      <c r="R780" s="63"/>
      <c r="S780" s="63"/>
      <c r="T780" s="63"/>
      <c r="U780" s="63"/>
    </row>
    <row r="781" spans="1:21" ht="13.2">
      <c r="A781" s="5">
        <f t="shared" ca="1" si="5"/>
        <v>780</v>
      </c>
      <c r="B781" s="5" t="str">
        <f ca="1">IFERROR(__xludf.DUMMYFUNCTION("if(ISBLANK(C781),,QUERY(MD!A782:D1780,""Select A where C = '""&amp; C781 &amp;""'""))"),"")</f>
        <v/>
      </c>
      <c r="C781" s="5"/>
      <c r="E781" s="49"/>
      <c r="F781" s="5"/>
      <c r="G781" s="32"/>
      <c r="H781" s="61"/>
      <c r="I781" s="32"/>
      <c r="J781" s="61"/>
      <c r="K781" s="32"/>
      <c r="L781" s="61"/>
      <c r="M781" s="32"/>
      <c r="N781" s="61"/>
      <c r="O781" s="32"/>
      <c r="P781" s="61"/>
      <c r="Q781" s="62"/>
      <c r="R781" s="63"/>
      <c r="S781" s="63"/>
      <c r="T781" s="63"/>
      <c r="U781" s="63"/>
    </row>
    <row r="782" spans="1:21" ht="13.2">
      <c r="A782" s="5">
        <f t="shared" ca="1" si="5"/>
        <v>781</v>
      </c>
      <c r="B782" s="5" t="str">
        <f ca="1">IFERROR(__xludf.DUMMYFUNCTION("if(ISBLANK(C782),,QUERY(MD!A783:D1781,""Select A where C = '""&amp; C782 &amp;""'""))"),"")</f>
        <v/>
      </c>
      <c r="C782" s="5"/>
      <c r="E782" s="49"/>
      <c r="F782" s="5"/>
      <c r="G782" s="32"/>
      <c r="H782" s="61"/>
      <c r="I782" s="32"/>
      <c r="J782" s="61"/>
      <c r="K782" s="32"/>
      <c r="L782" s="61"/>
      <c r="M782" s="32"/>
      <c r="N782" s="61"/>
      <c r="O782" s="32"/>
      <c r="P782" s="61"/>
      <c r="Q782" s="62"/>
      <c r="R782" s="63"/>
      <c r="S782" s="63"/>
      <c r="T782" s="63"/>
      <c r="U782" s="63"/>
    </row>
    <row r="783" spans="1:21" ht="13.2">
      <c r="A783" s="5">
        <f t="shared" ca="1" si="5"/>
        <v>782</v>
      </c>
      <c r="B783" s="5" t="str">
        <f ca="1">IFERROR(__xludf.DUMMYFUNCTION("if(ISBLANK(C783),,QUERY(MD!A784:D1782,""Select A where C = '""&amp; C783 &amp;""'""))"),"")</f>
        <v/>
      </c>
      <c r="C783" s="5"/>
      <c r="E783" s="49"/>
      <c r="F783" s="5"/>
      <c r="G783" s="32"/>
      <c r="H783" s="61"/>
      <c r="I783" s="32"/>
      <c r="J783" s="61"/>
      <c r="K783" s="32"/>
      <c r="L783" s="61"/>
      <c r="M783" s="32"/>
      <c r="N783" s="61"/>
      <c r="O783" s="32"/>
      <c r="P783" s="61"/>
      <c r="Q783" s="62"/>
      <c r="R783" s="63"/>
      <c r="S783" s="63"/>
      <c r="T783" s="63"/>
      <c r="U783" s="63"/>
    </row>
    <row r="784" spans="1:21" ht="13.2">
      <c r="A784" s="5">
        <f t="shared" ca="1" si="5"/>
        <v>783</v>
      </c>
      <c r="B784" s="5" t="str">
        <f ca="1">IFERROR(__xludf.DUMMYFUNCTION("if(ISBLANK(C784),,QUERY(MD!A785:D1783,""Select A where C = '""&amp; C784 &amp;""'""))"),"")</f>
        <v/>
      </c>
      <c r="C784" s="5"/>
      <c r="E784" s="49"/>
      <c r="F784" s="5"/>
      <c r="G784" s="32"/>
      <c r="H784" s="61"/>
      <c r="I784" s="32"/>
      <c r="J784" s="61"/>
      <c r="K784" s="32"/>
      <c r="L784" s="61"/>
      <c r="M784" s="32"/>
      <c r="N784" s="61"/>
      <c r="O784" s="32"/>
      <c r="P784" s="61"/>
      <c r="Q784" s="62"/>
      <c r="R784" s="63"/>
      <c r="S784" s="63"/>
      <c r="T784" s="63"/>
      <c r="U784" s="63"/>
    </row>
    <row r="785" spans="1:21" ht="13.2">
      <c r="A785" s="5">
        <f t="shared" ca="1" si="5"/>
        <v>784</v>
      </c>
      <c r="B785" s="5" t="str">
        <f ca="1">IFERROR(__xludf.DUMMYFUNCTION("if(ISBLANK(C785),,QUERY(MD!A786:D1784,""Select A where C = '""&amp; C785 &amp;""'""))"),"")</f>
        <v/>
      </c>
      <c r="C785" s="5"/>
      <c r="E785" s="49"/>
      <c r="F785" s="5"/>
      <c r="G785" s="32"/>
      <c r="H785" s="61"/>
      <c r="I785" s="32"/>
      <c r="J785" s="61"/>
      <c r="K785" s="32"/>
      <c r="L785" s="61"/>
      <c r="M785" s="32"/>
      <c r="N785" s="61"/>
      <c r="O785" s="32"/>
      <c r="P785" s="61"/>
      <c r="Q785" s="62"/>
      <c r="R785" s="63"/>
      <c r="S785" s="63"/>
      <c r="T785" s="63"/>
      <c r="U785" s="63"/>
    </row>
    <row r="786" spans="1:21" ht="13.2">
      <c r="A786" s="5">
        <f t="shared" ca="1" si="5"/>
        <v>785</v>
      </c>
      <c r="B786" s="5" t="str">
        <f ca="1">IFERROR(__xludf.DUMMYFUNCTION("if(ISBLANK(C786),,QUERY(MD!A787:D1785,""Select A where C = '""&amp; C786 &amp;""'""))"),"")</f>
        <v/>
      </c>
      <c r="C786" s="5"/>
      <c r="E786" s="49"/>
      <c r="F786" s="5"/>
      <c r="G786" s="32"/>
      <c r="H786" s="61"/>
      <c r="I786" s="32"/>
      <c r="J786" s="61"/>
      <c r="K786" s="32"/>
      <c r="L786" s="61"/>
      <c r="M786" s="32"/>
      <c r="N786" s="61"/>
      <c r="O786" s="32"/>
      <c r="P786" s="61"/>
      <c r="Q786" s="62"/>
      <c r="R786" s="63"/>
      <c r="S786" s="63"/>
      <c r="T786" s="63"/>
      <c r="U786" s="63"/>
    </row>
    <row r="787" spans="1:21" ht="13.2">
      <c r="A787" s="5">
        <f t="shared" ca="1" si="5"/>
        <v>786</v>
      </c>
      <c r="B787" s="5" t="str">
        <f ca="1">IFERROR(__xludf.DUMMYFUNCTION("if(ISBLANK(C787),,QUERY(MD!A788:D1786,""Select A where C = '""&amp; C787 &amp;""'""))"),"")</f>
        <v/>
      </c>
      <c r="C787" s="5"/>
      <c r="E787" s="49"/>
      <c r="F787" s="5"/>
      <c r="G787" s="32"/>
      <c r="H787" s="61"/>
      <c r="I787" s="32"/>
      <c r="J787" s="61"/>
      <c r="K787" s="32"/>
      <c r="L787" s="61"/>
      <c r="M787" s="32"/>
      <c r="N787" s="61"/>
      <c r="O787" s="32"/>
      <c r="P787" s="61"/>
      <c r="Q787" s="62"/>
      <c r="R787" s="63"/>
      <c r="S787" s="63"/>
      <c r="T787" s="63"/>
      <c r="U787" s="63"/>
    </row>
    <row r="788" spans="1:21" ht="13.2">
      <c r="A788" s="5">
        <f t="shared" ca="1" si="5"/>
        <v>787</v>
      </c>
      <c r="B788" s="5" t="str">
        <f ca="1">IFERROR(__xludf.DUMMYFUNCTION("if(ISBLANK(C788),,QUERY(MD!A789:D1787,""Select A where C = '""&amp; C788 &amp;""'""))"),"")</f>
        <v/>
      </c>
      <c r="C788" s="5"/>
      <c r="E788" s="49"/>
      <c r="F788" s="5"/>
      <c r="G788" s="32"/>
      <c r="H788" s="61"/>
      <c r="I788" s="32"/>
      <c r="J788" s="61"/>
      <c r="K788" s="32"/>
      <c r="L788" s="61"/>
      <c r="M788" s="32"/>
      <c r="N788" s="61"/>
      <c r="O788" s="32"/>
      <c r="P788" s="61"/>
      <c r="Q788" s="62"/>
      <c r="R788" s="63"/>
      <c r="S788" s="63"/>
      <c r="T788" s="63"/>
      <c r="U788" s="63"/>
    </row>
    <row r="789" spans="1:21" ht="13.2">
      <c r="A789" s="5">
        <f t="shared" ca="1" si="5"/>
        <v>788</v>
      </c>
      <c r="B789" s="5" t="str">
        <f ca="1">IFERROR(__xludf.DUMMYFUNCTION("if(ISBLANK(C789),,QUERY(MD!A790:D1788,""Select A where C = '""&amp; C789 &amp;""'""))"),"")</f>
        <v/>
      </c>
      <c r="C789" s="5"/>
      <c r="E789" s="49"/>
      <c r="F789" s="5"/>
      <c r="G789" s="32"/>
      <c r="H789" s="61"/>
      <c r="I789" s="32"/>
      <c r="J789" s="61"/>
      <c r="K789" s="32"/>
      <c r="L789" s="61"/>
      <c r="M789" s="32"/>
      <c r="N789" s="61"/>
      <c r="O789" s="32"/>
      <c r="P789" s="61"/>
      <c r="Q789" s="62"/>
      <c r="R789" s="63"/>
      <c r="S789" s="63"/>
      <c r="T789" s="63"/>
      <c r="U789" s="63"/>
    </row>
    <row r="790" spans="1:21" ht="13.2">
      <c r="A790" s="5">
        <f t="shared" ca="1" si="5"/>
        <v>789</v>
      </c>
      <c r="B790" s="5" t="str">
        <f ca="1">IFERROR(__xludf.DUMMYFUNCTION("if(ISBLANK(C790),,QUERY(MD!A791:D1789,""Select A where C = '""&amp; C790 &amp;""'""))"),"")</f>
        <v/>
      </c>
      <c r="C790" s="5"/>
      <c r="E790" s="49"/>
      <c r="F790" s="5"/>
      <c r="G790" s="32"/>
      <c r="H790" s="61"/>
      <c r="I790" s="32"/>
      <c r="J790" s="61"/>
      <c r="K790" s="32"/>
      <c r="L790" s="61"/>
      <c r="M790" s="32"/>
      <c r="N790" s="61"/>
      <c r="O790" s="32"/>
      <c r="P790" s="61"/>
      <c r="Q790" s="62"/>
      <c r="R790" s="63"/>
      <c r="S790" s="63"/>
      <c r="T790" s="63"/>
      <c r="U790" s="63"/>
    </row>
    <row r="791" spans="1:21" ht="13.2">
      <c r="A791" s="5">
        <f t="shared" ca="1" si="5"/>
        <v>790</v>
      </c>
      <c r="B791" s="5" t="str">
        <f ca="1">IFERROR(__xludf.DUMMYFUNCTION("if(ISBLANK(C791),,QUERY(MD!A792:D1790,""Select A where C = '""&amp; C791 &amp;""'""))"),"")</f>
        <v/>
      </c>
      <c r="C791" s="5"/>
      <c r="E791" s="49"/>
      <c r="F791" s="5"/>
      <c r="G791" s="32"/>
      <c r="H791" s="61"/>
      <c r="I791" s="32"/>
      <c r="J791" s="61"/>
      <c r="K791" s="32"/>
      <c r="L791" s="61"/>
      <c r="M791" s="32"/>
      <c r="N791" s="61"/>
      <c r="O791" s="32"/>
      <c r="P791" s="61"/>
      <c r="Q791" s="62"/>
      <c r="R791" s="63"/>
      <c r="S791" s="63"/>
      <c r="T791" s="63"/>
      <c r="U791" s="63"/>
    </row>
    <row r="792" spans="1:21" ht="13.2">
      <c r="A792" s="5">
        <f t="shared" ca="1" si="5"/>
        <v>791</v>
      </c>
      <c r="B792" s="5" t="str">
        <f ca="1">IFERROR(__xludf.DUMMYFUNCTION("if(ISBLANK(C792),,QUERY(MD!A793:D1791,""Select A where C = '""&amp; C792 &amp;""'""))"),"")</f>
        <v/>
      </c>
      <c r="C792" s="5"/>
      <c r="E792" s="49"/>
      <c r="F792" s="5"/>
      <c r="G792" s="32"/>
      <c r="H792" s="61"/>
      <c r="I792" s="32"/>
      <c r="J792" s="61"/>
      <c r="K792" s="32"/>
      <c r="L792" s="61"/>
      <c r="M792" s="32"/>
      <c r="N792" s="61"/>
      <c r="O792" s="32"/>
      <c r="P792" s="61"/>
      <c r="Q792" s="62"/>
      <c r="R792" s="63"/>
      <c r="S792" s="63"/>
      <c r="T792" s="63"/>
      <c r="U792" s="63"/>
    </row>
    <row r="793" spans="1:21" ht="13.2">
      <c r="A793" s="5">
        <f t="shared" ca="1" si="5"/>
        <v>792</v>
      </c>
      <c r="B793" s="5" t="str">
        <f ca="1">IFERROR(__xludf.DUMMYFUNCTION("if(ISBLANK(C793),,QUERY(MD!A794:D1792,""Select A where C = '""&amp; C793 &amp;""'""))"),"")</f>
        <v/>
      </c>
      <c r="C793" s="5"/>
      <c r="E793" s="49"/>
      <c r="F793" s="5"/>
      <c r="G793" s="32"/>
      <c r="H793" s="61"/>
      <c r="I793" s="32"/>
      <c r="J793" s="61"/>
      <c r="K793" s="32"/>
      <c r="L793" s="61"/>
      <c r="M793" s="32"/>
      <c r="N793" s="61"/>
      <c r="O793" s="32"/>
      <c r="P793" s="61"/>
      <c r="Q793" s="62"/>
      <c r="R793" s="63"/>
      <c r="S793" s="63"/>
      <c r="T793" s="63"/>
      <c r="U793" s="63"/>
    </row>
    <row r="794" spans="1:21" ht="13.2">
      <c r="A794" s="5">
        <f t="shared" ca="1" si="5"/>
        <v>793</v>
      </c>
      <c r="B794" s="5" t="str">
        <f ca="1">IFERROR(__xludf.DUMMYFUNCTION("if(ISBLANK(C794),,QUERY(MD!A795:D1793,""Select A where C = '""&amp; C794 &amp;""'""))"),"")</f>
        <v/>
      </c>
      <c r="C794" s="5"/>
      <c r="E794" s="49"/>
      <c r="F794" s="5"/>
      <c r="G794" s="32"/>
      <c r="H794" s="61"/>
      <c r="I794" s="32"/>
      <c r="J794" s="61"/>
      <c r="K794" s="32"/>
      <c r="L794" s="61"/>
      <c r="M794" s="32"/>
      <c r="N794" s="61"/>
      <c r="O794" s="32"/>
      <c r="P794" s="61"/>
      <c r="Q794" s="62"/>
      <c r="R794" s="63"/>
      <c r="S794" s="63"/>
      <c r="T794" s="63"/>
      <c r="U794" s="63"/>
    </row>
    <row r="795" spans="1:21" ht="13.2">
      <c r="A795" s="5">
        <f t="shared" ca="1" si="5"/>
        <v>794</v>
      </c>
      <c r="B795" s="5" t="str">
        <f ca="1">IFERROR(__xludf.DUMMYFUNCTION("if(ISBLANK(C795),,QUERY(MD!A796:D1794,""Select A where C = '""&amp; C795 &amp;""'""))"),"")</f>
        <v/>
      </c>
      <c r="C795" s="5"/>
      <c r="E795" s="49"/>
      <c r="F795" s="5"/>
      <c r="G795" s="32"/>
      <c r="H795" s="61"/>
      <c r="I795" s="32"/>
      <c r="J795" s="61"/>
      <c r="K795" s="32"/>
      <c r="L795" s="61"/>
      <c r="M795" s="32"/>
      <c r="N795" s="61"/>
      <c r="O795" s="32"/>
      <c r="P795" s="61"/>
      <c r="Q795" s="62"/>
      <c r="R795" s="63"/>
      <c r="S795" s="63"/>
      <c r="T795" s="63"/>
      <c r="U795" s="63"/>
    </row>
    <row r="796" spans="1:21" ht="13.2">
      <c r="A796" s="5">
        <f t="shared" ca="1" si="5"/>
        <v>795</v>
      </c>
      <c r="B796" s="5" t="str">
        <f ca="1">IFERROR(__xludf.DUMMYFUNCTION("if(ISBLANK(C796),,QUERY(MD!A797:D1795,""Select A where C = '""&amp; C796 &amp;""'""))"),"")</f>
        <v/>
      </c>
      <c r="C796" s="5"/>
      <c r="E796" s="49"/>
      <c r="F796" s="5"/>
      <c r="G796" s="32"/>
      <c r="H796" s="61"/>
      <c r="I796" s="32"/>
      <c r="J796" s="61"/>
      <c r="K796" s="32"/>
      <c r="L796" s="61"/>
      <c r="M796" s="32"/>
      <c r="N796" s="61"/>
      <c r="O796" s="32"/>
      <c r="P796" s="61"/>
      <c r="Q796" s="62"/>
      <c r="R796" s="63"/>
      <c r="S796" s="63"/>
      <c r="T796" s="63"/>
      <c r="U796" s="63"/>
    </row>
    <row r="797" spans="1:21" ht="13.2">
      <c r="A797" s="5">
        <f t="shared" ca="1" si="5"/>
        <v>796</v>
      </c>
      <c r="B797" s="5" t="str">
        <f ca="1">IFERROR(__xludf.DUMMYFUNCTION("if(ISBLANK(C797),,QUERY(MD!A798:D1796,""Select A where C = '""&amp; C797 &amp;""'""))"),"")</f>
        <v/>
      </c>
      <c r="C797" s="5"/>
      <c r="E797" s="49"/>
      <c r="F797" s="5"/>
      <c r="G797" s="32"/>
      <c r="H797" s="61"/>
      <c r="I797" s="32"/>
      <c r="J797" s="61"/>
      <c r="K797" s="32"/>
      <c r="L797" s="61"/>
      <c r="M797" s="32"/>
      <c r="N797" s="61"/>
      <c r="O797" s="32"/>
      <c r="P797" s="61"/>
      <c r="Q797" s="62"/>
      <c r="R797" s="63"/>
      <c r="S797" s="63"/>
      <c r="T797" s="63"/>
      <c r="U797" s="63"/>
    </row>
    <row r="798" spans="1:21" ht="13.2">
      <c r="A798" s="5">
        <f t="shared" ca="1" si="5"/>
        <v>797</v>
      </c>
      <c r="B798" s="5" t="str">
        <f ca="1">IFERROR(__xludf.DUMMYFUNCTION("if(ISBLANK(C798),,QUERY(MD!A799:D1797,""Select A where C = '""&amp; C798 &amp;""'""))"),"")</f>
        <v/>
      </c>
      <c r="C798" s="5"/>
      <c r="E798" s="49"/>
      <c r="F798" s="5"/>
      <c r="G798" s="32"/>
      <c r="H798" s="61"/>
      <c r="I798" s="32"/>
      <c r="J798" s="61"/>
      <c r="K798" s="32"/>
      <c r="L798" s="61"/>
      <c r="M798" s="32"/>
      <c r="N798" s="61"/>
      <c r="O798" s="32"/>
      <c r="P798" s="61"/>
      <c r="Q798" s="62"/>
      <c r="R798" s="63"/>
      <c r="S798" s="63"/>
      <c r="T798" s="63"/>
      <c r="U798" s="63"/>
    </row>
    <row r="799" spans="1:21" ht="13.2">
      <c r="A799" s="5">
        <f t="shared" ca="1" si="5"/>
        <v>798</v>
      </c>
      <c r="B799" s="5" t="str">
        <f ca="1">IFERROR(__xludf.DUMMYFUNCTION("if(ISBLANK(C799),,QUERY(MD!A800:D1798,""Select A where C = '""&amp; C799 &amp;""'""))"),"")</f>
        <v/>
      </c>
      <c r="C799" s="5"/>
      <c r="E799" s="49"/>
      <c r="F799" s="5"/>
      <c r="G799" s="32"/>
      <c r="H799" s="61"/>
      <c r="I799" s="32"/>
      <c r="J799" s="61"/>
      <c r="K799" s="32"/>
      <c r="L799" s="61"/>
      <c r="M799" s="32"/>
      <c r="N799" s="61"/>
      <c r="O799" s="32"/>
      <c r="P799" s="61"/>
      <c r="Q799" s="62"/>
      <c r="R799" s="63"/>
      <c r="S799" s="63"/>
      <c r="T799" s="63"/>
      <c r="U799" s="63"/>
    </row>
    <row r="800" spans="1:21" ht="13.2">
      <c r="A800" s="5">
        <f t="shared" ca="1" si="5"/>
        <v>799</v>
      </c>
      <c r="B800" s="5" t="str">
        <f ca="1">IFERROR(__xludf.DUMMYFUNCTION("if(ISBLANK(C800),,QUERY(MD!A801:D1799,""Select A where C = '""&amp; C800 &amp;""'""))"),"")</f>
        <v/>
      </c>
      <c r="C800" s="5"/>
      <c r="E800" s="49"/>
      <c r="F800" s="5"/>
      <c r="G800" s="32"/>
      <c r="H800" s="61"/>
      <c r="I800" s="32"/>
      <c r="J800" s="61"/>
      <c r="K800" s="32"/>
      <c r="L800" s="61"/>
      <c r="M800" s="32"/>
      <c r="N800" s="61"/>
      <c r="O800" s="32"/>
      <c r="P800" s="61"/>
      <c r="Q800" s="62"/>
      <c r="R800" s="63"/>
      <c r="S800" s="63"/>
      <c r="T800" s="63"/>
      <c r="U800" s="63"/>
    </row>
    <row r="801" spans="1:21" ht="13.2">
      <c r="A801" s="5">
        <f t="shared" ca="1" si="5"/>
        <v>800</v>
      </c>
      <c r="B801" s="5" t="str">
        <f ca="1">IFERROR(__xludf.DUMMYFUNCTION("if(ISBLANK(C801),,QUERY(MD!A802:D1800,""Select A where C = '""&amp; C801 &amp;""'""))"),"")</f>
        <v/>
      </c>
      <c r="C801" s="5"/>
      <c r="E801" s="49"/>
      <c r="F801" s="5"/>
      <c r="G801" s="32"/>
      <c r="H801" s="61"/>
      <c r="I801" s="32"/>
      <c r="J801" s="61"/>
      <c r="K801" s="32"/>
      <c r="L801" s="61"/>
      <c r="M801" s="32"/>
      <c r="N801" s="61"/>
      <c r="O801" s="32"/>
      <c r="P801" s="61"/>
      <c r="Q801" s="62"/>
      <c r="R801" s="63"/>
      <c r="S801" s="63"/>
      <c r="T801" s="63"/>
      <c r="U801" s="63"/>
    </row>
    <row r="802" spans="1:21" ht="13.2">
      <c r="A802" s="5">
        <f t="shared" ca="1" si="5"/>
        <v>801</v>
      </c>
      <c r="B802" s="5" t="str">
        <f ca="1">IFERROR(__xludf.DUMMYFUNCTION("if(ISBLANK(C802),,QUERY(MD!A803:D1801,""Select A where C = '""&amp; C802 &amp;""'""))"),"")</f>
        <v/>
      </c>
      <c r="C802" s="5"/>
      <c r="E802" s="49"/>
      <c r="F802" s="5"/>
      <c r="G802" s="32"/>
      <c r="H802" s="61"/>
      <c r="I802" s="32"/>
      <c r="J802" s="61"/>
      <c r="K802" s="32"/>
      <c r="L802" s="61"/>
      <c r="M802" s="32"/>
      <c r="N802" s="61"/>
      <c r="O802" s="32"/>
      <c r="P802" s="61"/>
      <c r="Q802" s="62"/>
      <c r="R802" s="63"/>
      <c r="S802" s="63"/>
      <c r="T802" s="63"/>
      <c r="U802" s="63"/>
    </row>
    <row r="803" spans="1:21" ht="13.2">
      <c r="A803" s="5">
        <f t="shared" ca="1" si="5"/>
        <v>802</v>
      </c>
      <c r="B803" s="5" t="str">
        <f ca="1">IFERROR(__xludf.DUMMYFUNCTION("if(ISBLANK(C803),,QUERY(MD!A804:D1802,""Select A where C = '""&amp; C803 &amp;""'""))"),"")</f>
        <v/>
      </c>
      <c r="C803" s="5"/>
      <c r="E803" s="49"/>
      <c r="F803" s="5"/>
      <c r="G803" s="32"/>
      <c r="H803" s="61"/>
      <c r="I803" s="32"/>
      <c r="J803" s="61"/>
      <c r="K803" s="32"/>
      <c r="L803" s="61"/>
      <c r="M803" s="32"/>
      <c r="N803" s="61"/>
      <c r="O803" s="32"/>
      <c r="P803" s="61"/>
      <c r="Q803" s="62"/>
      <c r="R803" s="63"/>
      <c r="S803" s="63"/>
      <c r="T803" s="63"/>
      <c r="U803" s="63"/>
    </row>
    <row r="804" spans="1:21" ht="13.2">
      <c r="A804" s="5">
        <f t="shared" ca="1" si="5"/>
        <v>803</v>
      </c>
      <c r="B804" s="5" t="str">
        <f ca="1">IFERROR(__xludf.DUMMYFUNCTION("if(ISBLANK(C804),,QUERY(MD!A805:D1803,""Select A where C = '""&amp; C804 &amp;""'""))"),"")</f>
        <v/>
      </c>
      <c r="C804" s="5"/>
      <c r="E804" s="49"/>
      <c r="F804" s="5"/>
      <c r="G804" s="32"/>
      <c r="H804" s="61"/>
      <c r="I804" s="32"/>
      <c r="J804" s="61"/>
      <c r="K804" s="32"/>
      <c r="L804" s="61"/>
      <c r="M804" s="32"/>
      <c r="N804" s="61"/>
      <c r="O804" s="32"/>
      <c r="P804" s="61"/>
      <c r="Q804" s="62"/>
      <c r="R804" s="63"/>
      <c r="S804" s="63"/>
      <c r="T804" s="63"/>
      <c r="U804" s="63"/>
    </row>
    <row r="805" spans="1:21" ht="13.2">
      <c r="A805" s="5">
        <f t="shared" ca="1" si="5"/>
        <v>804</v>
      </c>
      <c r="B805" s="5" t="str">
        <f ca="1">IFERROR(__xludf.DUMMYFUNCTION("if(ISBLANK(C805),,QUERY(MD!A806:D1804,""Select A where C = '""&amp; C805 &amp;""'""))"),"")</f>
        <v/>
      </c>
      <c r="C805" s="5"/>
      <c r="E805" s="49"/>
      <c r="F805" s="5"/>
      <c r="G805" s="32"/>
      <c r="H805" s="61"/>
      <c r="I805" s="32"/>
      <c r="J805" s="61"/>
      <c r="K805" s="32"/>
      <c r="L805" s="61"/>
      <c r="M805" s="32"/>
      <c r="N805" s="61"/>
      <c r="O805" s="32"/>
      <c r="P805" s="61"/>
      <c r="Q805" s="62"/>
      <c r="R805" s="63"/>
      <c r="S805" s="63"/>
      <c r="T805" s="63"/>
      <c r="U805" s="63"/>
    </row>
    <row r="806" spans="1:21" ht="13.2">
      <c r="A806" s="5">
        <f t="shared" ca="1" si="5"/>
        <v>805</v>
      </c>
      <c r="B806" s="5" t="str">
        <f ca="1">IFERROR(__xludf.DUMMYFUNCTION("if(ISBLANK(C806),,QUERY(MD!A807:D1805,""Select A where C = '""&amp; C806 &amp;""'""))"),"")</f>
        <v/>
      </c>
      <c r="C806" s="5"/>
      <c r="E806" s="49"/>
      <c r="F806" s="5"/>
      <c r="G806" s="32"/>
      <c r="H806" s="61"/>
      <c r="I806" s="32"/>
      <c r="J806" s="61"/>
      <c r="K806" s="32"/>
      <c r="L806" s="61"/>
      <c r="M806" s="32"/>
      <c r="N806" s="61"/>
      <c r="O806" s="32"/>
      <c r="P806" s="61"/>
      <c r="Q806" s="62"/>
      <c r="R806" s="63"/>
      <c r="S806" s="63"/>
      <c r="T806" s="63"/>
      <c r="U806" s="63"/>
    </row>
    <row r="807" spans="1:21" ht="13.2">
      <c r="A807" s="5">
        <f t="shared" ca="1" si="5"/>
        <v>806</v>
      </c>
      <c r="B807" s="5" t="str">
        <f ca="1">IFERROR(__xludf.DUMMYFUNCTION("if(ISBLANK(C807),,QUERY(MD!A808:D1806,""Select A where C = '""&amp; C807 &amp;""'""))"),"")</f>
        <v/>
      </c>
      <c r="C807" s="5"/>
      <c r="E807" s="49"/>
      <c r="F807" s="5"/>
      <c r="G807" s="32"/>
      <c r="H807" s="61"/>
      <c r="I807" s="32"/>
      <c r="J807" s="61"/>
      <c r="K807" s="32"/>
      <c r="L807" s="61"/>
      <c r="M807" s="32"/>
      <c r="N807" s="61"/>
      <c r="O807" s="32"/>
      <c r="P807" s="61"/>
      <c r="Q807" s="62"/>
      <c r="R807" s="63"/>
      <c r="S807" s="63"/>
      <c r="T807" s="63"/>
      <c r="U807" s="63"/>
    </row>
    <row r="808" spans="1:21" ht="13.2">
      <c r="A808" s="5">
        <f t="shared" ca="1" si="5"/>
        <v>807</v>
      </c>
      <c r="B808" s="5" t="str">
        <f ca="1">IFERROR(__xludf.DUMMYFUNCTION("if(ISBLANK(C808),,QUERY(MD!A809:D1807,""Select A where C = '""&amp; C808 &amp;""'""))"),"")</f>
        <v/>
      </c>
      <c r="C808" s="5"/>
      <c r="E808" s="49"/>
      <c r="F808" s="5"/>
      <c r="G808" s="32"/>
      <c r="H808" s="61"/>
      <c r="I808" s="32"/>
      <c r="J808" s="61"/>
      <c r="K808" s="32"/>
      <c r="L808" s="61"/>
      <c r="M808" s="32"/>
      <c r="N808" s="61"/>
      <c r="O808" s="32"/>
      <c r="P808" s="61"/>
      <c r="Q808" s="62"/>
      <c r="R808" s="63"/>
      <c r="S808" s="63"/>
      <c r="T808" s="63"/>
      <c r="U808" s="63"/>
    </row>
    <row r="809" spans="1:21" ht="13.2">
      <c r="A809" s="5">
        <f t="shared" ca="1" si="5"/>
        <v>808</v>
      </c>
      <c r="B809" s="5" t="str">
        <f ca="1">IFERROR(__xludf.DUMMYFUNCTION("if(ISBLANK(C809),,QUERY(MD!A810:D1808,""Select A where C = '""&amp; C809 &amp;""'""))"),"")</f>
        <v/>
      </c>
      <c r="C809" s="5"/>
      <c r="E809" s="49"/>
      <c r="F809" s="5"/>
      <c r="G809" s="32"/>
      <c r="H809" s="61"/>
      <c r="I809" s="32"/>
      <c r="J809" s="61"/>
      <c r="K809" s="32"/>
      <c r="L809" s="61"/>
      <c r="M809" s="32"/>
      <c r="N809" s="61"/>
      <c r="O809" s="32"/>
      <c r="P809" s="61"/>
      <c r="Q809" s="62"/>
      <c r="R809" s="63"/>
      <c r="S809" s="63"/>
      <c r="T809" s="63"/>
      <c r="U809" s="63"/>
    </row>
    <row r="810" spans="1:21" ht="13.2">
      <c r="A810" s="5">
        <f t="shared" ca="1" si="5"/>
        <v>809</v>
      </c>
      <c r="B810" s="5" t="str">
        <f ca="1">IFERROR(__xludf.DUMMYFUNCTION("if(ISBLANK(C810),,QUERY(MD!A811:D1809,""Select A where C = '""&amp; C810 &amp;""'""))"),"")</f>
        <v/>
      </c>
      <c r="C810" s="5"/>
      <c r="E810" s="49"/>
      <c r="F810" s="5"/>
      <c r="G810" s="32"/>
      <c r="H810" s="61"/>
      <c r="I810" s="32"/>
      <c r="J810" s="61"/>
      <c r="K810" s="32"/>
      <c r="L810" s="61"/>
      <c r="M810" s="32"/>
      <c r="N810" s="61"/>
      <c r="O810" s="32"/>
      <c r="P810" s="61"/>
      <c r="Q810" s="62"/>
      <c r="R810" s="63"/>
      <c r="S810" s="63"/>
      <c r="T810" s="63"/>
      <c r="U810" s="63"/>
    </row>
    <row r="811" spans="1:21" ht="13.2">
      <c r="A811" s="5">
        <f t="shared" ca="1" si="5"/>
        <v>810</v>
      </c>
      <c r="B811" s="5" t="str">
        <f ca="1">IFERROR(__xludf.DUMMYFUNCTION("if(ISBLANK(C811),,QUERY(MD!A812:D1810,""Select A where C = '""&amp; C811 &amp;""'""))"),"")</f>
        <v/>
      </c>
      <c r="C811" s="5"/>
      <c r="E811" s="49"/>
      <c r="F811" s="5"/>
      <c r="G811" s="32"/>
      <c r="H811" s="61"/>
      <c r="I811" s="32"/>
      <c r="J811" s="61"/>
      <c r="K811" s="32"/>
      <c r="L811" s="61"/>
      <c r="M811" s="32"/>
      <c r="N811" s="61"/>
      <c r="O811" s="32"/>
      <c r="P811" s="61"/>
      <c r="Q811" s="62"/>
      <c r="R811" s="63"/>
      <c r="S811" s="63"/>
      <c r="T811" s="63"/>
      <c r="U811" s="63"/>
    </row>
    <row r="812" spans="1:21" ht="13.2">
      <c r="A812" s="5">
        <f t="shared" ca="1" si="5"/>
        <v>811</v>
      </c>
      <c r="B812" s="5" t="str">
        <f ca="1">IFERROR(__xludf.DUMMYFUNCTION("if(ISBLANK(C812),,QUERY(MD!A813:D1811,""Select A where C = '""&amp; C812 &amp;""'""))"),"")</f>
        <v/>
      </c>
      <c r="C812" s="5"/>
      <c r="E812" s="49"/>
      <c r="F812" s="5"/>
      <c r="G812" s="32"/>
      <c r="H812" s="61"/>
      <c r="I812" s="32"/>
      <c r="J812" s="61"/>
      <c r="K812" s="32"/>
      <c r="L812" s="61"/>
      <c r="M812" s="32"/>
      <c r="N812" s="61"/>
      <c r="O812" s="32"/>
      <c r="P812" s="61"/>
      <c r="Q812" s="62"/>
      <c r="R812" s="63"/>
      <c r="S812" s="63"/>
      <c r="T812" s="63"/>
      <c r="U812" s="63"/>
    </row>
    <row r="813" spans="1:21" ht="13.2">
      <c r="A813" s="5">
        <f t="shared" ca="1" si="5"/>
        <v>812</v>
      </c>
      <c r="B813" s="5" t="str">
        <f ca="1">IFERROR(__xludf.DUMMYFUNCTION("if(ISBLANK(C813),,QUERY(MD!A814:D1812,""Select A where C = '""&amp; C813 &amp;""'""))"),"")</f>
        <v/>
      </c>
      <c r="C813" s="5"/>
      <c r="E813" s="49"/>
      <c r="F813" s="5"/>
      <c r="G813" s="32"/>
      <c r="H813" s="61"/>
      <c r="I813" s="32"/>
      <c r="J813" s="61"/>
      <c r="K813" s="32"/>
      <c r="L813" s="61"/>
      <c r="M813" s="32"/>
      <c r="N813" s="61"/>
      <c r="O813" s="32"/>
      <c r="P813" s="61"/>
      <c r="Q813" s="62"/>
      <c r="R813" s="63"/>
      <c r="S813" s="63"/>
      <c r="T813" s="63"/>
      <c r="U813" s="63"/>
    </row>
    <row r="814" spans="1:21" ht="13.2">
      <c r="A814" s="5">
        <f t="shared" ca="1" si="5"/>
        <v>813</v>
      </c>
      <c r="B814" s="5" t="str">
        <f ca="1">IFERROR(__xludf.DUMMYFUNCTION("if(ISBLANK(C814),,QUERY(MD!A815:D1813,""Select A where C = '""&amp; C814 &amp;""'""))"),"")</f>
        <v/>
      </c>
      <c r="C814" s="5"/>
      <c r="E814" s="49"/>
      <c r="F814" s="5"/>
      <c r="G814" s="32"/>
      <c r="H814" s="61"/>
      <c r="I814" s="32"/>
      <c r="J814" s="61"/>
      <c r="K814" s="32"/>
      <c r="L814" s="61"/>
      <c r="M814" s="32"/>
      <c r="N814" s="61"/>
      <c r="O814" s="32"/>
      <c r="P814" s="61"/>
      <c r="Q814" s="62"/>
      <c r="R814" s="63"/>
      <c r="S814" s="63"/>
      <c r="T814" s="63"/>
      <c r="U814" s="63"/>
    </row>
    <row r="815" spans="1:21" ht="13.2">
      <c r="A815" s="5">
        <f t="shared" ca="1" si="5"/>
        <v>814</v>
      </c>
      <c r="B815" s="5" t="str">
        <f ca="1">IFERROR(__xludf.DUMMYFUNCTION("if(ISBLANK(C815),,QUERY(MD!A816:D1814,""Select A where C = '""&amp; C815 &amp;""'""))"),"")</f>
        <v/>
      </c>
      <c r="C815" s="5"/>
      <c r="E815" s="49"/>
      <c r="F815" s="5"/>
      <c r="G815" s="32"/>
      <c r="H815" s="61"/>
      <c r="I815" s="32"/>
      <c r="J815" s="61"/>
      <c r="K815" s="32"/>
      <c r="L815" s="61"/>
      <c r="M815" s="32"/>
      <c r="N815" s="61"/>
      <c r="O815" s="32"/>
      <c r="P815" s="61"/>
      <c r="Q815" s="62"/>
      <c r="R815" s="63"/>
      <c r="S815" s="63"/>
      <c r="T815" s="63"/>
      <c r="U815" s="63"/>
    </row>
    <row r="816" spans="1:21" ht="13.2">
      <c r="A816" s="5">
        <f t="shared" ca="1" si="5"/>
        <v>815</v>
      </c>
      <c r="B816" s="5" t="str">
        <f ca="1">IFERROR(__xludf.DUMMYFUNCTION("if(ISBLANK(C816),,QUERY(MD!A817:D1815,""Select A where C = '""&amp; C816 &amp;""'""))"),"")</f>
        <v/>
      </c>
      <c r="C816" s="5"/>
      <c r="E816" s="49"/>
      <c r="F816" s="5"/>
      <c r="G816" s="32"/>
      <c r="H816" s="61"/>
      <c r="I816" s="32"/>
      <c r="J816" s="61"/>
      <c r="K816" s="32"/>
      <c r="L816" s="61"/>
      <c r="M816" s="32"/>
      <c r="N816" s="61"/>
      <c r="O816" s="32"/>
      <c r="P816" s="61"/>
      <c r="Q816" s="62"/>
      <c r="R816" s="63"/>
      <c r="S816" s="63"/>
      <c r="T816" s="63"/>
      <c r="U816" s="63"/>
    </row>
    <row r="817" spans="1:21" ht="13.2">
      <c r="A817" s="5">
        <f t="shared" ca="1" si="5"/>
        <v>816</v>
      </c>
      <c r="B817" s="5" t="str">
        <f ca="1">IFERROR(__xludf.DUMMYFUNCTION("if(ISBLANK(C817),,QUERY(MD!A818:D1816,""Select A where C = '""&amp; C817 &amp;""'""))"),"")</f>
        <v/>
      </c>
      <c r="C817" s="5"/>
      <c r="E817" s="49"/>
      <c r="F817" s="5"/>
      <c r="G817" s="32"/>
      <c r="H817" s="61"/>
      <c r="I817" s="32"/>
      <c r="J817" s="61"/>
      <c r="K817" s="32"/>
      <c r="L817" s="61"/>
      <c r="M817" s="32"/>
      <c r="N817" s="61"/>
      <c r="O817" s="32"/>
      <c r="P817" s="61"/>
      <c r="Q817" s="62"/>
      <c r="R817" s="63"/>
      <c r="S817" s="63"/>
      <c r="T817" s="63"/>
      <c r="U817" s="63"/>
    </row>
    <row r="818" spans="1:21" ht="13.2">
      <c r="A818" s="5">
        <f t="shared" ca="1" si="5"/>
        <v>817</v>
      </c>
      <c r="B818" s="5" t="str">
        <f ca="1">IFERROR(__xludf.DUMMYFUNCTION("if(ISBLANK(C818),,QUERY(MD!A819:D1817,""Select A where C = '""&amp; C818 &amp;""'""))"),"")</f>
        <v/>
      </c>
      <c r="C818" s="5"/>
      <c r="E818" s="49"/>
      <c r="F818" s="5"/>
      <c r="G818" s="32"/>
      <c r="H818" s="61"/>
      <c r="I818" s="32"/>
      <c r="J818" s="61"/>
      <c r="K818" s="32"/>
      <c r="L818" s="61"/>
      <c r="M818" s="32"/>
      <c r="N818" s="61"/>
      <c r="O818" s="32"/>
      <c r="P818" s="61"/>
      <c r="Q818" s="62"/>
      <c r="R818" s="63"/>
      <c r="S818" s="63"/>
      <c r="T818" s="63"/>
      <c r="U818" s="63"/>
    </row>
    <row r="819" spans="1:21" ht="13.2">
      <c r="A819" s="5">
        <f t="shared" ca="1" si="5"/>
        <v>818</v>
      </c>
      <c r="B819" s="5" t="str">
        <f ca="1">IFERROR(__xludf.DUMMYFUNCTION("if(ISBLANK(C819),,QUERY(MD!A820:D1818,""Select A where C = '""&amp; C819 &amp;""'""))"),"")</f>
        <v/>
      </c>
      <c r="C819" s="5"/>
      <c r="E819" s="49"/>
      <c r="F819" s="5"/>
      <c r="G819" s="32"/>
      <c r="H819" s="61"/>
      <c r="I819" s="32"/>
      <c r="J819" s="61"/>
      <c r="K819" s="32"/>
      <c r="L819" s="61"/>
      <c r="M819" s="32"/>
      <c r="N819" s="61"/>
      <c r="O819" s="32"/>
      <c r="P819" s="61"/>
      <c r="Q819" s="62"/>
      <c r="R819" s="63"/>
      <c r="S819" s="63"/>
      <c r="T819" s="63"/>
      <c r="U819" s="63"/>
    </row>
    <row r="820" spans="1:21" ht="13.2">
      <c r="A820" s="5">
        <f t="shared" ca="1" si="5"/>
        <v>819</v>
      </c>
      <c r="B820" s="5" t="str">
        <f ca="1">IFERROR(__xludf.DUMMYFUNCTION("if(ISBLANK(C820),,QUERY(MD!A821:D1819,""Select A where C = '""&amp; C820 &amp;""'""))"),"")</f>
        <v/>
      </c>
      <c r="C820" s="5"/>
      <c r="E820" s="49"/>
      <c r="F820" s="5"/>
      <c r="G820" s="32"/>
      <c r="H820" s="61"/>
      <c r="I820" s="32"/>
      <c r="J820" s="61"/>
      <c r="K820" s="32"/>
      <c r="L820" s="61"/>
      <c r="M820" s="32"/>
      <c r="N820" s="61"/>
      <c r="O820" s="32"/>
      <c r="P820" s="61"/>
      <c r="Q820" s="62"/>
      <c r="R820" s="63"/>
      <c r="S820" s="63"/>
      <c r="T820" s="63"/>
      <c r="U820" s="63"/>
    </row>
    <row r="821" spans="1:21" ht="13.2">
      <c r="A821" s="5">
        <f t="shared" ca="1" si="5"/>
        <v>820</v>
      </c>
      <c r="B821" s="5" t="str">
        <f ca="1">IFERROR(__xludf.DUMMYFUNCTION("if(ISBLANK(C821),,QUERY(MD!A822:D1820,""Select A where C = '""&amp; C821 &amp;""'""))"),"")</f>
        <v/>
      </c>
      <c r="C821" s="5"/>
      <c r="E821" s="49"/>
      <c r="F821" s="5"/>
      <c r="G821" s="32"/>
      <c r="H821" s="61"/>
      <c r="I821" s="32"/>
      <c r="J821" s="61"/>
      <c r="K821" s="32"/>
      <c r="L821" s="61"/>
      <c r="M821" s="32"/>
      <c r="N821" s="61"/>
      <c r="O821" s="32"/>
      <c r="P821" s="61"/>
      <c r="Q821" s="62"/>
      <c r="R821" s="63"/>
      <c r="S821" s="63"/>
      <c r="T821" s="63"/>
      <c r="U821" s="63"/>
    </row>
    <row r="822" spans="1:21" ht="13.2">
      <c r="A822" s="5">
        <f t="shared" ca="1" si="5"/>
        <v>821</v>
      </c>
      <c r="B822" s="5" t="str">
        <f ca="1">IFERROR(__xludf.DUMMYFUNCTION("if(ISBLANK(C822),,QUERY(MD!A823:D1821,""Select A where C = '""&amp; C822 &amp;""'""))"),"")</f>
        <v/>
      </c>
      <c r="C822" s="5"/>
      <c r="E822" s="49"/>
      <c r="F822" s="5"/>
      <c r="G822" s="32"/>
      <c r="H822" s="61"/>
      <c r="I822" s="32"/>
      <c r="J822" s="61"/>
      <c r="K822" s="32"/>
      <c r="L822" s="61"/>
      <c r="M822" s="32"/>
      <c r="N822" s="61"/>
      <c r="O822" s="32"/>
      <c r="P822" s="61"/>
      <c r="Q822" s="62"/>
      <c r="R822" s="63"/>
      <c r="S822" s="63"/>
      <c r="T822" s="63"/>
      <c r="U822" s="63"/>
    </row>
    <row r="823" spans="1:21" ht="13.2">
      <c r="A823" s="5">
        <f t="shared" ca="1" si="5"/>
        <v>822</v>
      </c>
      <c r="B823" s="5" t="str">
        <f ca="1">IFERROR(__xludf.DUMMYFUNCTION("if(ISBLANK(C823),,QUERY(MD!A824:D1822,""Select A where C = '""&amp; C823 &amp;""'""))"),"")</f>
        <v/>
      </c>
      <c r="C823" s="5"/>
      <c r="E823" s="49"/>
      <c r="F823" s="5"/>
      <c r="G823" s="32"/>
      <c r="H823" s="61"/>
      <c r="I823" s="32"/>
      <c r="J823" s="61"/>
      <c r="K823" s="32"/>
      <c r="L823" s="61"/>
      <c r="M823" s="32"/>
      <c r="N823" s="61"/>
      <c r="O823" s="32"/>
      <c r="P823" s="61"/>
      <c r="Q823" s="62"/>
      <c r="R823" s="63"/>
      <c r="S823" s="63"/>
      <c r="T823" s="63"/>
      <c r="U823" s="63"/>
    </row>
    <row r="824" spans="1:21" ht="13.2">
      <c r="A824" s="5">
        <f t="shared" ca="1" si="5"/>
        <v>823</v>
      </c>
      <c r="B824" s="5" t="str">
        <f ca="1">IFERROR(__xludf.DUMMYFUNCTION("if(ISBLANK(C824),,QUERY(MD!A825:D1823,""Select A where C = '""&amp; C824 &amp;""'""))"),"")</f>
        <v/>
      </c>
      <c r="C824" s="5"/>
      <c r="E824" s="49"/>
      <c r="F824" s="5"/>
      <c r="G824" s="32"/>
      <c r="H824" s="61"/>
      <c r="I824" s="32"/>
      <c r="J824" s="61"/>
      <c r="K824" s="32"/>
      <c r="L824" s="61"/>
      <c r="M824" s="32"/>
      <c r="N824" s="61"/>
      <c r="O824" s="32"/>
      <c r="P824" s="61"/>
      <c r="Q824" s="62"/>
      <c r="R824" s="63"/>
      <c r="S824" s="63"/>
      <c r="T824" s="63"/>
      <c r="U824" s="63"/>
    </row>
    <row r="825" spans="1:21" ht="13.2">
      <c r="A825" s="5">
        <f t="shared" ca="1" si="5"/>
        <v>824</v>
      </c>
      <c r="B825" s="5" t="str">
        <f ca="1">IFERROR(__xludf.DUMMYFUNCTION("if(ISBLANK(C825),,QUERY(MD!A826:D1824,""Select A where C = '""&amp; C825 &amp;""'""))"),"")</f>
        <v/>
      </c>
      <c r="C825" s="5"/>
      <c r="E825" s="49"/>
      <c r="F825" s="5"/>
      <c r="G825" s="32"/>
      <c r="H825" s="61"/>
      <c r="I825" s="32"/>
      <c r="J825" s="61"/>
      <c r="K825" s="32"/>
      <c r="L825" s="61"/>
      <c r="M825" s="32"/>
      <c r="N825" s="61"/>
      <c r="O825" s="32"/>
      <c r="P825" s="61"/>
      <c r="Q825" s="62"/>
      <c r="R825" s="63"/>
      <c r="S825" s="63"/>
      <c r="T825" s="63"/>
      <c r="U825" s="63"/>
    </row>
    <row r="826" spans="1:21" ht="13.2">
      <c r="A826" s="5">
        <f t="shared" ca="1" si="5"/>
        <v>825</v>
      </c>
      <c r="B826" s="5" t="str">
        <f ca="1">IFERROR(__xludf.DUMMYFUNCTION("if(ISBLANK(C826),,QUERY(MD!A827:D1825,""Select A where C = '""&amp; C826 &amp;""'""))"),"")</f>
        <v/>
      </c>
      <c r="C826" s="5"/>
      <c r="E826" s="49"/>
      <c r="F826" s="5"/>
      <c r="G826" s="32"/>
      <c r="H826" s="61"/>
      <c r="I826" s="32"/>
      <c r="J826" s="61"/>
      <c r="K826" s="32"/>
      <c r="L826" s="61"/>
      <c r="M826" s="32"/>
      <c r="N826" s="61"/>
      <c r="O826" s="32"/>
      <c r="P826" s="61"/>
      <c r="Q826" s="62"/>
      <c r="R826" s="63"/>
      <c r="S826" s="63"/>
      <c r="T826" s="63"/>
      <c r="U826" s="63"/>
    </row>
    <row r="827" spans="1:21" ht="13.2">
      <c r="A827" s="5">
        <f t="shared" ca="1" si="5"/>
        <v>826</v>
      </c>
      <c r="B827" s="5" t="str">
        <f ca="1">IFERROR(__xludf.DUMMYFUNCTION("if(ISBLANK(C827),,QUERY(MD!A828:D1826,""Select A where C = '""&amp; C827 &amp;""'""))"),"")</f>
        <v/>
      </c>
      <c r="C827" s="5"/>
      <c r="E827" s="49"/>
      <c r="F827" s="5"/>
      <c r="G827" s="32"/>
      <c r="H827" s="61"/>
      <c r="I827" s="32"/>
      <c r="J827" s="61"/>
      <c r="K827" s="32"/>
      <c r="L827" s="61"/>
      <c r="M827" s="32"/>
      <c r="N827" s="61"/>
      <c r="O827" s="32"/>
      <c r="P827" s="61"/>
      <c r="Q827" s="62"/>
      <c r="R827" s="63"/>
      <c r="S827" s="63"/>
      <c r="T827" s="63"/>
      <c r="U827" s="63"/>
    </row>
    <row r="828" spans="1:21" ht="13.2">
      <c r="A828" s="5">
        <f t="shared" ca="1" si="5"/>
        <v>827</v>
      </c>
      <c r="B828" s="5" t="str">
        <f ca="1">IFERROR(__xludf.DUMMYFUNCTION("if(ISBLANK(C828),,QUERY(MD!A829:D1827,""Select A where C = '""&amp; C828 &amp;""'""))"),"")</f>
        <v/>
      </c>
      <c r="C828" s="5"/>
      <c r="E828" s="49"/>
      <c r="F828" s="5"/>
      <c r="G828" s="32"/>
      <c r="H828" s="61"/>
      <c r="I828" s="32"/>
      <c r="J828" s="61"/>
      <c r="K828" s="32"/>
      <c r="L828" s="61"/>
      <c r="M828" s="32"/>
      <c r="N828" s="61"/>
      <c r="O828" s="32"/>
      <c r="P828" s="61"/>
      <c r="Q828" s="62"/>
      <c r="R828" s="63"/>
      <c r="S828" s="63"/>
      <c r="T828" s="63"/>
      <c r="U828" s="63"/>
    </row>
    <row r="829" spans="1:21" ht="13.2">
      <c r="A829" s="5">
        <f t="shared" ca="1" si="5"/>
        <v>828</v>
      </c>
      <c r="B829" s="5" t="str">
        <f ca="1">IFERROR(__xludf.DUMMYFUNCTION("if(ISBLANK(C829),,QUERY(MD!A830:D1828,""Select A where C = '""&amp; C829 &amp;""'""))"),"")</f>
        <v/>
      </c>
      <c r="C829" s="5"/>
      <c r="E829" s="49"/>
      <c r="F829" s="5"/>
      <c r="G829" s="32"/>
      <c r="H829" s="61"/>
      <c r="I829" s="32"/>
      <c r="J829" s="61"/>
      <c r="K829" s="32"/>
      <c r="L829" s="61"/>
      <c r="M829" s="32"/>
      <c r="N829" s="61"/>
      <c r="O829" s="32"/>
      <c r="P829" s="61"/>
      <c r="Q829" s="62"/>
      <c r="R829" s="63"/>
      <c r="S829" s="63"/>
      <c r="T829" s="63"/>
      <c r="U829" s="63"/>
    </row>
    <row r="830" spans="1:21" ht="13.2">
      <c r="A830" s="5">
        <f t="shared" ca="1" si="5"/>
        <v>829</v>
      </c>
      <c r="B830" s="5" t="str">
        <f ca="1">IFERROR(__xludf.DUMMYFUNCTION("if(ISBLANK(C830),,QUERY(MD!A831:D1829,""Select A where C = '""&amp; C830 &amp;""'""))"),"")</f>
        <v/>
      </c>
      <c r="C830" s="5"/>
      <c r="E830" s="49"/>
      <c r="F830" s="5"/>
      <c r="G830" s="32"/>
      <c r="H830" s="61"/>
      <c r="I830" s="32"/>
      <c r="J830" s="61"/>
      <c r="K830" s="32"/>
      <c r="L830" s="61"/>
      <c r="M830" s="32"/>
      <c r="N830" s="61"/>
      <c r="O830" s="32"/>
      <c r="P830" s="61"/>
      <c r="Q830" s="62"/>
      <c r="R830" s="63"/>
      <c r="S830" s="63"/>
      <c r="T830" s="63"/>
      <c r="U830" s="63"/>
    </row>
    <row r="831" spans="1:21" ht="13.2">
      <c r="A831" s="5">
        <f t="shared" ca="1" si="5"/>
        <v>830</v>
      </c>
      <c r="B831" s="5" t="str">
        <f ca="1">IFERROR(__xludf.DUMMYFUNCTION("if(ISBLANK(C831),,QUERY(MD!A832:D1830,""Select A where C = '""&amp; C831 &amp;""'""))"),"")</f>
        <v/>
      </c>
      <c r="C831" s="5"/>
      <c r="E831" s="49"/>
      <c r="F831" s="5"/>
      <c r="G831" s="32"/>
      <c r="H831" s="61"/>
      <c r="I831" s="32"/>
      <c r="J831" s="61"/>
      <c r="K831" s="32"/>
      <c r="L831" s="61"/>
      <c r="M831" s="32"/>
      <c r="N831" s="61"/>
      <c r="O831" s="32"/>
      <c r="P831" s="61"/>
      <c r="Q831" s="62"/>
      <c r="R831" s="63"/>
      <c r="S831" s="63"/>
      <c r="T831" s="63"/>
      <c r="U831" s="63"/>
    </row>
    <row r="832" spans="1:21" ht="13.2">
      <c r="A832" s="5">
        <f t="shared" ca="1" si="5"/>
        <v>831</v>
      </c>
      <c r="B832" s="5" t="str">
        <f ca="1">IFERROR(__xludf.DUMMYFUNCTION("if(ISBLANK(C832),,QUERY(MD!A833:D1831,""Select A where C = '""&amp; C832 &amp;""'""))"),"")</f>
        <v/>
      </c>
      <c r="C832" s="5"/>
      <c r="E832" s="49"/>
      <c r="F832" s="5"/>
      <c r="G832" s="32"/>
      <c r="H832" s="61"/>
      <c r="I832" s="32"/>
      <c r="J832" s="61"/>
      <c r="K832" s="32"/>
      <c r="L832" s="61"/>
      <c r="M832" s="32"/>
      <c r="N832" s="61"/>
      <c r="O832" s="32"/>
      <c r="P832" s="61"/>
      <c r="Q832" s="62"/>
      <c r="R832" s="63"/>
      <c r="S832" s="63"/>
      <c r="T832" s="63"/>
      <c r="U832" s="63"/>
    </row>
    <row r="833" spans="1:21" ht="13.2">
      <c r="A833" s="5">
        <f t="shared" ca="1" si="5"/>
        <v>832</v>
      </c>
      <c r="B833" s="5" t="str">
        <f ca="1">IFERROR(__xludf.DUMMYFUNCTION("if(ISBLANK(C833),,QUERY(MD!A834:D1832,""Select A where C = '""&amp; C833 &amp;""'""))"),"")</f>
        <v/>
      </c>
      <c r="C833" s="5"/>
      <c r="E833" s="49"/>
      <c r="F833" s="5"/>
      <c r="G833" s="32"/>
      <c r="H833" s="61"/>
      <c r="I833" s="32"/>
      <c r="J833" s="61"/>
      <c r="K833" s="32"/>
      <c r="L833" s="61"/>
      <c r="M833" s="32"/>
      <c r="N833" s="61"/>
      <c r="O833" s="32"/>
      <c r="P833" s="61"/>
      <c r="Q833" s="62"/>
      <c r="R833" s="63"/>
      <c r="S833" s="63"/>
      <c r="T833" s="63"/>
      <c r="U833" s="63"/>
    </row>
    <row r="834" spans="1:21" ht="13.2">
      <c r="A834" s="5">
        <f t="shared" ca="1" si="5"/>
        <v>833</v>
      </c>
      <c r="B834" s="5" t="str">
        <f ca="1">IFERROR(__xludf.DUMMYFUNCTION("if(ISBLANK(C834),,QUERY(MD!A835:D1833,""Select A where C = '""&amp; C834 &amp;""'""))"),"")</f>
        <v/>
      </c>
      <c r="C834" s="5"/>
      <c r="E834" s="49"/>
      <c r="F834" s="5"/>
      <c r="G834" s="32"/>
      <c r="H834" s="61"/>
      <c r="I834" s="32"/>
      <c r="J834" s="61"/>
      <c r="K834" s="32"/>
      <c r="L834" s="61"/>
      <c r="M834" s="32"/>
      <c r="N834" s="61"/>
      <c r="O834" s="32"/>
      <c r="P834" s="61"/>
      <c r="Q834" s="62"/>
      <c r="R834" s="63"/>
      <c r="S834" s="63"/>
      <c r="T834" s="63"/>
      <c r="U834" s="63"/>
    </row>
    <row r="835" spans="1:21" ht="13.2">
      <c r="A835" s="5">
        <f t="shared" ca="1" si="5"/>
        <v>834</v>
      </c>
      <c r="B835" s="5" t="str">
        <f ca="1">IFERROR(__xludf.DUMMYFUNCTION("if(ISBLANK(C835),,QUERY(MD!A836:D1834,""Select A where C = '""&amp; C835 &amp;""'""))"),"")</f>
        <v/>
      </c>
      <c r="C835" s="5"/>
      <c r="E835" s="49"/>
      <c r="F835" s="5"/>
      <c r="G835" s="32"/>
      <c r="H835" s="61"/>
      <c r="I835" s="32"/>
      <c r="J835" s="61"/>
      <c r="K835" s="32"/>
      <c r="L835" s="61"/>
      <c r="M835" s="32"/>
      <c r="N835" s="61"/>
      <c r="O835" s="32"/>
      <c r="P835" s="61"/>
      <c r="Q835" s="62"/>
      <c r="R835" s="63"/>
      <c r="S835" s="63"/>
      <c r="T835" s="63"/>
      <c r="U835" s="63"/>
    </row>
    <row r="836" spans="1:21" ht="13.2">
      <c r="A836" s="5">
        <f t="shared" ca="1" si="5"/>
        <v>835</v>
      </c>
      <c r="B836" s="5" t="str">
        <f ca="1">IFERROR(__xludf.DUMMYFUNCTION("if(ISBLANK(C836),,QUERY(MD!A837:D1835,""Select A where C = '""&amp; C836 &amp;""'""))"),"")</f>
        <v/>
      </c>
      <c r="C836" s="5"/>
      <c r="E836" s="49"/>
      <c r="F836" s="5"/>
      <c r="G836" s="32"/>
      <c r="H836" s="61"/>
      <c r="I836" s="32"/>
      <c r="J836" s="61"/>
      <c r="K836" s="32"/>
      <c r="L836" s="61"/>
      <c r="M836" s="32"/>
      <c r="N836" s="61"/>
      <c r="O836" s="32"/>
      <c r="P836" s="61"/>
      <c r="Q836" s="62"/>
      <c r="R836" s="63"/>
      <c r="S836" s="63"/>
      <c r="T836" s="63"/>
      <c r="U836" s="63"/>
    </row>
    <row r="837" spans="1:21" ht="13.2">
      <c r="A837" s="5">
        <f t="shared" ca="1" si="5"/>
        <v>836</v>
      </c>
      <c r="B837" s="5" t="str">
        <f ca="1">IFERROR(__xludf.DUMMYFUNCTION("if(ISBLANK(C837),,QUERY(MD!A838:D1836,""Select A where C = '""&amp; C837 &amp;""'""))"),"")</f>
        <v/>
      </c>
      <c r="C837" s="5"/>
      <c r="E837" s="49"/>
      <c r="F837" s="5"/>
      <c r="G837" s="32"/>
      <c r="H837" s="61"/>
      <c r="I837" s="32"/>
      <c r="J837" s="61"/>
      <c r="K837" s="32"/>
      <c r="L837" s="61"/>
      <c r="M837" s="32"/>
      <c r="N837" s="61"/>
      <c r="O837" s="32"/>
      <c r="P837" s="61"/>
      <c r="Q837" s="62"/>
      <c r="R837" s="63"/>
      <c r="S837" s="63"/>
      <c r="T837" s="63"/>
      <c r="U837" s="63"/>
    </row>
    <row r="838" spans="1:21" ht="13.2">
      <c r="A838" s="5">
        <f t="shared" ca="1" si="5"/>
        <v>837</v>
      </c>
      <c r="B838" s="5" t="str">
        <f ca="1">IFERROR(__xludf.DUMMYFUNCTION("if(ISBLANK(C838),,QUERY(MD!A839:D1837,""Select A where C = '""&amp; C838 &amp;""'""))"),"")</f>
        <v/>
      </c>
      <c r="C838" s="5"/>
      <c r="E838" s="49"/>
      <c r="F838" s="5"/>
      <c r="G838" s="32"/>
      <c r="H838" s="61"/>
      <c r="I838" s="32"/>
      <c r="J838" s="61"/>
      <c r="K838" s="32"/>
      <c r="L838" s="61"/>
      <c r="M838" s="32"/>
      <c r="N838" s="61"/>
      <c r="O838" s="32"/>
      <c r="P838" s="61"/>
      <c r="Q838" s="62"/>
      <c r="R838" s="63"/>
      <c r="S838" s="63"/>
      <c r="T838" s="63"/>
      <c r="U838" s="63"/>
    </row>
    <row r="839" spans="1:21" ht="13.2">
      <c r="A839" s="5">
        <f t="shared" ca="1" si="5"/>
        <v>838</v>
      </c>
      <c r="B839" s="5" t="str">
        <f ca="1">IFERROR(__xludf.DUMMYFUNCTION("if(ISBLANK(C839),,QUERY(MD!A840:D1838,""Select A where C = '""&amp; C839 &amp;""'""))"),"")</f>
        <v/>
      </c>
      <c r="C839" s="5"/>
      <c r="E839" s="49"/>
      <c r="F839" s="5"/>
      <c r="G839" s="32"/>
      <c r="H839" s="61"/>
      <c r="I839" s="32"/>
      <c r="J839" s="61"/>
      <c r="K839" s="32"/>
      <c r="L839" s="61"/>
      <c r="M839" s="32"/>
      <c r="N839" s="61"/>
      <c r="O839" s="32"/>
      <c r="P839" s="61"/>
      <c r="Q839" s="62"/>
      <c r="R839" s="63"/>
      <c r="S839" s="63"/>
      <c r="T839" s="63"/>
      <c r="U839" s="63"/>
    </row>
    <row r="840" spans="1:21" ht="13.2">
      <c r="A840" s="5">
        <f t="shared" ca="1" si="5"/>
        <v>839</v>
      </c>
      <c r="B840" s="5" t="str">
        <f ca="1">IFERROR(__xludf.DUMMYFUNCTION("if(ISBLANK(C840),,QUERY(MD!A841:D1839,""Select A where C = '""&amp; C840 &amp;""'""))"),"")</f>
        <v/>
      </c>
      <c r="C840" s="5"/>
      <c r="E840" s="49"/>
      <c r="F840" s="5"/>
      <c r="G840" s="32"/>
      <c r="H840" s="61"/>
      <c r="I840" s="32"/>
      <c r="J840" s="61"/>
      <c r="K840" s="32"/>
      <c r="L840" s="61"/>
      <c r="M840" s="32"/>
      <c r="N840" s="61"/>
      <c r="O840" s="32"/>
      <c r="P840" s="61"/>
      <c r="Q840" s="62"/>
      <c r="R840" s="63"/>
      <c r="S840" s="63"/>
      <c r="T840" s="63"/>
      <c r="U840" s="63"/>
    </row>
    <row r="841" spans="1:21" ht="13.2">
      <c r="A841" s="5">
        <f t="shared" ca="1" si="5"/>
        <v>840</v>
      </c>
      <c r="B841" s="5" t="str">
        <f ca="1">IFERROR(__xludf.DUMMYFUNCTION("if(ISBLANK(C841),,QUERY(MD!A842:D1840,""Select A where C = '""&amp; C841 &amp;""'""))"),"")</f>
        <v/>
      </c>
      <c r="C841" s="5"/>
      <c r="E841" s="49"/>
      <c r="F841" s="5"/>
      <c r="G841" s="32"/>
      <c r="H841" s="61"/>
      <c r="I841" s="32"/>
      <c r="J841" s="61"/>
      <c r="K841" s="32"/>
      <c r="L841" s="61"/>
      <c r="M841" s="32"/>
      <c r="N841" s="61"/>
      <c r="O841" s="32"/>
      <c r="P841" s="61"/>
      <c r="Q841" s="62"/>
      <c r="R841" s="63"/>
      <c r="S841" s="63"/>
      <c r="T841" s="63"/>
      <c r="U841" s="63"/>
    </row>
    <row r="842" spans="1:21" ht="13.2">
      <c r="A842" s="5">
        <f t="shared" ca="1" si="5"/>
        <v>841</v>
      </c>
      <c r="B842" s="5" t="str">
        <f ca="1">IFERROR(__xludf.DUMMYFUNCTION("if(ISBLANK(C842),,QUERY(MD!A843:D1841,""Select A where C = '""&amp; C842 &amp;""'""))"),"")</f>
        <v/>
      </c>
      <c r="C842" s="5"/>
      <c r="E842" s="49"/>
      <c r="F842" s="5"/>
      <c r="G842" s="32"/>
      <c r="H842" s="61"/>
      <c r="I842" s="32"/>
      <c r="J842" s="61"/>
      <c r="K842" s="32"/>
      <c r="L842" s="61"/>
      <c r="M842" s="32"/>
      <c r="N842" s="61"/>
      <c r="O842" s="32"/>
      <c r="P842" s="61"/>
      <c r="Q842" s="62"/>
      <c r="R842" s="63"/>
      <c r="S842" s="63"/>
      <c r="T842" s="63"/>
      <c r="U842" s="63"/>
    </row>
    <row r="843" spans="1:21" ht="13.2">
      <c r="A843" s="5">
        <f t="shared" ca="1" si="5"/>
        <v>842</v>
      </c>
      <c r="B843" s="5" t="str">
        <f ca="1">IFERROR(__xludf.DUMMYFUNCTION("if(ISBLANK(C843),,QUERY(MD!A844:D1842,""Select A where C = '""&amp; C843 &amp;""'""))"),"")</f>
        <v/>
      </c>
      <c r="C843" s="5"/>
      <c r="E843" s="49"/>
      <c r="F843" s="5"/>
      <c r="G843" s="32"/>
      <c r="H843" s="61"/>
      <c r="I843" s="32"/>
      <c r="J843" s="61"/>
      <c r="K843" s="32"/>
      <c r="L843" s="61"/>
      <c r="M843" s="32"/>
      <c r="N843" s="61"/>
      <c r="O843" s="32"/>
      <c r="P843" s="61"/>
      <c r="Q843" s="62"/>
      <c r="R843" s="63"/>
      <c r="S843" s="63"/>
      <c r="T843" s="63"/>
      <c r="U843" s="63"/>
    </row>
    <row r="844" spans="1:21" ht="13.2">
      <c r="A844" s="5">
        <f t="shared" ca="1" si="5"/>
        <v>843</v>
      </c>
      <c r="B844" s="5" t="str">
        <f ca="1">IFERROR(__xludf.DUMMYFUNCTION("if(ISBLANK(C844),,QUERY(MD!A845:D1843,""Select A where C = '""&amp; C844 &amp;""'""))"),"")</f>
        <v/>
      </c>
      <c r="C844" s="5"/>
      <c r="E844" s="49"/>
      <c r="F844" s="5"/>
      <c r="G844" s="32"/>
      <c r="H844" s="61"/>
      <c r="I844" s="32"/>
      <c r="J844" s="61"/>
      <c r="K844" s="32"/>
      <c r="L844" s="61"/>
      <c r="M844" s="32"/>
      <c r="N844" s="61"/>
      <c r="O844" s="32"/>
      <c r="P844" s="61"/>
      <c r="Q844" s="62"/>
      <c r="R844" s="63"/>
      <c r="S844" s="63"/>
      <c r="T844" s="63"/>
      <c r="U844" s="63"/>
    </row>
    <row r="845" spans="1:21" ht="13.2">
      <c r="A845" s="5">
        <f t="shared" ca="1" si="5"/>
        <v>844</v>
      </c>
      <c r="B845" s="5" t="str">
        <f ca="1">IFERROR(__xludf.DUMMYFUNCTION("if(ISBLANK(C845),,QUERY(MD!A846:D1844,""Select A where C = '""&amp; C845 &amp;""'""))"),"")</f>
        <v/>
      </c>
      <c r="C845" s="5"/>
      <c r="E845" s="49"/>
      <c r="F845" s="5"/>
      <c r="G845" s="32"/>
      <c r="H845" s="61"/>
      <c r="I845" s="32"/>
      <c r="J845" s="61"/>
      <c r="K845" s="32"/>
      <c r="L845" s="61"/>
      <c r="M845" s="32"/>
      <c r="N845" s="61"/>
      <c r="O845" s="32"/>
      <c r="P845" s="61"/>
      <c r="Q845" s="62"/>
      <c r="R845" s="63"/>
      <c r="S845" s="63"/>
      <c r="T845" s="63"/>
      <c r="U845" s="63"/>
    </row>
    <row r="846" spans="1:21" ht="13.2">
      <c r="A846" s="5">
        <f t="shared" ca="1" si="5"/>
        <v>845</v>
      </c>
      <c r="B846" s="5" t="str">
        <f ca="1">IFERROR(__xludf.DUMMYFUNCTION("if(ISBLANK(C846),,QUERY(MD!A847:D1845,""Select A where C = '""&amp; C846 &amp;""'""))"),"")</f>
        <v/>
      </c>
      <c r="C846" s="5"/>
      <c r="E846" s="49"/>
      <c r="F846" s="5"/>
      <c r="G846" s="32"/>
      <c r="H846" s="61"/>
      <c r="I846" s="32"/>
      <c r="J846" s="61"/>
      <c r="K846" s="32"/>
      <c r="L846" s="61"/>
      <c r="M846" s="32"/>
      <c r="N846" s="61"/>
      <c r="O846" s="32"/>
      <c r="P846" s="61"/>
      <c r="Q846" s="62"/>
      <c r="R846" s="63"/>
      <c r="S846" s="63"/>
      <c r="T846" s="63"/>
      <c r="U846" s="63"/>
    </row>
    <row r="847" spans="1:21" ht="13.2">
      <c r="A847" s="5">
        <f t="shared" ca="1" si="5"/>
        <v>846</v>
      </c>
      <c r="B847" s="5" t="str">
        <f ca="1">IFERROR(__xludf.DUMMYFUNCTION("if(ISBLANK(C847),,QUERY(MD!A848:D1846,""Select A where C = '""&amp; C847 &amp;""'""))"),"")</f>
        <v/>
      </c>
      <c r="C847" s="5"/>
      <c r="E847" s="49"/>
      <c r="F847" s="5"/>
      <c r="G847" s="32"/>
      <c r="H847" s="61"/>
      <c r="I847" s="32"/>
      <c r="J847" s="61"/>
      <c r="K847" s="32"/>
      <c r="L847" s="61"/>
      <c r="M847" s="32"/>
      <c r="N847" s="61"/>
      <c r="O847" s="32"/>
      <c r="P847" s="61"/>
      <c r="Q847" s="62"/>
      <c r="R847" s="63"/>
      <c r="S847" s="63"/>
      <c r="T847" s="63"/>
      <c r="U847" s="63"/>
    </row>
    <row r="848" spans="1:21" ht="13.2">
      <c r="A848" s="5">
        <f t="shared" ca="1" si="5"/>
        <v>847</v>
      </c>
      <c r="B848" s="5" t="str">
        <f ca="1">IFERROR(__xludf.DUMMYFUNCTION("if(ISBLANK(C848),,QUERY(MD!A849:D1847,""Select A where C = '""&amp; C848 &amp;""'""))"),"")</f>
        <v/>
      </c>
      <c r="C848" s="5"/>
      <c r="E848" s="49"/>
      <c r="F848" s="5"/>
      <c r="G848" s="32"/>
      <c r="H848" s="61"/>
      <c r="I848" s="32"/>
      <c r="J848" s="61"/>
      <c r="K848" s="32"/>
      <c r="L848" s="61"/>
      <c r="M848" s="32"/>
      <c r="N848" s="61"/>
      <c r="O848" s="32"/>
      <c r="P848" s="61"/>
      <c r="Q848" s="62"/>
      <c r="R848" s="63"/>
      <c r="S848" s="63"/>
      <c r="T848" s="63"/>
      <c r="U848" s="63"/>
    </row>
    <row r="849" spans="1:21" ht="13.2">
      <c r="A849" s="5">
        <f t="shared" ca="1" si="5"/>
        <v>848</v>
      </c>
      <c r="B849" s="5" t="str">
        <f ca="1">IFERROR(__xludf.DUMMYFUNCTION("if(ISBLANK(C849),,QUERY(MD!A850:D1848,""Select A where C = '""&amp; C849 &amp;""'""))"),"")</f>
        <v/>
      </c>
      <c r="C849" s="5"/>
      <c r="E849" s="49"/>
      <c r="F849" s="5"/>
      <c r="G849" s="32"/>
      <c r="H849" s="61"/>
      <c r="I849" s="32"/>
      <c r="J849" s="61"/>
      <c r="K849" s="32"/>
      <c r="L849" s="61"/>
      <c r="M849" s="32"/>
      <c r="N849" s="61"/>
      <c r="O849" s="32"/>
      <c r="P849" s="61"/>
      <c r="Q849" s="62"/>
      <c r="R849" s="63"/>
      <c r="S849" s="63"/>
      <c r="T849" s="63"/>
      <c r="U849" s="63"/>
    </row>
    <row r="850" spans="1:21" ht="13.2">
      <c r="A850" s="5">
        <f t="shared" ca="1" si="5"/>
        <v>849</v>
      </c>
      <c r="B850" s="5" t="str">
        <f ca="1">IFERROR(__xludf.DUMMYFUNCTION("if(ISBLANK(C850),,QUERY(MD!A851:D1849,""Select A where C = '""&amp; C850 &amp;""'""))"),"")</f>
        <v/>
      </c>
      <c r="C850" s="5"/>
      <c r="E850" s="49"/>
      <c r="F850" s="5"/>
      <c r="G850" s="32"/>
      <c r="H850" s="61"/>
      <c r="I850" s="32"/>
      <c r="J850" s="61"/>
      <c r="K850" s="32"/>
      <c r="L850" s="61"/>
      <c r="M850" s="32"/>
      <c r="N850" s="61"/>
      <c r="O850" s="32"/>
      <c r="P850" s="61"/>
      <c r="Q850" s="62"/>
      <c r="R850" s="63"/>
      <c r="S850" s="63"/>
      <c r="T850" s="63"/>
      <c r="U850" s="63"/>
    </row>
    <row r="851" spans="1:21" ht="13.2">
      <c r="A851" s="5">
        <f t="shared" ca="1" si="5"/>
        <v>850</v>
      </c>
      <c r="B851" s="5" t="str">
        <f ca="1">IFERROR(__xludf.DUMMYFUNCTION("if(ISBLANK(C851),,QUERY(MD!A852:D1850,""Select A where C = '""&amp; C851 &amp;""'""))"),"")</f>
        <v/>
      </c>
      <c r="C851" s="5"/>
      <c r="E851" s="49"/>
      <c r="F851" s="5"/>
      <c r="G851" s="32"/>
      <c r="H851" s="61"/>
      <c r="I851" s="32"/>
      <c r="J851" s="61"/>
      <c r="K851" s="32"/>
      <c r="L851" s="61"/>
      <c r="M851" s="32"/>
      <c r="N851" s="61"/>
      <c r="O851" s="32"/>
      <c r="P851" s="61"/>
      <c r="Q851" s="62"/>
      <c r="R851" s="63"/>
      <c r="S851" s="63"/>
      <c r="T851" s="63"/>
      <c r="U851" s="63"/>
    </row>
    <row r="852" spans="1:21" ht="13.2">
      <c r="A852" s="5">
        <f t="shared" ca="1" si="5"/>
        <v>851</v>
      </c>
      <c r="B852" s="5" t="str">
        <f ca="1">IFERROR(__xludf.DUMMYFUNCTION("if(ISBLANK(C852),,QUERY(MD!A853:D1851,""Select A where C = '""&amp; C852 &amp;""'""))"),"")</f>
        <v/>
      </c>
      <c r="C852" s="5"/>
      <c r="E852" s="49"/>
      <c r="F852" s="5"/>
      <c r="G852" s="32"/>
      <c r="H852" s="61"/>
      <c r="I852" s="32"/>
      <c r="J852" s="61"/>
      <c r="K852" s="32"/>
      <c r="L852" s="61"/>
      <c r="M852" s="32"/>
      <c r="N852" s="61"/>
      <c r="O852" s="32"/>
      <c r="P852" s="61"/>
      <c r="Q852" s="62"/>
      <c r="R852" s="63"/>
      <c r="S852" s="63"/>
      <c r="T852" s="63"/>
      <c r="U852" s="63"/>
    </row>
    <row r="853" spans="1:21" ht="13.2">
      <c r="A853" s="5">
        <f t="shared" ca="1" si="5"/>
        <v>852</v>
      </c>
      <c r="B853" s="5" t="str">
        <f ca="1">IFERROR(__xludf.DUMMYFUNCTION("if(ISBLANK(C853),,QUERY(MD!A854:D1852,""Select A where C = '""&amp; C853 &amp;""'""))"),"")</f>
        <v/>
      </c>
      <c r="C853" s="5"/>
      <c r="E853" s="49"/>
      <c r="F853" s="5"/>
      <c r="G853" s="32"/>
      <c r="H853" s="61"/>
      <c r="I853" s="32"/>
      <c r="J853" s="61"/>
      <c r="K853" s="32"/>
      <c r="L853" s="61"/>
      <c r="M853" s="32"/>
      <c r="N853" s="61"/>
      <c r="O853" s="32"/>
      <c r="P853" s="61"/>
      <c r="Q853" s="62"/>
      <c r="R853" s="63"/>
      <c r="S853" s="63"/>
      <c r="T853" s="63"/>
      <c r="U853" s="63"/>
    </row>
    <row r="854" spans="1:21" ht="13.2">
      <c r="A854" s="5">
        <f t="shared" ca="1" si="5"/>
        <v>853</v>
      </c>
      <c r="B854" s="5" t="str">
        <f ca="1">IFERROR(__xludf.DUMMYFUNCTION("if(ISBLANK(C854),,QUERY(MD!A855:D1853,""Select A where C = '""&amp; C854 &amp;""'""))"),"")</f>
        <v/>
      </c>
      <c r="C854" s="5"/>
      <c r="E854" s="49"/>
      <c r="F854" s="5"/>
      <c r="G854" s="32"/>
      <c r="H854" s="61"/>
      <c r="I854" s="32"/>
      <c r="J854" s="61"/>
      <c r="K854" s="32"/>
      <c r="L854" s="61"/>
      <c r="M854" s="32"/>
      <c r="N854" s="61"/>
      <c r="O854" s="32"/>
      <c r="P854" s="61"/>
      <c r="Q854" s="62"/>
      <c r="R854" s="63"/>
      <c r="S854" s="63"/>
      <c r="T854" s="63"/>
      <c r="U854" s="63"/>
    </row>
    <row r="855" spans="1:21" ht="13.2">
      <c r="A855" s="5">
        <f t="shared" ca="1" si="5"/>
        <v>854</v>
      </c>
      <c r="B855" s="5" t="str">
        <f ca="1">IFERROR(__xludf.DUMMYFUNCTION("if(ISBLANK(C855),,QUERY(MD!A856:D1854,""Select A where C = '""&amp; C855 &amp;""'""))"),"")</f>
        <v/>
      </c>
      <c r="C855" s="5"/>
      <c r="E855" s="49"/>
      <c r="F855" s="5"/>
      <c r="G855" s="32"/>
      <c r="H855" s="61"/>
      <c r="I855" s="32"/>
      <c r="J855" s="61"/>
      <c r="K855" s="32"/>
      <c r="L855" s="61"/>
      <c r="M855" s="32"/>
      <c r="N855" s="61"/>
      <c r="O855" s="32"/>
      <c r="P855" s="61"/>
      <c r="Q855" s="62"/>
      <c r="R855" s="63"/>
      <c r="S855" s="63"/>
      <c r="T855" s="63"/>
      <c r="U855" s="63"/>
    </row>
    <row r="856" spans="1:21" ht="13.2">
      <c r="A856" s="5">
        <f t="shared" ca="1" si="5"/>
        <v>855</v>
      </c>
      <c r="B856" s="5" t="str">
        <f ca="1">IFERROR(__xludf.DUMMYFUNCTION("if(ISBLANK(C856),,QUERY(MD!A857:D1855,""Select A where C = '""&amp; C856 &amp;""'""))"),"")</f>
        <v/>
      </c>
      <c r="C856" s="5"/>
      <c r="E856" s="49"/>
      <c r="F856" s="5"/>
      <c r="G856" s="32"/>
      <c r="H856" s="61"/>
      <c r="I856" s="32"/>
      <c r="J856" s="61"/>
      <c r="K856" s="32"/>
      <c r="L856" s="61"/>
      <c r="M856" s="32"/>
      <c r="N856" s="61"/>
      <c r="O856" s="32"/>
      <c r="P856" s="61"/>
      <c r="Q856" s="62"/>
      <c r="R856" s="63"/>
      <c r="S856" s="63"/>
      <c r="T856" s="63"/>
      <c r="U856" s="63"/>
    </row>
    <row r="857" spans="1:21" ht="13.2">
      <c r="A857" s="5">
        <f t="shared" ca="1" si="5"/>
        <v>856</v>
      </c>
      <c r="B857" s="5" t="str">
        <f ca="1">IFERROR(__xludf.DUMMYFUNCTION("if(ISBLANK(C857),,QUERY(MD!A858:D1856,""Select A where C = '""&amp; C857 &amp;""'""))"),"")</f>
        <v/>
      </c>
      <c r="C857" s="5"/>
      <c r="E857" s="49"/>
      <c r="F857" s="5"/>
      <c r="G857" s="32"/>
      <c r="H857" s="61"/>
      <c r="I857" s="32"/>
      <c r="J857" s="61"/>
      <c r="K857" s="32"/>
      <c r="L857" s="61"/>
      <c r="M857" s="32"/>
      <c r="N857" s="61"/>
      <c r="O857" s="32"/>
      <c r="P857" s="61"/>
      <c r="Q857" s="62"/>
      <c r="R857" s="63"/>
      <c r="S857" s="63"/>
      <c r="T857" s="63"/>
      <c r="U857" s="63"/>
    </row>
    <row r="858" spans="1:21" ht="13.2">
      <c r="A858" s="5">
        <f t="shared" ca="1" si="5"/>
        <v>857</v>
      </c>
      <c r="B858" s="5" t="str">
        <f ca="1">IFERROR(__xludf.DUMMYFUNCTION("if(ISBLANK(C858),,QUERY(MD!A859:D1857,""Select A where C = '""&amp; C858 &amp;""'""))"),"")</f>
        <v/>
      </c>
      <c r="C858" s="5"/>
      <c r="E858" s="49"/>
      <c r="F858" s="5"/>
      <c r="G858" s="32"/>
      <c r="H858" s="61"/>
      <c r="I858" s="32"/>
      <c r="J858" s="61"/>
      <c r="K858" s="32"/>
      <c r="L858" s="61"/>
      <c r="M858" s="32"/>
      <c r="N858" s="61"/>
      <c r="O858" s="32"/>
      <c r="P858" s="61"/>
      <c r="Q858" s="62"/>
      <c r="R858" s="63"/>
      <c r="S858" s="63"/>
      <c r="T858" s="63"/>
      <c r="U858" s="63"/>
    </row>
    <row r="859" spans="1:21" ht="13.2">
      <c r="A859" s="5">
        <f t="shared" ca="1" si="5"/>
        <v>858</v>
      </c>
      <c r="B859" s="5" t="str">
        <f ca="1">IFERROR(__xludf.DUMMYFUNCTION("if(ISBLANK(C859),,QUERY(MD!A860:D1858,""Select A where C = '""&amp; C859 &amp;""'""))"),"")</f>
        <v/>
      </c>
      <c r="C859" s="5"/>
      <c r="E859" s="49"/>
      <c r="F859" s="5"/>
      <c r="G859" s="32"/>
      <c r="H859" s="61"/>
      <c r="I859" s="32"/>
      <c r="J859" s="61"/>
      <c r="K859" s="32"/>
      <c r="L859" s="61"/>
      <c r="M859" s="32"/>
      <c r="N859" s="61"/>
      <c r="O859" s="32"/>
      <c r="P859" s="61"/>
      <c r="Q859" s="62"/>
      <c r="R859" s="63"/>
      <c r="S859" s="63"/>
      <c r="T859" s="63"/>
      <c r="U859" s="63"/>
    </row>
    <row r="860" spans="1:21" ht="13.2">
      <c r="A860" s="5">
        <f t="shared" ca="1" si="5"/>
        <v>859</v>
      </c>
      <c r="B860" s="5" t="str">
        <f ca="1">IFERROR(__xludf.DUMMYFUNCTION("if(ISBLANK(C860),,QUERY(MD!A861:D1859,""Select A where C = '""&amp; C860 &amp;""'""))"),"")</f>
        <v/>
      </c>
      <c r="C860" s="5"/>
      <c r="E860" s="49"/>
      <c r="F860" s="5"/>
      <c r="G860" s="32"/>
      <c r="H860" s="61"/>
      <c r="I860" s="32"/>
      <c r="J860" s="61"/>
      <c r="K860" s="32"/>
      <c r="L860" s="61"/>
      <c r="M860" s="32"/>
      <c r="N860" s="61"/>
      <c r="O860" s="32"/>
      <c r="P860" s="61"/>
      <c r="Q860" s="62"/>
      <c r="R860" s="63"/>
      <c r="S860" s="63"/>
      <c r="T860" s="63"/>
      <c r="U860" s="63"/>
    </row>
    <row r="861" spans="1:21" ht="13.2">
      <c r="A861" s="5">
        <f t="shared" ca="1" si="5"/>
        <v>860</v>
      </c>
      <c r="B861" s="5" t="str">
        <f ca="1">IFERROR(__xludf.DUMMYFUNCTION("if(ISBLANK(C861),,QUERY(MD!A862:D1860,""Select A where C = '""&amp; C861 &amp;""'""))"),"")</f>
        <v/>
      </c>
      <c r="C861" s="5"/>
      <c r="E861" s="49"/>
      <c r="F861" s="5"/>
      <c r="G861" s="32"/>
      <c r="H861" s="61"/>
      <c r="I861" s="32"/>
      <c r="J861" s="61"/>
      <c r="K861" s="32"/>
      <c r="L861" s="61"/>
      <c r="M861" s="32"/>
      <c r="N861" s="61"/>
      <c r="O861" s="32"/>
      <c r="P861" s="61"/>
      <c r="Q861" s="62"/>
      <c r="R861" s="63"/>
      <c r="S861" s="63"/>
      <c r="T861" s="63"/>
      <c r="U861" s="63"/>
    </row>
    <row r="862" spans="1:21" ht="13.2">
      <c r="A862" s="5">
        <f t="shared" ca="1" si="5"/>
        <v>861</v>
      </c>
      <c r="B862" s="5" t="str">
        <f ca="1">IFERROR(__xludf.DUMMYFUNCTION("if(ISBLANK(C862),,QUERY(MD!A863:D1861,""Select A where C = '""&amp; C862 &amp;""'""))"),"")</f>
        <v/>
      </c>
      <c r="C862" s="5"/>
      <c r="E862" s="49"/>
      <c r="F862" s="5"/>
      <c r="G862" s="32"/>
      <c r="H862" s="61"/>
      <c r="I862" s="32"/>
      <c r="J862" s="61"/>
      <c r="K862" s="32"/>
      <c r="L862" s="61"/>
      <c r="M862" s="32"/>
      <c r="N862" s="61"/>
      <c r="O862" s="32"/>
      <c r="P862" s="61"/>
      <c r="Q862" s="62"/>
      <c r="R862" s="63"/>
      <c r="S862" s="63"/>
      <c r="T862" s="63"/>
      <c r="U862" s="63"/>
    </row>
    <row r="863" spans="1:21" ht="13.2">
      <c r="A863" s="5">
        <f t="shared" ca="1" si="5"/>
        <v>862</v>
      </c>
      <c r="B863" s="5" t="str">
        <f ca="1">IFERROR(__xludf.DUMMYFUNCTION("if(ISBLANK(C863),,QUERY(MD!A864:D1862,""Select A where C = '""&amp; C863 &amp;""'""))"),"")</f>
        <v/>
      </c>
      <c r="C863" s="5"/>
      <c r="E863" s="49"/>
      <c r="F863" s="5"/>
      <c r="G863" s="32"/>
      <c r="H863" s="61"/>
      <c r="I863" s="32"/>
      <c r="J863" s="61"/>
      <c r="K863" s="32"/>
      <c r="L863" s="61"/>
      <c r="M863" s="32"/>
      <c r="N863" s="61"/>
      <c r="O863" s="32"/>
      <c r="P863" s="61"/>
      <c r="Q863" s="62"/>
      <c r="R863" s="63"/>
      <c r="S863" s="63"/>
      <c r="T863" s="63"/>
      <c r="U863" s="63"/>
    </row>
    <row r="864" spans="1:21" ht="13.2">
      <c r="A864" s="5">
        <f t="shared" ca="1" si="5"/>
        <v>863</v>
      </c>
      <c r="B864" s="5" t="str">
        <f ca="1">IFERROR(__xludf.DUMMYFUNCTION("if(ISBLANK(C864),,QUERY(MD!A865:D1863,""Select A where C = '""&amp; C864 &amp;""'""))"),"")</f>
        <v/>
      </c>
      <c r="C864" s="5"/>
      <c r="E864" s="49"/>
      <c r="F864" s="5"/>
      <c r="G864" s="32"/>
      <c r="H864" s="61"/>
      <c r="I864" s="32"/>
      <c r="J864" s="61"/>
      <c r="K864" s="32"/>
      <c r="L864" s="61"/>
      <c r="M864" s="32"/>
      <c r="N864" s="61"/>
      <c r="O864" s="32"/>
      <c r="P864" s="61"/>
      <c r="Q864" s="62"/>
      <c r="R864" s="63"/>
      <c r="S864" s="63"/>
      <c r="T864" s="63"/>
      <c r="U864" s="63"/>
    </row>
    <row r="865" spans="1:21" ht="13.2">
      <c r="A865" s="5">
        <f t="shared" ca="1" si="5"/>
        <v>864</v>
      </c>
      <c r="B865" s="5" t="str">
        <f ca="1">IFERROR(__xludf.DUMMYFUNCTION("if(ISBLANK(C865),,QUERY(MD!A866:D1864,""Select A where C = '""&amp; C865 &amp;""'""))"),"")</f>
        <v/>
      </c>
      <c r="C865" s="5"/>
      <c r="E865" s="49"/>
      <c r="F865" s="5"/>
      <c r="G865" s="32"/>
      <c r="H865" s="61"/>
      <c r="I865" s="32"/>
      <c r="J865" s="61"/>
      <c r="K865" s="32"/>
      <c r="L865" s="61"/>
      <c r="M865" s="32"/>
      <c r="N865" s="61"/>
      <c r="O865" s="32"/>
      <c r="P865" s="61"/>
      <c r="Q865" s="62"/>
      <c r="R865" s="63"/>
      <c r="S865" s="63"/>
      <c r="T865" s="63"/>
      <c r="U865" s="63"/>
    </row>
    <row r="866" spans="1:21" ht="13.2">
      <c r="A866" s="5">
        <f t="shared" ca="1" si="5"/>
        <v>865</v>
      </c>
      <c r="B866" s="5" t="str">
        <f ca="1">IFERROR(__xludf.DUMMYFUNCTION("if(ISBLANK(C866),,QUERY(MD!A867:D1865,""Select A where C = '""&amp; C866 &amp;""'""))"),"")</f>
        <v/>
      </c>
      <c r="C866" s="5"/>
      <c r="E866" s="49"/>
      <c r="F866" s="5"/>
      <c r="G866" s="32"/>
      <c r="H866" s="61"/>
      <c r="I866" s="32"/>
      <c r="J866" s="61"/>
      <c r="K866" s="32"/>
      <c r="L866" s="61"/>
      <c r="M866" s="32"/>
      <c r="N866" s="61"/>
      <c r="O866" s="32"/>
      <c r="P866" s="61"/>
      <c r="Q866" s="62"/>
      <c r="R866" s="63"/>
      <c r="S866" s="63"/>
      <c r="T866" s="63"/>
      <c r="U866" s="63"/>
    </row>
    <row r="867" spans="1:21" ht="13.2">
      <c r="A867" s="5">
        <f t="shared" ca="1" si="5"/>
        <v>866</v>
      </c>
      <c r="B867" s="5" t="str">
        <f ca="1">IFERROR(__xludf.DUMMYFUNCTION("if(ISBLANK(C867),,QUERY(MD!A868:D1866,""Select A where C = '""&amp; C867 &amp;""'""))"),"")</f>
        <v/>
      </c>
      <c r="C867" s="5"/>
      <c r="E867" s="49"/>
      <c r="F867" s="5"/>
      <c r="G867" s="32"/>
      <c r="H867" s="61"/>
      <c r="I867" s="32"/>
      <c r="J867" s="61"/>
      <c r="K867" s="32"/>
      <c r="L867" s="61"/>
      <c r="M867" s="32"/>
      <c r="N867" s="61"/>
      <c r="O867" s="32"/>
      <c r="P867" s="61"/>
      <c r="Q867" s="62"/>
      <c r="R867" s="63"/>
      <c r="S867" s="63"/>
      <c r="T867" s="63"/>
      <c r="U867" s="63"/>
    </row>
    <row r="868" spans="1:21" ht="13.2">
      <c r="A868" s="5">
        <f t="shared" ca="1" si="5"/>
        <v>867</v>
      </c>
      <c r="B868" s="5" t="str">
        <f ca="1">IFERROR(__xludf.DUMMYFUNCTION("if(ISBLANK(C868),,QUERY(MD!A869:D1867,""Select A where C = '""&amp; C868 &amp;""'""))"),"")</f>
        <v/>
      </c>
      <c r="C868" s="5"/>
      <c r="E868" s="49"/>
      <c r="F868" s="5"/>
      <c r="G868" s="32"/>
      <c r="H868" s="61"/>
      <c r="I868" s="32"/>
      <c r="J868" s="61"/>
      <c r="K868" s="32"/>
      <c r="L868" s="61"/>
      <c r="M868" s="32"/>
      <c r="N868" s="61"/>
      <c r="O868" s="32"/>
      <c r="P868" s="61"/>
      <c r="Q868" s="62"/>
      <c r="R868" s="63"/>
      <c r="S868" s="63"/>
      <c r="T868" s="63"/>
      <c r="U868" s="63"/>
    </row>
    <row r="869" spans="1:21" ht="13.2">
      <c r="A869" s="5">
        <f t="shared" ca="1" si="5"/>
        <v>868</v>
      </c>
      <c r="B869" s="5" t="str">
        <f ca="1">IFERROR(__xludf.DUMMYFUNCTION("if(ISBLANK(C869),,QUERY(MD!A870:D1868,""Select A where C = '""&amp; C869 &amp;""'""))"),"")</f>
        <v/>
      </c>
      <c r="C869" s="5"/>
      <c r="E869" s="49"/>
      <c r="F869" s="5"/>
      <c r="G869" s="32"/>
      <c r="H869" s="61"/>
      <c r="I869" s="32"/>
      <c r="J869" s="61"/>
      <c r="K869" s="32"/>
      <c r="L869" s="61"/>
      <c r="M869" s="32"/>
      <c r="N869" s="61"/>
      <c r="O869" s="32"/>
      <c r="P869" s="61"/>
      <c r="Q869" s="62"/>
      <c r="R869" s="63"/>
      <c r="S869" s="63"/>
      <c r="T869" s="63"/>
      <c r="U869" s="63"/>
    </row>
    <row r="870" spans="1:21" ht="13.2">
      <c r="A870" s="5">
        <f t="shared" ca="1" si="5"/>
        <v>869</v>
      </c>
      <c r="B870" s="5" t="str">
        <f ca="1">IFERROR(__xludf.DUMMYFUNCTION("if(ISBLANK(C870),,QUERY(MD!A871:D1869,""Select A where C = '""&amp; C870 &amp;""'""))"),"")</f>
        <v/>
      </c>
      <c r="C870" s="5"/>
      <c r="E870" s="49"/>
      <c r="F870" s="5"/>
      <c r="G870" s="32"/>
      <c r="H870" s="61"/>
      <c r="I870" s="32"/>
      <c r="J870" s="61"/>
      <c r="K870" s="32"/>
      <c r="L870" s="61"/>
      <c r="M870" s="32"/>
      <c r="N870" s="61"/>
      <c r="O870" s="32"/>
      <c r="P870" s="61"/>
      <c r="Q870" s="62"/>
      <c r="R870" s="63"/>
      <c r="S870" s="63"/>
      <c r="T870" s="63"/>
      <c r="U870" s="63"/>
    </row>
    <row r="871" spans="1:21" ht="13.2">
      <c r="A871" s="5">
        <f t="shared" ca="1" si="5"/>
        <v>870</v>
      </c>
      <c r="B871" s="5" t="str">
        <f ca="1">IFERROR(__xludf.DUMMYFUNCTION("if(ISBLANK(C871),,QUERY(MD!A872:D1870,""Select A where C = '""&amp; C871 &amp;""'""))"),"")</f>
        <v/>
      </c>
      <c r="C871" s="5"/>
      <c r="E871" s="49"/>
      <c r="F871" s="5"/>
      <c r="G871" s="32"/>
      <c r="H871" s="61"/>
      <c r="I871" s="32"/>
      <c r="J871" s="61"/>
      <c r="K871" s="32"/>
      <c r="L871" s="61"/>
      <c r="M871" s="32"/>
      <c r="N871" s="61"/>
      <c r="O871" s="32"/>
      <c r="P871" s="61"/>
      <c r="Q871" s="62"/>
      <c r="R871" s="63"/>
      <c r="S871" s="63"/>
      <c r="T871" s="63"/>
      <c r="U871" s="63"/>
    </row>
    <row r="872" spans="1:21" ht="13.2">
      <c r="A872" s="5">
        <f t="shared" ca="1" si="5"/>
        <v>871</v>
      </c>
      <c r="B872" s="5" t="str">
        <f ca="1">IFERROR(__xludf.DUMMYFUNCTION("if(ISBLANK(C872),,QUERY(MD!A873:D1871,""Select A where C = '""&amp; C872 &amp;""'""))"),"")</f>
        <v/>
      </c>
      <c r="C872" s="5"/>
      <c r="E872" s="49"/>
      <c r="F872" s="5"/>
      <c r="G872" s="32"/>
      <c r="H872" s="61"/>
      <c r="I872" s="32"/>
      <c r="J872" s="61"/>
      <c r="K872" s="32"/>
      <c r="L872" s="61"/>
      <c r="M872" s="32"/>
      <c r="N872" s="61"/>
      <c r="O872" s="32"/>
      <c r="P872" s="61"/>
      <c r="Q872" s="62"/>
      <c r="R872" s="63"/>
      <c r="S872" s="63"/>
      <c r="T872" s="63"/>
      <c r="U872" s="63"/>
    </row>
    <row r="873" spans="1:21" ht="13.2">
      <c r="A873" s="5">
        <f t="shared" ca="1" si="5"/>
        <v>872</v>
      </c>
      <c r="B873" s="5" t="str">
        <f ca="1">IFERROR(__xludf.DUMMYFUNCTION("if(ISBLANK(C873),,QUERY(MD!A874:D1872,""Select A where C = '""&amp; C873 &amp;""'""))"),"")</f>
        <v/>
      </c>
      <c r="C873" s="5"/>
      <c r="E873" s="49"/>
      <c r="F873" s="5"/>
      <c r="G873" s="32"/>
      <c r="H873" s="61"/>
      <c r="I873" s="32"/>
      <c r="J873" s="61"/>
      <c r="K873" s="32"/>
      <c r="L873" s="61"/>
      <c r="M873" s="32"/>
      <c r="N873" s="61"/>
      <c r="O873" s="32"/>
      <c r="P873" s="61"/>
      <c r="Q873" s="62"/>
      <c r="R873" s="63"/>
      <c r="S873" s="63"/>
      <c r="T873" s="63"/>
      <c r="U873" s="63"/>
    </row>
    <row r="874" spans="1:21" ht="13.2">
      <c r="A874" s="5">
        <f t="shared" ca="1" si="5"/>
        <v>873</v>
      </c>
      <c r="B874" s="5" t="str">
        <f ca="1">IFERROR(__xludf.DUMMYFUNCTION("if(ISBLANK(C874),,QUERY(MD!A875:D1873,""Select A where C = '""&amp; C874 &amp;""'""))"),"")</f>
        <v/>
      </c>
      <c r="C874" s="5"/>
      <c r="E874" s="49"/>
      <c r="F874" s="5"/>
      <c r="G874" s="32"/>
      <c r="H874" s="61"/>
      <c r="I874" s="32"/>
      <c r="J874" s="61"/>
      <c r="K874" s="32"/>
      <c r="L874" s="61"/>
      <c r="M874" s="32"/>
      <c r="N874" s="61"/>
      <c r="O874" s="32"/>
      <c r="P874" s="61"/>
      <c r="Q874" s="62"/>
      <c r="R874" s="63"/>
      <c r="S874" s="63"/>
      <c r="T874" s="63"/>
      <c r="U874" s="63"/>
    </row>
    <row r="875" spans="1:21" ht="13.2">
      <c r="A875" s="5">
        <f t="shared" ca="1" si="5"/>
        <v>874</v>
      </c>
      <c r="B875" s="5" t="str">
        <f ca="1">IFERROR(__xludf.DUMMYFUNCTION("if(ISBLANK(C875),,QUERY(MD!A876:D1874,""Select A where C = '""&amp; C875 &amp;""'""))"),"")</f>
        <v/>
      </c>
      <c r="C875" s="5"/>
      <c r="E875" s="49"/>
      <c r="F875" s="5"/>
      <c r="G875" s="32"/>
      <c r="H875" s="61"/>
      <c r="I875" s="32"/>
      <c r="J875" s="61"/>
      <c r="K875" s="32"/>
      <c r="L875" s="61"/>
      <c r="M875" s="32"/>
      <c r="N875" s="61"/>
      <c r="O875" s="32"/>
      <c r="P875" s="61"/>
      <c r="Q875" s="62"/>
      <c r="R875" s="63"/>
      <c r="S875" s="63"/>
      <c r="T875" s="63"/>
      <c r="U875" s="63"/>
    </row>
    <row r="876" spans="1:21" ht="13.2">
      <c r="A876" s="5">
        <f t="shared" ca="1" si="5"/>
        <v>875</v>
      </c>
      <c r="B876" s="5" t="str">
        <f ca="1">IFERROR(__xludf.DUMMYFUNCTION("if(ISBLANK(C876),,QUERY(MD!A877:D1875,""Select A where C = '""&amp; C876 &amp;""'""))"),"")</f>
        <v/>
      </c>
      <c r="C876" s="5"/>
      <c r="E876" s="49"/>
      <c r="F876" s="5"/>
      <c r="G876" s="32"/>
      <c r="H876" s="61"/>
      <c r="I876" s="32"/>
      <c r="J876" s="61"/>
      <c r="K876" s="32"/>
      <c r="L876" s="61"/>
      <c r="M876" s="32"/>
      <c r="N876" s="61"/>
      <c r="O876" s="32"/>
      <c r="P876" s="61"/>
      <c r="Q876" s="62"/>
      <c r="R876" s="63"/>
      <c r="S876" s="63"/>
      <c r="T876" s="63"/>
      <c r="U876" s="63"/>
    </row>
    <row r="877" spans="1:21" ht="13.2">
      <c r="A877" s="5">
        <f t="shared" ca="1" si="5"/>
        <v>876</v>
      </c>
      <c r="B877" s="5" t="str">
        <f ca="1">IFERROR(__xludf.DUMMYFUNCTION("if(ISBLANK(C877),,QUERY(MD!A878:D1876,""Select A where C = '""&amp; C877 &amp;""'""))"),"")</f>
        <v/>
      </c>
      <c r="C877" s="5"/>
      <c r="E877" s="49"/>
      <c r="F877" s="5"/>
      <c r="G877" s="32"/>
      <c r="H877" s="61"/>
      <c r="I877" s="32"/>
      <c r="J877" s="61"/>
      <c r="K877" s="32"/>
      <c r="L877" s="61"/>
      <c r="M877" s="32"/>
      <c r="N877" s="61"/>
      <c r="O877" s="32"/>
      <c r="P877" s="61"/>
      <c r="Q877" s="62"/>
      <c r="R877" s="63"/>
      <c r="S877" s="63"/>
      <c r="T877" s="63"/>
      <c r="U877" s="63"/>
    </row>
    <row r="878" spans="1:21" ht="13.2">
      <c r="A878" s="5">
        <f t="shared" ca="1" si="5"/>
        <v>877</v>
      </c>
      <c r="B878" s="5" t="str">
        <f ca="1">IFERROR(__xludf.DUMMYFUNCTION("if(ISBLANK(C878),,QUERY(MD!A879:D1877,""Select A where C = '""&amp; C878 &amp;""'""))"),"")</f>
        <v/>
      </c>
      <c r="C878" s="5"/>
      <c r="E878" s="49"/>
      <c r="F878" s="5"/>
      <c r="G878" s="32"/>
      <c r="H878" s="61"/>
      <c r="I878" s="32"/>
      <c r="J878" s="61"/>
      <c r="K878" s="32"/>
      <c r="L878" s="61"/>
      <c r="M878" s="32"/>
      <c r="N878" s="61"/>
      <c r="O878" s="32"/>
      <c r="P878" s="61"/>
      <c r="Q878" s="62"/>
      <c r="R878" s="63"/>
      <c r="S878" s="63"/>
      <c r="T878" s="63"/>
      <c r="U878" s="63"/>
    </row>
    <row r="879" spans="1:21" ht="13.2">
      <c r="A879" s="5">
        <f t="shared" ca="1" si="5"/>
        <v>878</v>
      </c>
      <c r="B879" s="5" t="str">
        <f ca="1">IFERROR(__xludf.DUMMYFUNCTION("if(ISBLANK(C879),,QUERY(MD!A880:D1878,""Select A where C = '""&amp; C879 &amp;""'""))"),"")</f>
        <v/>
      </c>
      <c r="C879" s="5"/>
      <c r="E879" s="49"/>
      <c r="F879" s="5"/>
      <c r="G879" s="32"/>
      <c r="H879" s="61"/>
      <c r="I879" s="32"/>
      <c r="J879" s="61"/>
      <c r="K879" s="32"/>
      <c r="L879" s="61"/>
      <c r="M879" s="32"/>
      <c r="N879" s="61"/>
      <c r="O879" s="32"/>
      <c r="P879" s="61"/>
      <c r="Q879" s="62"/>
      <c r="R879" s="63"/>
      <c r="S879" s="63"/>
      <c r="T879" s="63"/>
      <c r="U879" s="63"/>
    </row>
    <row r="880" spans="1:21" ht="13.2">
      <c r="A880" s="5">
        <f t="shared" ca="1" si="5"/>
        <v>879</v>
      </c>
      <c r="B880" s="5" t="str">
        <f ca="1">IFERROR(__xludf.DUMMYFUNCTION("if(ISBLANK(C880),,QUERY(MD!A881:D1879,""Select A where C = '""&amp; C880 &amp;""'""))"),"")</f>
        <v/>
      </c>
      <c r="C880" s="5"/>
      <c r="E880" s="49"/>
      <c r="F880" s="5"/>
      <c r="G880" s="32"/>
      <c r="H880" s="61"/>
      <c r="I880" s="32"/>
      <c r="J880" s="61"/>
      <c r="K880" s="32"/>
      <c r="L880" s="61"/>
      <c r="M880" s="32"/>
      <c r="N880" s="61"/>
      <c r="O880" s="32"/>
      <c r="P880" s="61"/>
      <c r="Q880" s="62"/>
      <c r="R880" s="63"/>
      <c r="S880" s="63"/>
      <c r="T880" s="63"/>
      <c r="U880" s="63"/>
    </row>
    <row r="881" spans="1:21" ht="13.2">
      <c r="A881" s="5">
        <f t="shared" ca="1" si="5"/>
        <v>880</v>
      </c>
      <c r="B881" s="5" t="str">
        <f ca="1">IFERROR(__xludf.DUMMYFUNCTION("if(ISBLANK(C881),,QUERY(MD!A882:D1880,""Select A where C = '""&amp; C881 &amp;""'""))"),"")</f>
        <v/>
      </c>
      <c r="C881" s="5"/>
      <c r="E881" s="49"/>
      <c r="F881" s="5"/>
      <c r="G881" s="32"/>
      <c r="H881" s="61"/>
      <c r="I881" s="32"/>
      <c r="J881" s="61"/>
      <c r="K881" s="32"/>
      <c r="L881" s="61"/>
      <c r="M881" s="32"/>
      <c r="N881" s="61"/>
      <c r="O881" s="32"/>
      <c r="P881" s="61"/>
      <c r="Q881" s="62"/>
      <c r="R881" s="63"/>
      <c r="S881" s="63"/>
      <c r="T881" s="63"/>
      <c r="U881" s="63"/>
    </row>
    <row r="882" spans="1:21" ht="13.2">
      <c r="A882" s="5">
        <f t="shared" ca="1" si="5"/>
        <v>881</v>
      </c>
      <c r="B882" s="5" t="str">
        <f ca="1">IFERROR(__xludf.DUMMYFUNCTION("if(ISBLANK(C882),,QUERY(MD!A883:D1881,""Select A where C = '""&amp; C882 &amp;""'""))"),"")</f>
        <v/>
      </c>
      <c r="C882" s="5"/>
      <c r="E882" s="49"/>
      <c r="F882" s="5"/>
      <c r="G882" s="32"/>
      <c r="H882" s="61"/>
      <c r="I882" s="32"/>
      <c r="J882" s="61"/>
      <c r="K882" s="32"/>
      <c r="L882" s="61"/>
      <c r="M882" s="32"/>
      <c r="N882" s="61"/>
      <c r="O882" s="32"/>
      <c r="P882" s="61"/>
      <c r="Q882" s="62"/>
      <c r="R882" s="63"/>
      <c r="S882" s="63"/>
      <c r="T882" s="63"/>
      <c r="U882" s="63"/>
    </row>
    <row r="883" spans="1:21" ht="13.2">
      <c r="A883" s="5">
        <f t="shared" ca="1" si="5"/>
        <v>882</v>
      </c>
      <c r="B883" s="5" t="str">
        <f ca="1">IFERROR(__xludf.DUMMYFUNCTION("if(ISBLANK(C883),,QUERY(MD!A884:D1882,""Select A where C = '""&amp; C883 &amp;""'""))"),"")</f>
        <v/>
      </c>
      <c r="C883" s="5"/>
      <c r="E883" s="49"/>
      <c r="F883" s="5"/>
      <c r="G883" s="32"/>
      <c r="H883" s="61"/>
      <c r="I883" s="32"/>
      <c r="J883" s="61"/>
      <c r="K883" s="32"/>
      <c r="L883" s="61"/>
      <c r="M883" s="32"/>
      <c r="N883" s="61"/>
      <c r="O883" s="32"/>
      <c r="P883" s="61"/>
      <c r="Q883" s="62"/>
      <c r="R883" s="63"/>
      <c r="S883" s="63"/>
      <c r="T883" s="63"/>
      <c r="U883" s="63"/>
    </row>
    <row r="884" spans="1:21" ht="13.2">
      <c r="A884" s="5">
        <f t="shared" ca="1" si="5"/>
        <v>883</v>
      </c>
      <c r="B884" s="5" t="str">
        <f ca="1">IFERROR(__xludf.DUMMYFUNCTION("if(ISBLANK(C884),,QUERY(MD!A885:D1883,""Select A where C = '""&amp; C884 &amp;""'""))"),"")</f>
        <v/>
      </c>
      <c r="C884" s="5"/>
      <c r="E884" s="49"/>
      <c r="F884" s="5"/>
      <c r="G884" s="32"/>
      <c r="H884" s="61"/>
      <c r="I884" s="32"/>
      <c r="J884" s="61"/>
      <c r="K884" s="32"/>
      <c r="L884" s="61"/>
      <c r="M884" s="32"/>
      <c r="N884" s="61"/>
      <c r="O884" s="32"/>
      <c r="P884" s="61"/>
      <c r="Q884" s="62"/>
      <c r="R884" s="63"/>
      <c r="S884" s="63"/>
      <c r="T884" s="63"/>
      <c r="U884" s="63"/>
    </row>
    <row r="885" spans="1:21" ht="13.2">
      <c r="A885" s="5">
        <f t="shared" ca="1" si="5"/>
        <v>884</v>
      </c>
      <c r="B885" s="5" t="str">
        <f ca="1">IFERROR(__xludf.DUMMYFUNCTION("if(ISBLANK(C885),,QUERY(MD!A886:D1884,""Select A where C = '""&amp; C885 &amp;""'""))"),"")</f>
        <v/>
      </c>
      <c r="C885" s="5"/>
      <c r="E885" s="49"/>
      <c r="F885" s="5"/>
      <c r="G885" s="32"/>
      <c r="H885" s="61"/>
      <c r="I885" s="32"/>
      <c r="J885" s="61"/>
      <c r="K885" s="32"/>
      <c r="L885" s="61"/>
      <c r="M885" s="32"/>
      <c r="N885" s="61"/>
      <c r="O885" s="32"/>
      <c r="P885" s="61"/>
      <c r="Q885" s="62"/>
      <c r="R885" s="63"/>
      <c r="S885" s="63"/>
      <c r="T885" s="63"/>
      <c r="U885" s="63"/>
    </row>
    <row r="886" spans="1:21" ht="13.2">
      <c r="A886" s="5">
        <f t="shared" ca="1" si="5"/>
        <v>885</v>
      </c>
      <c r="B886" s="5" t="str">
        <f ca="1">IFERROR(__xludf.DUMMYFUNCTION("if(ISBLANK(C886),,QUERY(MD!A887:D1885,""Select A where C = '""&amp; C886 &amp;""'""))"),"")</f>
        <v/>
      </c>
      <c r="C886" s="5"/>
      <c r="E886" s="49"/>
      <c r="F886" s="5"/>
      <c r="G886" s="32"/>
      <c r="H886" s="61"/>
      <c r="I886" s="32"/>
      <c r="J886" s="61"/>
      <c r="K886" s="32"/>
      <c r="L886" s="61"/>
      <c r="M886" s="32"/>
      <c r="N886" s="61"/>
      <c r="O886" s="32"/>
      <c r="P886" s="61"/>
      <c r="Q886" s="62"/>
      <c r="R886" s="63"/>
      <c r="S886" s="63"/>
      <c r="T886" s="63"/>
      <c r="U886" s="63"/>
    </row>
    <row r="887" spans="1:21" ht="13.2">
      <c r="A887" s="5">
        <f t="shared" ca="1" si="5"/>
        <v>886</v>
      </c>
      <c r="B887" s="5" t="str">
        <f ca="1">IFERROR(__xludf.DUMMYFUNCTION("if(ISBLANK(C887),,QUERY(MD!A888:D1886,""Select A where C = '""&amp; C887 &amp;""'""))"),"")</f>
        <v/>
      </c>
      <c r="C887" s="5"/>
      <c r="E887" s="49"/>
      <c r="F887" s="5"/>
      <c r="G887" s="32"/>
      <c r="H887" s="61"/>
      <c r="I887" s="32"/>
      <c r="J887" s="61"/>
      <c r="K887" s="32"/>
      <c r="L887" s="61"/>
      <c r="M887" s="32"/>
      <c r="N887" s="61"/>
      <c r="O887" s="32"/>
      <c r="P887" s="61"/>
      <c r="Q887" s="62"/>
      <c r="R887" s="63"/>
      <c r="S887" s="63"/>
      <c r="T887" s="63"/>
      <c r="U887" s="63"/>
    </row>
    <row r="888" spans="1:21" ht="13.2">
      <c r="A888" s="5">
        <f t="shared" ca="1" si="5"/>
        <v>887</v>
      </c>
      <c r="B888" s="5" t="str">
        <f ca="1">IFERROR(__xludf.DUMMYFUNCTION("if(ISBLANK(C888),,QUERY(MD!A889:D1887,""Select A where C = '""&amp; C888 &amp;""'""))"),"")</f>
        <v/>
      </c>
      <c r="C888" s="5"/>
      <c r="E888" s="49"/>
      <c r="F888" s="5"/>
      <c r="G888" s="32"/>
      <c r="H888" s="61"/>
      <c r="I888" s="32"/>
      <c r="J888" s="61"/>
      <c r="K888" s="32"/>
      <c r="L888" s="61"/>
      <c r="M888" s="32"/>
      <c r="N888" s="61"/>
      <c r="O888" s="32"/>
      <c r="P888" s="61"/>
      <c r="Q888" s="62"/>
      <c r="R888" s="63"/>
      <c r="S888" s="63"/>
      <c r="T888" s="63"/>
      <c r="U888" s="63"/>
    </row>
    <row r="889" spans="1:21" ht="13.2">
      <c r="A889" s="5">
        <f t="shared" ca="1" si="5"/>
        <v>888</v>
      </c>
      <c r="B889" s="5" t="str">
        <f ca="1">IFERROR(__xludf.DUMMYFUNCTION("if(ISBLANK(C889),,QUERY(MD!A890:D1888,""Select A where C = '""&amp; C889 &amp;""'""))"),"")</f>
        <v/>
      </c>
      <c r="C889" s="5"/>
      <c r="E889" s="49"/>
      <c r="F889" s="5"/>
      <c r="G889" s="32"/>
      <c r="H889" s="61"/>
      <c r="I889" s="32"/>
      <c r="J889" s="61"/>
      <c r="K889" s="32"/>
      <c r="L889" s="61"/>
      <c r="M889" s="32"/>
      <c r="N889" s="61"/>
      <c r="O889" s="32"/>
      <c r="P889" s="61"/>
      <c r="Q889" s="62"/>
      <c r="R889" s="63"/>
      <c r="S889" s="63"/>
      <c r="T889" s="63"/>
      <c r="U889" s="63"/>
    </row>
    <row r="890" spans="1:21" ht="13.2">
      <c r="A890" s="5">
        <f t="shared" ca="1" si="5"/>
        <v>889</v>
      </c>
      <c r="B890" s="5" t="str">
        <f ca="1">IFERROR(__xludf.DUMMYFUNCTION("if(ISBLANK(C890),,QUERY(MD!A891:D1889,""Select A where C = '""&amp; C890 &amp;""'""))"),"")</f>
        <v/>
      </c>
      <c r="C890" s="5"/>
      <c r="E890" s="49"/>
      <c r="F890" s="5"/>
      <c r="G890" s="32"/>
      <c r="H890" s="61"/>
      <c r="I890" s="32"/>
      <c r="J890" s="61"/>
      <c r="K890" s="32"/>
      <c r="L890" s="61"/>
      <c r="M890" s="32"/>
      <c r="N890" s="61"/>
      <c r="O890" s="32"/>
      <c r="P890" s="61"/>
      <c r="Q890" s="62"/>
      <c r="R890" s="63"/>
      <c r="S890" s="63"/>
      <c r="T890" s="63"/>
      <c r="U890" s="63"/>
    </row>
    <row r="891" spans="1:21" ht="13.2">
      <c r="A891" s="5">
        <f t="shared" ca="1" si="5"/>
        <v>890</v>
      </c>
      <c r="B891" s="5" t="str">
        <f ca="1">IFERROR(__xludf.DUMMYFUNCTION("if(ISBLANK(C891),,QUERY(MD!A892:D1890,""Select A where C = '""&amp; C891 &amp;""'""))"),"")</f>
        <v/>
      </c>
      <c r="C891" s="5"/>
      <c r="E891" s="49"/>
      <c r="F891" s="5"/>
      <c r="G891" s="32"/>
      <c r="H891" s="61"/>
      <c r="I891" s="32"/>
      <c r="J891" s="61"/>
      <c r="K891" s="32"/>
      <c r="L891" s="61"/>
      <c r="M891" s="32"/>
      <c r="N891" s="61"/>
      <c r="O891" s="32"/>
      <c r="P891" s="61"/>
      <c r="Q891" s="62"/>
      <c r="R891" s="63"/>
      <c r="S891" s="63"/>
      <c r="T891" s="63"/>
      <c r="U891" s="63"/>
    </row>
    <row r="892" spans="1:21" ht="13.2">
      <c r="A892" s="5">
        <f t="shared" ca="1" si="5"/>
        <v>891</v>
      </c>
      <c r="B892" s="5" t="str">
        <f ca="1">IFERROR(__xludf.DUMMYFUNCTION("if(ISBLANK(C892),,QUERY(MD!A893:D1891,""Select A where C = '""&amp; C892 &amp;""'""))"),"")</f>
        <v/>
      </c>
      <c r="C892" s="5"/>
      <c r="E892" s="49"/>
      <c r="F892" s="5"/>
      <c r="G892" s="32"/>
      <c r="H892" s="61"/>
      <c r="I892" s="32"/>
      <c r="J892" s="61"/>
      <c r="K892" s="32"/>
      <c r="L892" s="61"/>
      <c r="M892" s="32"/>
      <c r="N892" s="61"/>
      <c r="O892" s="32"/>
      <c r="P892" s="61"/>
      <c r="Q892" s="62"/>
      <c r="R892" s="63"/>
      <c r="S892" s="63"/>
      <c r="T892" s="63"/>
      <c r="U892" s="63"/>
    </row>
    <row r="893" spans="1:21" ht="13.2">
      <c r="A893" s="5">
        <f t="shared" ca="1" si="5"/>
        <v>892</v>
      </c>
      <c r="B893" s="5" t="str">
        <f ca="1">IFERROR(__xludf.DUMMYFUNCTION("if(ISBLANK(C893),,QUERY(MD!A894:D1892,""Select A where C = '""&amp; C893 &amp;""'""))"),"")</f>
        <v/>
      </c>
      <c r="C893" s="5"/>
      <c r="E893" s="49"/>
      <c r="F893" s="5"/>
      <c r="G893" s="32"/>
      <c r="H893" s="61"/>
      <c r="I893" s="32"/>
      <c r="J893" s="61"/>
      <c r="K893" s="32"/>
      <c r="L893" s="61"/>
      <c r="M893" s="32"/>
      <c r="N893" s="61"/>
      <c r="O893" s="32"/>
      <c r="P893" s="61"/>
      <c r="Q893" s="62"/>
      <c r="R893" s="63"/>
      <c r="S893" s="63"/>
      <c r="T893" s="63"/>
      <c r="U893" s="63"/>
    </row>
    <row r="894" spans="1:21" ht="13.2">
      <c r="A894" s="5">
        <f t="shared" ca="1" si="5"/>
        <v>893</v>
      </c>
      <c r="B894" s="5" t="str">
        <f ca="1">IFERROR(__xludf.DUMMYFUNCTION("if(ISBLANK(C894),,QUERY(MD!A895:D1893,""Select A where C = '""&amp; C894 &amp;""'""))"),"")</f>
        <v/>
      </c>
      <c r="C894" s="5"/>
      <c r="E894" s="49"/>
      <c r="F894" s="5"/>
      <c r="G894" s="32"/>
      <c r="H894" s="61"/>
      <c r="I894" s="32"/>
      <c r="J894" s="61"/>
      <c r="K894" s="32"/>
      <c r="L894" s="61"/>
      <c r="M894" s="32"/>
      <c r="N894" s="61"/>
      <c r="O894" s="32"/>
      <c r="P894" s="61"/>
      <c r="Q894" s="62"/>
      <c r="R894" s="63"/>
      <c r="S894" s="63"/>
      <c r="T894" s="63"/>
      <c r="U894" s="63"/>
    </row>
    <row r="895" spans="1:21" ht="13.2">
      <c r="A895" s="5">
        <f t="shared" ca="1" si="5"/>
        <v>894</v>
      </c>
      <c r="B895" s="5" t="str">
        <f ca="1">IFERROR(__xludf.DUMMYFUNCTION("if(ISBLANK(C895),,QUERY(MD!A896:D1894,""Select A where C = '""&amp; C895 &amp;""'""))"),"")</f>
        <v/>
      </c>
      <c r="C895" s="5"/>
      <c r="E895" s="49"/>
      <c r="F895" s="5"/>
      <c r="G895" s="32"/>
      <c r="H895" s="61"/>
      <c r="I895" s="32"/>
      <c r="J895" s="61"/>
      <c r="K895" s="32"/>
      <c r="L895" s="61"/>
      <c r="M895" s="32"/>
      <c r="N895" s="61"/>
      <c r="O895" s="32"/>
      <c r="P895" s="61"/>
      <c r="Q895" s="62"/>
      <c r="R895" s="63"/>
      <c r="S895" s="63"/>
      <c r="T895" s="63"/>
      <c r="U895" s="63"/>
    </row>
    <row r="896" spans="1:21" ht="13.2">
      <c r="A896" s="5">
        <f t="shared" ca="1" si="5"/>
        <v>895</v>
      </c>
      <c r="B896" s="5" t="str">
        <f ca="1">IFERROR(__xludf.DUMMYFUNCTION("if(ISBLANK(C896),,QUERY(MD!A897:D1895,""Select A where C = '""&amp; C896 &amp;""'""))"),"")</f>
        <v/>
      </c>
      <c r="C896" s="5"/>
      <c r="E896" s="49"/>
      <c r="F896" s="5"/>
      <c r="G896" s="32"/>
      <c r="H896" s="61"/>
      <c r="I896" s="32"/>
      <c r="J896" s="61"/>
      <c r="K896" s="32"/>
      <c r="L896" s="61"/>
      <c r="M896" s="32"/>
      <c r="N896" s="61"/>
      <c r="O896" s="32"/>
      <c r="P896" s="61"/>
      <c r="Q896" s="62"/>
      <c r="R896" s="63"/>
      <c r="S896" s="63"/>
      <c r="T896" s="63"/>
      <c r="U896" s="63"/>
    </row>
    <row r="897" spans="1:21" ht="13.2">
      <c r="A897" s="5">
        <f t="shared" ca="1" si="5"/>
        <v>896</v>
      </c>
      <c r="B897" s="5" t="str">
        <f ca="1">IFERROR(__xludf.DUMMYFUNCTION("if(ISBLANK(C897),,QUERY(MD!A898:D1896,""Select A where C = '""&amp; C897 &amp;""'""))"),"")</f>
        <v/>
      </c>
      <c r="C897" s="5"/>
      <c r="E897" s="49"/>
      <c r="F897" s="5"/>
      <c r="G897" s="32"/>
      <c r="H897" s="61"/>
      <c r="I897" s="32"/>
      <c r="J897" s="61"/>
      <c r="K897" s="32"/>
      <c r="L897" s="61"/>
      <c r="M897" s="32"/>
      <c r="N897" s="61"/>
      <c r="O897" s="32"/>
      <c r="P897" s="61"/>
      <c r="Q897" s="62"/>
      <c r="R897" s="63"/>
      <c r="S897" s="63"/>
      <c r="T897" s="63"/>
      <c r="U897" s="63"/>
    </row>
    <row r="898" spans="1:21" ht="13.2">
      <c r="A898" s="5">
        <f t="shared" ca="1" si="5"/>
        <v>897</v>
      </c>
      <c r="B898" s="5" t="str">
        <f ca="1">IFERROR(__xludf.DUMMYFUNCTION("if(ISBLANK(C898),,QUERY(MD!A899:D1897,""Select A where C = '""&amp; C898 &amp;""'""))"),"")</f>
        <v/>
      </c>
      <c r="C898" s="5"/>
      <c r="E898" s="49"/>
      <c r="F898" s="5"/>
      <c r="G898" s="32"/>
      <c r="H898" s="61"/>
      <c r="I898" s="32"/>
      <c r="J898" s="61"/>
      <c r="K898" s="32"/>
      <c r="L898" s="61"/>
      <c r="M898" s="32"/>
      <c r="N898" s="61"/>
      <c r="O898" s="32"/>
      <c r="P898" s="61"/>
      <c r="Q898" s="62"/>
      <c r="R898" s="63"/>
      <c r="S898" s="63"/>
      <c r="T898" s="63"/>
      <c r="U898" s="63"/>
    </row>
    <row r="899" spans="1:21" ht="13.2">
      <c r="A899" s="5">
        <f t="shared" ca="1" si="5"/>
        <v>898</v>
      </c>
      <c r="B899" s="5" t="str">
        <f ca="1">IFERROR(__xludf.DUMMYFUNCTION("if(ISBLANK(C899),,QUERY(MD!A900:D1898,""Select A where C = '""&amp; C899 &amp;""'""))"),"")</f>
        <v/>
      </c>
      <c r="C899" s="5"/>
      <c r="E899" s="49"/>
      <c r="F899" s="5"/>
      <c r="G899" s="32"/>
      <c r="H899" s="61"/>
      <c r="I899" s="32"/>
      <c r="J899" s="61"/>
      <c r="K899" s="32"/>
      <c r="L899" s="61"/>
      <c r="M899" s="32"/>
      <c r="N899" s="61"/>
      <c r="O899" s="32"/>
      <c r="P899" s="61"/>
      <c r="Q899" s="62"/>
      <c r="R899" s="63"/>
      <c r="S899" s="63"/>
      <c r="T899" s="63"/>
      <c r="U899" s="63"/>
    </row>
    <row r="900" spans="1:21" ht="13.2">
      <c r="A900" s="5">
        <f t="shared" ca="1" si="5"/>
        <v>899</v>
      </c>
      <c r="B900" s="5" t="str">
        <f ca="1">IFERROR(__xludf.DUMMYFUNCTION("if(ISBLANK(C900),,QUERY(MD!A901:D1899,""Select A where C = '""&amp; C900 &amp;""'""))"),"")</f>
        <v/>
      </c>
      <c r="C900" s="5"/>
      <c r="E900" s="49"/>
      <c r="F900" s="5"/>
      <c r="G900" s="32"/>
      <c r="H900" s="61"/>
      <c r="I900" s="32"/>
      <c r="J900" s="61"/>
      <c r="K900" s="32"/>
      <c r="L900" s="61"/>
      <c r="M900" s="32"/>
      <c r="N900" s="61"/>
      <c r="O900" s="32"/>
      <c r="P900" s="61"/>
      <c r="Q900" s="62"/>
      <c r="R900" s="63"/>
      <c r="S900" s="63"/>
      <c r="T900" s="63"/>
      <c r="U900" s="63"/>
    </row>
    <row r="901" spans="1:21" ht="13.2">
      <c r="A901" s="5">
        <f t="shared" ca="1" si="5"/>
        <v>900</v>
      </c>
      <c r="B901" s="5" t="str">
        <f ca="1">IFERROR(__xludf.DUMMYFUNCTION("if(ISBLANK(C901),,QUERY(MD!A902:D1900,""Select A where C = '""&amp; C901 &amp;""'""))"),"")</f>
        <v/>
      </c>
      <c r="C901" s="5"/>
      <c r="E901" s="49"/>
      <c r="F901" s="5"/>
      <c r="G901" s="32"/>
      <c r="H901" s="61"/>
      <c r="I901" s="32"/>
      <c r="J901" s="61"/>
      <c r="K901" s="32"/>
      <c r="L901" s="61"/>
      <c r="M901" s="32"/>
      <c r="N901" s="61"/>
      <c r="O901" s="32"/>
      <c r="P901" s="61"/>
      <c r="Q901" s="62"/>
      <c r="R901" s="63"/>
      <c r="S901" s="63"/>
      <c r="T901" s="63"/>
      <c r="U901" s="63"/>
    </row>
    <row r="902" spans="1:21" ht="13.2">
      <c r="A902" s="5">
        <f t="shared" ca="1" si="5"/>
        <v>901</v>
      </c>
      <c r="B902" s="5" t="str">
        <f ca="1">IFERROR(__xludf.DUMMYFUNCTION("if(ISBLANK(C902),,QUERY(MD!A903:D1901,""Select A where C = '""&amp; C902 &amp;""'""))"),"")</f>
        <v/>
      </c>
      <c r="C902" s="5"/>
      <c r="E902" s="49"/>
      <c r="F902" s="5"/>
      <c r="G902" s="32"/>
      <c r="H902" s="61"/>
      <c r="I902" s="32"/>
      <c r="J902" s="61"/>
      <c r="K902" s="32"/>
      <c r="L902" s="61"/>
      <c r="M902" s="32"/>
      <c r="N902" s="61"/>
      <c r="O902" s="32"/>
      <c r="P902" s="61"/>
      <c r="Q902" s="62"/>
      <c r="R902" s="63"/>
      <c r="S902" s="63"/>
      <c r="T902" s="63"/>
      <c r="U902" s="63"/>
    </row>
    <row r="903" spans="1:21" ht="13.2">
      <c r="A903" s="5">
        <f t="shared" ca="1" si="5"/>
        <v>902</v>
      </c>
      <c r="B903" s="5" t="str">
        <f ca="1">IFERROR(__xludf.DUMMYFUNCTION("if(ISBLANK(C903),,QUERY(MD!A904:D1902,""Select A where C = '""&amp; C903 &amp;""'""))"),"")</f>
        <v/>
      </c>
      <c r="C903" s="5"/>
      <c r="E903" s="49"/>
      <c r="F903" s="5"/>
      <c r="G903" s="32"/>
      <c r="H903" s="61"/>
      <c r="I903" s="32"/>
      <c r="J903" s="61"/>
      <c r="K903" s="32"/>
      <c r="L903" s="61"/>
      <c r="M903" s="32"/>
      <c r="N903" s="61"/>
      <c r="O903" s="32"/>
      <c r="P903" s="61"/>
      <c r="Q903" s="62"/>
      <c r="R903" s="63"/>
      <c r="S903" s="63"/>
      <c r="T903" s="63"/>
      <c r="U903" s="63"/>
    </row>
    <row r="904" spans="1:21" ht="13.2">
      <c r="A904" s="5">
        <f t="shared" ca="1" si="5"/>
        <v>903</v>
      </c>
      <c r="B904" s="5" t="str">
        <f ca="1">IFERROR(__xludf.DUMMYFUNCTION("if(ISBLANK(C904),,QUERY(MD!A905:D1903,""Select A where C = '""&amp; C904 &amp;""'""))"),"")</f>
        <v/>
      </c>
      <c r="C904" s="5"/>
      <c r="E904" s="49"/>
      <c r="F904" s="5"/>
      <c r="G904" s="32"/>
      <c r="H904" s="61"/>
      <c r="I904" s="32"/>
      <c r="J904" s="61"/>
      <c r="K904" s="32"/>
      <c r="L904" s="61"/>
      <c r="M904" s="32"/>
      <c r="N904" s="61"/>
      <c r="O904" s="32"/>
      <c r="P904" s="61"/>
      <c r="Q904" s="62"/>
      <c r="R904" s="63"/>
      <c r="S904" s="63"/>
      <c r="T904" s="63"/>
      <c r="U904" s="63"/>
    </row>
    <row r="905" spans="1:21" ht="13.2">
      <c r="A905" s="5">
        <f t="shared" ca="1" si="5"/>
        <v>904</v>
      </c>
      <c r="B905" s="5" t="str">
        <f ca="1">IFERROR(__xludf.DUMMYFUNCTION("if(ISBLANK(C905),,QUERY(MD!A906:D1904,""Select A where C = '""&amp; C905 &amp;""'""))"),"")</f>
        <v/>
      </c>
      <c r="C905" s="5"/>
      <c r="E905" s="49"/>
      <c r="F905" s="5"/>
      <c r="G905" s="32"/>
      <c r="H905" s="61"/>
      <c r="I905" s="32"/>
      <c r="J905" s="61"/>
      <c r="K905" s="32"/>
      <c r="L905" s="61"/>
      <c r="M905" s="32"/>
      <c r="N905" s="61"/>
      <c r="O905" s="32"/>
      <c r="P905" s="61"/>
      <c r="Q905" s="62"/>
      <c r="R905" s="63"/>
      <c r="S905" s="63"/>
      <c r="T905" s="63"/>
      <c r="U905" s="63"/>
    </row>
    <row r="906" spans="1:21" ht="13.2">
      <c r="A906" s="5">
        <f t="shared" ca="1" si="5"/>
        <v>905</v>
      </c>
      <c r="B906" s="5" t="str">
        <f ca="1">IFERROR(__xludf.DUMMYFUNCTION("if(ISBLANK(C906),,QUERY(MD!A907:D1905,""Select A where C = '""&amp; C906 &amp;""'""))"),"")</f>
        <v/>
      </c>
      <c r="C906" s="5"/>
      <c r="E906" s="49"/>
      <c r="F906" s="5"/>
      <c r="G906" s="32"/>
      <c r="H906" s="61"/>
      <c r="I906" s="32"/>
      <c r="J906" s="61"/>
      <c r="K906" s="32"/>
      <c r="L906" s="61"/>
      <c r="M906" s="32"/>
      <c r="N906" s="61"/>
      <c r="O906" s="32"/>
      <c r="P906" s="61"/>
      <c r="Q906" s="62"/>
      <c r="R906" s="63"/>
      <c r="S906" s="63"/>
      <c r="T906" s="63"/>
      <c r="U906" s="63"/>
    </row>
    <row r="907" spans="1:21" ht="13.2">
      <c r="A907" s="5">
        <f t="shared" ca="1" si="5"/>
        <v>906</v>
      </c>
      <c r="B907" s="5" t="str">
        <f ca="1">IFERROR(__xludf.DUMMYFUNCTION("if(ISBLANK(C907),,QUERY(MD!A908:D1906,""Select A where C = '""&amp; C907 &amp;""'""))"),"")</f>
        <v/>
      </c>
      <c r="C907" s="5"/>
      <c r="E907" s="49"/>
      <c r="F907" s="5"/>
      <c r="G907" s="32"/>
      <c r="H907" s="61"/>
      <c r="I907" s="32"/>
      <c r="J907" s="61"/>
      <c r="K907" s="32"/>
      <c r="L907" s="61"/>
      <c r="M907" s="32"/>
      <c r="N907" s="61"/>
      <c r="O907" s="32"/>
      <c r="P907" s="61"/>
      <c r="Q907" s="62"/>
      <c r="R907" s="63"/>
      <c r="S907" s="63"/>
      <c r="T907" s="63"/>
      <c r="U907" s="63"/>
    </row>
    <row r="908" spans="1:21" ht="13.2">
      <c r="A908" s="5">
        <f t="shared" ca="1" si="5"/>
        <v>907</v>
      </c>
      <c r="B908" s="5" t="str">
        <f ca="1">IFERROR(__xludf.DUMMYFUNCTION("if(ISBLANK(C908),,QUERY(MD!A909:D1907,""Select A where C = '""&amp; C908 &amp;""'""))"),"")</f>
        <v/>
      </c>
      <c r="C908" s="5"/>
      <c r="E908" s="49"/>
      <c r="F908" s="5"/>
      <c r="G908" s="32"/>
      <c r="H908" s="61"/>
      <c r="I908" s="32"/>
      <c r="J908" s="61"/>
      <c r="K908" s="32"/>
      <c r="L908" s="61"/>
      <c r="M908" s="32"/>
      <c r="N908" s="61"/>
      <c r="O908" s="32"/>
      <c r="P908" s="61"/>
      <c r="Q908" s="62"/>
      <c r="R908" s="63"/>
      <c r="S908" s="63"/>
      <c r="T908" s="63"/>
      <c r="U908" s="63"/>
    </row>
    <row r="909" spans="1:21" ht="13.2">
      <c r="A909" s="5">
        <f t="shared" ca="1" si="5"/>
        <v>908</v>
      </c>
      <c r="B909" s="5" t="str">
        <f ca="1">IFERROR(__xludf.DUMMYFUNCTION("if(ISBLANK(C909),,QUERY(MD!A910:D1908,""Select A where C = '""&amp; C909 &amp;""'""))"),"")</f>
        <v/>
      </c>
      <c r="C909" s="5"/>
      <c r="E909" s="49"/>
      <c r="F909" s="5"/>
      <c r="G909" s="32"/>
      <c r="H909" s="61"/>
      <c r="I909" s="32"/>
      <c r="J909" s="61"/>
      <c r="K909" s="32"/>
      <c r="L909" s="61"/>
      <c r="M909" s="32"/>
      <c r="N909" s="61"/>
      <c r="O909" s="32"/>
      <c r="P909" s="61"/>
      <c r="Q909" s="62"/>
      <c r="R909" s="63"/>
      <c r="S909" s="63"/>
      <c r="T909" s="63"/>
      <c r="U909" s="63"/>
    </row>
    <row r="910" spans="1:21" ht="13.2">
      <c r="A910" s="5">
        <f t="shared" ca="1" si="5"/>
        <v>909</v>
      </c>
      <c r="B910" s="5" t="str">
        <f ca="1">IFERROR(__xludf.DUMMYFUNCTION("if(ISBLANK(C910),,QUERY(MD!A911:D1909,""Select A where C = '""&amp; C910 &amp;""'""))"),"")</f>
        <v/>
      </c>
      <c r="C910" s="5"/>
      <c r="E910" s="49"/>
      <c r="F910" s="5"/>
      <c r="G910" s="32"/>
      <c r="H910" s="61"/>
      <c r="I910" s="32"/>
      <c r="J910" s="61"/>
      <c r="K910" s="32"/>
      <c r="L910" s="61"/>
      <c r="M910" s="32"/>
      <c r="N910" s="61"/>
      <c r="O910" s="32"/>
      <c r="P910" s="61"/>
      <c r="Q910" s="62"/>
      <c r="R910" s="63"/>
      <c r="S910" s="63"/>
      <c r="T910" s="63"/>
      <c r="U910" s="63"/>
    </row>
    <row r="911" spans="1:21" ht="13.2">
      <c r="A911" s="5">
        <f t="shared" ca="1" si="5"/>
        <v>910</v>
      </c>
      <c r="B911" s="5" t="str">
        <f ca="1">IFERROR(__xludf.DUMMYFUNCTION("if(ISBLANK(C911),,QUERY(MD!A912:D1910,""Select A where C = '""&amp; C911 &amp;""'""))"),"")</f>
        <v/>
      </c>
      <c r="C911" s="5"/>
      <c r="E911" s="49"/>
      <c r="F911" s="5"/>
      <c r="G911" s="32"/>
      <c r="H911" s="61"/>
      <c r="I911" s="32"/>
      <c r="J911" s="61"/>
      <c r="K911" s="32"/>
      <c r="L911" s="61"/>
      <c r="M911" s="32"/>
      <c r="N911" s="61"/>
      <c r="O911" s="32"/>
      <c r="P911" s="61"/>
      <c r="Q911" s="62"/>
      <c r="R911" s="63"/>
      <c r="S911" s="63"/>
      <c r="T911" s="63"/>
      <c r="U911" s="63"/>
    </row>
    <row r="912" spans="1:21" ht="13.2">
      <c r="A912" s="5">
        <f t="shared" ca="1" si="5"/>
        <v>911</v>
      </c>
      <c r="B912" s="5" t="str">
        <f ca="1">IFERROR(__xludf.DUMMYFUNCTION("if(ISBLANK(C912),,QUERY(MD!A913:D1911,""Select A where C = '""&amp; C912 &amp;""'""))"),"")</f>
        <v/>
      </c>
      <c r="C912" s="5"/>
      <c r="E912" s="49"/>
      <c r="F912" s="5"/>
      <c r="G912" s="32"/>
      <c r="H912" s="61"/>
      <c r="I912" s="32"/>
      <c r="J912" s="61"/>
      <c r="K912" s="32"/>
      <c r="L912" s="61"/>
      <c r="M912" s="32"/>
      <c r="N912" s="61"/>
      <c r="O912" s="32"/>
      <c r="P912" s="61"/>
      <c r="Q912" s="62"/>
      <c r="R912" s="63"/>
      <c r="S912" s="63"/>
      <c r="T912" s="63"/>
      <c r="U912" s="63"/>
    </row>
    <row r="913" spans="1:21" ht="13.2">
      <c r="A913" s="5">
        <f t="shared" ca="1" si="5"/>
        <v>912</v>
      </c>
      <c r="B913" s="5" t="str">
        <f ca="1">IFERROR(__xludf.DUMMYFUNCTION("if(ISBLANK(C913),,QUERY(MD!A914:D1912,""Select A where C = '""&amp; C913 &amp;""'""))"),"")</f>
        <v/>
      </c>
      <c r="C913" s="5"/>
      <c r="E913" s="49"/>
      <c r="F913" s="5"/>
      <c r="G913" s="32"/>
      <c r="H913" s="61"/>
      <c r="I913" s="32"/>
      <c r="J913" s="61"/>
      <c r="K913" s="32"/>
      <c r="L913" s="61"/>
      <c r="M913" s="32"/>
      <c r="N913" s="61"/>
      <c r="O913" s="32"/>
      <c r="P913" s="61"/>
      <c r="Q913" s="62"/>
      <c r="R913" s="63"/>
      <c r="S913" s="63"/>
      <c r="T913" s="63"/>
      <c r="U913" s="63"/>
    </row>
    <row r="914" spans="1:21" ht="13.2">
      <c r="A914" s="5">
        <f t="shared" ca="1" si="5"/>
        <v>913</v>
      </c>
      <c r="B914" s="5" t="str">
        <f ca="1">IFERROR(__xludf.DUMMYFUNCTION("if(ISBLANK(C914),,QUERY(MD!A915:D1913,""Select A where C = '""&amp; C914 &amp;""'""))"),"")</f>
        <v/>
      </c>
      <c r="C914" s="5"/>
      <c r="E914" s="49"/>
      <c r="F914" s="5"/>
      <c r="G914" s="32"/>
      <c r="H914" s="61"/>
      <c r="I914" s="32"/>
      <c r="J914" s="61"/>
      <c r="K914" s="32"/>
      <c r="L914" s="61"/>
      <c r="M914" s="32"/>
      <c r="N914" s="61"/>
      <c r="O914" s="32"/>
      <c r="P914" s="61"/>
      <c r="Q914" s="62"/>
      <c r="R914" s="63"/>
      <c r="S914" s="63"/>
      <c r="T914" s="63"/>
      <c r="U914" s="63"/>
    </row>
    <row r="915" spans="1:21" ht="13.2">
      <c r="A915" s="5">
        <f t="shared" ca="1" si="5"/>
        <v>914</v>
      </c>
      <c r="B915" s="5" t="str">
        <f ca="1">IFERROR(__xludf.DUMMYFUNCTION("if(ISBLANK(C915),,QUERY(MD!A916:D1914,""Select A where C = '""&amp; C915 &amp;""'""))"),"")</f>
        <v/>
      </c>
      <c r="C915" s="5"/>
      <c r="E915" s="49"/>
      <c r="F915" s="5"/>
      <c r="G915" s="32"/>
      <c r="H915" s="61"/>
      <c r="I915" s="32"/>
      <c r="J915" s="61"/>
      <c r="K915" s="32"/>
      <c r="L915" s="61"/>
      <c r="M915" s="32"/>
      <c r="N915" s="61"/>
      <c r="O915" s="32"/>
      <c r="P915" s="61"/>
      <c r="Q915" s="62"/>
      <c r="R915" s="63"/>
      <c r="S915" s="63"/>
      <c r="T915" s="63"/>
      <c r="U915" s="63"/>
    </row>
    <row r="916" spans="1:21" ht="13.2">
      <c r="A916" s="5">
        <f t="shared" ca="1" si="5"/>
        <v>915</v>
      </c>
      <c r="B916" s="5" t="str">
        <f ca="1">IFERROR(__xludf.DUMMYFUNCTION("if(ISBLANK(C916),,QUERY(MD!A917:D1915,""Select A where C = '""&amp; C916 &amp;""'""))"),"")</f>
        <v/>
      </c>
      <c r="C916" s="5"/>
      <c r="E916" s="49"/>
      <c r="F916" s="5"/>
      <c r="G916" s="32"/>
      <c r="H916" s="61"/>
      <c r="I916" s="32"/>
      <c r="J916" s="61"/>
      <c r="K916" s="32"/>
      <c r="L916" s="61"/>
      <c r="M916" s="32"/>
      <c r="N916" s="61"/>
      <c r="O916" s="32"/>
      <c r="P916" s="61"/>
      <c r="Q916" s="62"/>
      <c r="R916" s="63"/>
      <c r="S916" s="63"/>
      <c r="T916" s="63"/>
      <c r="U916" s="63"/>
    </row>
    <row r="917" spans="1:21" ht="13.2">
      <c r="A917" s="5">
        <f t="shared" ca="1" si="5"/>
        <v>916</v>
      </c>
      <c r="B917" s="5" t="str">
        <f ca="1">IFERROR(__xludf.DUMMYFUNCTION("if(ISBLANK(C917),,QUERY(MD!A918:D1916,""Select A where C = '""&amp; C917 &amp;""'""))"),"")</f>
        <v/>
      </c>
      <c r="C917" s="5"/>
      <c r="E917" s="49"/>
      <c r="F917" s="5"/>
      <c r="G917" s="32"/>
      <c r="H917" s="61"/>
      <c r="I917" s="32"/>
      <c r="J917" s="61"/>
      <c r="K917" s="32"/>
      <c r="L917" s="61"/>
      <c r="M917" s="32"/>
      <c r="N917" s="61"/>
      <c r="O917" s="32"/>
      <c r="P917" s="61"/>
      <c r="Q917" s="62"/>
      <c r="R917" s="63"/>
      <c r="S917" s="63"/>
      <c r="T917" s="63"/>
      <c r="U917" s="63"/>
    </row>
    <row r="918" spans="1:21" ht="13.2">
      <c r="A918" s="5">
        <f t="shared" ca="1" si="5"/>
        <v>917</v>
      </c>
      <c r="B918" s="5" t="str">
        <f ca="1">IFERROR(__xludf.DUMMYFUNCTION("if(ISBLANK(C918),,QUERY(MD!A919:D1917,""Select A where C = '""&amp; C918 &amp;""'""))"),"")</f>
        <v/>
      </c>
      <c r="C918" s="5"/>
      <c r="E918" s="49"/>
      <c r="F918" s="5"/>
      <c r="G918" s="32"/>
      <c r="H918" s="61"/>
      <c r="I918" s="32"/>
      <c r="J918" s="61"/>
      <c r="K918" s="32"/>
      <c r="L918" s="61"/>
      <c r="M918" s="32"/>
      <c r="N918" s="61"/>
      <c r="O918" s="32"/>
      <c r="P918" s="61"/>
      <c r="Q918" s="62"/>
      <c r="R918" s="63"/>
      <c r="S918" s="63"/>
      <c r="T918" s="63"/>
      <c r="U918" s="63"/>
    </row>
    <row r="919" spans="1:21" ht="13.2">
      <c r="A919" s="5">
        <f t="shared" ca="1" si="5"/>
        <v>918</v>
      </c>
      <c r="B919" s="5" t="str">
        <f ca="1">IFERROR(__xludf.DUMMYFUNCTION("if(ISBLANK(C919),,QUERY(MD!A920:D1918,""Select A where C = '""&amp; C919 &amp;""'""))"),"")</f>
        <v/>
      </c>
      <c r="C919" s="5"/>
      <c r="E919" s="49"/>
      <c r="F919" s="5"/>
      <c r="G919" s="32"/>
      <c r="H919" s="61"/>
      <c r="I919" s="32"/>
      <c r="J919" s="61"/>
      <c r="K919" s="32"/>
      <c r="L919" s="61"/>
      <c r="M919" s="32"/>
      <c r="N919" s="61"/>
      <c r="O919" s="32"/>
      <c r="P919" s="61"/>
      <c r="Q919" s="62"/>
      <c r="R919" s="63"/>
      <c r="S919" s="63"/>
      <c r="T919" s="63"/>
      <c r="U919" s="63"/>
    </row>
    <row r="920" spans="1:21" ht="13.2">
      <c r="A920" s="5">
        <f t="shared" ca="1" si="5"/>
        <v>919</v>
      </c>
      <c r="B920" s="5" t="str">
        <f ca="1">IFERROR(__xludf.DUMMYFUNCTION("if(ISBLANK(C920),,QUERY(MD!A921:D1919,""Select A where C = '""&amp; C920 &amp;""'""))"),"")</f>
        <v/>
      </c>
      <c r="C920" s="5"/>
      <c r="E920" s="49"/>
      <c r="F920" s="5"/>
      <c r="G920" s="32"/>
      <c r="H920" s="61"/>
      <c r="I920" s="32"/>
      <c r="J920" s="61"/>
      <c r="K920" s="32"/>
      <c r="L920" s="61"/>
      <c r="M920" s="32"/>
      <c r="N920" s="61"/>
      <c r="O920" s="32"/>
      <c r="P920" s="61"/>
      <c r="Q920" s="62"/>
      <c r="R920" s="63"/>
      <c r="S920" s="63"/>
      <c r="T920" s="63"/>
      <c r="U920" s="63"/>
    </row>
    <row r="921" spans="1:21" ht="13.2">
      <c r="A921" s="5">
        <f t="shared" ca="1" si="5"/>
        <v>920</v>
      </c>
      <c r="B921" s="5" t="str">
        <f ca="1">IFERROR(__xludf.DUMMYFUNCTION("if(ISBLANK(C921),,QUERY(MD!A922:D1920,""Select A where C = '""&amp; C921 &amp;""'""))"),"")</f>
        <v/>
      </c>
      <c r="C921" s="5"/>
      <c r="E921" s="49"/>
      <c r="F921" s="5"/>
      <c r="G921" s="32"/>
      <c r="H921" s="61"/>
      <c r="I921" s="32"/>
      <c r="J921" s="61"/>
      <c r="K921" s="32"/>
      <c r="L921" s="61"/>
      <c r="M921" s="32"/>
      <c r="N921" s="61"/>
      <c r="O921" s="32"/>
      <c r="P921" s="61"/>
      <c r="Q921" s="62"/>
      <c r="R921" s="63"/>
      <c r="S921" s="63"/>
      <c r="T921" s="63"/>
      <c r="U921" s="63"/>
    </row>
    <row r="922" spans="1:21" ht="13.2">
      <c r="A922" s="5">
        <f t="shared" ca="1" si="5"/>
        <v>921</v>
      </c>
      <c r="B922" s="5" t="str">
        <f ca="1">IFERROR(__xludf.DUMMYFUNCTION("if(ISBLANK(C922),,QUERY(MD!A923:D1921,""Select A where C = '""&amp; C922 &amp;""'""))"),"")</f>
        <v/>
      </c>
      <c r="C922" s="5"/>
      <c r="E922" s="49"/>
      <c r="F922" s="5"/>
      <c r="G922" s="32"/>
      <c r="H922" s="61"/>
      <c r="I922" s="32"/>
      <c r="J922" s="61"/>
      <c r="K922" s="32"/>
      <c r="L922" s="61"/>
      <c r="M922" s="32"/>
      <c r="N922" s="61"/>
      <c r="O922" s="32"/>
      <c r="P922" s="61"/>
      <c r="Q922" s="62"/>
      <c r="R922" s="63"/>
      <c r="S922" s="63"/>
      <c r="T922" s="63"/>
      <c r="U922" s="63"/>
    </row>
    <row r="923" spans="1:21" ht="13.2">
      <c r="A923" s="5">
        <f t="shared" ca="1" si="5"/>
        <v>922</v>
      </c>
      <c r="B923" s="5" t="str">
        <f ca="1">IFERROR(__xludf.DUMMYFUNCTION("if(ISBLANK(C923),,QUERY(MD!A924:D1922,""Select A where C = '""&amp; C923 &amp;""'""))"),"")</f>
        <v/>
      </c>
      <c r="C923" s="5"/>
      <c r="E923" s="49"/>
      <c r="F923" s="5"/>
      <c r="G923" s="32"/>
      <c r="H923" s="61"/>
      <c r="I923" s="32"/>
      <c r="J923" s="61"/>
      <c r="K923" s="32"/>
      <c r="L923" s="61"/>
      <c r="M923" s="32"/>
      <c r="N923" s="61"/>
      <c r="O923" s="32"/>
      <c r="P923" s="61"/>
      <c r="Q923" s="62"/>
      <c r="R923" s="63"/>
      <c r="S923" s="63"/>
      <c r="T923" s="63"/>
      <c r="U923" s="63"/>
    </row>
    <row r="924" spans="1:21" ht="13.2">
      <c r="A924" s="5">
        <f t="shared" ca="1" si="5"/>
        <v>923</v>
      </c>
      <c r="B924" s="5" t="str">
        <f ca="1">IFERROR(__xludf.DUMMYFUNCTION("if(ISBLANK(C924),,QUERY(MD!A925:D1923,""Select A where C = '""&amp; C924 &amp;""'""))"),"")</f>
        <v/>
      </c>
      <c r="C924" s="5"/>
      <c r="E924" s="49"/>
      <c r="F924" s="5"/>
      <c r="G924" s="32"/>
      <c r="H924" s="61"/>
      <c r="I924" s="32"/>
      <c r="J924" s="61"/>
      <c r="K924" s="32"/>
      <c r="L924" s="61"/>
      <c r="M924" s="32"/>
      <c r="N924" s="61"/>
      <c r="O924" s="32"/>
      <c r="P924" s="61"/>
      <c r="Q924" s="62"/>
      <c r="R924" s="63"/>
      <c r="S924" s="63"/>
      <c r="T924" s="63"/>
      <c r="U924" s="63"/>
    </row>
    <row r="925" spans="1:21" ht="13.2">
      <c r="A925" s="5">
        <f t="shared" ca="1" si="5"/>
        <v>924</v>
      </c>
      <c r="B925" s="5" t="str">
        <f ca="1">IFERROR(__xludf.DUMMYFUNCTION("if(ISBLANK(C925),,QUERY(MD!A926:D1924,""Select A where C = '""&amp; C925 &amp;""'""))"),"")</f>
        <v/>
      </c>
      <c r="C925" s="5"/>
      <c r="E925" s="49"/>
      <c r="F925" s="5"/>
      <c r="G925" s="32"/>
      <c r="H925" s="61"/>
      <c r="I925" s="32"/>
      <c r="J925" s="61"/>
      <c r="K925" s="32"/>
      <c r="L925" s="61"/>
      <c r="M925" s="32"/>
      <c r="N925" s="61"/>
      <c r="O925" s="32"/>
      <c r="P925" s="61"/>
      <c r="Q925" s="62"/>
      <c r="R925" s="63"/>
      <c r="S925" s="63"/>
      <c r="T925" s="63"/>
      <c r="U925" s="63"/>
    </row>
    <row r="926" spans="1:21" ht="13.2">
      <c r="A926" s="5">
        <f t="shared" ca="1" si="5"/>
        <v>925</v>
      </c>
      <c r="B926" s="5" t="str">
        <f ca="1">IFERROR(__xludf.DUMMYFUNCTION("if(ISBLANK(C926),,QUERY(MD!A927:D1925,""Select A where C = '""&amp; C926 &amp;""'""))"),"")</f>
        <v/>
      </c>
      <c r="C926" s="5"/>
      <c r="E926" s="49"/>
      <c r="F926" s="5"/>
      <c r="G926" s="32"/>
      <c r="H926" s="61"/>
      <c r="I926" s="32"/>
      <c r="J926" s="61"/>
      <c r="K926" s="32"/>
      <c r="L926" s="61"/>
      <c r="M926" s="32"/>
      <c r="N926" s="61"/>
      <c r="O926" s="32"/>
      <c r="P926" s="61"/>
      <c r="Q926" s="62"/>
      <c r="R926" s="63"/>
      <c r="S926" s="63"/>
      <c r="T926" s="63"/>
      <c r="U926" s="63"/>
    </row>
    <row r="927" spans="1:21" ht="13.2">
      <c r="A927" s="5">
        <f t="shared" ca="1" si="5"/>
        <v>926</v>
      </c>
      <c r="B927" s="5" t="str">
        <f ca="1">IFERROR(__xludf.DUMMYFUNCTION("if(ISBLANK(C927),,QUERY(MD!A928:D1926,""Select A where C = '""&amp; C927 &amp;""'""))"),"")</f>
        <v/>
      </c>
      <c r="C927" s="5"/>
      <c r="E927" s="49"/>
      <c r="F927" s="5"/>
      <c r="G927" s="32"/>
      <c r="H927" s="61"/>
      <c r="I927" s="32"/>
      <c r="J927" s="61"/>
      <c r="K927" s="32"/>
      <c r="L927" s="61"/>
      <c r="M927" s="32"/>
      <c r="N927" s="61"/>
      <c r="O927" s="32"/>
      <c r="P927" s="61"/>
      <c r="Q927" s="62"/>
      <c r="R927" s="63"/>
      <c r="S927" s="63"/>
      <c r="T927" s="63"/>
      <c r="U927" s="63"/>
    </row>
    <row r="928" spans="1:21" ht="13.2">
      <c r="A928" s="5">
        <f t="shared" ca="1" si="5"/>
        <v>927</v>
      </c>
      <c r="B928" s="5" t="str">
        <f ca="1">IFERROR(__xludf.DUMMYFUNCTION("if(ISBLANK(C928),,QUERY(MD!A929:D1927,""Select A where C = '""&amp; C928 &amp;""'""))"),"")</f>
        <v/>
      </c>
      <c r="C928" s="5"/>
      <c r="E928" s="49"/>
      <c r="F928" s="5"/>
      <c r="G928" s="32"/>
      <c r="H928" s="61"/>
      <c r="I928" s="32"/>
      <c r="J928" s="61"/>
      <c r="K928" s="32"/>
      <c r="L928" s="61"/>
      <c r="M928" s="32"/>
      <c r="N928" s="61"/>
      <c r="O928" s="32"/>
      <c r="P928" s="61"/>
      <c r="Q928" s="62"/>
      <c r="R928" s="63"/>
      <c r="S928" s="63"/>
      <c r="T928" s="63"/>
      <c r="U928" s="63"/>
    </row>
    <row r="929" spans="1:21" ht="13.2">
      <c r="A929" s="5">
        <f t="shared" ca="1" si="5"/>
        <v>928</v>
      </c>
      <c r="B929" s="5" t="str">
        <f ca="1">IFERROR(__xludf.DUMMYFUNCTION("if(ISBLANK(C929),,QUERY(MD!A930:D1928,""Select A where C = '""&amp; C929 &amp;""'""))"),"")</f>
        <v/>
      </c>
      <c r="C929" s="5"/>
      <c r="E929" s="49"/>
      <c r="F929" s="5"/>
      <c r="G929" s="32"/>
      <c r="H929" s="61"/>
      <c r="I929" s="32"/>
      <c r="J929" s="61"/>
      <c r="K929" s="32"/>
      <c r="L929" s="61"/>
      <c r="M929" s="32"/>
      <c r="N929" s="61"/>
      <c r="O929" s="32"/>
      <c r="P929" s="61"/>
      <c r="Q929" s="62"/>
      <c r="R929" s="63"/>
      <c r="S929" s="63"/>
      <c r="T929" s="63"/>
      <c r="U929" s="63"/>
    </row>
    <row r="930" spans="1:21" ht="13.2">
      <c r="A930" s="5">
        <f t="shared" ca="1" si="5"/>
        <v>929</v>
      </c>
      <c r="B930" s="5" t="str">
        <f ca="1">IFERROR(__xludf.DUMMYFUNCTION("if(ISBLANK(C930),,QUERY(MD!A931:D1929,""Select A where C = '""&amp; C930 &amp;""'""))"),"")</f>
        <v/>
      </c>
      <c r="C930" s="5"/>
      <c r="E930" s="49"/>
      <c r="F930" s="5"/>
      <c r="G930" s="32"/>
      <c r="H930" s="61"/>
      <c r="I930" s="32"/>
      <c r="J930" s="61"/>
      <c r="K930" s="32"/>
      <c r="L930" s="61"/>
      <c r="M930" s="32"/>
      <c r="N930" s="61"/>
      <c r="O930" s="32"/>
      <c r="P930" s="61"/>
      <c r="Q930" s="62"/>
      <c r="R930" s="63"/>
      <c r="S930" s="63"/>
      <c r="T930" s="63"/>
      <c r="U930" s="63"/>
    </row>
    <row r="931" spans="1:21" ht="13.2">
      <c r="A931" s="5">
        <f t="shared" ca="1" si="5"/>
        <v>930</v>
      </c>
      <c r="B931" s="5" t="str">
        <f ca="1">IFERROR(__xludf.DUMMYFUNCTION("if(ISBLANK(C931),,QUERY(MD!A932:D1930,""Select A where C = '""&amp; C931 &amp;""'""))"),"")</f>
        <v/>
      </c>
      <c r="C931" s="5"/>
      <c r="E931" s="49"/>
      <c r="F931" s="5"/>
      <c r="G931" s="32"/>
      <c r="H931" s="61"/>
      <c r="I931" s="32"/>
      <c r="J931" s="61"/>
      <c r="K931" s="32"/>
      <c r="L931" s="61"/>
      <c r="M931" s="32"/>
      <c r="N931" s="61"/>
      <c r="O931" s="32"/>
      <c r="P931" s="61"/>
      <c r="Q931" s="62"/>
      <c r="R931" s="63"/>
      <c r="S931" s="63"/>
      <c r="T931" s="63"/>
      <c r="U931" s="63"/>
    </row>
    <row r="932" spans="1:21" ht="13.2">
      <c r="A932" s="5">
        <f t="shared" ca="1" si="5"/>
        <v>931</v>
      </c>
      <c r="B932" s="5" t="str">
        <f ca="1">IFERROR(__xludf.DUMMYFUNCTION("if(ISBLANK(C932),,QUERY(MD!A933:D1931,""Select A where C = '""&amp; C932 &amp;""'""))"),"")</f>
        <v/>
      </c>
      <c r="C932" s="5"/>
      <c r="E932" s="49"/>
      <c r="F932" s="5"/>
      <c r="G932" s="32"/>
      <c r="H932" s="61"/>
      <c r="I932" s="32"/>
      <c r="J932" s="61"/>
      <c r="K932" s="32"/>
      <c r="L932" s="61"/>
      <c r="M932" s="32"/>
      <c r="N932" s="61"/>
      <c r="O932" s="32"/>
      <c r="P932" s="61"/>
      <c r="Q932" s="62"/>
      <c r="R932" s="63"/>
      <c r="S932" s="63"/>
      <c r="T932" s="63"/>
      <c r="U932" s="63"/>
    </row>
    <row r="933" spans="1:21" ht="13.2">
      <c r="A933" s="5">
        <f t="shared" ca="1" si="5"/>
        <v>932</v>
      </c>
      <c r="B933" s="5" t="str">
        <f ca="1">IFERROR(__xludf.DUMMYFUNCTION("if(ISBLANK(C933),,QUERY(MD!A934:D1932,""Select A where C = '""&amp; C933 &amp;""'""))"),"")</f>
        <v/>
      </c>
      <c r="C933" s="5"/>
      <c r="E933" s="49"/>
      <c r="F933" s="5"/>
      <c r="G933" s="32"/>
      <c r="H933" s="61"/>
      <c r="I933" s="32"/>
      <c r="J933" s="61"/>
      <c r="K933" s="32"/>
      <c r="L933" s="61"/>
      <c r="M933" s="32"/>
      <c r="N933" s="61"/>
      <c r="O933" s="32"/>
      <c r="P933" s="61"/>
      <c r="Q933" s="62"/>
      <c r="R933" s="63"/>
      <c r="S933" s="63"/>
      <c r="T933" s="63"/>
      <c r="U933" s="63"/>
    </row>
    <row r="934" spans="1:21" ht="13.2">
      <c r="A934" s="5">
        <f t="shared" ca="1" si="5"/>
        <v>933</v>
      </c>
      <c r="B934" s="5" t="str">
        <f ca="1">IFERROR(__xludf.DUMMYFUNCTION("if(ISBLANK(C934),,QUERY(MD!A935:D1933,""Select A where C = '""&amp; C934 &amp;""'""))"),"")</f>
        <v/>
      </c>
      <c r="C934" s="5"/>
      <c r="E934" s="49"/>
      <c r="F934" s="5"/>
      <c r="G934" s="32"/>
      <c r="H934" s="61"/>
      <c r="I934" s="32"/>
      <c r="J934" s="61"/>
      <c r="K934" s="32"/>
      <c r="L934" s="61"/>
      <c r="M934" s="32"/>
      <c r="N934" s="61"/>
      <c r="O934" s="32"/>
      <c r="P934" s="61"/>
      <c r="Q934" s="62"/>
      <c r="R934" s="63"/>
      <c r="S934" s="63"/>
      <c r="T934" s="63"/>
      <c r="U934" s="63"/>
    </row>
    <row r="935" spans="1:21" ht="13.2">
      <c r="A935" s="5">
        <f t="shared" ca="1" si="5"/>
        <v>934</v>
      </c>
      <c r="B935" s="5" t="str">
        <f ca="1">IFERROR(__xludf.DUMMYFUNCTION("if(ISBLANK(C935),,QUERY(MD!A936:D1934,""Select A where C = '""&amp; C935 &amp;""'""))"),"")</f>
        <v/>
      </c>
      <c r="C935" s="5"/>
      <c r="E935" s="49"/>
      <c r="F935" s="5"/>
      <c r="G935" s="32"/>
      <c r="H935" s="61"/>
      <c r="I935" s="32"/>
      <c r="J935" s="61"/>
      <c r="K935" s="32"/>
      <c r="L935" s="61"/>
      <c r="M935" s="32"/>
      <c r="N935" s="61"/>
      <c r="O935" s="32"/>
      <c r="P935" s="61"/>
      <c r="Q935" s="62"/>
      <c r="R935" s="63"/>
      <c r="S935" s="63"/>
      <c r="T935" s="63"/>
      <c r="U935" s="63"/>
    </row>
    <row r="936" spans="1:21" ht="13.2">
      <c r="A936" s="5">
        <f t="shared" ca="1" si="5"/>
        <v>935</v>
      </c>
      <c r="B936" s="5" t="str">
        <f ca="1">IFERROR(__xludf.DUMMYFUNCTION("if(ISBLANK(C936),,QUERY(MD!A937:D1935,""Select A where C = '""&amp; C936 &amp;""'""))"),"")</f>
        <v/>
      </c>
      <c r="C936" s="5"/>
      <c r="E936" s="49"/>
      <c r="F936" s="5"/>
      <c r="G936" s="32"/>
      <c r="H936" s="61"/>
      <c r="I936" s="32"/>
      <c r="J936" s="61"/>
      <c r="K936" s="32"/>
      <c r="L936" s="61"/>
      <c r="M936" s="32"/>
      <c r="N936" s="61"/>
      <c r="O936" s="32"/>
      <c r="P936" s="61"/>
      <c r="Q936" s="62"/>
      <c r="R936" s="63"/>
      <c r="S936" s="63"/>
      <c r="T936" s="63"/>
      <c r="U936" s="63"/>
    </row>
    <row r="937" spans="1:21" ht="13.2">
      <c r="A937" s="5">
        <f t="shared" ca="1" si="5"/>
        <v>936</v>
      </c>
      <c r="B937" s="5" t="str">
        <f ca="1">IFERROR(__xludf.DUMMYFUNCTION("if(ISBLANK(C937),,QUERY(MD!A938:D1936,""Select A where C = '""&amp; C937 &amp;""'""))"),"")</f>
        <v/>
      </c>
      <c r="C937" s="5"/>
      <c r="E937" s="49"/>
      <c r="F937" s="5"/>
      <c r="G937" s="32"/>
      <c r="H937" s="61"/>
      <c r="I937" s="32"/>
      <c r="J937" s="61"/>
      <c r="K937" s="32"/>
      <c r="L937" s="61"/>
      <c r="M937" s="32"/>
      <c r="N937" s="61"/>
      <c r="O937" s="32"/>
      <c r="P937" s="61"/>
      <c r="Q937" s="62"/>
      <c r="R937" s="63"/>
      <c r="S937" s="63"/>
      <c r="T937" s="63"/>
      <c r="U937" s="63"/>
    </row>
    <row r="938" spans="1:21" ht="13.2">
      <c r="A938" s="5">
        <f t="shared" ca="1" si="5"/>
        <v>937</v>
      </c>
      <c r="B938" s="5" t="str">
        <f ca="1">IFERROR(__xludf.DUMMYFUNCTION("if(ISBLANK(C938),,QUERY(MD!A939:D1937,""Select A where C = '""&amp; C938 &amp;""'""))"),"")</f>
        <v/>
      </c>
      <c r="C938" s="5"/>
      <c r="E938" s="49"/>
      <c r="F938" s="5"/>
      <c r="G938" s="32"/>
      <c r="H938" s="61"/>
      <c r="I938" s="32"/>
      <c r="J938" s="61"/>
      <c r="K938" s="32"/>
      <c r="L938" s="61"/>
      <c r="M938" s="32"/>
      <c r="N938" s="61"/>
      <c r="O938" s="32"/>
      <c r="P938" s="61"/>
      <c r="Q938" s="62"/>
      <c r="R938" s="63"/>
      <c r="S938" s="63"/>
      <c r="T938" s="63"/>
      <c r="U938" s="63"/>
    </row>
    <row r="939" spans="1:21" ht="13.2">
      <c r="A939" s="5">
        <f t="shared" ca="1" si="5"/>
        <v>938</v>
      </c>
      <c r="B939" s="5" t="str">
        <f ca="1">IFERROR(__xludf.DUMMYFUNCTION("if(ISBLANK(C939),,QUERY(MD!A940:D1938,""Select A where C = '""&amp; C939 &amp;""'""))"),"")</f>
        <v/>
      </c>
      <c r="C939" s="5"/>
      <c r="E939" s="49"/>
      <c r="F939" s="5"/>
      <c r="G939" s="32"/>
      <c r="H939" s="61"/>
      <c r="I939" s="32"/>
      <c r="J939" s="61"/>
      <c r="K939" s="32"/>
      <c r="L939" s="61"/>
      <c r="M939" s="32"/>
      <c r="N939" s="61"/>
      <c r="O939" s="32"/>
      <c r="P939" s="61"/>
      <c r="Q939" s="62"/>
      <c r="R939" s="63"/>
      <c r="S939" s="63"/>
      <c r="T939" s="63"/>
      <c r="U939" s="63"/>
    </row>
    <row r="940" spans="1:21" ht="13.2">
      <c r="A940" s="5">
        <f t="shared" ca="1" si="5"/>
        <v>939</v>
      </c>
      <c r="B940" s="5" t="str">
        <f ca="1">IFERROR(__xludf.DUMMYFUNCTION("if(ISBLANK(C940),,QUERY(MD!A941:D1939,""Select A where C = '""&amp; C940 &amp;""'""))"),"")</f>
        <v/>
      </c>
      <c r="C940" s="5"/>
      <c r="E940" s="49"/>
      <c r="F940" s="5"/>
      <c r="G940" s="32"/>
      <c r="H940" s="61"/>
      <c r="I940" s="32"/>
      <c r="J940" s="61"/>
      <c r="K940" s="32"/>
      <c r="L940" s="61"/>
      <c r="M940" s="32"/>
      <c r="N940" s="61"/>
      <c r="O940" s="32"/>
      <c r="P940" s="61"/>
      <c r="Q940" s="62"/>
      <c r="R940" s="63"/>
      <c r="S940" s="63"/>
      <c r="T940" s="63"/>
      <c r="U940" s="63"/>
    </row>
    <row r="941" spans="1:21" ht="13.2">
      <c r="A941" s="5">
        <f t="shared" ca="1" si="5"/>
        <v>940</v>
      </c>
      <c r="B941" s="5" t="str">
        <f ca="1">IFERROR(__xludf.DUMMYFUNCTION("if(ISBLANK(C941),,QUERY(MD!A942:D1940,""Select A where C = '""&amp; C941 &amp;""'""))"),"")</f>
        <v/>
      </c>
      <c r="C941" s="5"/>
      <c r="E941" s="49"/>
      <c r="F941" s="5"/>
      <c r="G941" s="32"/>
      <c r="H941" s="61"/>
      <c r="I941" s="32"/>
      <c r="J941" s="61"/>
      <c r="K941" s="32"/>
      <c r="L941" s="61"/>
      <c r="M941" s="32"/>
      <c r="N941" s="61"/>
      <c r="O941" s="32"/>
      <c r="P941" s="61"/>
      <c r="Q941" s="62"/>
      <c r="R941" s="63"/>
      <c r="S941" s="63"/>
      <c r="T941" s="63"/>
      <c r="U941" s="63"/>
    </row>
    <row r="942" spans="1:21" ht="13.2">
      <c r="A942" s="5">
        <f t="shared" ca="1" si="5"/>
        <v>941</v>
      </c>
      <c r="B942" s="5" t="str">
        <f ca="1">IFERROR(__xludf.DUMMYFUNCTION("if(ISBLANK(C942),,QUERY(MD!A943:D1941,""Select A where C = '""&amp; C942 &amp;""'""))"),"")</f>
        <v/>
      </c>
      <c r="C942" s="5"/>
      <c r="E942" s="49"/>
      <c r="F942" s="5"/>
      <c r="G942" s="32"/>
      <c r="H942" s="61"/>
      <c r="I942" s="32"/>
      <c r="J942" s="61"/>
      <c r="K942" s="32"/>
      <c r="L942" s="61"/>
      <c r="M942" s="32"/>
      <c r="N942" s="61"/>
      <c r="O942" s="32"/>
      <c r="P942" s="61"/>
      <c r="Q942" s="62"/>
      <c r="R942" s="63"/>
      <c r="S942" s="63"/>
      <c r="T942" s="63"/>
      <c r="U942" s="63"/>
    </row>
    <row r="943" spans="1:21" ht="13.2">
      <c r="A943" s="5">
        <f t="shared" ca="1" si="5"/>
        <v>942</v>
      </c>
      <c r="B943" s="5" t="str">
        <f ca="1">IFERROR(__xludf.DUMMYFUNCTION("if(ISBLANK(C943),,QUERY(MD!A944:D1942,""Select A where C = '""&amp; C943 &amp;""'""))"),"")</f>
        <v/>
      </c>
      <c r="C943" s="5"/>
      <c r="E943" s="49"/>
      <c r="F943" s="5"/>
      <c r="G943" s="32"/>
      <c r="H943" s="61"/>
      <c r="I943" s="32"/>
      <c r="J943" s="61"/>
      <c r="K943" s="32"/>
      <c r="L943" s="61"/>
      <c r="M943" s="32"/>
      <c r="N943" s="61"/>
      <c r="O943" s="32"/>
      <c r="P943" s="61"/>
      <c r="Q943" s="62"/>
      <c r="R943" s="63"/>
      <c r="S943" s="63"/>
      <c r="T943" s="63"/>
      <c r="U943" s="63"/>
    </row>
    <row r="944" spans="1:21" ht="13.2">
      <c r="A944" s="5">
        <f t="shared" ca="1" si="5"/>
        <v>943</v>
      </c>
      <c r="B944" s="5" t="str">
        <f ca="1">IFERROR(__xludf.DUMMYFUNCTION("if(ISBLANK(C944),,QUERY(MD!A945:D1943,""Select A where C = '""&amp; C944 &amp;""'""))"),"")</f>
        <v/>
      </c>
      <c r="C944" s="5"/>
      <c r="E944" s="49"/>
      <c r="F944" s="5"/>
      <c r="G944" s="32"/>
      <c r="H944" s="61"/>
      <c r="I944" s="32"/>
      <c r="J944" s="61"/>
      <c r="K944" s="32"/>
      <c r="L944" s="61"/>
      <c r="M944" s="32"/>
      <c r="N944" s="61"/>
      <c r="O944" s="32"/>
      <c r="P944" s="61"/>
      <c r="Q944" s="62"/>
      <c r="R944" s="63"/>
      <c r="S944" s="63"/>
      <c r="T944" s="63"/>
      <c r="U944" s="63"/>
    </row>
    <row r="945" spans="1:21" ht="13.2">
      <c r="A945" s="5">
        <f t="shared" ca="1" si="5"/>
        <v>944</v>
      </c>
      <c r="B945" s="5" t="str">
        <f ca="1">IFERROR(__xludf.DUMMYFUNCTION("if(ISBLANK(C945),,QUERY(MD!A946:D1944,""Select A where C = '""&amp; C945 &amp;""'""))"),"")</f>
        <v/>
      </c>
      <c r="C945" s="5"/>
      <c r="E945" s="49"/>
      <c r="F945" s="5"/>
      <c r="G945" s="32"/>
      <c r="H945" s="61"/>
      <c r="I945" s="32"/>
      <c r="J945" s="61"/>
      <c r="K945" s="32"/>
      <c r="L945" s="61"/>
      <c r="M945" s="32"/>
      <c r="N945" s="61"/>
      <c r="O945" s="32"/>
      <c r="P945" s="61"/>
      <c r="Q945" s="62"/>
      <c r="R945" s="63"/>
      <c r="S945" s="63"/>
      <c r="T945" s="63"/>
      <c r="U945" s="63"/>
    </row>
    <row r="946" spans="1:21" ht="13.2">
      <c r="A946" s="5">
        <f t="shared" ca="1" si="5"/>
        <v>945</v>
      </c>
      <c r="B946" s="5" t="str">
        <f ca="1">IFERROR(__xludf.DUMMYFUNCTION("if(ISBLANK(C946),,QUERY(MD!A947:D1945,""Select A where C = '""&amp; C946 &amp;""'""))"),"")</f>
        <v/>
      </c>
      <c r="C946" s="5"/>
      <c r="E946" s="49"/>
      <c r="F946" s="5"/>
      <c r="G946" s="32"/>
      <c r="H946" s="61"/>
      <c r="I946" s="32"/>
      <c r="J946" s="61"/>
      <c r="K946" s="32"/>
      <c r="L946" s="61"/>
      <c r="M946" s="32"/>
      <c r="N946" s="61"/>
      <c r="O946" s="32"/>
      <c r="P946" s="61"/>
      <c r="Q946" s="62"/>
      <c r="R946" s="63"/>
      <c r="S946" s="63"/>
      <c r="T946" s="63"/>
      <c r="U946" s="63"/>
    </row>
    <row r="947" spans="1:21" ht="13.2">
      <c r="A947" s="5">
        <f t="shared" ca="1" si="5"/>
        <v>946</v>
      </c>
      <c r="B947" s="5" t="str">
        <f ca="1">IFERROR(__xludf.DUMMYFUNCTION("if(ISBLANK(C947),,QUERY(MD!A948:D1946,""Select A where C = '""&amp; C947 &amp;""'""))"),"")</f>
        <v/>
      </c>
      <c r="C947" s="5"/>
      <c r="E947" s="49"/>
      <c r="F947" s="5"/>
      <c r="G947" s="32"/>
      <c r="H947" s="61"/>
      <c r="I947" s="32"/>
      <c r="J947" s="61"/>
      <c r="K947" s="32"/>
      <c r="L947" s="61"/>
      <c r="M947" s="32"/>
      <c r="N947" s="61"/>
      <c r="O947" s="32"/>
      <c r="P947" s="61"/>
      <c r="Q947" s="62"/>
      <c r="R947" s="63"/>
      <c r="S947" s="63"/>
      <c r="T947" s="63"/>
      <c r="U947" s="63"/>
    </row>
    <row r="948" spans="1:21" ht="13.2">
      <c r="A948" s="5">
        <f t="shared" ca="1" si="5"/>
        <v>947</v>
      </c>
      <c r="B948" s="5" t="str">
        <f ca="1">IFERROR(__xludf.DUMMYFUNCTION("if(ISBLANK(C948),,QUERY(MD!A949:D1947,""Select A where C = '""&amp; C948 &amp;""'""))"),"")</f>
        <v/>
      </c>
      <c r="C948" s="5"/>
      <c r="E948" s="49"/>
      <c r="F948" s="5"/>
      <c r="G948" s="32"/>
      <c r="H948" s="61"/>
      <c r="I948" s="32"/>
      <c r="J948" s="61"/>
      <c r="K948" s="32"/>
      <c r="L948" s="61"/>
      <c r="M948" s="32"/>
      <c r="N948" s="61"/>
      <c r="O948" s="32"/>
      <c r="P948" s="61"/>
      <c r="Q948" s="62"/>
      <c r="R948" s="63"/>
      <c r="S948" s="63"/>
      <c r="T948" s="63"/>
      <c r="U948" s="63"/>
    </row>
    <row r="949" spans="1:21" ht="13.2">
      <c r="A949" s="5">
        <f t="shared" ca="1" si="5"/>
        <v>948</v>
      </c>
      <c r="B949" s="5" t="str">
        <f ca="1">IFERROR(__xludf.DUMMYFUNCTION("if(ISBLANK(C949),,QUERY(MD!A950:D1948,""Select A where C = '""&amp; C949 &amp;""'""))"),"")</f>
        <v/>
      </c>
      <c r="C949" s="5"/>
      <c r="E949" s="49"/>
      <c r="F949" s="5"/>
      <c r="G949" s="32"/>
      <c r="H949" s="61"/>
      <c r="I949" s="32"/>
      <c r="J949" s="61"/>
      <c r="K949" s="32"/>
      <c r="L949" s="61"/>
      <c r="M949" s="32"/>
      <c r="N949" s="61"/>
      <c r="O949" s="32"/>
      <c r="P949" s="61"/>
      <c r="Q949" s="62"/>
      <c r="R949" s="63"/>
      <c r="S949" s="63"/>
      <c r="T949" s="63"/>
      <c r="U949" s="63"/>
    </row>
    <row r="950" spans="1:21" ht="13.2">
      <c r="A950" s="5">
        <f t="shared" ca="1" si="5"/>
        <v>949</v>
      </c>
      <c r="B950" s="5" t="str">
        <f ca="1">IFERROR(__xludf.DUMMYFUNCTION("if(ISBLANK(C950),,QUERY(MD!A951:D1949,""Select A where C = '""&amp; C950 &amp;""'""))"),"")</f>
        <v/>
      </c>
      <c r="C950" s="5"/>
      <c r="E950" s="49"/>
      <c r="F950" s="5"/>
      <c r="G950" s="32"/>
      <c r="H950" s="61"/>
      <c r="I950" s="32"/>
      <c r="J950" s="61"/>
      <c r="K950" s="32"/>
      <c r="L950" s="61"/>
      <c r="M950" s="32"/>
      <c r="N950" s="61"/>
      <c r="O950" s="32"/>
      <c r="P950" s="61"/>
      <c r="Q950" s="62"/>
      <c r="R950" s="63"/>
      <c r="S950" s="63"/>
      <c r="T950" s="63"/>
      <c r="U950" s="63"/>
    </row>
    <row r="951" spans="1:21" ht="13.2">
      <c r="A951" s="5">
        <f t="shared" ca="1" si="5"/>
        <v>950</v>
      </c>
      <c r="B951" s="5" t="str">
        <f ca="1">IFERROR(__xludf.DUMMYFUNCTION("if(ISBLANK(C951),,QUERY(MD!A952:D1950,""Select A where C = '""&amp; C951 &amp;""'""))"),"")</f>
        <v/>
      </c>
      <c r="C951" s="5"/>
      <c r="E951" s="49"/>
      <c r="F951" s="5"/>
      <c r="G951" s="32"/>
      <c r="H951" s="61"/>
      <c r="I951" s="32"/>
      <c r="J951" s="61"/>
      <c r="K951" s="32"/>
      <c r="L951" s="61"/>
      <c r="M951" s="32"/>
      <c r="N951" s="61"/>
      <c r="O951" s="32"/>
      <c r="P951" s="61"/>
      <c r="Q951" s="62"/>
      <c r="R951" s="63"/>
      <c r="S951" s="63"/>
      <c r="T951" s="63"/>
      <c r="U951" s="63"/>
    </row>
    <row r="952" spans="1:21" ht="13.2">
      <c r="A952" s="5">
        <f t="shared" ca="1" si="5"/>
        <v>951</v>
      </c>
      <c r="B952" s="5" t="str">
        <f ca="1">IFERROR(__xludf.DUMMYFUNCTION("if(ISBLANK(C952),,QUERY(MD!A953:D1951,""Select A where C = '""&amp; C952 &amp;""'""))"),"")</f>
        <v/>
      </c>
      <c r="C952" s="5"/>
      <c r="E952" s="49"/>
      <c r="F952" s="5"/>
      <c r="G952" s="32"/>
      <c r="H952" s="61"/>
      <c r="I952" s="32"/>
      <c r="J952" s="61"/>
      <c r="K952" s="32"/>
      <c r="L952" s="61"/>
      <c r="M952" s="32"/>
      <c r="N952" s="61"/>
      <c r="O952" s="32"/>
      <c r="P952" s="61"/>
      <c r="Q952" s="62"/>
      <c r="R952" s="63"/>
      <c r="S952" s="63"/>
      <c r="T952" s="63"/>
      <c r="U952" s="63"/>
    </row>
    <row r="953" spans="1:21" ht="13.2">
      <c r="A953" s="5">
        <f t="shared" ca="1" si="5"/>
        <v>952</v>
      </c>
      <c r="B953" s="5" t="str">
        <f ca="1">IFERROR(__xludf.DUMMYFUNCTION("if(ISBLANK(C953),,QUERY(MD!A954:D1952,""Select A where C = '""&amp; C953 &amp;""'""))"),"")</f>
        <v/>
      </c>
      <c r="C953" s="5"/>
      <c r="E953" s="49"/>
      <c r="F953" s="5"/>
      <c r="G953" s="32"/>
      <c r="H953" s="61"/>
      <c r="I953" s="32"/>
      <c r="J953" s="61"/>
      <c r="K953" s="32"/>
      <c r="L953" s="61"/>
      <c r="M953" s="32"/>
      <c r="N953" s="61"/>
      <c r="O953" s="32"/>
      <c r="P953" s="61"/>
      <c r="Q953" s="62"/>
      <c r="R953" s="63"/>
      <c r="S953" s="63"/>
      <c r="T953" s="63"/>
      <c r="U953" s="63"/>
    </row>
    <row r="954" spans="1:21" ht="13.2">
      <c r="A954" s="5">
        <f t="shared" ca="1" si="5"/>
        <v>953</v>
      </c>
      <c r="B954" s="5" t="str">
        <f ca="1">IFERROR(__xludf.DUMMYFUNCTION("if(ISBLANK(C954),,QUERY(MD!A955:D1953,""Select A where C = '""&amp; C954 &amp;""'""))"),"")</f>
        <v/>
      </c>
      <c r="C954" s="5"/>
      <c r="E954" s="49"/>
      <c r="F954" s="5"/>
      <c r="G954" s="32"/>
      <c r="H954" s="61"/>
      <c r="I954" s="32"/>
      <c r="J954" s="61"/>
      <c r="K954" s="32"/>
      <c r="L954" s="61"/>
      <c r="M954" s="32"/>
      <c r="N954" s="61"/>
      <c r="O954" s="32"/>
      <c r="P954" s="61"/>
      <c r="Q954" s="62"/>
      <c r="R954" s="63"/>
      <c r="S954" s="63"/>
      <c r="T954" s="63"/>
      <c r="U954" s="63"/>
    </row>
    <row r="955" spans="1:21" ht="13.2">
      <c r="A955" s="5">
        <f t="shared" ca="1" si="5"/>
        <v>954</v>
      </c>
      <c r="B955" s="5" t="str">
        <f ca="1">IFERROR(__xludf.DUMMYFUNCTION("if(ISBLANK(C955),,QUERY(MD!A956:D1954,""Select A where C = '""&amp; C955 &amp;""'""))"),"")</f>
        <v/>
      </c>
      <c r="C955" s="5"/>
      <c r="E955" s="49"/>
      <c r="F955" s="5"/>
      <c r="G955" s="32"/>
      <c r="H955" s="61"/>
      <c r="I955" s="32"/>
      <c r="J955" s="61"/>
      <c r="K955" s="32"/>
      <c r="L955" s="61"/>
      <c r="M955" s="32"/>
      <c r="N955" s="61"/>
      <c r="O955" s="32"/>
      <c r="P955" s="61"/>
      <c r="Q955" s="62"/>
      <c r="R955" s="63"/>
      <c r="S955" s="63"/>
      <c r="T955" s="63"/>
      <c r="U955" s="63"/>
    </row>
    <row r="956" spans="1:21" ht="13.2">
      <c r="A956" s="5">
        <f t="shared" ca="1" si="5"/>
        <v>955</v>
      </c>
      <c r="B956" s="5" t="str">
        <f ca="1">IFERROR(__xludf.DUMMYFUNCTION("if(ISBLANK(C956),,QUERY(MD!A957:D1955,""Select A where C = '""&amp; C956 &amp;""'""))"),"")</f>
        <v/>
      </c>
      <c r="C956" s="5"/>
      <c r="E956" s="49"/>
      <c r="F956" s="5"/>
      <c r="G956" s="32"/>
      <c r="H956" s="61"/>
      <c r="I956" s="32"/>
      <c r="J956" s="61"/>
      <c r="K956" s="32"/>
      <c r="L956" s="61"/>
      <c r="M956" s="32"/>
      <c r="N956" s="61"/>
      <c r="O956" s="32"/>
      <c r="P956" s="61"/>
      <c r="Q956" s="62"/>
      <c r="R956" s="63"/>
      <c r="S956" s="63"/>
      <c r="T956" s="63"/>
      <c r="U956" s="63"/>
    </row>
    <row r="957" spans="1:21" ht="13.2">
      <c r="A957" s="5">
        <f t="shared" ca="1" si="5"/>
        <v>956</v>
      </c>
      <c r="B957" s="5" t="str">
        <f ca="1">IFERROR(__xludf.DUMMYFUNCTION("if(ISBLANK(C957),,QUERY(MD!A958:D1956,""Select A where C = '""&amp; C957 &amp;""'""))"),"")</f>
        <v/>
      </c>
      <c r="C957" s="5"/>
      <c r="E957" s="49"/>
      <c r="F957" s="5"/>
      <c r="G957" s="32"/>
      <c r="H957" s="61"/>
      <c r="I957" s="32"/>
      <c r="J957" s="61"/>
      <c r="K957" s="32"/>
      <c r="L957" s="61"/>
      <c r="M957" s="32"/>
      <c r="N957" s="61"/>
      <c r="O957" s="32"/>
      <c r="P957" s="61"/>
      <c r="Q957" s="62"/>
      <c r="R957" s="63"/>
      <c r="S957" s="63"/>
      <c r="T957" s="63"/>
      <c r="U957" s="63"/>
    </row>
    <row r="958" spans="1:21" ht="13.2">
      <c r="A958" s="5">
        <f t="shared" ca="1" si="5"/>
        <v>957</v>
      </c>
      <c r="B958" s="5" t="str">
        <f ca="1">IFERROR(__xludf.DUMMYFUNCTION("if(ISBLANK(C958),,QUERY(MD!A959:D1957,""Select A where C = '""&amp; C958 &amp;""'""))"),"")</f>
        <v/>
      </c>
      <c r="C958" s="5"/>
      <c r="E958" s="49"/>
      <c r="F958" s="5"/>
      <c r="G958" s="32"/>
      <c r="H958" s="61"/>
      <c r="I958" s="32"/>
      <c r="J958" s="61"/>
      <c r="K958" s="32"/>
      <c r="L958" s="61"/>
      <c r="M958" s="32"/>
      <c r="N958" s="61"/>
      <c r="O958" s="32"/>
      <c r="P958" s="61"/>
      <c r="Q958" s="62"/>
      <c r="R958" s="63"/>
      <c r="S958" s="63"/>
      <c r="T958" s="63"/>
      <c r="U958" s="63"/>
    </row>
    <row r="959" spans="1:21" ht="13.2">
      <c r="A959" s="5">
        <f t="shared" ca="1" si="5"/>
        <v>958</v>
      </c>
      <c r="B959" s="5" t="str">
        <f ca="1">IFERROR(__xludf.DUMMYFUNCTION("if(ISBLANK(C959),,QUERY(MD!A960:D1958,""Select A where C = '""&amp; C959 &amp;""'""))"),"")</f>
        <v/>
      </c>
      <c r="C959" s="5"/>
      <c r="E959" s="49"/>
      <c r="F959" s="5"/>
      <c r="G959" s="32"/>
      <c r="H959" s="61"/>
      <c r="I959" s="32"/>
      <c r="J959" s="61"/>
      <c r="K959" s="32"/>
      <c r="L959" s="61"/>
      <c r="M959" s="32"/>
      <c r="N959" s="61"/>
      <c r="O959" s="32"/>
      <c r="P959" s="61"/>
      <c r="Q959" s="62"/>
      <c r="R959" s="63"/>
      <c r="S959" s="63"/>
      <c r="T959" s="63"/>
      <c r="U959" s="63"/>
    </row>
    <row r="960" spans="1:21" ht="13.2">
      <c r="A960" s="5">
        <f t="shared" ca="1" si="5"/>
        <v>959</v>
      </c>
      <c r="B960" s="5" t="str">
        <f ca="1">IFERROR(__xludf.DUMMYFUNCTION("if(ISBLANK(C960),,QUERY(MD!A961:D1959,""Select A where C = '""&amp; C960 &amp;""'""))"),"")</f>
        <v/>
      </c>
      <c r="C960" s="5"/>
      <c r="E960" s="49"/>
      <c r="F960" s="5"/>
      <c r="G960" s="32"/>
      <c r="H960" s="61"/>
      <c r="I960" s="32"/>
      <c r="J960" s="61"/>
      <c r="K960" s="32"/>
      <c r="L960" s="61"/>
      <c r="M960" s="32"/>
      <c r="N960" s="61"/>
      <c r="O960" s="32"/>
      <c r="P960" s="61"/>
      <c r="Q960" s="62"/>
      <c r="R960" s="63"/>
      <c r="S960" s="63"/>
      <c r="T960" s="63"/>
      <c r="U960" s="63"/>
    </row>
    <row r="961" spans="1:21" ht="13.2">
      <c r="A961" s="5">
        <f t="shared" ca="1" si="5"/>
        <v>960</v>
      </c>
      <c r="B961" s="5" t="str">
        <f ca="1">IFERROR(__xludf.DUMMYFUNCTION("if(ISBLANK(C961),,QUERY(MD!A962:D1960,""Select A where C = '""&amp; C961 &amp;""'""))"),"")</f>
        <v/>
      </c>
      <c r="C961" s="5"/>
      <c r="E961" s="49"/>
      <c r="F961" s="5"/>
      <c r="G961" s="32"/>
      <c r="H961" s="61"/>
      <c r="I961" s="32"/>
      <c r="J961" s="61"/>
      <c r="K961" s="32"/>
      <c r="L961" s="61"/>
      <c r="M961" s="32"/>
      <c r="N961" s="61"/>
      <c r="O961" s="32"/>
      <c r="P961" s="61"/>
      <c r="Q961" s="62"/>
      <c r="R961" s="63"/>
      <c r="S961" s="63"/>
      <c r="T961" s="63"/>
      <c r="U961" s="63"/>
    </row>
    <row r="962" spans="1:21" ht="13.2">
      <c r="A962" s="5">
        <f t="shared" ca="1" si="5"/>
        <v>961</v>
      </c>
      <c r="B962" s="5" t="str">
        <f ca="1">IFERROR(__xludf.DUMMYFUNCTION("if(ISBLANK(C962),,QUERY(MD!A963:D1961,""Select A where C = '""&amp; C962 &amp;""'""))"),"")</f>
        <v/>
      </c>
      <c r="C962" s="5"/>
      <c r="E962" s="49"/>
      <c r="F962" s="5"/>
      <c r="G962" s="32"/>
      <c r="H962" s="61"/>
      <c r="I962" s="32"/>
      <c r="J962" s="61"/>
      <c r="K962" s="32"/>
      <c r="L962" s="61"/>
      <c r="M962" s="32"/>
      <c r="N962" s="61"/>
      <c r="O962" s="32"/>
      <c r="P962" s="61"/>
      <c r="Q962" s="62"/>
      <c r="R962" s="63"/>
      <c r="S962" s="63"/>
      <c r="T962" s="63"/>
      <c r="U962" s="63"/>
    </row>
    <row r="963" spans="1:21" ht="13.2">
      <c r="A963" s="5">
        <f t="shared" ca="1" si="5"/>
        <v>962</v>
      </c>
      <c r="B963" s="5" t="str">
        <f ca="1">IFERROR(__xludf.DUMMYFUNCTION("if(ISBLANK(C963),,QUERY(MD!A964:D1962,""Select A where C = '""&amp; C963 &amp;""'""))"),"")</f>
        <v/>
      </c>
      <c r="C963" s="5"/>
      <c r="E963" s="49"/>
      <c r="F963" s="5"/>
      <c r="G963" s="32"/>
      <c r="H963" s="61"/>
      <c r="I963" s="32"/>
      <c r="J963" s="61"/>
      <c r="K963" s="32"/>
      <c r="L963" s="61"/>
      <c r="M963" s="32"/>
      <c r="N963" s="61"/>
      <c r="O963" s="32"/>
      <c r="P963" s="61"/>
      <c r="Q963" s="62"/>
      <c r="R963" s="63"/>
      <c r="S963" s="63"/>
      <c r="T963" s="63"/>
      <c r="U963" s="63"/>
    </row>
    <row r="964" spans="1:21" ht="13.2">
      <c r="A964" s="5">
        <f t="shared" ca="1" si="5"/>
        <v>963</v>
      </c>
      <c r="B964" s="5" t="str">
        <f ca="1">IFERROR(__xludf.DUMMYFUNCTION("if(ISBLANK(C964),,QUERY(MD!A965:D1963,""Select A where C = '""&amp; C964 &amp;""'""))"),"")</f>
        <v/>
      </c>
      <c r="C964" s="5"/>
      <c r="E964" s="49"/>
      <c r="F964" s="5"/>
      <c r="G964" s="32"/>
      <c r="H964" s="61"/>
      <c r="I964" s="32"/>
      <c r="J964" s="61"/>
      <c r="K964" s="32"/>
      <c r="L964" s="61"/>
      <c r="M964" s="32"/>
      <c r="N964" s="61"/>
      <c r="O964" s="32"/>
      <c r="P964" s="61"/>
      <c r="Q964" s="62"/>
      <c r="R964" s="63"/>
      <c r="S964" s="63"/>
      <c r="T964" s="63"/>
      <c r="U964" s="63"/>
    </row>
    <row r="965" spans="1:21" ht="13.2">
      <c r="A965" s="5">
        <f t="shared" ca="1" si="5"/>
        <v>964</v>
      </c>
      <c r="B965" s="5" t="str">
        <f ca="1">IFERROR(__xludf.DUMMYFUNCTION("if(ISBLANK(C965),,QUERY(MD!A966:D1964,""Select A where C = '""&amp; C965 &amp;""'""))"),"")</f>
        <v/>
      </c>
      <c r="C965" s="5"/>
      <c r="E965" s="49"/>
      <c r="F965" s="5"/>
      <c r="G965" s="32"/>
      <c r="H965" s="61"/>
      <c r="I965" s="32"/>
      <c r="J965" s="61"/>
      <c r="K965" s="32"/>
      <c r="L965" s="61"/>
      <c r="M965" s="32"/>
      <c r="N965" s="61"/>
      <c r="O965" s="32"/>
      <c r="P965" s="61"/>
      <c r="Q965" s="62"/>
      <c r="R965" s="63"/>
      <c r="S965" s="63"/>
      <c r="T965" s="63"/>
      <c r="U965" s="63"/>
    </row>
    <row r="966" spans="1:21" ht="13.2">
      <c r="A966" s="5">
        <f t="shared" ca="1" si="5"/>
        <v>965</v>
      </c>
      <c r="B966" s="5" t="str">
        <f ca="1">IFERROR(__xludf.DUMMYFUNCTION("if(ISBLANK(C966),,QUERY(MD!A967:D1965,""Select A where C = '""&amp; C966 &amp;""'""))"),"")</f>
        <v/>
      </c>
      <c r="C966" s="5"/>
      <c r="E966" s="49"/>
      <c r="F966" s="5"/>
      <c r="G966" s="32"/>
      <c r="H966" s="61"/>
      <c r="I966" s="32"/>
      <c r="J966" s="61"/>
      <c r="K966" s="32"/>
      <c r="L966" s="61"/>
      <c r="M966" s="32"/>
      <c r="N966" s="61"/>
      <c r="O966" s="32"/>
      <c r="P966" s="61"/>
      <c r="Q966" s="62"/>
      <c r="R966" s="63"/>
      <c r="S966" s="63"/>
      <c r="T966" s="63"/>
      <c r="U966" s="63"/>
    </row>
    <row r="967" spans="1:21" ht="13.2">
      <c r="A967" s="5">
        <f t="shared" ca="1" si="5"/>
        <v>966</v>
      </c>
      <c r="B967" s="5" t="str">
        <f ca="1">IFERROR(__xludf.DUMMYFUNCTION("if(ISBLANK(C967),,QUERY(MD!A968:D1966,""Select A where C = '""&amp; C967 &amp;""'""))"),"")</f>
        <v/>
      </c>
      <c r="C967" s="5"/>
      <c r="E967" s="49"/>
      <c r="F967" s="5"/>
      <c r="G967" s="32"/>
      <c r="H967" s="61"/>
      <c r="I967" s="32"/>
      <c r="J967" s="61"/>
      <c r="K967" s="32"/>
      <c r="L967" s="61"/>
      <c r="M967" s="32"/>
      <c r="N967" s="61"/>
      <c r="O967" s="32"/>
      <c r="P967" s="61"/>
      <c r="Q967" s="62"/>
      <c r="R967" s="63"/>
      <c r="S967" s="63"/>
      <c r="T967" s="63"/>
      <c r="U967" s="63"/>
    </row>
    <row r="968" spans="1:21" ht="13.2">
      <c r="A968" s="5">
        <f t="shared" ca="1" si="5"/>
        <v>967</v>
      </c>
      <c r="B968" s="5" t="str">
        <f ca="1">IFERROR(__xludf.DUMMYFUNCTION("if(ISBLANK(C968),,QUERY(MD!A969:D1967,""Select A where C = '""&amp; C968 &amp;""'""))"),"")</f>
        <v/>
      </c>
      <c r="C968" s="5"/>
      <c r="E968" s="49"/>
      <c r="F968" s="5"/>
      <c r="G968" s="32"/>
      <c r="H968" s="61"/>
      <c r="I968" s="32"/>
      <c r="J968" s="61"/>
      <c r="K968" s="32"/>
      <c r="L968" s="61"/>
      <c r="M968" s="32"/>
      <c r="N968" s="61"/>
      <c r="O968" s="32"/>
      <c r="P968" s="61"/>
      <c r="Q968" s="62"/>
      <c r="R968" s="63"/>
      <c r="S968" s="63"/>
      <c r="T968" s="63"/>
      <c r="U968" s="63"/>
    </row>
    <row r="969" spans="1:21" ht="13.2">
      <c r="A969" s="5">
        <f t="shared" ca="1" si="5"/>
        <v>968</v>
      </c>
      <c r="B969" s="5" t="str">
        <f ca="1">IFERROR(__xludf.DUMMYFUNCTION("if(ISBLANK(C969),,QUERY(MD!A970:D1968,""Select A where C = '""&amp; C969 &amp;""'""))"),"")</f>
        <v/>
      </c>
      <c r="C969" s="5"/>
      <c r="E969" s="49"/>
      <c r="F969" s="5"/>
      <c r="G969" s="32"/>
      <c r="H969" s="61"/>
      <c r="I969" s="32"/>
      <c r="J969" s="61"/>
      <c r="K969" s="32"/>
      <c r="L969" s="61"/>
      <c r="M969" s="32"/>
      <c r="N969" s="61"/>
      <c r="O969" s="32"/>
      <c r="P969" s="61"/>
      <c r="Q969" s="62"/>
      <c r="R969" s="63"/>
      <c r="S969" s="63"/>
      <c r="T969" s="63"/>
      <c r="U969" s="63"/>
    </row>
    <row r="970" spans="1:21" ht="13.2">
      <c r="A970" s="5">
        <f t="shared" ca="1" si="5"/>
        <v>969</v>
      </c>
      <c r="B970" s="5" t="str">
        <f ca="1">IFERROR(__xludf.DUMMYFUNCTION("if(ISBLANK(C970),,QUERY(MD!A971:D1969,""Select A where C = '""&amp; C970 &amp;""'""))"),"")</f>
        <v/>
      </c>
      <c r="C970" s="5"/>
      <c r="E970" s="49"/>
      <c r="F970" s="5"/>
      <c r="G970" s="32"/>
      <c r="H970" s="61"/>
      <c r="I970" s="32"/>
      <c r="J970" s="61"/>
      <c r="K970" s="32"/>
      <c r="L970" s="61"/>
      <c r="M970" s="32"/>
      <c r="N970" s="61"/>
      <c r="O970" s="32"/>
      <c r="P970" s="61"/>
      <c r="Q970" s="62"/>
      <c r="R970" s="63"/>
      <c r="S970" s="63"/>
      <c r="T970" s="63"/>
      <c r="U970" s="63"/>
    </row>
    <row r="971" spans="1:21" ht="13.2">
      <c r="A971" s="5">
        <f t="shared" ca="1" si="5"/>
        <v>970</v>
      </c>
      <c r="B971" s="5" t="str">
        <f ca="1">IFERROR(__xludf.DUMMYFUNCTION("if(ISBLANK(C971),,QUERY(MD!A972:D1970,""Select A where C = '""&amp; C971 &amp;""'""))"),"")</f>
        <v/>
      </c>
      <c r="C971" s="5"/>
      <c r="E971" s="49"/>
      <c r="F971" s="5"/>
      <c r="G971" s="32"/>
      <c r="H971" s="61"/>
      <c r="I971" s="32"/>
      <c r="J971" s="61"/>
      <c r="K971" s="32"/>
      <c r="L971" s="61"/>
      <c r="M971" s="32"/>
      <c r="N971" s="61"/>
      <c r="O971" s="32"/>
      <c r="P971" s="61"/>
      <c r="Q971" s="62"/>
      <c r="R971" s="63"/>
      <c r="S971" s="63"/>
      <c r="T971" s="63"/>
      <c r="U971" s="63"/>
    </row>
    <row r="972" spans="1:21" ht="13.2">
      <c r="A972" s="5">
        <f t="shared" ca="1" si="5"/>
        <v>971</v>
      </c>
      <c r="B972" s="5" t="str">
        <f ca="1">IFERROR(__xludf.DUMMYFUNCTION("if(ISBLANK(C972),,QUERY(MD!A973:D1971,""Select A where C = '""&amp; C972 &amp;""'""))"),"")</f>
        <v/>
      </c>
      <c r="C972" s="5"/>
      <c r="E972" s="49"/>
      <c r="F972" s="5"/>
      <c r="G972" s="32"/>
      <c r="H972" s="61"/>
      <c r="I972" s="32"/>
      <c r="J972" s="61"/>
      <c r="K972" s="32"/>
      <c r="L972" s="61"/>
      <c r="M972" s="32"/>
      <c r="N972" s="61"/>
      <c r="O972" s="32"/>
      <c r="P972" s="61"/>
      <c r="Q972" s="62"/>
      <c r="R972" s="63"/>
      <c r="S972" s="63"/>
      <c r="T972" s="63"/>
      <c r="U972" s="63"/>
    </row>
    <row r="973" spans="1:21" ht="13.2">
      <c r="A973" s="5">
        <f t="shared" ca="1" si="5"/>
        <v>972</v>
      </c>
      <c r="B973" s="5" t="str">
        <f ca="1">IFERROR(__xludf.DUMMYFUNCTION("if(ISBLANK(C973),,QUERY(MD!A974:D1972,""Select A where C = '""&amp; C973 &amp;""'""))"),"")</f>
        <v/>
      </c>
      <c r="C973" s="5"/>
      <c r="E973" s="49"/>
      <c r="F973" s="5"/>
      <c r="G973" s="32"/>
      <c r="H973" s="61"/>
      <c r="I973" s="32"/>
      <c r="J973" s="61"/>
      <c r="K973" s="32"/>
      <c r="L973" s="61"/>
      <c r="M973" s="32"/>
      <c r="N973" s="61"/>
      <c r="O973" s="32"/>
      <c r="P973" s="61"/>
      <c r="Q973" s="62"/>
      <c r="R973" s="63"/>
      <c r="S973" s="63"/>
      <c r="T973" s="63"/>
      <c r="U973" s="63"/>
    </row>
    <row r="974" spans="1:21" ht="13.2">
      <c r="A974" s="5">
        <f t="shared" ca="1" si="5"/>
        <v>973</v>
      </c>
      <c r="B974" s="5" t="str">
        <f ca="1">IFERROR(__xludf.DUMMYFUNCTION("if(ISBLANK(C974),,QUERY(MD!A975:D1973,""Select A where C = '""&amp; C974 &amp;""'""))"),"")</f>
        <v/>
      </c>
      <c r="C974" s="5"/>
      <c r="E974" s="49"/>
      <c r="F974" s="5"/>
      <c r="G974" s="32"/>
      <c r="H974" s="61"/>
      <c r="I974" s="32"/>
      <c r="J974" s="61"/>
      <c r="K974" s="32"/>
      <c r="L974" s="61"/>
      <c r="M974" s="32"/>
      <c r="N974" s="61"/>
      <c r="O974" s="32"/>
      <c r="P974" s="61"/>
      <c r="Q974" s="62"/>
      <c r="R974" s="63"/>
      <c r="S974" s="63"/>
      <c r="T974" s="63"/>
      <c r="U974" s="63"/>
    </row>
    <row r="975" spans="1:21" ht="13.2">
      <c r="A975" s="5">
        <f t="shared" ca="1" si="5"/>
        <v>974</v>
      </c>
      <c r="B975" s="5" t="str">
        <f ca="1">IFERROR(__xludf.DUMMYFUNCTION("if(ISBLANK(C975),,QUERY(MD!A976:D1974,""Select A where C = '""&amp; C975 &amp;""'""))"),"")</f>
        <v/>
      </c>
      <c r="C975" s="5"/>
      <c r="E975" s="49"/>
      <c r="F975" s="5"/>
      <c r="G975" s="32"/>
      <c r="H975" s="61"/>
      <c r="I975" s="32"/>
      <c r="J975" s="61"/>
      <c r="K975" s="32"/>
      <c r="L975" s="61"/>
      <c r="M975" s="32"/>
      <c r="N975" s="61"/>
      <c r="O975" s="32"/>
      <c r="P975" s="61"/>
      <c r="Q975" s="62"/>
      <c r="R975" s="63"/>
      <c r="S975" s="63"/>
      <c r="T975" s="63"/>
      <c r="U975" s="63"/>
    </row>
    <row r="976" spans="1:21" ht="13.2">
      <c r="A976" s="5">
        <f t="shared" ca="1" si="5"/>
        <v>975</v>
      </c>
      <c r="B976" s="5" t="str">
        <f ca="1">IFERROR(__xludf.DUMMYFUNCTION("if(ISBLANK(C976),,QUERY(MD!A977:D1975,""Select A where C = '""&amp; C976 &amp;""'""))"),"")</f>
        <v/>
      </c>
      <c r="C976" s="5"/>
      <c r="E976" s="49"/>
      <c r="F976" s="5"/>
      <c r="G976" s="32"/>
      <c r="H976" s="61"/>
      <c r="I976" s="32"/>
      <c r="J976" s="61"/>
      <c r="K976" s="32"/>
      <c r="L976" s="61"/>
      <c r="M976" s="32"/>
      <c r="N976" s="61"/>
      <c r="O976" s="32"/>
      <c r="P976" s="61"/>
      <c r="Q976" s="62"/>
      <c r="R976" s="63"/>
      <c r="S976" s="63"/>
      <c r="T976" s="63"/>
      <c r="U976" s="63"/>
    </row>
    <row r="977" spans="1:21" ht="13.2">
      <c r="A977" s="5">
        <f t="shared" ca="1" si="5"/>
        <v>976</v>
      </c>
      <c r="B977" s="5" t="str">
        <f ca="1">IFERROR(__xludf.DUMMYFUNCTION("if(ISBLANK(C977),,QUERY(MD!A978:D1976,""Select A where C = '""&amp; C977 &amp;""'""))"),"")</f>
        <v/>
      </c>
      <c r="C977" s="5"/>
      <c r="E977" s="49"/>
      <c r="F977" s="5"/>
      <c r="G977" s="32"/>
      <c r="H977" s="61"/>
      <c r="I977" s="32"/>
      <c r="J977" s="61"/>
      <c r="K977" s="32"/>
      <c r="L977" s="61"/>
      <c r="M977" s="32"/>
      <c r="N977" s="61"/>
      <c r="O977" s="32"/>
      <c r="P977" s="61"/>
      <c r="Q977" s="62"/>
      <c r="R977" s="63"/>
      <c r="S977" s="63"/>
      <c r="T977" s="63"/>
      <c r="U977" s="63"/>
    </row>
    <row r="978" spans="1:21" ht="13.2">
      <c r="A978" s="5">
        <f t="shared" ca="1" si="5"/>
        <v>977</v>
      </c>
      <c r="B978" s="5" t="str">
        <f ca="1">IFERROR(__xludf.DUMMYFUNCTION("if(ISBLANK(C978),,QUERY(MD!A979:D1977,""Select A where C = '""&amp; C978 &amp;""'""))"),"")</f>
        <v/>
      </c>
      <c r="C978" s="5"/>
      <c r="E978" s="49"/>
      <c r="F978" s="5"/>
      <c r="G978" s="32"/>
      <c r="H978" s="61"/>
      <c r="I978" s="32"/>
      <c r="J978" s="61"/>
      <c r="K978" s="32"/>
      <c r="L978" s="61"/>
      <c r="M978" s="32"/>
      <c r="N978" s="61"/>
      <c r="O978" s="32"/>
      <c r="P978" s="61"/>
      <c r="Q978" s="62"/>
      <c r="R978" s="63"/>
      <c r="S978" s="63"/>
      <c r="T978" s="63"/>
      <c r="U978" s="63"/>
    </row>
    <row r="979" spans="1:21" ht="13.2">
      <c r="A979" s="5">
        <f t="shared" ca="1" si="5"/>
        <v>978</v>
      </c>
      <c r="B979" s="5" t="str">
        <f ca="1">IFERROR(__xludf.DUMMYFUNCTION("if(ISBLANK(C979),,QUERY(MD!A980:D1978,""Select A where C = '""&amp; C979 &amp;""'""))"),"")</f>
        <v/>
      </c>
      <c r="C979" s="5"/>
      <c r="E979" s="49"/>
      <c r="F979" s="5"/>
      <c r="G979" s="32"/>
      <c r="H979" s="61"/>
      <c r="I979" s="32"/>
      <c r="J979" s="61"/>
      <c r="K979" s="32"/>
      <c r="L979" s="61"/>
      <c r="M979" s="32"/>
      <c r="N979" s="61"/>
      <c r="O979" s="32"/>
      <c r="P979" s="61"/>
      <c r="Q979" s="62"/>
      <c r="R979" s="63"/>
      <c r="S979" s="63"/>
      <c r="T979" s="63"/>
      <c r="U979" s="63"/>
    </row>
    <row r="980" spans="1:21" ht="13.2">
      <c r="A980" s="5">
        <f t="shared" ca="1" si="5"/>
        <v>979</v>
      </c>
      <c r="B980" s="5" t="str">
        <f ca="1">IFERROR(__xludf.DUMMYFUNCTION("if(ISBLANK(C980),,QUERY(MD!A981:D1979,""Select A where C = '""&amp; C980 &amp;""'""))"),"")</f>
        <v/>
      </c>
      <c r="C980" s="5"/>
      <c r="E980" s="49"/>
      <c r="F980" s="5"/>
      <c r="G980" s="32"/>
      <c r="H980" s="61"/>
      <c r="I980" s="32"/>
      <c r="J980" s="61"/>
      <c r="K980" s="32"/>
      <c r="L980" s="61"/>
      <c r="M980" s="32"/>
      <c r="N980" s="61"/>
      <c r="O980" s="32"/>
      <c r="P980" s="61"/>
      <c r="Q980" s="62"/>
      <c r="R980" s="63"/>
      <c r="S980" s="63"/>
      <c r="T980" s="63"/>
      <c r="U980" s="63"/>
    </row>
    <row r="981" spans="1:21" ht="13.2">
      <c r="A981" s="5">
        <f t="shared" ca="1" si="5"/>
        <v>980</v>
      </c>
      <c r="B981" s="5" t="str">
        <f ca="1">IFERROR(__xludf.DUMMYFUNCTION("if(ISBLANK(C981),,QUERY(MD!A982:D1980,""Select A where C = '""&amp; C981 &amp;""'""))"),"")</f>
        <v/>
      </c>
      <c r="C981" s="5"/>
      <c r="E981" s="49"/>
      <c r="F981" s="5"/>
      <c r="G981" s="32"/>
      <c r="H981" s="61"/>
      <c r="I981" s="32"/>
      <c r="J981" s="61"/>
      <c r="K981" s="32"/>
      <c r="L981" s="61"/>
      <c r="M981" s="32"/>
      <c r="N981" s="61"/>
      <c r="O981" s="32"/>
      <c r="P981" s="61"/>
      <c r="Q981" s="62"/>
      <c r="R981" s="63"/>
      <c r="S981" s="63"/>
      <c r="T981" s="63"/>
      <c r="U981" s="63"/>
    </row>
    <row r="982" spans="1:21" ht="13.2">
      <c r="A982" s="5">
        <f t="shared" ca="1" si="5"/>
        <v>981</v>
      </c>
      <c r="B982" s="5" t="str">
        <f ca="1">IFERROR(__xludf.DUMMYFUNCTION("if(ISBLANK(C982),,QUERY(MD!A983:D1981,""Select A where C = '""&amp; C982 &amp;""'""))"),"")</f>
        <v/>
      </c>
      <c r="C982" s="5"/>
      <c r="E982" s="49"/>
      <c r="F982" s="5"/>
      <c r="G982" s="32"/>
      <c r="H982" s="61"/>
      <c r="I982" s="32"/>
      <c r="J982" s="61"/>
      <c r="K982" s="32"/>
      <c r="L982" s="61"/>
      <c r="M982" s="32"/>
      <c r="N982" s="61"/>
      <c r="O982" s="32"/>
      <c r="P982" s="61"/>
      <c r="Q982" s="62"/>
      <c r="R982" s="63"/>
      <c r="S982" s="63"/>
      <c r="T982" s="63"/>
      <c r="U982" s="63"/>
    </row>
    <row r="983" spans="1:21" ht="13.2">
      <c r="A983" s="5">
        <f t="shared" ca="1" si="5"/>
        <v>982</v>
      </c>
      <c r="B983" s="5" t="str">
        <f ca="1">IFERROR(__xludf.DUMMYFUNCTION("if(ISBLANK(C983),,QUERY(MD!A984:D1982,""Select A where C = '""&amp; C983 &amp;""'""))"),"")</f>
        <v/>
      </c>
      <c r="C983" s="5"/>
      <c r="E983" s="49"/>
      <c r="F983" s="5"/>
      <c r="G983" s="32"/>
      <c r="H983" s="61"/>
      <c r="I983" s="32"/>
      <c r="J983" s="61"/>
      <c r="K983" s="32"/>
      <c r="L983" s="61"/>
      <c r="M983" s="32"/>
      <c r="N983" s="61"/>
      <c r="O983" s="32"/>
      <c r="P983" s="61"/>
      <c r="Q983" s="62"/>
      <c r="R983" s="63"/>
      <c r="S983" s="63"/>
      <c r="T983" s="63"/>
      <c r="U983" s="63"/>
    </row>
    <row r="984" spans="1:21" ht="13.2">
      <c r="A984" s="5">
        <f t="shared" ca="1" si="5"/>
        <v>983</v>
      </c>
      <c r="B984" s="5" t="str">
        <f ca="1">IFERROR(__xludf.DUMMYFUNCTION("if(ISBLANK(C984),,QUERY(MD!A985:D1983,""Select A where C = '""&amp; C984 &amp;""'""))"),"")</f>
        <v/>
      </c>
      <c r="C984" s="5"/>
      <c r="E984" s="49"/>
      <c r="F984" s="5"/>
      <c r="G984" s="32"/>
      <c r="H984" s="61"/>
      <c r="I984" s="32"/>
      <c r="J984" s="61"/>
      <c r="K984" s="32"/>
      <c r="L984" s="61"/>
      <c r="M984" s="32"/>
      <c r="N984" s="61"/>
      <c r="O984" s="32"/>
      <c r="P984" s="61"/>
      <c r="Q984" s="62"/>
      <c r="R984" s="63"/>
      <c r="S984" s="63"/>
      <c r="T984" s="63"/>
      <c r="U984" s="63"/>
    </row>
    <row r="985" spans="1:21" ht="13.2">
      <c r="A985" s="5">
        <f t="shared" ca="1" si="5"/>
        <v>984</v>
      </c>
      <c r="B985" s="5" t="str">
        <f ca="1">IFERROR(__xludf.DUMMYFUNCTION("if(ISBLANK(C985),,QUERY(MD!A986:D1984,""Select A where C = '""&amp; C985 &amp;""'""))"),"")</f>
        <v/>
      </c>
      <c r="C985" s="5"/>
      <c r="E985" s="49"/>
      <c r="F985" s="5"/>
      <c r="G985" s="32"/>
      <c r="H985" s="61"/>
      <c r="I985" s="32"/>
      <c r="J985" s="61"/>
      <c r="K985" s="32"/>
      <c r="L985" s="61"/>
      <c r="M985" s="32"/>
      <c r="N985" s="61"/>
      <c r="O985" s="32"/>
      <c r="P985" s="61"/>
      <c r="Q985" s="62"/>
      <c r="R985" s="63"/>
      <c r="S985" s="63"/>
      <c r="T985" s="63"/>
      <c r="U985" s="63"/>
    </row>
    <row r="986" spans="1:21" ht="13.2">
      <c r="A986" s="5">
        <f t="shared" ca="1" si="5"/>
        <v>985</v>
      </c>
      <c r="B986" s="5" t="str">
        <f ca="1">IFERROR(__xludf.DUMMYFUNCTION("if(ISBLANK(C986),,QUERY(MD!A987:D1985,""Select A where C = '""&amp; C986 &amp;""'""))"),"")</f>
        <v/>
      </c>
      <c r="C986" s="5"/>
      <c r="E986" s="49"/>
      <c r="F986" s="5"/>
      <c r="G986" s="32"/>
      <c r="H986" s="61"/>
      <c r="I986" s="32"/>
      <c r="J986" s="61"/>
      <c r="K986" s="32"/>
      <c r="L986" s="61"/>
      <c r="M986" s="32"/>
      <c r="N986" s="61"/>
      <c r="O986" s="32"/>
      <c r="P986" s="61"/>
      <c r="Q986" s="62"/>
      <c r="R986" s="63"/>
      <c r="S986" s="63"/>
      <c r="T986" s="63"/>
      <c r="U986" s="63"/>
    </row>
    <row r="987" spans="1:21" ht="13.2">
      <c r="A987" s="5">
        <f t="shared" ca="1" si="5"/>
        <v>986</v>
      </c>
      <c r="B987" s="5" t="str">
        <f ca="1">IFERROR(__xludf.DUMMYFUNCTION("if(ISBLANK(C987),,QUERY(MD!A988:D1986,""Select A where C = '""&amp; C987 &amp;""'""))"),"")</f>
        <v/>
      </c>
      <c r="C987" s="5"/>
      <c r="E987" s="49"/>
      <c r="F987" s="5"/>
      <c r="G987" s="32"/>
      <c r="H987" s="61"/>
      <c r="I987" s="32"/>
      <c r="J987" s="61"/>
      <c r="K987" s="32"/>
      <c r="L987" s="61"/>
      <c r="M987" s="32"/>
      <c r="N987" s="61"/>
      <c r="O987" s="32"/>
      <c r="P987" s="61"/>
      <c r="Q987" s="62"/>
      <c r="R987" s="63"/>
      <c r="S987" s="63"/>
      <c r="T987" s="63"/>
      <c r="U987" s="63"/>
    </row>
    <row r="988" spans="1:21" ht="13.2">
      <c r="A988" s="5">
        <f t="shared" ca="1" si="5"/>
        <v>987</v>
      </c>
      <c r="B988" s="5" t="str">
        <f ca="1">IFERROR(__xludf.DUMMYFUNCTION("if(ISBLANK(C988),,QUERY(MD!A989:D1987,""Select A where C = '""&amp; C988 &amp;""'""))"),"")</f>
        <v/>
      </c>
      <c r="C988" s="5"/>
      <c r="E988" s="49"/>
      <c r="F988" s="5"/>
      <c r="G988" s="32"/>
      <c r="H988" s="61"/>
      <c r="I988" s="32"/>
      <c r="J988" s="61"/>
      <c r="K988" s="32"/>
      <c r="L988" s="61"/>
      <c r="M988" s="32"/>
      <c r="N988" s="61"/>
      <c r="O988" s="32"/>
      <c r="P988" s="61"/>
      <c r="Q988" s="62"/>
      <c r="R988" s="63"/>
      <c r="S988" s="63"/>
      <c r="T988" s="63"/>
      <c r="U988" s="63"/>
    </row>
    <row r="989" spans="1:21" ht="13.2">
      <c r="A989" s="5">
        <f t="shared" ca="1" si="5"/>
        <v>988</v>
      </c>
      <c r="B989" s="5" t="str">
        <f ca="1">IFERROR(__xludf.DUMMYFUNCTION("if(ISBLANK(C989),,QUERY(MD!A990:D1988,""Select A where C = '""&amp; C989 &amp;""'""))"),"")</f>
        <v/>
      </c>
      <c r="C989" s="5"/>
      <c r="E989" s="49"/>
      <c r="F989" s="5"/>
      <c r="G989" s="32"/>
      <c r="H989" s="61"/>
      <c r="I989" s="32"/>
      <c r="J989" s="61"/>
      <c r="K989" s="32"/>
      <c r="L989" s="61"/>
      <c r="M989" s="32"/>
      <c r="N989" s="61"/>
      <c r="O989" s="32"/>
      <c r="P989" s="61"/>
      <c r="Q989" s="62"/>
      <c r="R989" s="63"/>
      <c r="S989" s="63"/>
      <c r="T989" s="63"/>
      <c r="U989" s="63"/>
    </row>
    <row r="990" spans="1:21" ht="13.2">
      <c r="A990" s="5">
        <f t="shared" ca="1" si="5"/>
        <v>989</v>
      </c>
      <c r="B990" s="5" t="str">
        <f ca="1">IFERROR(__xludf.DUMMYFUNCTION("if(ISBLANK(C990),,QUERY(MD!A991:D1989,""Select A where C = '""&amp; C990 &amp;""'""))"),"")</f>
        <v/>
      </c>
      <c r="C990" s="5"/>
      <c r="E990" s="49"/>
      <c r="F990" s="5"/>
      <c r="G990" s="32"/>
      <c r="H990" s="61"/>
      <c r="I990" s="32"/>
      <c r="J990" s="61"/>
      <c r="K990" s="32"/>
      <c r="L990" s="61"/>
      <c r="M990" s="32"/>
      <c r="N990" s="61"/>
      <c r="O990" s="32"/>
      <c r="P990" s="61"/>
      <c r="Q990" s="62"/>
      <c r="R990" s="63"/>
      <c r="S990" s="63"/>
      <c r="T990" s="63"/>
      <c r="U990" s="63"/>
    </row>
    <row r="991" spans="1:21" ht="13.2">
      <c r="A991" s="5">
        <f t="shared" ca="1" si="5"/>
        <v>990</v>
      </c>
      <c r="B991" s="5" t="str">
        <f ca="1">IFERROR(__xludf.DUMMYFUNCTION("if(ISBLANK(C991),,QUERY(MD!A992:D1990,""Select A where C = '""&amp; C991 &amp;""'""))"),"")</f>
        <v/>
      </c>
      <c r="C991" s="5"/>
      <c r="E991" s="49"/>
      <c r="F991" s="5"/>
      <c r="G991" s="32"/>
      <c r="H991" s="61"/>
      <c r="I991" s="32"/>
      <c r="J991" s="61"/>
      <c r="K991" s="32"/>
      <c r="L991" s="61"/>
      <c r="M991" s="32"/>
      <c r="N991" s="61"/>
      <c r="O991" s="32"/>
      <c r="P991" s="61"/>
      <c r="Q991" s="62"/>
      <c r="R991" s="63"/>
      <c r="S991" s="63"/>
      <c r="T991" s="63"/>
      <c r="U991" s="63"/>
    </row>
    <row r="992" spans="1:21" ht="13.2">
      <c r="A992" s="5">
        <f t="shared" ca="1" si="5"/>
        <v>991</v>
      </c>
      <c r="B992" s="5" t="str">
        <f ca="1">IFERROR(__xludf.DUMMYFUNCTION("if(ISBLANK(C992),,QUERY(MD!A993:D1991,""Select A where C = '""&amp; C992 &amp;""'""))"),"")</f>
        <v/>
      </c>
      <c r="C992" s="5"/>
      <c r="E992" s="49"/>
      <c r="F992" s="5"/>
      <c r="G992" s="32"/>
      <c r="H992" s="61"/>
      <c r="I992" s="32"/>
      <c r="J992" s="61"/>
      <c r="K992" s="32"/>
      <c r="L992" s="61"/>
      <c r="M992" s="32"/>
      <c r="N992" s="61"/>
      <c r="O992" s="32"/>
      <c r="P992" s="61"/>
      <c r="Q992" s="62"/>
      <c r="R992" s="63"/>
      <c r="S992" s="63"/>
      <c r="T992" s="63"/>
      <c r="U992" s="63"/>
    </row>
    <row r="993" spans="1:21" ht="13.2">
      <c r="A993" s="5">
        <f t="shared" ca="1" si="5"/>
        <v>992</v>
      </c>
      <c r="B993" s="5" t="str">
        <f ca="1">IFERROR(__xludf.DUMMYFUNCTION("if(ISBLANK(C993),,QUERY(MD!A994:D1992,""Select A where C = '""&amp; C993 &amp;""'""))"),"")</f>
        <v/>
      </c>
      <c r="C993" s="5"/>
      <c r="E993" s="49"/>
      <c r="F993" s="5"/>
      <c r="G993" s="32"/>
      <c r="H993" s="61"/>
      <c r="I993" s="32"/>
      <c r="J993" s="61"/>
      <c r="K993" s="32"/>
      <c r="L993" s="61"/>
      <c r="M993" s="32"/>
      <c r="N993" s="61"/>
      <c r="O993" s="32"/>
      <c r="P993" s="61"/>
      <c r="Q993" s="62"/>
      <c r="R993" s="63"/>
      <c r="S993" s="63"/>
      <c r="T993" s="63"/>
      <c r="U993" s="63"/>
    </row>
    <row r="994" spans="1:21" ht="13.2">
      <c r="A994" s="5">
        <f t="shared" ca="1" si="5"/>
        <v>993</v>
      </c>
      <c r="B994" s="5" t="str">
        <f ca="1">IFERROR(__xludf.DUMMYFUNCTION("if(ISBLANK(C994),,QUERY(MD!A995:D1993,""Select A where C = '""&amp; C994 &amp;""'""))"),"")</f>
        <v/>
      </c>
      <c r="C994" s="5"/>
      <c r="E994" s="49"/>
      <c r="F994" s="5"/>
      <c r="G994" s="32"/>
      <c r="H994" s="61"/>
      <c r="I994" s="32"/>
      <c r="J994" s="61"/>
      <c r="K994" s="32"/>
      <c r="L994" s="61"/>
      <c r="M994" s="32"/>
      <c r="N994" s="61"/>
      <c r="O994" s="32"/>
      <c r="P994" s="61"/>
      <c r="Q994" s="62"/>
      <c r="R994" s="63"/>
      <c r="S994" s="63"/>
      <c r="T994" s="63"/>
      <c r="U994" s="63"/>
    </row>
    <row r="995" spans="1:21" ht="13.2">
      <c r="A995" s="5">
        <f t="shared" ca="1" si="5"/>
        <v>994</v>
      </c>
      <c r="B995" s="5" t="str">
        <f ca="1">IFERROR(__xludf.DUMMYFUNCTION("if(ISBLANK(C995),,QUERY(MD!A996:D1994,""Select A where C = '""&amp; C995 &amp;""'""))"),"")</f>
        <v/>
      </c>
      <c r="C995" s="5"/>
      <c r="E995" s="49"/>
      <c r="F995" s="5"/>
      <c r="G995" s="32"/>
      <c r="H995" s="61"/>
      <c r="I995" s="32"/>
      <c r="J995" s="61"/>
      <c r="K995" s="32"/>
      <c r="L995" s="61"/>
      <c r="M995" s="32"/>
      <c r="N995" s="61"/>
      <c r="O995" s="32"/>
      <c r="P995" s="61"/>
      <c r="Q995" s="62"/>
      <c r="R995" s="63"/>
      <c r="S995" s="63"/>
      <c r="T995" s="63"/>
      <c r="U995" s="63"/>
    </row>
    <row r="996" spans="1:21" ht="13.2">
      <c r="A996" s="5">
        <f t="shared" ca="1" si="5"/>
        <v>995</v>
      </c>
      <c r="B996" s="5" t="str">
        <f ca="1">IFERROR(__xludf.DUMMYFUNCTION("if(ISBLANK(C996),,QUERY(MD!A997:D1995,""Select A where C = '""&amp; C996 &amp;""'""))"),"")</f>
        <v/>
      </c>
      <c r="C996" s="5"/>
      <c r="E996" s="49"/>
      <c r="F996" s="5"/>
      <c r="G996" s="32"/>
      <c r="H996" s="61"/>
      <c r="I996" s="32"/>
      <c r="J996" s="61"/>
      <c r="K996" s="32"/>
      <c r="L996" s="61"/>
      <c r="M996" s="32"/>
      <c r="N996" s="61"/>
      <c r="O996" s="32"/>
      <c r="P996" s="61"/>
      <c r="Q996" s="62"/>
      <c r="R996" s="63"/>
      <c r="S996" s="63"/>
      <c r="T996" s="63"/>
      <c r="U996" s="63"/>
    </row>
    <row r="997" spans="1:21" ht="13.2">
      <c r="A997" s="5">
        <f t="shared" ca="1" si="5"/>
        <v>996</v>
      </c>
      <c r="B997" s="5" t="str">
        <f ca="1">IFERROR(__xludf.DUMMYFUNCTION("if(ISBLANK(C997),,QUERY(MD!A998:D1996,""Select A where C = '""&amp; C997 &amp;""'""))"),"")</f>
        <v/>
      </c>
      <c r="C997" s="5"/>
      <c r="E997" s="49"/>
      <c r="F997" s="5"/>
      <c r="G997" s="32"/>
      <c r="H997" s="61"/>
      <c r="I997" s="32"/>
      <c r="J997" s="61"/>
      <c r="K997" s="32"/>
      <c r="L997" s="61"/>
      <c r="M997" s="32"/>
      <c r="N997" s="61"/>
      <c r="O997" s="32"/>
      <c r="P997" s="61"/>
      <c r="Q997" s="62"/>
      <c r="R997" s="63"/>
      <c r="S997" s="63"/>
      <c r="T997" s="63"/>
      <c r="U997" s="63"/>
    </row>
    <row r="998" spans="1:21" ht="13.2">
      <c r="A998" s="5">
        <f t="shared" ca="1" si="5"/>
        <v>997</v>
      </c>
      <c r="B998" s="5" t="str">
        <f ca="1">IFERROR(__xludf.DUMMYFUNCTION("if(ISBLANK(C998),,QUERY(MD!A999:D1997,""Select A where C = '""&amp; C998 &amp;""'""))"),"")</f>
        <v/>
      </c>
      <c r="C998" s="5"/>
      <c r="E998" s="49"/>
      <c r="F998" s="5"/>
      <c r="G998" s="35"/>
      <c r="H998" s="67"/>
      <c r="I998" s="35"/>
      <c r="J998" s="67"/>
      <c r="K998" s="35"/>
      <c r="L998" s="67"/>
      <c r="M998" s="35"/>
      <c r="N998" s="67"/>
      <c r="O998" s="35"/>
      <c r="P998" s="61"/>
      <c r="Q998" s="62"/>
      <c r="R998" s="63"/>
      <c r="S998" s="63"/>
      <c r="T998" s="63"/>
      <c r="U998" s="63"/>
    </row>
  </sheetData>
  <conditionalFormatting sqref="G2:G998 I2:I998 K2:K998 M2:M998 O2:O998">
    <cfRule type="expression" dxfId="1" priority="1">
      <formula>IF(ISBLANK(INDIRECT( ADDRESS( ROW( ), COLUMN( ) ))),FALSE,IF(ISBLANK(INDIRECT( ADDRESS( ROW( ), COLUMN( ) + 1 ))),FALSE,TRUE))</formula>
    </cfRule>
  </conditionalFormatting>
  <conditionalFormatting sqref="G2:G998 I2:I998 K2:K998 M2:M998 O2:O998">
    <cfRule type="expression" dxfId="0" priority="2">
      <formula>IF(ISBLANK(INDIRECT( ADDRESS( ROW( ), COLUMN( ) ))),FALSE,IF(ISBLANK(INDIRECT( ADDRESS( ROW( ), COLUMN( ) + 1 ))),TRUE,FALSE))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MD!$C$1:$C$1000</xm:f>
          </x14:formula1>
          <xm:sqref>C2:C998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10</vt:i4>
      </vt:variant>
    </vt:vector>
  </HeadingPairs>
  <TitlesOfParts>
    <vt:vector size="10" baseType="lpstr">
      <vt:lpstr>Export Items</vt:lpstr>
      <vt:lpstr>Weapon</vt:lpstr>
      <vt:lpstr>Armor</vt:lpstr>
      <vt:lpstr>Adventure</vt:lpstr>
      <vt:lpstr>Magic Items</vt:lpstr>
      <vt:lpstr>Import Items</vt:lpstr>
      <vt:lpstr>MD</vt:lpstr>
      <vt:lpstr>Loot</vt:lpstr>
      <vt:lpstr>Loot Table</vt:lpstr>
      <vt:lpstr>Player Loot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2023-06-09T03:24:42Z</dcterms:created>
  <dcterms:modified xsi:type="dcterms:W3CDTF">2023-06-09T03:24:42Z</dcterms:modified>
</cp:coreProperties>
</file>