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tonio\Downloads\"/>
    </mc:Choice>
  </mc:AlternateContent>
  <xr:revisionPtr revIDLastSave="0" documentId="8_{3B67678F-CDC8-438D-B99F-363F3436DC76}" xr6:coauthVersionLast="47" xr6:coauthVersionMax="47" xr10:uidLastSave="{00000000-0000-0000-0000-000000000000}"/>
  <bookViews>
    <workbookView xWindow="2985" yWindow="2985" windowWidth="21600" windowHeight="11295" activeTab="2" xr2:uid="{00000000-000D-0000-FFFF-FFFF00000000}"/>
  </bookViews>
  <sheets>
    <sheet name="Smaller Things" sheetId="1" r:id="rId1"/>
    <sheet name="Bigger Things" sheetId="2" r:id="rId2"/>
    <sheet name="Items in Arrant" sheetId="3" r:id="rId3"/>
  </sheets>
  <calcPr calcId="191029"/>
  <fileRecoveryPr repairLoad="1"/>
</workbook>
</file>

<file path=xl/calcChain.xml><?xml version="1.0" encoding="utf-8"?>
<calcChain xmlns="http://schemas.openxmlformats.org/spreadsheetml/2006/main">
  <c r="F265" i="3" l="1"/>
  <c r="E265" i="3"/>
  <c r="D265" i="3"/>
  <c r="C265" i="3"/>
  <c r="B265" i="3"/>
  <c r="A265" i="3"/>
  <c r="F264" i="3"/>
  <c r="E264" i="3"/>
  <c r="D264" i="3"/>
  <c r="C264" i="3"/>
  <c r="B264" i="3"/>
  <c r="A264" i="3"/>
  <c r="F263" i="3"/>
  <c r="E263" i="3"/>
  <c r="D263" i="3"/>
  <c r="C263" i="3"/>
  <c r="B263" i="3"/>
  <c r="A263" i="3"/>
  <c r="F262" i="3"/>
  <c r="E262" i="3"/>
  <c r="D262" i="3"/>
  <c r="C262" i="3"/>
  <c r="B262" i="3"/>
  <c r="A262" i="3"/>
  <c r="F261" i="3"/>
  <c r="E261" i="3"/>
  <c r="D261" i="3"/>
  <c r="C261" i="3"/>
  <c r="B261" i="3"/>
  <c r="A261" i="3"/>
  <c r="F260" i="3"/>
  <c r="E260" i="3"/>
  <c r="D260" i="3"/>
  <c r="C260" i="3"/>
  <c r="B260" i="3"/>
  <c r="A260" i="3"/>
  <c r="F259" i="3"/>
  <c r="E259" i="3"/>
  <c r="D259" i="3"/>
  <c r="C259" i="3"/>
  <c r="B259" i="3"/>
  <c r="A259" i="3"/>
  <c r="F258" i="3"/>
  <c r="E258" i="3"/>
  <c r="D258" i="3"/>
  <c r="C258" i="3"/>
  <c r="B258" i="3"/>
  <c r="A258" i="3"/>
  <c r="F257" i="3"/>
  <c r="E257" i="3"/>
  <c r="D257" i="3"/>
  <c r="C257" i="3"/>
  <c r="B257" i="3"/>
  <c r="A257" i="3"/>
  <c r="F256" i="3"/>
  <c r="E256" i="3"/>
  <c r="D256" i="3"/>
  <c r="C256" i="3"/>
  <c r="B256" i="3"/>
  <c r="A256" i="3"/>
  <c r="F255" i="3"/>
  <c r="E255" i="3"/>
  <c r="D255" i="3"/>
  <c r="C255" i="3"/>
  <c r="B255" i="3"/>
  <c r="A255" i="3"/>
  <c r="F254" i="3"/>
  <c r="E254" i="3"/>
  <c r="D254" i="3"/>
  <c r="C254" i="3"/>
  <c r="B254" i="3"/>
  <c r="A254" i="3"/>
  <c r="F253" i="3"/>
  <c r="E253" i="3"/>
  <c r="D253" i="3"/>
  <c r="C253" i="3"/>
  <c r="B253" i="3"/>
  <c r="A253" i="3"/>
  <c r="F252" i="3"/>
  <c r="E252" i="3"/>
  <c r="D252" i="3"/>
  <c r="C252" i="3"/>
  <c r="B252" i="3"/>
  <c r="A252" i="3"/>
  <c r="F251" i="3"/>
  <c r="E251" i="3"/>
  <c r="D251" i="3"/>
  <c r="C251" i="3"/>
  <c r="B251" i="3"/>
  <c r="A251" i="3"/>
  <c r="F250" i="3"/>
  <c r="E250" i="3"/>
  <c r="D250" i="3"/>
  <c r="C250" i="3"/>
  <c r="B250" i="3"/>
  <c r="A250" i="3"/>
  <c r="F249" i="3"/>
  <c r="E249" i="3"/>
  <c r="D249" i="3"/>
  <c r="C249" i="3"/>
  <c r="B249" i="3"/>
  <c r="A249" i="3"/>
  <c r="F248" i="3"/>
  <c r="E248" i="3"/>
  <c r="D248" i="3"/>
  <c r="C248" i="3"/>
  <c r="B248" i="3"/>
  <c r="A248" i="3"/>
  <c r="F247" i="3"/>
  <c r="E247" i="3"/>
  <c r="D247" i="3"/>
  <c r="C247" i="3"/>
  <c r="B247" i="3"/>
  <c r="A247" i="3"/>
  <c r="F246" i="3"/>
  <c r="E246" i="3"/>
  <c r="D246" i="3"/>
  <c r="C246" i="3"/>
  <c r="B246" i="3"/>
  <c r="A246" i="3"/>
  <c r="F245" i="3"/>
  <c r="E245" i="3"/>
  <c r="D245" i="3"/>
  <c r="C245" i="3"/>
  <c r="B245" i="3"/>
  <c r="A245" i="3"/>
  <c r="F244" i="3"/>
  <c r="E244" i="3"/>
  <c r="D244" i="3"/>
  <c r="C244" i="3"/>
  <c r="B244" i="3"/>
  <c r="A244" i="3"/>
  <c r="F243" i="3"/>
  <c r="E243" i="3"/>
  <c r="D243" i="3"/>
  <c r="C243" i="3"/>
  <c r="B243" i="3"/>
  <c r="A243" i="3"/>
  <c r="F242" i="3"/>
  <c r="E242" i="3"/>
  <c r="D242" i="3"/>
  <c r="C242" i="3"/>
  <c r="B242" i="3"/>
  <c r="A242" i="3"/>
  <c r="F241" i="3"/>
  <c r="E241" i="3"/>
  <c r="D241" i="3"/>
  <c r="C241" i="3"/>
  <c r="B241" i="3"/>
  <c r="A241" i="3"/>
  <c r="F240" i="3"/>
  <c r="E240" i="3"/>
  <c r="D240" i="3"/>
  <c r="C240" i="3"/>
  <c r="B240" i="3"/>
  <c r="A240" i="3"/>
  <c r="F239" i="3"/>
  <c r="E239" i="3"/>
  <c r="D239" i="3"/>
  <c r="C239" i="3"/>
  <c r="B239" i="3"/>
  <c r="A239" i="3"/>
  <c r="F238" i="3"/>
  <c r="E238" i="3"/>
  <c r="D238" i="3"/>
  <c r="C238" i="3"/>
  <c r="B238" i="3"/>
  <c r="A238" i="3"/>
  <c r="F237" i="3"/>
  <c r="E237" i="3"/>
  <c r="D237" i="3"/>
  <c r="C237" i="3"/>
  <c r="B237" i="3"/>
  <c r="A237" i="3"/>
  <c r="F236" i="3"/>
  <c r="E236" i="3"/>
  <c r="D236" i="3"/>
  <c r="C236" i="3"/>
  <c r="B236" i="3"/>
  <c r="A236" i="3"/>
  <c r="F235" i="3"/>
  <c r="E235" i="3"/>
  <c r="D235" i="3"/>
  <c r="C235" i="3"/>
  <c r="B235" i="3"/>
  <c r="A235" i="3"/>
  <c r="F234" i="3"/>
  <c r="E234" i="3"/>
  <c r="D234" i="3"/>
  <c r="C234" i="3"/>
  <c r="B234" i="3"/>
  <c r="A234" i="3"/>
  <c r="F233" i="3"/>
  <c r="E233" i="3"/>
  <c r="D233" i="3"/>
  <c r="C233" i="3"/>
  <c r="B233" i="3"/>
  <c r="A233" i="3"/>
  <c r="F232" i="3"/>
  <c r="E232" i="3"/>
  <c r="D232" i="3"/>
  <c r="C232" i="3"/>
  <c r="B232" i="3"/>
  <c r="A232" i="3"/>
  <c r="G231" i="3"/>
  <c r="B231" i="3"/>
  <c r="A231" i="3"/>
  <c r="G230" i="3"/>
  <c r="B230" i="3"/>
  <c r="A230" i="3"/>
  <c r="G229" i="3"/>
  <c r="B229" i="3"/>
  <c r="A229" i="3"/>
  <c r="G228" i="3"/>
  <c r="B228" i="3"/>
  <c r="A228" i="3"/>
  <c r="G227" i="3"/>
  <c r="B227" i="3"/>
  <c r="A227" i="3"/>
  <c r="G226" i="3"/>
  <c r="B226" i="3"/>
  <c r="A226" i="3"/>
  <c r="F225" i="3"/>
  <c r="E225" i="3"/>
  <c r="D225" i="3"/>
  <c r="C225" i="3"/>
  <c r="B225" i="3"/>
  <c r="A225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F221" i="3"/>
  <c r="E221" i="3"/>
  <c r="D221" i="3"/>
  <c r="C221" i="3"/>
  <c r="B221" i="3"/>
  <c r="A221" i="3"/>
  <c r="C220" i="3"/>
  <c r="B220" i="3"/>
  <c r="A220" i="3"/>
  <c r="F219" i="3"/>
  <c r="E219" i="3"/>
  <c r="D219" i="3"/>
  <c r="C219" i="3"/>
  <c r="B219" i="3"/>
  <c r="A219" i="3"/>
  <c r="F218" i="3"/>
  <c r="E218" i="3"/>
  <c r="D218" i="3"/>
  <c r="C218" i="3"/>
  <c r="B218" i="3"/>
  <c r="A218" i="3"/>
  <c r="F217" i="3"/>
  <c r="E217" i="3"/>
  <c r="D217" i="3"/>
  <c r="C217" i="3"/>
  <c r="B217" i="3"/>
  <c r="A217" i="3"/>
  <c r="F216" i="3"/>
  <c r="E216" i="3"/>
  <c r="D216" i="3"/>
  <c r="C216" i="3"/>
  <c r="B216" i="3"/>
  <c r="A216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G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D155" i="3"/>
  <c r="C155" i="3"/>
  <c r="B155" i="3"/>
  <c r="A155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G151" i="3"/>
  <c r="F151" i="3"/>
  <c r="E151" i="3"/>
  <c r="D151" i="3"/>
  <c r="C151" i="3"/>
  <c r="B151" i="3"/>
  <c r="A151" i="3"/>
  <c r="G150" i="3"/>
  <c r="F150" i="3"/>
  <c r="E150" i="3"/>
  <c r="D150" i="3"/>
  <c r="C150" i="3"/>
  <c r="B150" i="3"/>
  <c r="A150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D131" i="3"/>
  <c r="C131" i="3"/>
  <c r="B131" i="3"/>
  <c r="A131" i="3"/>
  <c r="D130" i="3"/>
  <c r="C130" i="3"/>
  <c r="B130" i="3"/>
  <c r="A130" i="3"/>
  <c r="G129" i="3"/>
  <c r="D129" i="3"/>
  <c r="C129" i="3"/>
  <c r="B129" i="3"/>
  <c r="A129" i="3"/>
  <c r="G128" i="3"/>
  <c r="D128" i="3"/>
  <c r="C128" i="3"/>
  <c r="B128" i="3"/>
  <c r="A128" i="3"/>
  <c r="G127" i="3"/>
  <c r="D127" i="3"/>
  <c r="C127" i="3"/>
  <c r="B127" i="3"/>
  <c r="A127" i="3"/>
  <c r="D126" i="3"/>
  <c r="C126" i="3"/>
  <c r="B126" i="3"/>
  <c r="A126" i="3"/>
  <c r="G125" i="3"/>
  <c r="D125" i="3"/>
  <c r="C125" i="3"/>
  <c r="B125" i="3"/>
  <c r="A125" i="3"/>
  <c r="D124" i="3"/>
  <c r="C124" i="3"/>
  <c r="B124" i="3"/>
  <c r="A124" i="3"/>
  <c r="G123" i="3"/>
  <c r="D123" i="3"/>
  <c r="C123" i="3"/>
  <c r="B123" i="3"/>
  <c r="A123" i="3"/>
  <c r="G122" i="3"/>
  <c r="D122" i="3"/>
  <c r="C122" i="3"/>
  <c r="B122" i="3"/>
  <c r="A122" i="3"/>
  <c r="G121" i="3"/>
  <c r="D121" i="3"/>
  <c r="C121" i="3"/>
  <c r="B121" i="3"/>
  <c r="A121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G115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G100" i="3"/>
  <c r="B100" i="3"/>
  <c r="A100" i="3"/>
  <c r="G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D24" i="2"/>
  <c r="E23" i="2"/>
  <c r="D23" i="2"/>
  <c r="E22" i="2"/>
  <c r="D22" i="2"/>
  <c r="E21" i="2"/>
  <c r="D21" i="2"/>
  <c r="D20" i="2"/>
  <c r="D19" i="2"/>
  <c r="D18" i="2"/>
  <c r="D16" i="2"/>
  <c r="D15" i="2"/>
  <c r="D13" i="2"/>
  <c r="D12" i="2"/>
  <c r="D11" i="2"/>
  <c r="D10" i="2"/>
  <c r="D9" i="2"/>
  <c r="D8" i="2"/>
  <c r="D7" i="2"/>
  <c r="F5" i="2"/>
  <c r="E5" i="2"/>
  <c r="D5" i="2"/>
  <c r="F4" i="2"/>
  <c r="E4" i="2"/>
  <c r="D4" i="2"/>
  <c r="F3" i="2"/>
  <c r="E3" i="2"/>
  <c r="D3" i="2"/>
  <c r="F2" i="2"/>
  <c r="E2" i="2"/>
  <c r="D2" i="2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1" i="1"/>
  <c r="E351" i="1"/>
  <c r="D351" i="1"/>
  <c r="F347" i="1"/>
  <c r="E347" i="1"/>
  <c r="D347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L320" i="1"/>
  <c r="M320" i="1" s="1"/>
  <c r="K320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D281" i="1"/>
  <c r="D280" i="1"/>
  <c r="D279" i="1"/>
  <c r="D278" i="1"/>
  <c r="D277" i="1"/>
  <c r="D276" i="1"/>
  <c r="D275" i="1"/>
  <c r="D274" i="1"/>
  <c r="F271" i="1"/>
  <c r="E271" i="1"/>
  <c r="D271" i="1"/>
  <c r="D268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F221" i="1"/>
  <c r="E221" i="1"/>
  <c r="D221" i="1"/>
  <c r="F220" i="1"/>
  <c r="E220" i="1"/>
  <c r="D220" i="1"/>
  <c r="D219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Calibri"/>
            <scheme val="minor"/>
          </rPr>
          <t>At the source of the manufacturer:
- on the farm
- in the smithy
- in the workshop</t>
        </r>
      </text>
    </comment>
    <comment ref="D1" authorId="0" shapeId="0" xr:uid="{00000000-0006-0000-0000-000002000000}">
      <text>
        <r>
          <rPr>
            <sz val="10"/>
            <color rgb="FF000000"/>
            <rFont val="Calibri"/>
            <scheme val="minor"/>
          </rPr>
          <t>At the nearest marketplace or shop
- the local farmer's market
- the "general store"
- from a merchant</t>
        </r>
      </text>
    </comment>
    <comment ref="E1" authorId="0" shapeId="0" xr:uid="{00000000-0006-0000-0000-000003000000}">
      <text>
        <r>
          <rPr>
            <sz val="10"/>
            <color rgb="FF000000"/>
            <rFont val="Calibri"/>
            <scheme val="minor"/>
          </rPr>
          <t>Cost in the nearest city (if the item was not produced in a city)</t>
        </r>
      </text>
    </comment>
    <comment ref="F1" authorId="0" shapeId="0" xr:uid="{00000000-0006-0000-0000-000004000000}">
      <text>
        <r>
          <rPr>
            <sz val="10"/>
            <color rgb="FF000000"/>
            <rFont val="Calibri"/>
            <scheme val="minor"/>
          </rPr>
          <t>Cost in distant lands, where they do not produce this item themselves.</t>
        </r>
      </text>
    </comment>
    <comment ref="J1" authorId="0" shapeId="0" xr:uid="{00000000-0006-0000-0000-000005000000}">
      <text>
        <r>
          <rPr>
            <sz val="10"/>
            <color rgb="FF000000"/>
            <rFont val="Calibri"/>
            <scheme val="minor"/>
          </rPr>
          <t>Items marked here are unavailable in Arrant</t>
        </r>
      </text>
    </comment>
    <comment ref="C266" authorId="0" shapeId="0" xr:uid="{00000000-0006-0000-0000-000006000000}">
      <text>
        <r>
          <rPr>
            <sz val="10"/>
            <color rgb="FF000000"/>
            <rFont val="Calibri"/>
            <scheme val="minor"/>
          </rPr>
          <t>3rd class</t>
        </r>
      </text>
    </comment>
    <comment ref="E266" authorId="0" shapeId="0" xr:uid="{00000000-0006-0000-0000-000007000000}">
      <text>
        <r>
          <rPr>
            <sz val="10"/>
            <color rgb="FF000000"/>
            <rFont val="Calibri"/>
            <scheme val="minor"/>
          </rPr>
          <t>2nd class</t>
        </r>
      </text>
    </comment>
    <comment ref="F266" authorId="0" shapeId="0" xr:uid="{00000000-0006-0000-0000-000008000000}">
      <text>
        <r>
          <rPr>
            <sz val="10"/>
            <color rgb="FF000000"/>
            <rFont val="Calibri"/>
            <scheme val="minor"/>
          </rPr>
          <t>1st class</t>
        </r>
      </text>
    </comment>
    <comment ref="D268" authorId="0" shapeId="0" xr:uid="{00000000-0006-0000-0000-000009000000}">
      <text>
        <r>
          <rPr>
            <sz val="10"/>
            <color rgb="FF000000"/>
            <rFont val="Calibri"/>
            <scheme val="minor"/>
          </rPr>
          <t>Master armorer</t>
        </r>
      </text>
    </comment>
    <comment ref="C271" authorId="0" shapeId="0" xr:uid="{00000000-0006-0000-0000-00000A000000}">
      <text>
        <r>
          <rPr>
            <sz val="10"/>
            <color rgb="FF000000"/>
            <rFont val="Calibri"/>
            <scheme val="minor"/>
          </rPr>
          <t>3rd class</t>
        </r>
      </text>
    </comment>
    <comment ref="E271" authorId="0" shapeId="0" xr:uid="{00000000-0006-0000-0000-00000B000000}">
      <text>
        <r>
          <rPr>
            <sz val="10"/>
            <color rgb="FF000000"/>
            <rFont val="Calibri"/>
            <scheme val="minor"/>
          </rPr>
          <t>2nd class</t>
        </r>
      </text>
    </comment>
    <comment ref="F271" authorId="0" shapeId="0" xr:uid="{00000000-0006-0000-0000-00000C000000}">
      <text>
        <r>
          <rPr>
            <sz val="10"/>
            <color rgb="FF000000"/>
            <rFont val="Calibri"/>
            <scheme val="minor"/>
          </rPr>
          <t>1st class</t>
        </r>
      </text>
    </comment>
    <comment ref="D274" authorId="0" shapeId="0" xr:uid="{00000000-0006-0000-0000-00000D000000}">
      <text>
        <r>
          <rPr>
            <sz val="10"/>
            <color rgb="FF000000"/>
            <rFont val="Calibri"/>
            <scheme val="minor"/>
          </rPr>
          <t>Master weaponsmith</t>
        </r>
      </text>
    </comment>
    <comment ref="D277" authorId="0" shapeId="0" xr:uid="{00000000-0006-0000-0000-00000E000000}">
      <text>
        <r>
          <rPr>
            <sz val="10"/>
            <color rgb="FF000000"/>
            <rFont val="Calibri"/>
            <scheme val="minor"/>
          </rPr>
          <t>When in high demand</t>
        </r>
      </text>
    </comment>
    <comment ref="D278" authorId="0" shapeId="0" xr:uid="{00000000-0006-0000-0000-00000F000000}">
      <text>
        <r>
          <rPr>
            <sz val="10"/>
            <color rgb="FF000000"/>
            <rFont val="Calibri"/>
            <scheme val="minor"/>
          </rPr>
          <t>When in high demand</t>
        </r>
      </text>
    </comment>
    <comment ref="D279" authorId="0" shapeId="0" xr:uid="{00000000-0006-0000-0000-000010000000}">
      <text>
        <r>
          <rPr>
            <sz val="10"/>
            <color rgb="FF000000"/>
            <rFont val="Calibri"/>
            <scheme val="minor"/>
          </rPr>
          <t>When in high demand</t>
        </r>
      </text>
    </comment>
    <comment ref="D280" authorId="0" shapeId="0" xr:uid="{00000000-0006-0000-0000-000011000000}">
      <text>
        <r>
          <rPr>
            <sz val="10"/>
            <color rgb="FF000000"/>
            <rFont val="Calibri"/>
            <scheme val="minor"/>
          </rPr>
          <t>Bigger cities</t>
        </r>
      </text>
    </comment>
    <comment ref="D281" authorId="0" shapeId="0" xr:uid="{00000000-0006-0000-0000-000012000000}">
      <text>
        <r>
          <rPr>
            <sz val="10"/>
            <color rgb="FF000000"/>
            <rFont val="Calibri"/>
            <scheme val="minor"/>
          </rPr>
          <t>When in high demand</t>
        </r>
      </text>
    </comment>
    <comment ref="A329" authorId="0" shapeId="0" xr:uid="{00000000-0006-0000-0000-000013000000}">
      <text>
        <r>
          <rPr>
            <sz val="10"/>
            <color rgb="FF000000"/>
            <rFont val="Calibri"/>
            <scheme val="minor"/>
          </rPr>
          <t>weighs 1/3 of an ounce</t>
        </r>
      </text>
    </comment>
    <comment ref="A335" authorId="0" shapeId="0" xr:uid="{00000000-0006-0000-0000-000014000000}">
      <text>
        <r>
          <rPr>
            <sz val="10"/>
            <color rgb="FF000000"/>
            <rFont val="Calibri"/>
            <scheme val="minor"/>
          </rPr>
          <t>unlike in the phb, a gold piece is twice as heavy and weighs 2/3 of an ounce. This means that there are 25 gp to a lb of gold. However, there's cost, skill &amp; profit in making legal tender, so a gold piece is actually worth a lot more than its weight in gold.</t>
        </r>
      </text>
    </comment>
    <comment ref="A341" authorId="0" shapeId="0" xr:uid="{00000000-0006-0000-0000-000015000000}">
      <text>
        <r>
          <rPr>
            <sz val="10"/>
            <color rgb="FF000000"/>
            <rFont val="Calibri"/>
            <scheme val="minor"/>
          </rPr>
          <t>unlike in the phb, a platinum piece is twice as heavy and weighs 2/3 of an ounce. This means that there are 25 pp to a lb of platinum. However, there's cost, skill &amp; profit in making legal tender, so a platinum piece is actually worth a lot more than its weight in platinum.</t>
        </r>
      </text>
    </comment>
    <comment ref="A346" authorId="0" shapeId="0" xr:uid="{00000000-0006-0000-0000-000016000000}">
      <text>
        <r>
          <rPr>
            <sz val="10"/>
            <color rgb="FF000000"/>
            <rFont val="Calibri"/>
            <scheme val="minor"/>
          </rPr>
          <t>unlike in the phb, a silver piece is twice as heavy and weighs 2/3 of an ounce. This means that there are 25 sp to a lb of silver. However, there's cost, skill &amp; profit in making legal tender, so a silver piece is actually worth a lot more than its weight in silver.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100-000001000000}">
      <text>
        <r>
          <rPr>
            <sz val="10"/>
            <color rgb="FF000000"/>
            <rFont val="Calibri"/>
            <scheme val="minor"/>
          </rPr>
          <t>This refers to the "rooms" mechanic from Warlock Homebrew: Fortresses, Traders &amp; Strongholds. The hireling rules and spells are not used.</t>
        </r>
      </text>
    </comment>
    <comment ref="I32" authorId="0" shapeId="0" xr:uid="{00000000-0006-0000-0100-000002000000}">
      <text>
        <r>
          <rPr>
            <sz val="10"/>
            <color rgb="FF000000"/>
            <rFont val="Calibri"/>
            <scheme val="minor"/>
          </rPr>
          <t>365 days for a community working with only surplus labour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Calibri"/>
            <scheme val="minor"/>
          </rPr>
          <t>Items here are available in Arrant</t>
        </r>
      </text>
    </comment>
    <comment ref="C1" authorId="0" shapeId="0" xr:uid="{00000000-0006-0000-0200-000002000000}">
      <text>
        <r>
          <rPr>
            <sz val="10"/>
            <color rgb="FF000000"/>
            <rFont val="Calibri"/>
            <scheme val="minor"/>
          </rPr>
          <t>At the source of the manufacturer:
- on the farm
- in the smithy
- in the workshop</t>
        </r>
      </text>
    </comment>
    <comment ref="D1" authorId="0" shapeId="0" xr:uid="{00000000-0006-0000-0200-000003000000}">
      <text>
        <r>
          <rPr>
            <sz val="10"/>
            <color rgb="FF000000"/>
            <rFont val="Calibri"/>
            <scheme val="minor"/>
          </rPr>
          <t>At the nearest marketplace or shop
- the local farmer's market
- the "general store"
- from a merchant</t>
        </r>
      </text>
    </comment>
    <comment ref="E1" authorId="0" shapeId="0" xr:uid="{00000000-0006-0000-0200-000004000000}">
      <text>
        <r>
          <rPr>
            <sz val="10"/>
            <color rgb="FF000000"/>
            <rFont val="Calibri"/>
            <scheme val="minor"/>
          </rPr>
          <t>Cost in the nearest city (if the item was not produced in a city)</t>
        </r>
      </text>
    </comment>
    <comment ref="F1" authorId="0" shapeId="0" xr:uid="{00000000-0006-0000-0200-000005000000}">
      <text>
        <r>
          <rPr>
            <sz val="10"/>
            <color rgb="FF000000"/>
            <rFont val="Calibri"/>
            <scheme val="minor"/>
          </rPr>
          <t>Cost in distant lands, where they do not produce this item themselves.</t>
        </r>
      </text>
    </comment>
    <comment ref="A329" authorId="0" shapeId="0" xr:uid="{00000000-0006-0000-0200-000006000000}">
      <text>
        <r>
          <rPr>
            <sz val="10"/>
            <color rgb="FF000000"/>
            <rFont val="Calibri"/>
            <scheme val="minor"/>
          </rPr>
          <t>weighs 1/3 of an ounce</t>
        </r>
      </text>
    </comment>
    <comment ref="A335" authorId="0" shapeId="0" xr:uid="{00000000-0006-0000-0200-000007000000}">
      <text>
        <r>
          <rPr>
            <sz val="10"/>
            <color rgb="FF000000"/>
            <rFont val="Calibri"/>
            <scheme val="minor"/>
          </rPr>
          <t>unlike in the phb, a gold piece is twice as heavy and weighs 2/3 of an ounce. This means that there are 25 gp to a lb of gold. However, there's cost, skill &amp; profit in making legal tender, so a gold piece is actually worth a lot more than its weight in gold.</t>
        </r>
      </text>
    </comment>
    <comment ref="A341" authorId="0" shapeId="0" xr:uid="{00000000-0006-0000-0200-000008000000}">
      <text>
        <r>
          <rPr>
            <sz val="10"/>
            <color rgb="FF000000"/>
            <rFont val="Calibri"/>
            <scheme val="minor"/>
          </rPr>
          <t>unlike in the phb, a platinum piece is twice as heavy and weighs 2/3 of an ounce. This means that there are 25 pp to a lb of platinum. However, there's cost, skill &amp; profit in making legal tender, so a platinum piece is actually worth a lot more than its weight in platinum.</t>
        </r>
      </text>
    </comment>
    <comment ref="A346" authorId="0" shapeId="0" xr:uid="{00000000-0006-0000-0200-000009000000}">
      <text>
        <r>
          <rPr>
            <sz val="10"/>
            <color rgb="FF000000"/>
            <rFont val="Calibri"/>
            <scheme val="minor"/>
          </rPr>
          <t>unlike in the phb, a silver piece is twice as heavy and weighs 2/3 of an ounce. This means that there are 25 sp to a lb of silver. However, there's cost, skill &amp; profit in making legal tender, so a silver piece is actually worth a lot more than its weight in silver.</t>
        </r>
      </text>
    </comment>
  </commentList>
</comments>
</file>

<file path=xl/sharedStrings.xml><?xml version="1.0" encoding="utf-8"?>
<sst xmlns="http://schemas.openxmlformats.org/spreadsheetml/2006/main" count="1188" uniqueCount="561">
  <si>
    <t>Item</t>
  </si>
  <si>
    <t>Class</t>
  </si>
  <si>
    <t>Cost/Source</t>
  </si>
  <si>
    <t>Cost/Local</t>
  </si>
  <si>
    <t>Cost/City</t>
  </si>
  <si>
    <t>Cost/Distant</t>
  </si>
  <si>
    <t>Notes</t>
  </si>
  <si>
    <t>Arrant Check</t>
  </si>
  <si>
    <t>Abacus</t>
  </si>
  <si>
    <t>Adventuring Gear (PHB)</t>
  </si>
  <si>
    <t>Acid (vial)</t>
  </si>
  <si>
    <t>Alchemist’s fire</t>
  </si>
  <si>
    <t>Amulet holy symbol</t>
  </si>
  <si>
    <t>Antitoxin (vial)</t>
  </si>
  <si>
    <t>Arrows (20)</t>
  </si>
  <si>
    <t>Backpack</t>
  </si>
  <si>
    <t>Ball bearings (bag of 1000)</t>
  </si>
  <si>
    <t>Barrel</t>
  </si>
  <si>
    <t>Basket</t>
  </si>
  <si>
    <t>Bedroll</t>
  </si>
  <si>
    <t>Bell</t>
  </si>
  <si>
    <t>Blanket</t>
  </si>
  <si>
    <t>Block and tackle</t>
  </si>
  <si>
    <t>Blowgun needles (50)</t>
  </si>
  <si>
    <t>Book</t>
  </si>
  <si>
    <t>Bottle, glass</t>
  </si>
  <si>
    <t>Bucket</t>
  </si>
  <si>
    <t>Caltrops (bag of 20)</t>
  </si>
  <si>
    <t>Candle</t>
  </si>
  <si>
    <t>Case, crossbow bolt</t>
  </si>
  <si>
    <t>No</t>
  </si>
  <si>
    <t>Case, map or scroll</t>
  </si>
  <si>
    <t>Chain (10 ft.)</t>
  </si>
  <si>
    <t>Chalk (1 piece)</t>
  </si>
  <si>
    <t>Chest</t>
  </si>
  <si>
    <t>Climber’s kit</t>
  </si>
  <si>
    <t>Clothes, common</t>
  </si>
  <si>
    <t>Clothes, costume</t>
  </si>
  <si>
    <t>Clothes, fine</t>
  </si>
  <si>
    <t>Clothes, traveler’s</t>
  </si>
  <si>
    <t>Component pouch</t>
  </si>
  <si>
    <t>Crossbow bolts (20)</t>
  </si>
  <si>
    <t>Crowbar</t>
  </si>
  <si>
    <t>Crystal arcane focus</t>
  </si>
  <si>
    <t>Emblem holy symbol</t>
  </si>
  <si>
    <t>Fishing tackle</t>
  </si>
  <si>
    <t>Flask or tankard</t>
  </si>
  <si>
    <t>Grappling hook</t>
  </si>
  <si>
    <t>Hammer</t>
  </si>
  <si>
    <t>Hammer, sledge</t>
  </si>
  <si>
    <t>Healer’s kit</t>
  </si>
  <si>
    <t>Holy water (flask)</t>
  </si>
  <si>
    <t>Hourglass</t>
  </si>
  <si>
    <t>Hunting trap</t>
  </si>
  <si>
    <t>Ink (1 ounce bottle)</t>
  </si>
  <si>
    <t>Ink pen</t>
  </si>
  <si>
    <t>Jug or pitcher</t>
  </si>
  <si>
    <t>Ladder (10-foot)</t>
  </si>
  <si>
    <t>Lamp</t>
  </si>
  <si>
    <t>Lantern, bullseye</t>
  </si>
  <si>
    <t>Lantern, hooded</t>
  </si>
  <si>
    <t>Lock</t>
  </si>
  <si>
    <t>Magnifying glass</t>
  </si>
  <si>
    <t>Manacles</t>
  </si>
  <si>
    <t>Mess kit</t>
  </si>
  <si>
    <t>Mirror, steel</t>
  </si>
  <si>
    <t>Oil (flask)</t>
  </si>
  <si>
    <t>Orb arcane focus</t>
  </si>
  <si>
    <t>Paper (one sheet)</t>
  </si>
  <si>
    <t>Parchment (one sheet)</t>
  </si>
  <si>
    <t>Perfume (vial)</t>
  </si>
  <si>
    <t>Pick, miner’s</t>
  </si>
  <si>
    <t>Piton</t>
  </si>
  <si>
    <t>Poison, basic (vial)</t>
  </si>
  <si>
    <t>Injury, you can use this poison to coat one slashing or piercing weapon or up to three pieces of ammunition.</t>
  </si>
  <si>
    <t>Pole (10-foot)</t>
  </si>
  <si>
    <t>Pot, iron</t>
  </si>
  <si>
    <t>Potion of healing</t>
  </si>
  <si>
    <t>Pouch</t>
  </si>
  <si>
    <t>Quiver</t>
  </si>
  <si>
    <t>Ram, portable</t>
  </si>
  <si>
    <t>Rations (1 day)</t>
  </si>
  <si>
    <t>Reliquary holy symbol</t>
  </si>
  <si>
    <t>Robes</t>
  </si>
  <si>
    <t>Rod arcane focus</t>
  </si>
  <si>
    <t>Rope, hempen (50 feet)</t>
  </si>
  <si>
    <t>Rope, silk (50 feet)</t>
  </si>
  <si>
    <t>Sack</t>
  </si>
  <si>
    <t>Scale, merchant's</t>
  </si>
  <si>
    <t>Sealing wax</t>
  </si>
  <si>
    <t>Shovel</t>
  </si>
  <si>
    <t>c</t>
  </si>
  <si>
    <t>Signal whistle</t>
  </si>
  <si>
    <t>Signet ring</t>
  </si>
  <si>
    <t>Sling bullets (20)</t>
  </si>
  <si>
    <t>Soap</t>
  </si>
  <si>
    <t>Spellbook</t>
  </si>
  <si>
    <t>Spikes, iron (10)</t>
  </si>
  <si>
    <t>Sprig of mistletoe druidic focus</t>
  </si>
  <si>
    <t>Spyglass</t>
  </si>
  <si>
    <t>Staff arcane focus</t>
  </si>
  <si>
    <t>Tent, two-person</t>
  </si>
  <si>
    <t>Tinderbox</t>
  </si>
  <si>
    <t>Torch</t>
  </si>
  <si>
    <t>Totem druidic focus</t>
  </si>
  <si>
    <t>Vial</t>
  </si>
  <si>
    <t>Wand arcane focus</t>
  </si>
  <si>
    <t>Waterskin</t>
  </si>
  <si>
    <t>Whetstone</t>
  </si>
  <si>
    <t>Wooden staff druidic focus</t>
  </si>
  <si>
    <t>Yew wand druidic focus</t>
  </si>
  <si>
    <t>Dust of Disappearance</t>
  </si>
  <si>
    <t>Alchemy</t>
  </si>
  <si>
    <t>Keoghtom's Ointment</t>
  </si>
  <si>
    <t>Oil of Slipperiness</t>
  </si>
  <si>
    <t>Perfume of Bewitching</t>
  </si>
  <si>
    <t>Philter of Love</t>
  </si>
  <si>
    <t>Potion of Climbing</t>
  </si>
  <si>
    <t>Potion of Comprehension</t>
  </si>
  <si>
    <t>Potion of Damage Resistance</t>
  </si>
  <si>
    <t>Potion of Watchful Rest</t>
  </si>
  <si>
    <t>Potion of Water Breathing</t>
  </si>
  <si>
    <t>Pressure Capsule</t>
  </si>
  <si>
    <t>Adamantine armor</t>
  </si>
  <si>
    <t>Armor</t>
  </si>
  <si>
    <t>Varies</t>
  </si>
  <si>
    <t>Price is twice the cost of the armor + its weight in lbs. of adamantine</t>
  </si>
  <si>
    <t>Mithral armor</t>
  </si>
  <si>
    <t>Price is twice the cost of the armor + 1/4th of its weight in lbs. of mithral</t>
  </si>
  <si>
    <t>Breastplate, medium armor</t>
  </si>
  <si>
    <t>Armor, PHB</t>
  </si>
  <si>
    <t>Chain mail, heavy armor</t>
  </si>
  <si>
    <t>Chain shirt, medium armor</t>
  </si>
  <si>
    <t>Half plate, medium armor</t>
  </si>
  <si>
    <t>Hide, medium armor</t>
  </si>
  <si>
    <t>Leather, light armor</t>
  </si>
  <si>
    <t>Padded, light armor</t>
  </si>
  <si>
    <t>Plate, heavy armor</t>
  </si>
  <si>
    <t>Ring mail, heavy armor</t>
  </si>
  <si>
    <t>Scale mail, medium armor</t>
  </si>
  <si>
    <t>Shield</t>
  </si>
  <si>
    <t>Splint, heavy armor</t>
  </si>
  <si>
    <t>Studded leather, light armor</t>
  </si>
  <si>
    <t>Armor of Gleaming</t>
  </si>
  <si>
    <t>Artificery</t>
  </si>
  <si>
    <t>Bag of Holding</t>
  </si>
  <si>
    <t>Boots of the Winterland</t>
  </si>
  <si>
    <t>Breathing Bubble</t>
  </si>
  <si>
    <t>Candle of the Deep</t>
  </si>
  <si>
    <t>Cantrip Wand (Tripwand), 1 cantrip</t>
  </si>
  <si>
    <t>Cantrip Wand (Tripwand), 2 cantrips</t>
  </si>
  <si>
    <t>Cast-Off Armor</t>
  </si>
  <si>
    <t>Price of the armor not included</t>
  </si>
  <si>
    <t>Charlatan's Die</t>
  </si>
  <si>
    <t>Chest of Preserving</t>
  </si>
  <si>
    <t>Cleansing Stone</t>
  </si>
  <si>
    <t>Cloak of Billowing</t>
  </si>
  <si>
    <t>Cloak of Many Fashions</t>
  </si>
  <si>
    <t>Cloak of Protection</t>
  </si>
  <si>
    <t>Clothes of Mending</t>
  </si>
  <si>
    <t>Coin of Delving</t>
  </si>
  <si>
    <t>Common Glamerweave</t>
  </si>
  <si>
    <t>Diplomat's Pouch</t>
  </si>
  <si>
    <t>Dust of Dryness</t>
  </si>
  <si>
    <t>Dust of Sneezing and Choking</t>
  </si>
  <si>
    <t>Ear Horn of Hearing</t>
  </si>
  <si>
    <t>Elemental Gem</t>
  </si>
  <si>
    <t>Enduring Spellbook</t>
  </si>
  <si>
    <t>Ersatz Eye</t>
  </si>
  <si>
    <t>Everbright Lantern</t>
  </si>
  <si>
    <t>Eyes of Minute Seeing</t>
  </si>
  <si>
    <t>Eyes of the Eagle</t>
  </si>
  <si>
    <t>Feather Token</t>
  </si>
  <si>
    <t>Goggles of Night</t>
  </si>
  <si>
    <t>Horn of Silent Alarm</t>
  </si>
  <si>
    <t>Imbued Wand</t>
  </si>
  <si>
    <t>Lantern of Revealing</t>
  </si>
  <si>
    <t>Lock of Trickery</t>
  </si>
  <si>
    <t>Mariner's armor</t>
  </si>
  <si>
    <t>Moon-Touched</t>
  </si>
  <si>
    <t>Weapon does not count as magical for the purposes of overcoming resistance</t>
  </si>
  <si>
    <t>Orb of Shielding</t>
  </si>
  <si>
    <t>Orb of Time</t>
  </si>
  <si>
    <t>Periapt of Health</t>
  </si>
  <si>
    <t>Periapt of Wound Closure</t>
  </si>
  <si>
    <t>Pole of Angling</t>
  </si>
  <si>
    <t>Pole of Collapsing</t>
  </si>
  <si>
    <t>Pot of Awakening</t>
  </si>
  <si>
    <t>Prosthetic Limb</t>
  </si>
  <si>
    <t>Ring of Jumping</t>
  </si>
  <si>
    <t>Ring of Mind Shielding</t>
  </si>
  <si>
    <t>Rope of Mending</t>
  </si>
  <si>
    <t>Sending Stones</t>
  </si>
  <si>
    <t>Shield of Expression</t>
  </si>
  <si>
    <t>Shiftweave</t>
  </si>
  <si>
    <t>Smoldering Armor</t>
  </si>
  <si>
    <t>Spell Scroll (cantrip)</t>
  </si>
  <si>
    <t>Spell Scroll (level 1)</t>
  </si>
  <si>
    <t>Spell Scroll (level 2)</t>
  </si>
  <si>
    <t>Spell Scroll (level 3)</t>
  </si>
  <si>
    <t>Tankard of Sobriety</t>
  </si>
  <si>
    <t>Unbreakable Arrow</t>
  </si>
  <si>
    <t>Uncommon Glamerweave</t>
  </si>
  <si>
    <t>Veteran's Cane</t>
  </si>
  <si>
    <t>Vox Seeker</t>
  </si>
  <si>
    <t>Walloping Ammunition</t>
  </si>
  <si>
    <t>Wand of Magic Detection</t>
  </si>
  <si>
    <t>Wand of Pyrotechnics</t>
  </si>
  <si>
    <t>Weapon of Warning</t>
  </si>
  <si>
    <t>Price of the weapon not included</t>
  </si>
  <si>
    <t>Camel</t>
  </si>
  <si>
    <t>Creature, PHB</t>
  </si>
  <si>
    <t>Donkey or mule</t>
  </si>
  <si>
    <t>Horse, draft</t>
  </si>
  <si>
    <t>Horse, riding</t>
  </si>
  <si>
    <t>Mastiff</t>
  </si>
  <si>
    <t>Pony</t>
  </si>
  <si>
    <t>Warhorse</t>
  </si>
  <si>
    <t>Alchemist's fire bomb</t>
  </si>
  <si>
    <t>Explosives</t>
  </si>
  <si>
    <t>Also known as an alchemist</t>
  </si>
  <si>
    <t>Cusser</t>
  </si>
  <si>
    <t>Officially a "Cannon Foundry Mk. VI Blast Device" - has been copied by almost every Auburian arsenal</t>
  </si>
  <si>
    <t>Incendiary bomb</t>
  </si>
  <si>
    <t>Also known as a flamer</t>
  </si>
  <si>
    <t>Sharper</t>
  </si>
  <si>
    <t>Officially a "Cannon Foundry Mk. II Fragmentation Bomb" - has been copied by almost every Auburian arsenal</t>
  </si>
  <si>
    <t>Smoke bomb</t>
  </si>
  <si>
    <t>Also known as a smoker</t>
  </si>
  <si>
    <t>Bomb</t>
  </si>
  <si>
    <t>Explosives, DMG</t>
  </si>
  <si>
    <t>Also known as a grenade</t>
  </si>
  <si>
    <t>Gunpowder, keg</t>
  </si>
  <si>
    <t>Gunpowder, powderhorn</t>
  </si>
  <si>
    <t>Arquebus</t>
  </si>
  <si>
    <t>Firearms</t>
  </si>
  <si>
    <t>Ball &amp; powder (20)</t>
  </si>
  <si>
    <t>Blunderbuss</t>
  </si>
  <si>
    <t>Carbine</t>
  </si>
  <si>
    <t>Pepperbox</t>
  </si>
  <si>
    <t>Revolver</t>
  </si>
  <si>
    <t>Rifle</t>
  </si>
  <si>
    <t>Rifle bullets (10)</t>
  </si>
  <si>
    <t>Musket</t>
  </si>
  <si>
    <t>Firearms, DMG</t>
  </si>
  <si>
    <t>Musket bullets (20)</t>
  </si>
  <si>
    <t>Pistol</t>
  </si>
  <si>
    <t>Wine, gallon</t>
  </si>
  <si>
    <t>Food, Drink, and Lodgings</t>
  </si>
  <si>
    <t>Ale, gallon</t>
  </si>
  <si>
    <t>Food, Drink, and Lodgings, PHB</t>
  </si>
  <si>
    <t>Banquet (person)</t>
  </si>
  <si>
    <t>Bread, loaf</t>
  </si>
  <si>
    <t>vc</t>
  </si>
  <si>
    <t>Cheese, hunk</t>
  </si>
  <si>
    <t>Inn stay aristocratic</t>
  </si>
  <si>
    <t>Inn stay comfortable</t>
  </si>
  <si>
    <t>Inn stay modest</t>
  </si>
  <si>
    <t>Inn stay poor</t>
  </si>
  <si>
    <t>Inn stay squalid</t>
  </si>
  <si>
    <t>Inn stay wealthy</t>
  </si>
  <si>
    <t>Meals aristocratic</t>
  </si>
  <si>
    <t>Meals comfortable</t>
  </si>
  <si>
    <t>Meals modest</t>
  </si>
  <si>
    <t>Meals poor</t>
  </si>
  <si>
    <t>Meals squalid</t>
  </si>
  <si>
    <t>Meals wealthy</t>
  </si>
  <si>
    <t>Meat, chunk</t>
  </si>
  <si>
    <t>Wine, common (pitcher)</t>
  </si>
  <si>
    <t>Wine, fine (bottle)</t>
  </si>
  <si>
    <t>Mundane Tusken Tiles</t>
  </si>
  <si>
    <t>Gaming set</t>
  </si>
  <si>
    <t>Dice set</t>
  </si>
  <si>
    <t>Gaming set, PHB</t>
  </si>
  <si>
    <t>Dragonchess set</t>
  </si>
  <si>
    <t>Playing card set</t>
  </si>
  <si>
    <t>Three dragon ante set</t>
  </si>
  <si>
    <t>Bagpipes</t>
  </si>
  <si>
    <t>Musical instrument, PHB</t>
  </si>
  <si>
    <t>Drum</t>
  </si>
  <si>
    <t>Dulcimer</t>
  </si>
  <si>
    <t>Flute</t>
  </si>
  <si>
    <t>Horn</t>
  </si>
  <si>
    <t>Lute</t>
  </si>
  <si>
    <t>Lyre</t>
  </si>
  <si>
    <t>Pan flute</t>
  </si>
  <si>
    <t>Shawm</t>
  </si>
  <si>
    <t>Viol</t>
  </si>
  <si>
    <t>Poison, assassin's blood</t>
  </si>
  <si>
    <t>Poisons, DMG</t>
  </si>
  <si>
    <t>Ingested</t>
  </si>
  <si>
    <t>Poison, burnt othur fumes</t>
  </si>
  <si>
    <t>Inhaled</t>
  </si>
  <si>
    <t>Poison, carrion crawler mucus</t>
  </si>
  <si>
    <t>Contact</t>
  </si>
  <si>
    <t>Poison, drow</t>
  </si>
  <si>
    <t>Poison, essence of ether</t>
  </si>
  <si>
    <t>Poison, malice</t>
  </si>
  <si>
    <t>Poison, midnight tears</t>
  </si>
  <si>
    <t>Poison, oil of taggit</t>
  </si>
  <si>
    <t>Poison, pale tincture</t>
  </si>
  <si>
    <t>Poison, purple worm</t>
  </si>
  <si>
    <t>Poison, serpent venom</t>
  </si>
  <si>
    <t>Poison, torpor</t>
  </si>
  <si>
    <t>Poison, truth serum</t>
  </si>
  <si>
    <t>Poison, wyvern</t>
  </si>
  <si>
    <t>Airship passage, day</t>
  </si>
  <si>
    <t>Services</t>
  </si>
  <si>
    <t>Alchemist, day</t>
  </si>
  <si>
    <t>Armorer, day</t>
  </si>
  <si>
    <t>Artificer, day</t>
  </si>
  <si>
    <t>Doctor</t>
  </si>
  <si>
    <t>Lightning rail passage, day</t>
  </si>
  <si>
    <t>Ship captain, day</t>
  </si>
  <si>
    <t>Ship officer, day</t>
  </si>
  <si>
    <t>Weaponsmith</t>
  </si>
  <si>
    <t>Coach cab (between towns), day</t>
  </si>
  <si>
    <t>Services, PHB</t>
  </si>
  <si>
    <t>Coach cab (within a city)</t>
  </si>
  <si>
    <t>Hireling skilled, day</t>
  </si>
  <si>
    <t>Hireling untrained, day</t>
  </si>
  <si>
    <t>Messenger, day</t>
  </si>
  <si>
    <t>Road or gate toll</t>
  </si>
  <si>
    <t>Ship’s passage, day</t>
  </si>
  <si>
    <t>Coach, Aristocratic</t>
  </si>
  <si>
    <t>Tack, Harness, and Drawn Vehicles</t>
  </si>
  <si>
    <t>Bit and bridle</t>
  </si>
  <si>
    <t>Tack, Harness, and Drawn Vehicles, PHB</t>
  </si>
  <si>
    <t>Carriage</t>
  </si>
  <si>
    <t>Cart</t>
  </si>
  <si>
    <t>Chariot</t>
  </si>
  <si>
    <t>Exotic saddle</t>
  </si>
  <si>
    <t>Feed (day)</t>
  </si>
  <si>
    <t>Military saddle</t>
  </si>
  <si>
    <t>Pack saddle</t>
  </si>
  <si>
    <t>Riding saddle</t>
  </si>
  <si>
    <t>Saddlebags</t>
  </si>
  <si>
    <t>Sled</t>
  </si>
  <si>
    <t>Stabling (day)</t>
  </si>
  <si>
    <t>Wagon</t>
  </si>
  <si>
    <t>Alchemist's supplies</t>
  </si>
  <si>
    <t>Tools, PHB</t>
  </si>
  <si>
    <t>Brewer's supplies</t>
  </si>
  <si>
    <t>Calligrapher's supplies</t>
  </si>
  <si>
    <t>Carpenter's tools</t>
  </si>
  <si>
    <t>Cartographer's tools</t>
  </si>
  <si>
    <t>Cobbler's tools</t>
  </si>
  <si>
    <t>Cook's utensils</t>
  </si>
  <si>
    <t>Disguise kit</t>
  </si>
  <si>
    <t>Forgery kit</t>
  </si>
  <si>
    <t>Glassblower's tools</t>
  </si>
  <si>
    <t>Herbalism kit</t>
  </si>
  <si>
    <t>Jeweler's tools</t>
  </si>
  <si>
    <t>Mason's tools</t>
  </si>
  <si>
    <t>Navigator's tools</t>
  </si>
  <si>
    <t>Painter's supplies</t>
  </si>
  <si>
    <t>Poisoner's kit</t>
  </si>
  <si>
    <t>Potter's tools</t>
  </si>
  <si>
    <t>Smith's tools</t>
  </si>
  <si>
    <t>Thieves' tools</t>
  </si>
  <si>
    <t>Tinker's tools</t>
  </si>
  <si>
    <t>Weaver's tools</t>
  </si>
  <si>
    <t>Woodcarver's tools</t>
  </si>
  <si>
    <t>Adamantine, lb.</t>
  </si>
  <si>
    <t>Trade good</t>
  </si>
  <si>
    <t>Brown rice koku (311.95 lb.)</t>
  </si>
  <si>
    <t>koku l5r</t>
  </si>
  <si>
    <t>bu</t>
  </si>
  <si>
    <t>zeni</t>
  </si>
  <si>
    <t>Brown rice lb.</t>
  </si>
  <si>
    <t>Mithral, lb.</t>
  </si>
  <si>
    <t>Rice lb.</t>
  </si>
  <si>
    <t>Silver powder, lb.</t>
  </si>
  <si>
    <t>White rice lb.</t>
  </si>
  <si>
    <t>Canvas yd.</t>
  </si>
  <si>
    <t>Trade good, PHB</t>
  </si>
  <si>
    <t>Chicken</t>
  </si>
  <si>
    <t>Cinnamon lb.</t>
  </si>
  <si>
    <t>Cloves lb.</t>
  </si>
  <si>
    <t>Copper piece</t>
  </si>
  <si>
    <t>Cow</t>
  </si>
  <si>
    <t>Flour lb.</t>
  </si>
  <si>
    <t>Ginger lb.</t>
  </si>
  <si>
    <t>Goat</t>
  </si>
  <si>
    <t>Gold lb.</t>
  </si>
  <si>
    <t>Gold piece</t>
  </si>
  <si>
    <t>Iron lb.</t>
  </si>
  <si>
    <t>Linen yd.</t>
  </si>
  <si>
    <t>Ox</t>
  </si>
  <si>
    <t>Pepper lb.</t>
  </si>
  <si>
    <t>Platinum lb.</t>
  </si>
  <si>
    <t>Platinum piece</t>
  </si>
  <si>
    <t>Saffron lb.</t>
  </si>
  <si>
    <t>Sheep</t>
  </si>
  <si>
    <t>Silk yd.</t>
  </si>
  <si>
    <t>Silver lb.</t>
  </si>
  <si>
    <t>Silver piece</t>
  </si>
  <si>
    <t>Wheat lb. (grain)</t>
  </si>
  <si>
    <t>Mithral ammunition</t>
  </si>
  <si>
    <t>Weap</t>
  </si>
  <si>
    <t>Price is four times the cost of the ammunition + 1/4th of its weight in lbs. of mithral. Does not count as magical ammunition.</t>
  </si>
  <si>
    <t>Adamantine ammunition</t>
  </si>
  <si>
    <t>Weapons</t>
  </si>
  <si>
    <t>Price is four times the cost of the ammunition + its weight in lbs. of adamantine. Does not count as magical ammunition.</t>
  </si>
  <si>
    <t>Adamantine weapon</t>
  </si>
  <si>
    <t>Price is four times the cost of the armor + its weight in lbs. of adamantine. Does not count as a magical weapon.</t>
  </si>
  <si>
    <t>Caltori Elemental Wand</t>
  </si>
  <si>
    <t>Mithral weapon</t>
  </si>
  <si>
    <t>Price is four times the cost of the weapon + 1/4th of its weight in lbs. of mithral. Does not count as a magical weapon.</t>
  </si>
  <si>
    <t>Silver ammunition</t>
  </si>
  <si>
    <t>Price is two times the cost of the ammunition + its weight in lbs. of silver.</t>
  </si>
  <si>
    <t>Silver weapon</t>
  </si>
  <si>
    <t>Price is two times the cost of the weapon + 1/2th of its weight in lbs. of silver</t>
  </si>
  <si>
    <t>Battleaxe</t>
  </si>
  <si>
    <t>Weapons, PHB</t>
  </si>
  <si>
    <t>Blowgun</t>
  </si>
  <si>
    <t>Club</t>
  </si>
  <si>
    <t>Crossbow, hand</t>
  </si>
  <si>
    <t>Crossbow, heavy</t>
  </si>
  <si>
    <t>Crossbow, light</t>
  </si>
  <si>
    <t>Dagger</t>
  </si>
  <si>
    <t>Dart</t>
  </si>
  <si>
    <t>Flail</t>
  </si>
  <si>
    <t>Glaive</t>
  </si>
  <si>
    <t>Greataxe</t>
  </si>
  <si>
    <t>Greatclub</t>
  </si>
  <si>
    <t>Greatsword</t>
  </si>
  <si>
    <t>Halberd</t>
  </si>
  <si>
    <t>Handaxe</t>
  </si>
  <si>
    <t>Javelin</t>
  </si>
  <si>
    <t>Lance</t>
  </si>
  <si>
    <t>Light hammer</t>
  </si>
  <si>
    <t>Longbow</t>
  </si>
  <si>
    <t>Longsword</t>
  </si>
  <si>
    <t>Mace</t>
  </si>
  <si>
    <t>Maul</t>
  </si>
  <si>
    <t>Morningstar</t>
  </si>
  <si>
    <t>Net</t>
  </si>
  <si>
    <t>Pike</t>
  </si>
  <si>
    <t>Quarterstaff</t>
  </si>
  <si>
    <t>Rapier</t>
  </si>
  <si>
    <t>Scimitar</t>
  </si>
  <si>
    <t>Shortbow</t>
  </si>
  <si>
    <t>Shortsword</t>
  </si>
  <si>
    <t>Sickle</t>
  </si>
  <si>
    <t>Sling</t>
  </si>
  <si>
    <t>Spear</t>
  </si>
  <si>
    <t>Trident</t>
  </si>
  <si>
    <t>War pick</t>
  </si>
  <si>
    <t>Warhammer</t>
  </si>
  <si>
    <t>Whip</t>
  </si>
  <si>
    <t>Requirements</t>
  </si>
  <si>
    <t>Room Points</t>
  </si>
  <si>
    <t>Construction Time</t>
  </si>
  <si>
    <t>Aerfion Airship (Elemental Ring)</t>
  </si>
  <si>
    <t>Airship</t>
  </si>
  <si>
    <t>50 tons cargo</t>
  </si>
  <si>
    <t>Aerfion Grande (Elemental Ring)</t>
  </si>
  <si>
    <t>100 tons cargo</t>
  </si>
  <si>
    <t>Malloy Balloonship</t>
  </si>
  <si>
    <t>30 tons cargo</t>
  </si>
  <si>
    <t>Malloy Ship of the Line</t>
  </si>
  <si>
    <t>Any Ship, Djinn Sails</t>
  </si>
  <si>
    <t>Airship (upgrade)</t>
  </si>
  <si>
    <t>Cost/source is 7 times the price of the ship</t>
  </si>
  <si>
    <t>House (large, 4 bedrooms)</t>
  </si>
  <si>
    <t>Building</t>
  </si>
  <si>
    <t>Large plot or acre</t>
  </si>
  <si>
    <t>House (medium, 3 bedroom)</t>
  </si>
  <si>
    <t>Medium plot or acre</t>
  </si>
  <si>
    <t>House (small, 2 bedroom)</t>
  </si>
  <si>
    <t>Small plot or acre</t>
  </si>
  <si>
    <t>Inn, rural roadside</t>
  </si>
  <si>
    <t>2, bonus room: dining hall, lodgings or tavern</t>
  </si>
  <si>
    <t>Inn, town or city</t>
  </si>
  <si>
    <t>Shop (medium, incl. living space)</t>
  </si>
  <si>
    <t>Bonus: boutique or smithy (merchant of your choice)</t>
  </si>
  <si>
    <t>Shrine</t>
  </si>
  <si>
    <t>Abbey</t>
  </si>
  <si>
    <t>Building, DMG</t>
  </si>
  <si>
    <t>2 large plots or acre</t>
  </si>
  <si>
    <t>6, bonus room: garden</t>
  </si>
  <si>
    <t>Guildhall</t>
  </si>
  <si>
    <t>3, bonus room: dining hall</t>
  </si>
  <si>
    <t>Noble estate with manor</t>
  </si>
  <si>
    <t>3 acres</t>
  </si>
  <si>
    <t>4, bonus room: library</t>
  </si>
  <si>
    <t>Palace</t>
  </si>
  <si>
    <t>50 acres</t>
  </si>
  <si>
    <t>25, bonus room: up to 5 points worth of your choice</t>
  </si>
  <si>
    <t>Trading Post</t>
  </si>
  <si>
    <t>2, bonus room: caravansary or lodgings</t>
  </si>
  <si>
    <t>Farmland (acre)</t>
  </si>
  <si>
    <t>Land</t>
  </si>
  <si>
    <t>Inarable land (acre)</t>
  </si>
  <si>
    <t>Town plot (large)</t>
  </si>
  <si>
    <t>Town plot (medium)</t>
  </si>
  <si>
    <t>Town plot (small)</t>
  </si>
  <si>
    <t>Woodland (acre)</t>
  </si>
  <si>
    <t>Brigantine</t>
  </si>
  <si>
    <t>Ship</t>
  </si>
  <si>
    <t>purchased unarmed, 100 tons cargo</t>
  </si>
  <si>
    <t>Galleon</t>
  </si>
  <si>
    <t>purchased unarmed, 400 tons cargo</t>
  </si>
  <si>
    <t>Merchant Ship</t>
  </si>
  <si>
    <t>purchased unarmed, 250 tons cargo</t>
  </si>
  <si>
    <t>Sloop</t>
  </si>
  <si>
    <t>purchased unarmed, 50 tons cargo</t>
  </si>
  <si>
    <t>Troopship</t>
  </si>
  <si>
    <t>purchased unarmed, 600 tons cargo</t>
  </si>
  <si>
    <t>Galley</t>
  </si>
  <si>
    <t>Ship, PHB</t>
  </si>
  <si>
    <t>purchased unarmed, 150 tons cargo</t>
  </si>
  <si>
    <t>Keelboat</t>
  </si>
  <si>
    <t>purchased unarmed, 35 tons cargo</t>
  </si>
  <si>
    <t>Longship</t>
  </si>
  <si>
    <t>purchased unarmed</t>
  </si>
  <si>
    <t>Rowboat</t>
  </si>
  <si>
    <t>Sailing ship</t>
  </si>
  <si>
    <t>Warship</t>
  </si>
  <si>
    <t>purchased unarmed, 200 tons cargo</t>
  </si>
  <si>
    <t>Cannon (12-pounder)</t>
  </si>
  <si>
    <t>Siege Equipment</t>
  </si>
  <si>
    <t>Cannon (18-pounder)</t>
  </si>
  <si>
    <t>Mortar</t>
  </si>
  <si>
    <t>Swivel gun</t>
  </si>
  <si>
    <t>Ballista</t>
  </si>
  <si>
    <t>Siege Equipment, DMG</t>
  </si>
  <si>
    <t>Cannon (9-pounder)</t>
  </si>
  <si>
    <t>Cauldron, suspended</t>
  </si>
  <si>
    <t>Mangonel</t>
  </si>
  <si>
    <t>Ram</t>
  </si>
  <si>
    <t>Siege tower</t>
  </si>
  <si>
    <t>Trebuchet</t>
  </si>
  <si>
    <t>Establishment level 1</t>
  </si>
  <si>
    <t>Strongholds &amp; Followers</t>
  </si>
  <si>
    <t>Establishment level 2</t>
  </si>
  <si>
    <t>Establishment level 3</t>
  </si>
  <si>
    <t>Establishment level 4</t>
  </si>
  <si>
    <t>Establishment level 5</t>
  </si>
  <si>
    <t>Keep level 1</t>
  </si>
  <si>
    <t>Keep level 2</t>
  </si>
  <si>
    <t>Stronghold level 1</t>
  </si>
  <si>
    <t>Keep level 3</t>
  </si>
  <si>
    <t>Stronghold level 2, 2 acres or 2 large plots</t>
  </si>
  <si>
    <t>Keep level 4</t>
  </si>
  <si>
    <t>Stronghold level 3</t>
  </si>
  <si>
    <t>Keep level 5</t>
  </si>
  <si>
    <t>Stronghold level 4, 3 acres or 3 large plots</t>
  </si>
  <si>
    <t>Temple level 1</t>
  </si>
  <si>
    <t>Temple level 2</t>
  </si>
  <si>
    <t>Temple level 3</t>
  </si>
  <si>
    <t>Temple level 4</t>
  </si>
  <si>
    <t>Temple level 5</t>
  </si>
  <si>
    <t>Temple level 4, 2 large plots or 2 acres</t>
  </si>
  <si>
    <t>Tower level 1</t>
  </si>
  <si>
    <t>Tower level 2</t>
  </si>
  <si>
    <t>Tower level 3</t>
  </si>
  <si>
    <t>Tower level 4</t>
  </si>
  <si>
    <t>Tower level 5</t>
  </si>
  <si>
    <t>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</si>
</sst>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9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Smaller Thing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igger Thing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Items in Arrant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44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X1005" headerRowCount="0">
  <tableColumns count="2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44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4"/>
  <sheetViews>
    <sheetView workbookViewId="0">
      <pane ySplit="1" topLeftCell="A380" activePane="bottomLeft" state="frozen"/>
      <selection pane="bottomLeft" activeCell="C7" sqref="C7"/>
    </sheetView>
  </sheetViews>
  <sheetFormatPr defaultColWidth="14.42578125" defaultRowHeight="15" customHeight="1" x14ac:dyDescent="0.2"/>
  <cols>
    <col min="1" max="1" width="21.5703125" customWidth="1"/>
    <col min="2" max="2" width="14.42578125" customWidth="1"/>
    <col min="3" max="5" width="12.7109375" customWidth="1"/>
    <col min="6" max="6" width="14" customWidth="1"/>
    <col min="7" max="7" width="14.28515625" customWidth="1"/>
    <col min="8" max="9" width="8.7109375" customWidth="1"/>
    <col min="10" max="10" width="13.28515625" customWidth="1"/>
    <col min="11" max="26" width="8.7109375" customWidth="1"/>
  </cols>
  <sheetData>
    <row r="1" spans="1:10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 ht="15" customHeight="1" x14ac:dyDescent="0.2">
      <c r="A2" t="s">
        <v>8</v>
      </c>
      <c r="B2" t="s">
        <v>9</v>
      </c>
      <c r="C2">
        <v>2</v>
      </c>
      <c r="D2">
        <f t="shared" ref="D2:D80" si="0">C2*1.5</f>
        <v>3</v>
      </c>
      <c r="E2">
        <f t="shared" ref="E2:E80" si="1">C2*3</f>
        <v>6</v>
      </c>
      <c r="F2">
        <f t="shared" ref="F2:F80" si="2">C2*6</f>
        <v>12</v>
      </c>
    </row>
    <row r="3" spans="1:10" ht="15" customHeight="1" x14ac:dyDescent="0.2">
      <c r="A3" t="s">
        <v>10</v>
      </c>
      <c r="B3" t="s">
        <v>9</v>
      </c>
      <c r="C3">
        <v>2.9</v>
      </c>
      <c r="D3">
        <f t="shared" si="0"/>
        <v>4.3499999999999996</v>
      </c>
      <c r="E3">
        <f t="shared" si="1"/>
        <v>8.6999999999999993</v>
      </c>
      <c r="F3">
        <f t="shared" si="2"/>
        <v>17.399999999999999</v>
      </c>
    </row>
    <row r="4" spans="1:10" ht="15" customHeight="1" x14ac:dyDescent="0.2">
      <c r="A4" t="s">
        <v>11</v>
      </c>
      <c r="B4" t="s">
        <v>9</v>
      </c>
      <c r="C4">
        <v>8.4</v>
      </c>
      <c r="D4">
        <f t="shared" si="0"/>
        <v>12.600000000000001</v>
      </c>
      <c r="E4">
        <f t="shared" si="1"/>
        <v>25.200000000000003</v>
      </c>
      <c r="F4">
        <f t="shared" si="2"/>
        <v>50.400000000000006</v>
      </c>
    </row>
    <row r="5" spans="1:10" ht="15" customHeight="1" x14ac:dyDescent="0.2">
      <c r="A5" t="s">
        <v>12</v>
      </c>
      <c r="B5" t="s">
        <v>9</v>
      </c>
      <c r="C5">
        <v>5</v>
      </c>
      <c r="D5">
        <f t="shared" si="0"/>
        <v>7.5</v>
      </c>
      <c r="E5">
        <f t="shared" si="1"/>
        <v>15</v>
      </c>
      <c r="F5">
        <f t="shared" si="2"/>
        <v>30</v>
      </c>
    </row>
    <row r="6" spans="1:10" ht="15" customHeight="1" x14ac:dyDescent="0.2">
      <c r="A6" t="s">
        <v>13</v>
      </c>
      <c r="B6" t="s">
        <v>9</v>
      </c>
      <c r="C6">
        <v>25</v>
      </c>
      <c r="D6">
        <f t="shared" si="0"/>
        <v>37.5</v>
      </c>
      <c r="E6">
        <f t="shared" si="1"/>
        <v>75</v>
      </c>
      <c r="F6">
        <f t="shared" si="2"/>
        <v>150</v>
      </c>
    </row>
    <row r="7" spans="1:10" ht="15" customHeight="1" x14ac:dyDescent="0.2">
      <c r="A7" t="s">
        <v>14</v>
      </c>
      <c r="B7" t="s">
        <v>9</v>
      </c>
      <c r="C7">
        <v>0.12</v>
      </c>
      <c r="D7">
        <f t="shared" si="0"/>
        <v>0.18</v>
      </c>
      <c r="E7">
        <f t="shared" si="1"/>
        <v>0.36</v>
      </c>
      <c r="F7">
        <f t="shared" si="2"/>
        <v>0.72</v>
      </c>
    </row>
    <row r="8" spans="1:10" ht="15" customHeight="1" x14ac:dyDescent="0.2">
      <c r="A8" t="s">
        <v>15</v>
      </c>
      <c r="B8" t="s">
        <v>9</v>
      </c>
      <c r="C8">
        <v>1</v>
      </c>
      <c r="D8">
        <f t="shared" si="0"/>
        <v>1.5</v>
      </c>
      <c r="E8">
        <f t="shared" si="1"/>
        <v>3</v>
      </c>
      <c r="F8">
        <f t="shared" si="2"/>
        <v>6</v>
      </c>
    </row>
    <row r="9" spans="1:10" ht="15" customHeight="1" x14ac:dyDescent="0.2">
      <c r="A9" t="s">
        <v>16</v>
      </c>
      <c r="B9" t="s">
        <v>9</v>
      </c>
      <c r="C9">
        <v>3</v>
      </c>
      <c r="D9">
        <f t="shared" si="0"/>
        <v>4.5</v>
      </c>
      <c r="E9">
        <f t="shared" si="1"/>
        <v>9</v>
      </c>
      <c r="F9">
        <f t="shared" si="2"/>
        <v>18</v>
      </c>
    </row>
    <row r="10" spans="1:10" ht="15" customHeight="1" x14ac:dyDescent="0.2">
      <c r="A10" t="s">
        <v>17</v>
      </c>
      <c r="B10" t="s">
        <v>9</v>
      </c>
      <c r="C10">
        <v>1.6</v>
      </c>
      <c r="D10">
        <f t="shared" si="0"/>
        <v>2.4000000000000004</v>
      </c>
      <c r="E10">
        <f t="shared" si="1"/>
        <v>4.8000000000000007</v>
      </c>
      <c r="F10">
        <f t="shared" si="2"/>
        <v>9.6000000000000014</v>
      </c>
    </row>
    <row r="11" spans="1:10" ht="15" customHeight="1" x14ac:dyDescent="0.2">
      <c r="A11" t="s">
        <v>18</v>
      </c>
      <c r="B11" t="s">
        <v>9</v>
      </c>
      <c r="C11">
        <v>0.7</v>
      </c>
      <c r="D11">
        <f t="shared" si="0"/>
        <v>1.0499999999999998</v>
      </c>
      <c r="E11">
        <f t="shared" si="1"/>
        <v>2.0999999999999996</v>
      </c>
      <c r="F11">
        <f t="shared" si="2"/>
        <v>4.1999999999999993</v>
      </c>
    </row>
    <row r="12" spans="1:10" ht="15" customHeight="1" x14ac:dyDescent="0.2">
      <c r="A12" t="s">
        <v>19</v>
      </c>
      <c r="B12" t="s">
        <v>9</v>
      </c>
      <c r="C12">
        <v>0.8</v>
      </c>
      <c r="D12">
        <f t="shared" si="0"/>
        <v>1.2000000000000002</v>
      </c>
      <c r="E12">
        <f t="shared" si="1"/>
        <v>2.4000000000000004</v>
      </c>
      <c r="F12">
        <f t="shared" si="2"/>
        <v>4.8000000000000007</v>
      </c>
    </row>
    <row r="13" spans="1:10" ht="15" customHeight="1" x14ac:dyDescent="0.2">
      <c r="A13" t="s">
        <v>20</v>
      </c>
      <c r="B13" t="s">
        <v>9</v>
      </c>
      <c r="C13">
        <v>1.7</v>
      </c>
      <c r="D13">
        <f t="shared" si="0"/>
        <v>2.5499999999999998</v>
      </c>
      <c r="E13">
        <f t="shared" si="1"/>
        <v>5.0999999999999996</v>
      </c>
      <c r="F13">
        <f t="shared" si="2"/>
        <v>10.199999999999999</v>
      </c>
    </row>
    <row r="14" spans="1:10" ht="15" customHeight="1" x14ac:dyDescent="0.2">
      <c r="A14" t="s">
        <v>21</v>
      </c>
      <c r="B14" t="s">
        <v>9</v>
      </c>
      <c r="C14">
        <v>0.5</v>
      </c>
      <c r="D14">
        <f t="shared" si="0"/>
        <v>0.75</v>
      </c>
      <c r="E14">
        <f t="shared" si="1"/>
        <v>1.5</v>
      </c>
      <c r="F14">
        <f t="shared" si="2"/>
        <v>3</v>
      </c>
    </row>
    <row r="15" spans="1:10" ht="15" customHeight="1" x14ac:dyDescent="0.2">
      <c r="A15" t="s">
        <v>22</v>
      </c>
      <c r="B15" t="s">
        <v>9</v>
      </c>
      <c r="C15">
        <v>3</v>
      </c>
      <c r="D15">
        <f t="shared" si="0"/>
        <v>4.5</v>
      </c>
      <c r="E15">
        <f t="shared" si="1"/>
        <v>9</v>
      </c>
      <c r="F15">
        <f t="shared" si="2"/>
        <v>18</v>
      </c>
    </row>
    <row r="16" spans="1:10" ht="15" customHeight="1" x14ac:dyDescent="0.2">
      <c r="A16" t="s">
        <v>23</v>
      </c>
      <c r="B16" t="s">
        <v>9</v>
      </c>
      <c r="C16">
        <v>0.01</v>
      </c>
      <c r="D16">
        <f t="shared" si="0"/>
        <v>1.4999999999999999E-2</v>
      </c>
      <c r="E16">
        <f t="shared" si="1"/>
        <v>0.03</v>
      </c>
      <c r="F16">
        <f t="shared" si="2"/>
        <v>0.06</v>
      </c>
    </row>
    <row r="17" spans="1:10" ht="15" customHeight="1" x14ac:dyDescent="0.2">
      <c r="A17" t="s">
        <v>24</v>
      </c>
      <c r="B17" t="s">
        <v>9</v>
      </c>
      <c r="C17">
        <v>3</v>
      </c>
      <c r="D17">
        <f t="shared" si="0"/>
        <v>4.5</v>
      </c>
      <c r="E17">
        <f t="shared" si="1"/>
        <v>9</v>
      </c>
      <c r="F17">
        <f t="shared" si="2"/>
        <v>18</v>
      </c>
    </row>
    <row r="18" spans="1:10" ht="15" customHeight="1" x14ac:dyDescent="0.2">
      <c r="A18" t="s">
        <v>25</v>
      </c>
      <c r="B18" t="s">
        <v>9</v>
      </c>
      <c r="C18">
        <v>0.08</v>
      </c>
      <c r="D18">
        <f t="shared" si="0"/>
        <v>0.12</v>
      </c>
      <c r="E18">
        <f t="shared" si="1"/>
        <v>0.24</v>
      </c>
      <c r="F18">
        <f t="shared" si="2"/>
        <v>0.48</v>
      </c>
    </row>
    <row r="19" spans="1:10" ht="15" customHeight="1" x14ac:dyDescent="0.2">
      <c r="A19" t="s">
        <v>26</v>
      </c>
      <c r="B19" t="s">
        <v>9</v>
      </c>
      <c r="C19">
        <v>0.4</v>
      </c>
      <c r="D19">
        <f t="shared" si="0"/>
        <v>0.60000000000000009</v>
      </c>
      <c r="E19">
        <f t="shared" si="1"/>
        <v>1.2000000000000002</v>
      </c>
      <c r="F19">
        <f t="shared" si="2"/>
        <v>2.4000000000000004</v>
      </c>
    </row>
    <row r="20" spans="1:10" ht="15" customHeight="1" x14ac:dyDescent="0.2">
      <c r="A20" t="s">
        <v>27</v>
      </c>
      <c r="B20" t="s">
        <v>9</v>
      </c>
      <c r="C20">
        <v>2</v>
      </c>
      <c r="D20">
        <f t="shared" si="0"/>
        <v>3</v>
      </c>
      <c r="E20">
        <f t="shared" si="1"/>
        <v>6</v>
      </c>
      <c r="F20">
        <f t="shared" si="2"/>
        <v>12</v>
      </c>
    </row>
    <row r="21" spans="1:10" ht="15" customHeight="1" x14ac:dyDescent="0.2">
      <c r="A21" t="s">
        <v>28</v>
      </c>
      <c r="B21" t="s">
        <v>9</v>
      </c>
      <c r="C21">
        <v>0.01</v>
      </c>
      <c r="D21">
        <f t="shared" si="0"/>
        <v>1.4999999999999999E-2</v>
      </c>
      <c r="E21">
        <f t="shared" si="1"/>
        <v>0.03</v>
      </c>
      <c r="F21">
        <f t="shared" si="2"/>
        <v>0.06</v>
      </c>
    </row>
    <row r="22" spans="1:10" ht="15" customHeight="1" x14ac:dyDescent="0.2">
      <c r="A22" t="s">
        <v>29</v>
      </c>
      <c r="B22" t="s">
        <v>9</v>
      </c>
      <c r="C22">
        <v>1</v>
      </c>
      <c r="D22">
        <f t="shared" si="0"/>
        <v>1.5</v>
      </c>
      <c r="E22">
        <f t="shared" si="1"/>
        <v>3</v>
      </c>
      <c r="F22">
        <f t="shared" si="2"/>
        <v>6</v>
      </c>
      <c r="J22" t="s">
        <v>30</v>
      </c>
    </row>
    <row r="23" spans="1:10" ht="15" customHeight="1" x14ac:dyDescent="0.2">
      <c r="A23" t="s">
        <v>31</v>
      </c>
      <c r="B23" t="s">
        <v>9</v>
      </c>
      <c r="C23">
        <v>0.6</v>
      </c>
      <c r="D23">
        <f t="shared" si="0"/>
        <v>0.89999999999999991</v>
      </c>
      <c r="E23">
        <f t="shared" si="1"/>
        <v>1.7999999999999998</v>
      </c>
      <c r="F23">
        <f t="shared" si="2"/>
        <v>3.5999999999999996</v>
      </c>
    </row>
    <row r="24" spans="1:10" ht="15" customHeight="1" x14ac:dyDescent="0.2">
      <c r="A24" t="s">
        <v>32</v>
      </c>
      <c r="B24" t="s">
        <v>9</v>
      </c>
      <c r="C24">
        <v>2</v>
      </c>
      <c r="D24">
        <f t="shared" si="0"/>
        <v>3</v>
      </c>
      <c r="E24">
        <f t="shared" si="1"/>
        <v>6</v>
      </c>
      <c r="F24">
        <f t="shared" si="2"/>
        <v>12</v>
      </c>
    </row>
    <row r="25" spans="1:10" ht="15" customHeight="1" x14ac:dyDescent="0.2">
      <c r="A25" t="s">
        <v>33</v>
      </c>
      <c r="B25" t="s">
        <v>9</v>
      </c>
      <c r="C25">
        <v>0.01</v>
      </c>
      <c r="D25">
        <f t="shared" si="0"/>
        <v>1.4999999999999999E-2</v>
      </c>
      <c r="E25">
        <f t="shared" si="1"/>
        <v>0.03</v>
      </c>
      <c r="F25">
        <f t="shared" si="2"/>
        <v>0.06</v>
      </c>
    </row>
    <row r="26" spans="1:10" ht="15" customHeight="1" x14ac:dyDescent="0.2">
      <c r="A26" t="s">
        <v>34</v>
      </c>
      <c r="B26" t="s">
        <v>9</v>
      </c>
      <c r="C26">
        <v>5</v>
      </c>
      <c r="D26">
        <f t="shared" si="0"/>
        <v>7.5</v>
      </c>
      <c r="E26">
        <f t="shared" si="1"/>
        <v>15</v>
      </c>
      <c r="F26">
        <f t="shared" si="2"/>
        <v>30</v>
      </c>
    </row>
    <row r="27" spans="1:10" ht="12.75" x14ac:dyDescent="0.2">
      <c r="A27" t="s">
        <v>35</v>
      </c>
      <c r="B27" t="s">
        <v>9</v>
      </c>
      <c r="C27">
        <v>25</v>
      </c>
      <c r="D27">
        <f t="shared" si="0"/>
        <v>37.5</v>
      </c>
      <c r="E27">
        <f t="shared" si="1"/>
        <v>75</v>
      </c>
      <c r="F27">
        <f t="shared" si="2"/>
        <v>150</v>
      </c>
    </row>
    <row r="28" spans="1:10" ht="12.75" x14ac:dyDescent="0.2">
      <c r="A28" t="s">
        <v>36</v>
      </c>
      <c r="B28" t="s">
        <v>9</v>
      </c>
      <c r="C28">
        <v>2</v>
      </c>
      <c r="D28">
        <f t="shared" si="0"/>
        <v>3</v>
      </c>
      <c r="E28">
        <f t="shared" si="1"/>
        <v>6</v>
      </c>
      <c r="F28">
        <f t="shared" si="2"/>
        <v>12</v>
      </c>
    </row>
    <row r="29" spans="1:10" ht="12.75" x14ac:dyDescent="0.2">
      <c r="A29" t="s">
        <v>37</v>
      </c>
      <c r="B29" t="s">
        <v>9</v>
      </c>
      <c r="C29">
        <v>10</v>
      </c>
      <c r="D29">
        <f t="shared" si="0"/>
        <v>15</v>
      </c>
      <c r="E29">
        <f t="shared" si="1"/>
        <v>30</v>
      </c>
      <c r="F29">
        <f t="shared" si="2"/>
        <v>60</v>
      </c>
    </row>
    <row r="30" spans="1:10" ht="12.75" x14ac:dyDescent="0.2">
      <c r="A30" t="s">
        <v>38</v>
      </c>
      <c r="B30" t="s">
        <v>9</v>
      </c>
      <c r="C30">
        <v>20</v>
      </c>
      <c r="D30">
        <f t="shared" si="0"/>
        <v>30</v>
      </c>
      <c r="E30">
        <f t="shared" si="1"/>
        <v>60</v>
      </c>
      <c r="F30">
        <f t="shared" si="2"/>
        <v>120</v>
      </c>
    </row>
    <row r="31" spans="1:10" ht="12.75" x14ac:dyDescent="0.2">
      <c r="A31" t="s">
        <v>39</v>
      </c>
      <c r="B31" t="s">
        <v>9</v>
      </c>
      <c r="C31">
        <v>5</v>
      </c>
      <c r="D31">
        <f t="shared" si="0"/>
        <v>7.5</v>
      </c>
      <c r="E31">
        <f t="shared" si="1"/>
        <v>15</v>
      </c>
      <c r="F31">
        <f t="shared" si="2"/>
        <v>30</v>
      </c>
    </row>
    <row r="32" spans="1:10" ht="12.75" x14ac:dyDescent="0.2">
      <c r="A32" t="s">
        <v>40</v>
      </c>
      <c r="B32" t="s">
        <v>9</v>
      </c>
      <c r="C32">
        <v>12.5</v>
      </c>
      <c r="D32">
        <f t="shared" si="0"/>
        <v>18.75</v>
      </c>
      <c r="E32">
        <f t="shared" si="1"/>
        <v>37.5</v>
      </c>
      <c r="F32">
        <f t="shared" si="2"/>
        <v>75</v>
      </c>
    </row>
    <row r="33" spans="1:10" ht="12.75" x14ac:dyDescent="0.2">
      <c r="A33" t="s">
        <v>41</v>
      </c>
      <c r="B33" t="s">
        <v>9</v>
      </c>
      <c r="C33">
        <v>0.1</v>
      </c>
      <c r="D33">
        <f t="shared" si="0"/>
        <v>0.15000000000000002</v>
      </c>
      <c r="E33">
        <f t="shared" si="1"/>
        <v>0.30000000000000004</v>
      </c>
      <c r="F33">
        <f t="shared" si="2"/>
        <v>0.60000000000000009</v>
      </c>
      <c r="J33" t="s">
        <v>30</v>
      </c>
    </row>
    <row r="34" spans="1:10" ht="12.75" x14ac:dyDescent="0.2">
      <c r="A34" t="s">
        <v>42</v>
      </c>
      <c r="B34" t="s">
        <v>9</v>
      </c>
      <c r="C34">
        <v>2</v>
      </c>
      <c r="D34">
        <f t="shared" si="0"/>
        <v>3</v>
      </c>
      <c r="E34">
        <f t="shared" si="1"/>
        <v>6</v>
      </c>
      <c r="F34">
        <f t="shared" si="2"/>
        <v>12</v>
      </c>
    </row>
    <row r="35" spans="1:10" ht="12.75" x14ac:dyDescent="0.2">
      <c r="A35" t="s">
        <v>43</v>
      </c>
      <c r="B35" t="s">
        <v>9</v>
      </c>
      <c r="C35">
        <v>10</v>
      </c>
      <c r="D35">
        <f t="shared" si="0"/>
        <v>15</v>
      </c>
      <c r="E35">
        <f t="shared" si="1"/>
        <v>30</v>
      </c>
      <c r="F35">
        <f t="shared" si="2"/>
        <v>60</v>
      </c>
    </row>
    <row r="36" spans="1:10" ht="12.75" x14ac:dyDescent="0.2">
      <c r="A36" t="s">
        <v>44</v>
      </c>
      <c r="B36" t="s">
        <v>9</v>
      </c>
      <c r="C36">
        <v>5</v>
      </c>
      <c r="D36">
        <f t="shared" si="0"/>
        <v>7.5</v>
      </c>
      <c r="E36">
        <f t="shared" si="1"/>
        <v>15</v>
      </c>
      <c r="F36">
        <f t="shared" si="2"/>
        <v>30</v>
      </c>
    </row>
    <row r="37" spans="1:10" ht="12.75" x14ac:dyDescent="0.2">
      <c r="A37" t="s">
        <v>45</v>
      </c>
      <c r="B37" t="s">
        <v>9</v>
      </c>
      <c r="C37">
        <v>0.12</v>
      </c>
      <c r="D37">
        <f t="shared" si="0"/>
        <v>0.18</v>
      </c>
      <c r="E37">
        <f t="shared" si="1"/>
        <v>0.36</v>
      </c>
      <c r="F37">
        <f t="shared" si="2"/>
        <v>0.72</v>
      </c>
    </row>
    <row r="38" spans="1:10" ht="12.75" x14ac:dyDescent="0.2">
      <c r="A38" t="s">
        <v>46</v>
      </c>
      <c r="B38" t="s">
        <v>9</v>
      </c>
      <c r="C38">
        <v>7.0000000000000007E-2</v>
      </c>
      <c r="D38">
        <f t="shared" si="0"/>
        <v>0.10500000000000001</v>
      </c>
      <c r="E38">
        <f t="shared" si="1"/>
        <v>0.21000000000000002</v>
      </c>
      <c r="F38">
        <f t="shared" si="2"/>
        <v>0.42000000000000004</v>
      </c>
    </row>
    <row r="39" spans="1:10" ht="12.75" x14ac:dyDescent="0.2">
      <c r="A39" t="s">
        <v>47</v>
      </c>
      <c r="B39" t="s">
        <v>9</v>
      </c>
      <c r="C39">
        <v>1.6</v>
      </c>
      <c r="D39">
        <f t="shared" si="0"/>
        <v>2.4000000000000004</v>
      </c>
      <c r="E39">
        <f t="shared" si="1"/>
        <v>4.8000000000000007</v>
      </c>
      <c r="F39">
        <f t="shared" si="2"/>
        <v>9.6000000000000014</v>
      </c>
    </row>
    <row r="40" spans="1:10" ht="12.75" x14ac:dyDescent="0.2">
      <c r="A40" t="s">
        <v>48</v>
      </c>
      <c r="B40" t="s">
        <v>9</v>
      </c>
      <c r="C40">
        <v>0.5</v>
      </c>
      <c r="D40">
        <f t="shared" si="0"/>
        <v>0.75</v>
      </c>
      <c r="E40">
        <f t="shared" si="1"/>
        <v>1.5</v>
      </c>
      <c r="F40">
        <f t="shared" si="2"/>
        <v>3</v>
      </c>
    </row>
    <row r="41" spans="1:10" ht="12.75" x14ac:dyDescent="0.2">
      <c r="A41" t="s">
        <v>49</v>
      </c>
      <c r="B41" t="s">
        <v>9</v>
      </c>
      <c r="C41">
        <v>0.8</v>
      </c>
      <c r="D41">
        <f t="shared" si="0"/>
        <v>1.2000000000000002</v>
      </c>
      <c r="E41">
        <f t="shared" si="1"/>
        <v>2.4000000000000004</v>
      </c>
      <c r="F41">
        <f t="shared" si="2"/>
        <v>4.8000000000000007</v>
      </c>
    </row>
    <row r="42" spans="1:10" ht="12.75" x14ac:dyDescent="0.2">
      <c r="A42" t="s">
        <v>50</v>
      </c>
      <c r="B42" t="s">
        <v>9</v>
      </c>
      <c r="C42">
        <v>5</v>
      </c>
      <c r="D42">
        <f t="shared" si="0"/>
        <v>7.5</v>
      </c>
      <c r="E42">
        <f t="shared" si="1"/>
        <v>15</v>
      </c>
      <c r="F42">
        <f t="shared" si="2"/>
        <v>30</v>
      </c>
    </row>
    <row r="43" spans="1:10" ht="12.75" x14ac:dyDescent="0.2">
      <c r="A43" t="s">
        <v>51</v>
      </c>
      <c r="B43" t="s">
        <v>9</v>
      </c>
      <c r="C43">
        <v>7.21</v>
      </c>
      <c r="D43">
        <f t="shared" si="0"/>
        <v>10.815</v>
      </c>
      <c r="E43">
        <f t="shared" si="1"/>
        <v>21.63</v>
      </c>
      <c r="F43">
        <f t="shared" si="2"/>
        <v>43.26</v>
      </c>
    </row>
    <row r="44" spans="1:10" ht="12.75" x14ac:dyDescent="0.2">
      <c r="A44" t="s">
        <v>52</v>
      </c>
      <c r="B44" t="s">
        <v>9</v>
      </c>
      <c r="C44">
        <v>1.5</v>
      </c>
      <c r="D44">
        <f t="shared" si="0"/>
        <v>2.25</v>
      </c>
      <c r="E44">
        <f t="shared" si="1"/>
        <v>4.5</v>
      </c>
      <c r="F44">
        <f t="shared" si="2"/>
        <v>9</v>
      </c>
    </row>
    <row r="45" spans="1:10" ht="12.75" x14ac:dyDescent="0.2">
      <c r="A45" t="s">
        <v>53</v>
      </c>
      <c r="B45" t="s">
        <v>9</v>
      </c>
      <c r="C45">
        <v>4</v>
      </c>
      <c r="D45">
        <f t="shared" si="0"/>
        <v>6</v>
      </c>
      <c r="E45">
        <f t="shared" si="1"/>
        <v>12</v>
      </c>
      <c r="F45">
        <f t="shared" si="2"/>
        <v>24</v>
      </c>
    </row>
    <row r="46" spans="1:10" ht="12.75" x14ac:dyDescent="0.2">
      <c r="A46" t="s">
        <v>54</v>
      </c>
      <c r="B46" t="s">
        <v>9</v>
      </c>
      <c r="C46">
        <v>0.1</v>
      </c>
      <c r="D46">
        <f t="shared" si="0"/>
        <v>0.15000000000000002</v>
      </c>
      <c r="E46">
        <f t="shared" si="1"/>
        <v>0.30000000000000004</v>
      </c>
      <c r="F46">
        <f t="shared" si="2"/>
        <v>0.60000000000000009</v>
      </c>
    </row>
    <row r="47" spans="1:10" ht="12.75" x14ac:dyDescent="0.2">
      <c r="A47" t="s">
        <v>55</v>
      </c>
      <c r="B47" t="s">
        <v>9</v>
      </c>
      <c r="C47">
        <v>0.03</v>
      </c>
      <c r="D47">
        <f t="shared" si="0"/>
        <v>4.4999999999999998E-2</v>
      </c>
      <c r="E47">
        <f t="shared" si="1"/>
        <v>0.09</v>
      </c>
      <c r="F47">
        <f t="shared" si="2"/>
        <v>0.18</v>
      </c>
    </row>
    <row r="48" spans="1:10" ht="12.75" x14ac:dyDescent="0.2">
      <c r="A48" t="s">
        <v>56</v>
      </c>
      <c r="B48" t="s">
        <v>9</v>
      </c>
      <c r="C48">
        <v>0.4</v>
      </c>
      <c r="D48">
        <f t="shared" si="0"/>
        <v>0.60000000000000009</v>
      </c>
      <c r="E48">
        <f t="shared" si="1"/>
        <v>1.2000000000000002</v>
      </c>
      <c r="F48">
        <f t="shared" si="2"/>
        <v>2.4000000000000004</v>
      </c>
    </row>
    <row r="49" spans="1:6" ht="12.75" x14ac:dyDescent="0.2">
      <c r="A49" t="s">
        <v>57</v>
      </c>
      <c r="B49" t="s">
        <v>9</v>
      </c>
      <c r="C49">
        <v>0.5</v>
      </c>
      <c r="D49">
        <f t="shared" si="0"/>
        <v>0.75</v>
      </c>
      <c r="E49">
        <f t="shared" si="1"/>
        <v>1.5</v>
      </c>
      <c r="F49">
        <f t="shared" si="2"/>
        <v>3</v>
      </c>
    </row>
    <row r="50" spans="1:6" ht="12.75" x14ac:dyDescent="0.2">
      <c r="A50" t="s">
        <v>58</v>
      </c>
      <c r="B50" t="s">
        <v>9</v>
      </c>
      <c r="C50">
        <v>0.5</v>
      </c>
      <c r="D50">
        <f t="shared" si="0"/>
        <v>0.75</v>
      </c>
      <c r="E50">
        <f t="shared" si="1"/>
        <v>1.5</v>
      </c>
      <c r="F50">
        <f t="shared" si="2"/>
        <v>3</v>
      </c>
    </row>
    <row r="51" spans="1:6" ht="12.75" x14ac:dyDescent="0.2">
      <c r="A51" t="s">
        <v>59</v>
      </c>
      <c r="B51" t="s">
        <v>9</v>
      </c>
      <c r="C51">
        <v>0.8</v>
      </c>
      <c r="D51">
        <f t="shared" si="0"/>
        <v>1.2000000000000002</v>
      </c>
      <c r="E51">
        <f t="shared" si="1"/>
        <v>2.4000000000000004</v>
      </c>
      <c r="F51">
        <f t="shared" si="2"/>
        <v>4.8000000000000007</v>
      </c>
    </row>
    <row r="52" spans="1:6" ht="12.75" x14ac:dyDescent="0.2">
      <c r="A52" t="s">
        <v>60</v>
      </c>
      <c r="B52" t="s">
        <v>9</v>
      </c>
      <c r="C52">
        <v>0.8</v>
      </c>
      <c r="D52">
        <f t="shared" si="0"/>
        <v>1.2000000000000002</v>
      </c>
      <c r="E52">
        <f t="shared" si="1"/>
        <v>2.4000000000000004</v>
      </c>
      <c r="F52">
        <f t="shared" si="2"/>
        <v>4.8000000000000007</v>
      </c>
    </row>
    <row r="53" spans="1:6" ht="12.75" x14ac:dyDescent="0.2">
      <c r="A53" t="s">
        <v>61</v>
      </c>
      <c r="B53" t="s">
        <v>9</v>
      </c>
      <c r="C53">
        <v>1.5</v>
      </c>
      <c r="D53">
        <f t="shared" si="0"/>
        <v>2.25</v>
      </c>
      <c r="E53">
        <f t="shared" si="1"/>
        <v>4.5</v>
      </c>
      <c r="F53">
        <f t="shared" si="2"/>
        <v>9</v>
      </c>
    </row>
    <row r="54" spans="1:6" ht="12.75" x14ac:dyDescent="0.2">
      <c r="A54" t="s">
        <v>62</v>
      </c>
      <c r="B54" t="s">
        <v>9</v>
      </c>
      <c r="C54">
        <v>1.2</v>
      </c>
      <c r="D54">
        <f t="shared" si="0"/>
        <v>1.7999999999999998</v>
      </c>
      <c r="E54">
        <f t="shared" si="1"/>
        <v>3.5999999999999996</v>
      </c>
      <c r="F54">
        <f t="shared" si="2"/>
        <v>7.1999999999999993</v>
      </c>
    </row>
    <row r="55" spans="1:6" ht="12.75" x14ac:dyDescent="0.2">
      <c r="A55" t="s">
        <v>63</v>
      </c>
      <c r="B55" t="s">
        <v>9</v>
      </c>
      <c r="C55">
        <v>0.5</v>
      </c>
      <c r="D55">
        <f t="shared" si="0"/>
        <v>0.75</v>
      </c>
      <c r="E55">
        <f t="shared" si="1"/>
        <v>1.5</v>
      </c>
      <c r="F55">
        <f t="shared" si="2"/>
        <v>3</v>
      </c>
    </row>
    <row r="56" spans="1:6" ht="12.75" x14ac:dyDescent="0.2">
      <c r="A56" t="s">
        <v>64</v>
      </c>
      <c r="B56" t="s">
        <v>9</v>
      </c>
      <c r="C56">
        <v>0.2</v>
      </c>
      <c r="D56">
        <f t="shared" si="0"/>
        <v>0.30000000000000004</v>
      </c>
      <c r="E56">
        <f t="shared" si="1"/>
        <v>0.60000000000000009</v>
      </c>
      <c r="F56">
        <f t="shared" si="2"/>
        <v>1.2000000000000002</v>
      </c>
    </row>
    <row r="57" spans="1:6" ht="12.75" x14ac:dyDescent="0.2">
      <c r="A57" t="s">
        <v>65</v>
      </c>
      <c r="B57" t="s">
        <v>9</v>
      </c>
      <c r="C57">
        <v>0.12</v>
      </c>
      <c r="D57">
        <f t="shared" si="0"/>
        <v>0.18</v>
      </c>
      <c r="E57">
        <f t="shared" si="1"/>
        <v>0.36</v>
      </c>
      <c r="F57">
        <f t="shared" si="2"/>
        <v>0.72</v>
      </c>
    </row>
    <row r="58" spans="1:6" ht="12.75" x14ac:dyDescent="0.2">
      <c r="A58" t="s">
        <v>66</v>
      </c>
      <c r="B58" t="s">
        <v>9</v>
      </c>
      <c r="C58">
        <v>0.03</v>
      </c>
      <c r="D58">
        <f t="shared" si="0"/>
        <v>4.4999999999999998E-2</v>
      </c>
      <c r="E58">
        <f t="shared" si="1"/>
        <v>0.09</v>
      </c>
      <c r="F58">
        <f t="shared" si="2"/>
        <v>0.18</v>
      </c>
    </row>
    <row r="59" spans="1:6" ht="12.75" x14ac:dyDescent="0.2">
      <c r="A59" t="s">
        <v>67</v>
      </c>
      <c r="B59" t="s">
        <v>9</v>
      </c>
      <c r="C59">
        <v>20</v>
      </c>
      <c r="D59">
        <f t="shared" si="0"/>
        <v>30</v>
      </c>
      <c r="E59">
        <f t="shared" si="1"/>
        <v>60</v>
      </c>
      <c r="F59">
        <f t="shared" si="2"/>
        <v>120</v>
      </c>
    </row>
    <row r="60" spans="1:6" ht="12.75" x14ac:dyDescent="0.2">
      <c r="A60" t="s">
        <v>68</v>
      </c>
      <c r="B60" t="s">
        <v>9</v>
      </c>
      <c r="C60">
        <v>0.05</v>
      </c>
      <c r="D60">
        <f t="shared" si="0"/>
        <v>7.5000000000000011E-2</v>
      </c>
      <c r="E60">
        <f t="shared" si="1"/>
        <v>0.15000000000000002</v>
      </c>
      <c r="F60">
        <f t="shared" si="2"/>
        <v>0.30000000000000004</v>
      </c>
    </row>
    <row r="61" spans="1:6" ht="12.75" x14ac:dyDescent="0.2">
      <c r="A61" t="s">
        <v>69</v>
      </c>
      <c r="B61" t="s">
        <v>9</v>
      </c>
      <c r="C61">
        <v>0.1</v>
      </c>
      <c r="D61">
        <f t="shared" si="0"/>
        <v>0.15000000000000002</v>
      </c>
      <c r="E61">
        <f t="shared" si="1"/>
        <v>0.30000000000000004</v>
      </c>
      <c r="F61">
        <f t="shared" si="2"/>
        <v>0.60000000000000009</v>
      </c>
    </row>
    <row r="62" spans="1:6" ht="12.75" x14ac:dyDescent="0.2">
      <c r="A62" t="s">
        <v>70</v>
      </c>
      <c r="B62" t="s">
        <v>9</v>
      </c>
      <c r="C62">
        <v>4</v>
      </c>
      <c r="D62">
        <f t="shared" si="0"/>
        <v>6</v>
      </c>
      <c r="E62">
        <f t="shared" si="1"/>
        <v>12</v>
      </c>
      <c r="F62">
        <f t="shared" si="2"/>
        <v>24</v>
      </c>
    </row>
    <row r="63" spans="1:6" ht="12.75" x14ac:dyDescent="0.2">
      <c r="A63" t="s">
        <v>71</v>
      </c>
      <c r="B63" t="s">
        <v>9</v>
      </c>
      <c r="C63">
        <v>2</v>
      </c>
      <c r="D63">
        <f t="shared" si="0"/>
        <v>3</v>
      </c>
      <c r="E63">
        <f t="shared" si="1"/>
        <v>6</v>
      </c>
      <c r="F63">
        <f t="shared" si="2"/>
        <v>12</v>
      </c>
    </row>
    <row r="64" spans="1:6" ht="12.75" x14ac:dyDescent="0.2">
      <c r="A64" t="s">
        <v>72</v>
      </c>
      <c r="B64" t="s">
        <v>9</v>
      </c>
      <c r="C64">
        <v>0.05</v>
      </c>
      <c r="D64">
        <f t="shared" si="0"/>
        <v>7.5000000000000011E-2</v>
      </c>
      <c r="E64">
        <f t="shared" si="1"/>
        <v>0.15000000000000002</v>
      </c>
      <c r="F64">
        <f t="shared" si="2"/>
        <v>0.30000000000000004</v>
      </c>
    </row>
    <row r="65" spans="1:7" ht="12.75" x14ac:dyDescent="0.2">
      <c r="A65" t="s">
        <v>73</v>
      </c>
      <c r="B65" t="s">
        <v>9</v>
      </c>
      <c r="C65">
        <v>50</v>
      </c>
      <c r="D65">
        <f t="shared" si="0"/>
        <v>75</v>
      </c>
      <c r="E65">
        <f t="shared" si="1"/>
        <v>150</v>
      </c>
      <c r="F65">
        <f t="shared" si="2"/>
        <v>300</v>
      </c>
      <c r="G65" t="s">
        <v>74</v>
      </c>
    </row>
    <row r="66" spans="1:7" ht="12.75" x14ac:dyDescent="0.2">
      <c r="A66" t="s">
        <v>75</v>
      </c>
      <c r="B66" t="s">
        <v>9</v>
      </c>
      <c r="C66">
        <v>0.1</v>
      </c>
      <c r="D66">
        <f t="shared" si="0"/>
        <v>0.15000000000000002</v>
      </c>
      <c r="E66">
        <f t="shared" si="1"/>
        <v>0.30000000000000004</v>
      </c>
      <c r="F66">
        <f t="shared" si="2"/>
        <v>0.60000000000000009</v>
      </c>
    </row>
    <row r="67" spans="1:7" ht="12.75" x14ac:dyDescent="0.2">
      <c r="A67" t="s">
        <v>76</v>
      </c>
      <c r="B67" t="s">
        <v>9</v>
      </c>
      <c r="C67">
        <v>3.4</v>
      </c>
      <c r="D67">
        <f t="shared" si="0"/>
        <v>5.0999999999999996</v>
      </c>
      <c r="E67">
        <f t="shared" si="1"/>
        <v>10.199999999999999</v>
      </c>
      <c r="F67">
        <f t="shared" si="2"/>
        <v>20.399999999999999</v>
      </c>
    </row>
    <row r="68" spans="1:7" ht="12.75" x14ac:dyDescent="0.2">
      <c r="A68" t="s">
        <v>77</v>
      </c>
      <c r="B68" t="s">
        <v>9</v>
      </c>
      <c r="C68">
        <v>50</v>
      </c>
      <c r="D68">
        <f t="shared" si="0"/>
        <v>75</v>
      </c>
      <c r="E68">
        <f t="shared" si="1"/>
        <v>150</v>
      </c>
      <c r="F68">
        <f t="shared" si="2"/>
        <v>300</v>
      </c>
    </row>
    <row r="69" spans="1:7" ht="12.75" x14ac:dyDescent="0.2">
      <c r="A69" t="s">
        <v>78</v>
      </c>
      <c r="B69" t="s">
        <v>9</v>
      </c>
      <c r="C69">
        <v>0.12</v>
      </c>
      <c r="D69">
        <f t="shared" si="0"/>
        <v>0.18</v>
      </c>
      <c r="E69">
        <f t="shared" si="1"/>
        <v>0.36</v>
      </c>
      <c r="F69">
        <f t="shared" si="2"/>
        <v>0.72</v>
      </c>
    </row>
    <row r="70" spans="1:7" ht="12.75" x14ac:dyDescent="0.2">
      <c r="A70" t="s">
        <v>79</v>
      </c>
      <c r="B70" t="s">
        <v>9</v>
      </c>
      <c r="C70">
        <v>0.3</v>
      </c>
      <c r="D70">
        <f t="shared" si="0"/>
        <v>0.44999999999999996</v>
      </c>
      <c r="E70">
        <f t="shared" si="1"/>
        <v>0.89999999999999991</v>
      </c>
      <c r="F70">
        <f t="shared" si="2"/>
        <v>1.7999999999999998</v>
      </c>
    </row>
    <row r="71" spans="1:7" ht="12.75" x14ac:dyDescent="0.2">
      <c r="A71" t="s">
        <v>80</v>
      </c>
      <c r="B71" t="s">
        <v>9</v>
      </c>
      <c r="C71">
        <v>1.5</v>
      </c>
      <c r="D71">
        <f t="shared" si="0"/>
        <v>2.25</v>
      </c>
      <c r="E71">
        <f t="shared" si="1"/>
        <v>4.5</v>
      </c>
      <c r="F71">
        <f t="shared" si="2"/>
        <v>9</v>
      </c>
    </row>
    <row r="72" spans="1:7" ht="12.75" x14ac:dyDescent="0.2">
      <c r="A72" t="s">
        <v>81</v>
      </c>
      <c r="B72" t="s">
        <v>9</v>
      </c>
      <c r="C72">
        <v>0.25</v>
      </c>
      <c r="D72">
        <f t="shared" si="0"/>
        <v>0.375</v>
      </c>
      <c r="E72">
        <f t="shared" si="1"/>
        <v>0.75</v>
      </c>
      <c r="F72">
        <f t="shared" si="2"/>
        <v>1.5</v>
      </c>
    </row>
    <row r="73" spans="1:7" ht="12.75" x14ac:dyDescent="0.2">
      <c r="A73" t="s">
        <v>82</v>
      </c>
      <c r="B73" t="s">
        <v>9</v>
      </c>
      <c r="C73">
        <v>5</v>
      </c>
      <c r="D73">
        <f t="shared" si="0"/>
        <v>7.5</v>
      </c>
      <c r="E73">
        <f t="shared" si="1"/>
        <v>15</v>
      </c>
      <c r="F73">
        <f t="shared" si="2"/>
        <v>30</v>
      </c>
    </row>
    <row r="74" spans="1:7" ht="12.75" x14ac:dyDescent="0.2">
      <c r="A74" t="s">
        <v>83</v>
      </c>
      <c r="B74" t="s">
        <v>9</v>
      </c>
      <c r="C74">
        <v>2.5</v>
      </c>
      <c r="D74">
        <f t="shared" si="0"/>
        <v>3.75</v>
      </c>
      <c r="E74">
        <f t="shared" si="1"/>
        <v>7.5</v>
      </c>
      <c r="F74">
        <f t="shared" si="2"/>
        <v>15</v>
      </c>
    </row>
    <row r="75" spans="1:7" ht="12.75" x14ac:dyDescent="0.2">
      <c r="A75" t="s">
        <v>84</v>
      </c>
      <c r="B75" t="s">
        <v>9</v>
      </c>
      <c r="C75">
        <v>10</v>
      </c>
      <c r="D75">
        <f t="shared" si="0"/>
        <v>15</v>
      </c>
      <c r="E75">
        <f t="shared" si="1"/>
        <v>30</v>
      </c>
      <c r="F75">
        <f t="shared" si="2"/>
        <v>60</v>
      </c>
    </row>
    <row r="76" spans="1:7" ht="12.75" x14ac:dyDescent="0.2">
      <c r="A76" t="s">
        <v>85</v>
      </c>
      <c r="B76" t="s">
        <v>9</v>
      </c>
      <c r="C76">
        <v>1.2</v>
      </c>
      <c r="D76">
        <f t="shared" si="0"/>
        <v>1.7999999999999998</v>
      </c>
      <c r="E76">
        <f t="shared" si="1"/>
        <v>3.5999999999999996</v>
      </c>
      <c r="F76">
        <f t="shared" si="2"/>
        <v>7.1999999999999993</v>
      </c>
    </row>
    <row r="77" spans="1:7" ht="12.75" x14ac:dyDescent="0.2">
      <c r="A77" t="s">
        <v>86</v>
      </c>
      <c r="B77" t="s">
        <v>9</v>
      </c>
      <c r="C77">
        <v>5.2</v>
      </c>
      <c r="D77">
        <f t="shared" si="0"/>
        <v>7.8000000000000007</v>
      </c>
      <c r="E77">
        <f t="shared" si="1"/>
        <v>15.600000000000001</v>
      </c>
      <c r="F77">
        <f t="shared" si="2"/>
        <v>31.200000000000003</v>
      </c>
    </row>
    <row r="78" spans="1:7" ht="12.75" x14ac:dyDescent="0.2">
      <c r="A78" t="s">
        <v>87</v>
      </c>
      <c r="B78" t="s">
        <v>9</v>
      </c>
      <c r="C78">
        <v>0.5</v>
      </c>
      <c r="D78">
        <f t="shared" si="0"/>
        <v>0.75</v>
      </c>
      <c r="E78">
        <f t="shared" si="1"/>
        <v>1.5</v>
      </c>
      <c r="F78">
        <f t="shared" si="2"/>
        <v>3</v>
      </c>
    </row>
    <row r="79" spans="1:7" ht="12.75" x14ac:dyDescent="0.2">
      <c r="A79" t="s">
        <v>88</v>
      </c>
      <c r="B79" t="s">
        <v>9</v>
      </c>
      <c r="C79">
        <v>3</v>
      </c>
      <c r="D79">
        <f t="shared" si="0"/>
        <v>4.5</v>
      </c>
      <c r="E79">
        <f t="shared" si="1"/>
        <v>9</v>
      </c>
      <c r="F79">
        <f t="shared" si="2"/>
        <v>18</v>
      </c>
    </row>
    <row r="80" spans="1:7" ht="12.75" x14ac:dyDescent="0.2">
      <c r="A80" t="s">
        <v>89</v>
      </c>
      <c r="B80" t="s">
        <v>9</v>
      </c>
      <c r="C80">
        <v>0.25</v>
      </c>
      <c r="D80">
        <f t="shared" si="0"/>
        <v>0.375</v>
      </c>
      <c r="E80">
        <f t="shared" si="1"/>
        <v>0.75</v>
      </c>
      <c r="F80">
        <f t="shared" si="2"/>
        <v>1.5</v>
      </c>
    </row>
    <row r="81" spans="1:7" ht="12.75" x14ac:dyDescent="0.2">
      <c r="A81" t="s">
        <v>90</v>
      </c>
      <c r="B81" t="s">
        <v>9</v>
      </c>
      <c r="C81">
        <v>1</v>
      </c>
      <c r="D81">
        <f>C81*1.33</f>
        <v>1.33</v>
      </c>
      <c r="E81">
        <f>C81*2.66</f>
        <v>2.66</v>
      </c>
      <c r="F81">
        <f>C81*5.22</f>
        <v>5.22</v>
      </c>
      <c r="G81" t="s">
        <v>91</v>
      </c>
    </row>
    <row r="82" spans="1:7" ht="12.75" x14ac:dyDescent="0.2">
      <c r="A82" t="s">
        <v>92</v>
      </c>
      <c r="B82" t="s">
        <v>9</v>
      </c>
      <c r="C82">
        <v>0.05</v>
      </c>
      <c r="D82">
        <f t="shared" ref="D82:D97" si="3">C82*1.5</f>
        <v>7.5000000000000011E-2</v>
      </c>
      <c r="E82">
        <f t="shared" ref="E82:E97" si="4">C82*3</f>
        <v>0.15000000000000002</v>
      </c>
      <c r="F82">
        <f t="shared" ref="F82:F97" si="5">C82*6</f>
        <v>0.30000000000000004</v>
      </c>
    </row>
    <row r="83" spans="1:7" ht="12.75" x14ac:dyDescent="0.2">
      <c r="A83" t="s">
        <v>93</v>
      </c>
      <c r="B83" t="s">
        <v>9</v>
      </c>
      <c r="C83">
        <v>5</v>
      </c>
      <c r="D83">
        <f t="shared" si="3"/>
        <v>7.5</v>
      </c>
      <c r="E83">
        <f t="shared" si="4"/>
        <v>15</v>
      </c>
      <c r="F83">
        <f t="shared" si="5"/>
        <v>30</v>
      </c>
    </row>
    <row r="84" spans="1:7" ht="12.75" x14ac:dyDescent="0.2">
      <c r="A84" t="s">
        <v>94</v>
      </c>
      <c r="B84" t="s">
        <v>9</v>
      </c>
      <c r="C84">
        <v>0.04</v>
      </c>
      <c r="D84">
        <f t="shared" si="3"/>
        <v>0.06</v>
      </c>
      <c r="E84">
        <f t="shared" si="4"/>
        <v>0.12</v>
      </c>
      <c r="F84">
        <f t="shared" si="5"/>
        <v>0.24</v>
      </c>
    </row>
    <row r="85" spans="1:7" ht="12.75" x14ac:dyDescent="0.2">
      <c r="A85" t="s">
        <v>95</v>
      </c>
      <c r="B85" t="s">
        <v>9</v>
      </c>
      <c r="C85">
        <v>0.08</v>
      </c>
      <c r="D85">
        <f t="shared" si="3"/>
        <v>0.12</v>
      </c>
      <c r="E85">
        <f t="shared" si="4"/>
        <v>0.24</v>
      </c>
      <c r="F85">
        <f t="shared" si="5"/>
        <v>0.48</v>
      </c>
    </row>
    <row r="86" spans="1:7" ht="12.75" x14ac:dyDescent="0.2">
      <c r="A86" t="s">
        <v>96</v>
      </c>
      <c r="B86" t="s">
        <v>9</v>
      </c>
      <c r="C86">
        <v>30</v>
      </c>
      <c r="D86">
        <f t="shared" si="3"/>
        <v>45</v>
      </c>
      <c r="E86">
        <f t="shared" si="4"/>
        <v>90</v>
      </c>
      <c r="F86">
        <f t="shared" si="5"/>
        <v>180</v>
      </c>
    </row>
    <row r="87" spans="1:7" ht="12.75" x14ac:dyDescent="0.2">
      <c r="A87" t="s">
        <v>97</v>
      </c>
      <c r="B87" t="s">
        <v>9</v>
      </c>
      <c r="C87">
        <v>1</v>
      </c>
      <c r="D87">
        <f t="shared" si="3"/>
        <v>1.5</v>
      </c>
      <c r="E87">
        <f t="shared" si="4"/>
        <v>3</v>
      </c>
      <c r="F87">
        <f t="shared" si="5"/>
        <v>6</v>
      </c>
    </row>
    <row r="88" spans="1:7" ht="12.75" x14ac:dyDescent="0.2">
      <c r="A88" t="s">
        <v>98</v>
      </c>
      <c r="B88" t="s">
        <v>9</v>
      </c>
      <c r="C88">
        <v>1</v>
      </c>
      <c r="D88">
        <f t="shared" si="3"/>
        <v>1.5</v>
      </c>
      <c r="E88">
        <f t="shared" si="4"/>
        <v>3</v>
      </c>
      <c r="F88">
        <f t="shared" si="5"/>
        <v>6</v>
      </c>
    </row>
    <row r="89" spans="1:7" ht="12.75" x14ac:dyDescent="0.2">
      <c r="A89" t="s">
        <v>99</v>
      </c>
      <c r="B89" t="s">
        <v>9</v>
      </c>
      <c r="C89">
        <v>2</v>
      </c>
      <c r="D89">
        <f t="shared" si="3"/>
        <v>3</v>
      </c>
      <c r="E89">
        <f t="shared" si="4"/>
        <v>6</v>
      </c>
      <c r="F89">
        <f t="shared" si="5"/>
        <v>12</v>
      </c>
    </row>
    <row r="90" spans="1:7" ht="12.75" x14ac:dyDescent="0.2">
      <c r="A90" t="s">
        <v>100</v>
      </c>
      <c r="B90" t="s">
        <v>9</v>
      </c>
      <c r="C90">
        <v>5</v>
      </c>
      <c r="D90">
        <f t="shared" si="3"/>
        <v>7.5</v>
      </c>
      <c r="E90">
        <f t="shared" si="4"/>
        <v>15</v>
      </c>
      <c r="F90">
        <f t="shared" si="5"/>
        <v>30</v>
      </c>
    </row>
    <row r="91" spans="1:7" ht="12.75" x14ac:dyDescent="0.2">
      <c r="A91" t="s">
        <v>101</v>
      </c>
      <c r="B91" t="s">
        <v>9</v>
      </c>
      <c r="C91">
        <v>2</v>
      </c>
      <c r="D91">
        <f t="shared" si="3"/>
        <v>3</v>
      </c>
      <c r="E91">
        <f t="shared" si="4"/>
        <v>6</v>
      </c>
      <c r="F91">
        <f t="shared" si="5"/>
        <v>12</v>
      </c>
    </row>
    <row r="92" spans="1:7" ht="12.75" x14ac:dyDescent="0.2">
      <c r="A92" t="s">
        <v>102</v>
      </c>
      <c r="B92" t="s">
        <v>9</v>
      </c>
      <c r="C92">
        <v>0.5</v>
      </c>
      <c r="D92">
        <f t="shared" si="3"/>
        <v>0.75</v>
      </c>
      <c r="E92">
        <f t="shared" si="4"/>
        <v>1.5</v>
      </c>
      <c r="F92">
        <f t="shared" si="5"/>
        <v>3</v>
      </c>
    </row>
    <row r="93" spans="1:7" ht="12.75" x14ac:dyDescent="0.2">
      <c r="A93" t="s">
        <v>103</v>
      </c>
      <c r="B93" t="s">
        <v>9</v>
      </c>
      <c r="C93">
        <v>0.04</v>
      </c>
      <c r="D93">
        <f t="shared" si="3"/>
        <v>0.06</v>
      </c>
      <c r="E93">
        <f t="shared" si="4"/>
        <v>0.12</v>
      </c>
      <c r="F93">
        <f t="shared" si="5"/>
        <v>0.24</v>
      </c>
    </row>
    <row r="94" spans="1:7" ht="12.75" x14ac:dyDescent="0.2">
      <c r="A94" t="s">
        <v>104</v>
      </c>
      <c r="B94" t="s">
        <v>9</v>
      </c>
      <c r="C94">
        <v>1</v>
      </c>
      <c r="D94">
        <f t="shared" si="3"/>
        <v>1.5</v>
      </c>
      <c r="E94">
        <f t="shared" si="4"/>
        <v>3</v>
      </c>
      <c r="F94">
        <f t="shared" si="5"/>
        <v>6</v>
      </c>
    </row>
    <row r="95" spans="1:7" ht="12.75" x14ac:dyDescent="0.2">
      <c r="A95" t="s">
        <v>105</v>
      </c>
      <c r="B95" t="s">
        <v>9</v>
      </c>
      <c r="C95">
        <v>0.04</v>
      </c>
      <c r="D95">
        <f t="shared" si="3"/>
        <v>0.06</v>
      </c>
      <c r="E95">
        <f t="shared" si="4"/>
        <v>0.12</v>
      </c>
      <c r="F95">
        <f t="shared" si="5"/>
        <v>0.24</v>
      </c>
    </row>
    <row r="96" spans="1:7" ht="12.75" x14ac:dyDescent="0.2">
      <c r="A96" t="s">
        <v>106</v>
      </c>
      <c r="B96" t="s">
        <v>9</v>
      </c>
      <c r="C96">
        <v>10</v>
      </c>
      <c r="D96">
        <f t="shared" si="3"/>
        <v>15</v>
      </c>
      <c r="E96">
        <f t="shared" si="4"/>
        <v>30</v>
      </c>
      <c r="F96">
        <f t="shared" si="5"/>
        <v>60</v>
      </c>
    </row>
    <row r="97" spans="1:10" ht="12.75" x14ac:dyDescent="0.2">
      <c r="A97" t="s">
        <v>107</v>
      </c>
      <c r="B97" t="s">
        <v>9</v>
      </c>
      <c r="C97">
        <v>0.5</v>
      </c>
      <c r="D97">
        <f t="shared" si="3"/>
        <v>0.75</v>
      </c>
      <c r="E97">
        <f t="shared" si="4"/>
        <v>1.5</v>
      </c>
      <c r="F97">
        <f t="shared" si="5"/>
        <v>3</v>
      </c>
    </row>
    <row r="98" spans="1:10" ht="12.75" x14ac:dyDescent="0.2">
      <c r="A98" t="s">
        <v>108</v>
      </c>
      <c r="B98" t="s">
        <v>9</v>
      </c>
      <c r="C98">
        <v>0.08</v>
      </c>
      <c r="D98">
        <f>C98*1.33</f>
        <v>0.10640000000000001</v>
      </c>
      <c r="E98">
        <f>C98*2.66</f>
        <v>0.21280000000000002</v>
      </c>
      <c r="F98">
        <f>C98*5.22</f>
        <v>0.41759999999999997</v>
      </c>
      <c r="G98" t="s">
        <v>91</v>
      </c>
    </row>
    <row r="99" spans="1:10" ht="12.75" x14ac:dyDescent="0.2">
      <c r="A99" t="s">
        <v>109</v>
      </c>
      <c r="B99" t="s">
        <v>9</v>
      </c>
      <c r="C99">
        <v>5</v>
      </c>
      <c r="D99">
        <f t="shared" ref="D99:D111" si="6">C99*1.5</f>
        <v>7.5</v>
      </c>
      <c r="E99">
        <f t="shared" ref="E99:E111" si="7">C99*3</f>
        <v>15</v>
      </c>
      <c r="F99">
        <f t="shared" ref="F99:F111" si="8">C99*6</f>
        <v>30</v>
      </c>
    </row>
    <row r="100" spans="1:10" ht="12.75" x14ac:dyDescent="0.2">
      <c r="A100" t="s">
        <v>110</v>
      </c>
      <c r="B100" t="s">
        <v>9</v>
      </c>
      <c r="C100">
        <v>10</v>
      </c>
      <c r="D100">
        <f t="shared" si="6"/>
        <v>15</v>
      </c>
      <c r="E100">
        <f t="shared" si="7"/>
        <v>30</v>
      </c>
      <c r="F100">
        <f t="shared" si="8"/>
        <v>60</v>
      </c>
    </row>
    <row r="101" spans="1:10" ht="12.75" x14ac:dyDescent="0.2">
      <c r="A101" t="s">
        <v>111</v>
      </c>
      <c r="B101" t="s">
        <v>112</v>
      </c>
      <c r="C101">
        <v>400</v>
      </c>
      <c r="D101">
        <f t="shared" si="6"/>
        <v>600</v>
      </c>
      <c r="E101">
        <f t="shared" si="7"/>
        <v>1200</v>
      </c>
      <c r="F101">
        <f t="shared" si="8"/>
        <v>2400</v>
      </c>
      <c r="J101" t="s">
        <v>30</v>
      </c>
    </row>
    <row r="102" spans="1:10" ht="12.75" x14ac:dyDescent="0.2">
      <c r="A102" t="s">
        <v>113</v>
      </c>
      <c r="B102" t="s">
        <v>112</v>
      </c>
      <c r="C102">
        <v>450</v>
      </c>
      <c r="D102">
        <f t="shared" si="6"/>
        <v>675</v>
      </c>
      <c r="E102">
        <f t="shared" si="7"/>
        <v>1350</v>
      </c>
      <c r="F102">
        <f t="shared" si="8"/>
        <v>2700</v>
      </c>
      <c r="J102" t="s">
        <v>30</v>
      </c>
    </row>
    <row r="103" spans="1:10" ht="12.75" x14ac:dyDescent="0.2">
      <c r="A103" t="s">
        <v>114</v>
      </c>
      <c r="B103" t="s">
        <v>112</v>
      </c>
      <c r="C103">
        <v>430</v>
      </c>
      <c r="D103">
        <f t="shared" si="6"/>
        <v>645</v>
      </c>
      <c r="E103">
        <f t="shared" si="7"/>
        <v>1290</v>
      </c>
      <c r="F103">
        <f t="shared" si="8"/>
        <v>2580</v>
      </c>
      <c r="J103" t="s">
        <v>30</v>
      </c>
    </row>
    <row r="104" spans="1:10" ht="12.75" x14ac:dyDescent="0.2">
      <c r="A104" t="s">
        <v>115</v>
      </c>
      <c r="B104" t="s">
        <v>112</v>
      </c>
      <c r="C104">
        <v>160</v>
      </c>
      <c r="D104">
        <f t="shared" si="6"/>
        <v>240</v>
      </c>
      <c r="E104">
        <f t="shared" si="7"/>
        <v>480</v>
      </c>
      <c r="F104">
        <f t="shared" si="8"/>
        <v>960</v>
      </c>
      <c r="J104" t="s">
        <v>30</v>
      </c>
    </row>
    <row r="105" spans="1:10" ht="12.75" x14ac:dyDescent="0.2">
      <c r="A105" t="s">
        <v>116</v>
      </c>
      <c r="B105" t="s">
        <v>112</v>
      </c>
      <c r="C105">
        <v>500</v>
      </c>
      <c r="D105">
        <f t="shared" si="6"/>
        <v>750</v>
      </c>
      <c r="E105">
        <f t="shared" si="7"/>
        <v>1500</v>
      </c>
      <c r="F105">
        <f t="shared" si="8"/>
        <v>3000</v>
      </c>
      <c r="J105" t="s">
        <v>30</v>
      </c>
    </row>
    <row r="106" spans="1:10" ht="12.75" x14ac:dyDescent="0.2">
      <c r="A106" t="s">
        <v>117</v>
      </c>
      <c r="B106" t="s">
        <v>112</v>
      </c>
      <c r="C106">
        <v>110</v>
      </c>
      <c r="D106">
        <f t="shared" si="6"/>
        <v>165</v>
      </c>
      <c r="E106">
        <f t="shared" si="7"/>
        <v>330</v>
      </c>
      <c r="F106">
        <f t="shared" si="8"/>
        <v>660</v>
      </c>
      <c r="J106" t="s">
        <v>30</v>
      </c>
    </row>
    <row r="107" spans="1:10" ht="12.75" x14ac:dyDescent="0.2">
      <c r="A107" t="s">
        <v>118</v>
      </c>
      <c r="B107" t="s">
        <v>112</v>
      </c>
      <c r="C107">
        <v>110</v>
      </c>
      <c r="D107">
        <f t="shared" si="6"/>
        <v>165</v>
      </c>
      <c r="E107">
        <f t="shared" si="7"/>
        <v>330</v>
      </c>
      <c r="F107">
        <f t="shared" si="8"/>
        <v>660</v>
      </c>
      <c r="J107" t="s">
        <v>30</v>
      </c>
    </row>
    <row r="108" spans="1:10" ht="12.75" x14ac:dyDescent="0.2">
      <c r="A108" t="s">
        <v>119</v>
      </c>
      <c r="B108" t="s">
        <v>112</v>
      </c>
      <c r="C108">
        <v>420</v>
      </c>
      <c r="D108">
        <f t="shared" si="6"/>
        <v>630</v>
      </c>
      <c r="E108">
        <f t="shared" si="7"/>
        <v>1260</v>
      </c>
      <c r="F108">
        <f t="shared" si="8"/>
        <v>2520</v>
      </c>
      <c r="J108" t="s">
        <v>30</v>
      </c>
    </row>
    <row r="109" spans="1:10" ht="12.75" x14ac:dyDescent="0.2">
      <c r="A109" t="s">
        <v>120</v>
      </c>
      <c r="B109" t="s">
        <v>112</v>
      </c>
      <c r="C109">
        <v>110</v>
      </c>
      <c r="D109">
        <f t="shared" si="6"/>
        <v>165</v>
      </c>
      <c r="E109">
        <f t="shared" si="7"/>
        <v>330</v>
      </c>
      <c r="F109">
        <f t="shared" si="8"/>
        <v>660</v>
      </c>
      <c r="J109" t="s">
        <v>30</v>
      </c>
    </row>
    <row r="110" spans="1:10" ht="12.75" x14ac:dyDescent="0.2">
      <c r="A110" t="s">
        <v>121</v>
      </c>
      <c r="B110" t="s">
        <v>112</v>
      </c>
      <c r="C110">
        <v>460</v>
      </c>
      <c r="D110">
        <f t="shared" si="6"/>
        <v>690</v>
      </c>
      <c r="E110">
        <f t="shared" si="7"/>
        <v>1380</v>
      </c>
      <c r="F110">
        <f t="shared" si="8"/>
        <v>2760</v>
      </c>
      <c r="J110" t="s">
        <v>30</v>
      </c>
    </row>
    <row r="111" spans="1:10" ht="12.75" x14ac:dyDescent="0.2">
      <c r="A111" t="s">
        <v>122</v>
      </c>
      <c r="B111" t="s">
        <v>112</v>
      </c>
      <c r="C111">
        <v>50</v>
      </c>
      <c r="D111">
        <f t="shared" si="6"/>
        <v>75</v>
      </c>
      <c r="E111">
        <f t="shared" si="7"/>
        <v>150</v>
      </c>
      <c r="F111">
        <f t="shared" si="8"/>
        <v>300</v>
      </c>
      <c r="J111" t="s">
        <v>30</v>
      </c>
    </row>
    <row r="112" spans="1:10" ht="12.75" x14ac:dyDescent="0.2">
      <c r="A112" t="s">
        <v>123</v>
      </c>
      <c r="B112" t="s">
        <v>124</v>
      </c>
      <c r="C112" t="s">
        <v>125</v>
      </c>
      <c r="G112" t="s">
        <v>126</v>
      </c>
    </row>
    <row r="113" spans="1:10" ht="12.75" x14ac:dyDescent="0.2">
      <c r="A113" t="s">
        <v>127</v>
      </c>
      <c r="B113" t="s">
        <v>124</v>
      </c>
      <c r="C113" t="s">
        <v>125</v>
      </c>
      <c r="G113" t="s">
        <v>128</v>
      </c>
    </row>
    <row r="114" spans="1:10" ht="12.75" x14ac:dyDescent="0.2">
      <c r="A114" t="s">
        <v>129</v>
      </c>
      <c r="B114" t="s">
        <v>130</v>
      </c>
      <c r="C114">
        <v>35</v>
      </c>
      <c r="D114">
        <f t="shared" ref="D114:D216" si="9">C114*1.5</f>
        <v>52.5</v>
      </c>
      <c r="E114">
        <f t="shared" ref="E114:E158" si="10">C114*3</f>
        <v>105</v>
      </c>
      <c r="F114">
        <f t="shared" ref="F114:F158" si="11">C114*6</f>
        <v>210</v>
      </c>
    </row>
    <row r="115" spans="1:10" ht="12.75" x14ac:dyDescent="0.2">
      <c r="A115" t="s">
        <v>131</v>
      </c>
      <c r="B115" t="s">
        <v>130</v>
      </c>
      <c r="C115">
        <v>27.5</v>
      </c>
      <c r="D115">
        <f t="shared" si="9"/>
        <v>41.25</v>
      </c>
      <c r="E115">
        <f t="shared" si="10"/>
        <v>82.5</v>
      </c>
      <c r="F115">
        <f t="shared" si="11"/>
        <v>165</v>
      </c>
    </row>
    <row r="116" spans="1:10" ht="12.75" x14ac:dyDescent="0.2">
      <c r="A116" t="s">
        <v>132</v>
      </c>
      <c r="B116" t="s">
        <v>130</v>
      </c>
      <c r="C116">
        <v>12</v>
      </c>
      <c r="D116">
        <f t="shared" si="9"/>
        <v>18</v>
      </c>
      <c r="E116">
        <f t="shared" si="10"/>
        <v>36</v>
      </c>
      <c r="F116">
        <f t="shared" si="11"/>
        <v>72</v>
      </c>
    </row>
    <row r="117" spans="1:10" ht="12.75" x14ac:dyDescent="0.2">
      <c r="A117" t="s">
        <v>133</v>
      </c>
      <c r="B117" t="s">
        <v>130</v>
      </c>
      <c r="C117">
        <v>90</v>
      </c>
      <c r="D117">
        <f t="shared" si="9"/>
        <v>135</v>
      </c>
      <c r="E117">
        <f t="shared" si="10"/>
        <v>270</v>
      </c>
      <c r="F117">
        <f t="shared" si="11"/>
        <v>540</v>
      </c>
    </row>
    <row r="118" spans="1:10" ht="12.75" x14ac:dyDescent="0.2">
      <c r="A118" t="s">
        <v>134</v>
      </c>
      <c r="B118" t="s">
        <v>130</v>
      </c>
      <c r="C118">
        <v>6</v>
      </c>
      <c r="D118">
        <f t="shared" si="9"/>
        <v>9</v>
      </c>
      <c r="E118">
        <f t="shared" si="10"/>
        <v>18</v>
      </c>
      <c r="F118">
        <f t="shared" si="11"/>
        <v>36</v>
      </c>
    </row>
    <row r="119" spans="1:10" ht="12.75" x14ac:dyDescent="0.2">
      <c r="A119" t="s">
        <v>135</v>
      </c>
      <c r="B119" t="s">
        <v>130</v>
      </c>
      <c r="C119">
        <v>8</v>
      </c>
      <c r="D119">
        <f t="shared" si="9"/>
        <v>12</v>
      </c>
      <c r="E119">
        <f t="shared" si="10"/>
        <v>24</v>
      </c>
      <c r="F119">
        <f t="shared" si="11"/>
        <v>48</v>
      </c>
    </row>
    <row r="120" spans="1:10" ht="12.75" x14ac:dyDescent="0.2">
      <c r="A120" t="s">
        <v>136</v>
      </c>
      <c r="B120" t="s">
        <v>130</v>
      </c>
      <c r="C120">
        <v>2</v>
      </c>
      <c r="D120">
        <f t="shared" si="9"/>
        <v>3</v>
      </c>
      <c r="E120">
        <f t="shared" si="10"/>
        <v>6</v>
      </c>
      <c r="F120">
        <f t="shared" si="11"/>
        <v>12</v>
      </c>
    </row>
    <row r="121" spans="1:10" ht="12.75" x14ac:dyDescent="0.2">
      <c r="A121" t="s">
        <v>137</v>
      </c>
      <c r="B121" t="s">
        <v>130</v>
      </c>
      <c r="C121">
        <v>225</v>
      </c>
      <c r="D121">
        <f t="shared" si="9"/>
        <v>337.5</v>
      </c>
      <c r="E121">
        <f t="shared" si="10"/>
        <v>675</v>
      </c>
      <c r="F121">
        <f t="shared" si="11"/>
        <v>1350</v>
      </c>
    </row>
    <row r="122" spans="1:10" ht="12.75" x14ac:dyDescent="0.2">
      <c r="A122" t="s">
        <v>138</v>
      </c>
      <c r="B122" t="s">
        <v>130</v>
      </c>
      <c r="C122">
        <v>12</v>
      </c>
      <c r="D122">
        <f t="shared" si="9"/>
        <v>18</v>
      </c>
      <c r="E122">
        <f t="shared" si="10"/>
        <v>36</v>
      </c>
      <c r="F122">
        <f t="shared" si="11"/>
        <v>72</v>
      </c>
    </row>
    <row r="123" spans="1:10" ht="12.75" x14ac:dyDescent="0.2">
      <c r="A123" t="s">
        <v>139</v>
      </c>
      <c r="B123" t="s">
        <v>130</v>
      </c>
      <c r="C123">
        <v>17</v>
      </c>
      <c r="D123">
        <f t="shared" si="9"/>
        <v>25.5</v>
      </c>
      <c r="E123">
        <f t="shared" si="10"/>
        <v>51</v>
      </c>
      <c r="F123">
        <f t="shared" si="11"/>
        <v>102</v>
      </c>
    </row>
    <row r="124" spans="1:10" ht="12.75" x14ac:dyDescent="0.2">
      <c r="A124" t="s">
        <v>140</v>
      </c>
      <c r="B124" t="s">
        <v>130</v>
      </c>
      <c r="C124">
        <v>6</v>
      </c>
      <c r="D124">
        <f t="shared" si="9"/>
        <v>9</v>
      </c>
      <c r="E124">
        <f t="shared" si="10"/>
        <v>18</v>
      </c>
      <c r="F124">
        <f t="shared" si="11"/>
        <v>36</v>
      </c>
    </row>
    <row r="125" spans="1:10" ht="12.75" x14ac:dyDescent="0.2">
      <c r="A125" t="s">
        <v>141</v>
      </c>
      <c r="B125" t="s">
        <v>130</v>
      </c>
      <c r="C125">
        <v>70</v>
      </c>
      <c r="D125">
        <f t="shared" si="9"/>
        <v>105</v>
      </c>
      <c r="E125">
        <f t="shared" si="10"/>
        <v>210</v>
      </c>
      <c r="F125">
        <f t="shared" si="11"/>
        <v>420</v>
      </c>
    </row>
    <row r="126" spans="1:10" ht="12.75" x14ac:dyDescent="0.2">
      <c r="A126" t="s">
        <v>142</v>
      </c>
      <c r="B126" t="s">
        <v>130</v>
      </c>
      <c r="C126">
        <v>10.5</v>
      </c>
      <c r="D126">
        <f t="shared" si="9"/>
        <v>15.75</v>
      </c>
      <c r="E126">
        <f t="shared" si="10"/>
        <v>31.5</v>
      </c>
      <c r="F126">
        <f t="shared" si="11"/>
        <v>63</v>
      </c>
    </row>
    <row r="127" spans="1:10" ht="12.75" x14ac:dyDescent="0.2">
      <c r="A127" t="s">
        <v>143</v>
      </c>
      <c r="B127" t="s">
        <v>144</v>
      </c>
      <c r="C127">
        <v>220</v>
      </c>
      <c r="D127">
        <f t="shared" si="9"/>
        <v>330</v>
      </c>
      <c r="E127">
        <f t="shared" si="10"/>
        <v>660</v>
      </c>
      <c r="F127">
        <f t="shared" si="11"/>
        <v>1320</v>
      </c>
      <c r="J127" t="s">
        <v>30</v>
      </c>
    </row>
    <row r="128" spans="1:10" ht="12.75" x14ac:dyDescent="0.2">
      <c r="A128" t="s">
        <v>145</v>
      </c>
      <c r="B128" t="s">
        <v>144</v>
      </c>
      <c r="C128">
        <v>700</v>
      </c>
      <c r="D128">
        <f t="shared" si="9"/>
        <v>1050</v>
      </c>
      <c r="E128">
        <f t="shared" si="10"/>
        <v>2100</v>
      </c>
      <c r="F128">
        <f t="shared" si="11"/>
        <v>4200</v>
      </c>
      <c r="J128" t="s">
        <v>30</v>
      </c>
    </row>
    <row r="129" spans="1:10" ht="12.75" x14ac:dyDescent="0.2">
      <c r="A129" t="s">
        <v>146</v>
      </c>
      <c r="B129" t="s">
        <v>144</v>
      </c>
      <c r="C129">
        <v>560</v>
      </c>
      <c r="D129">
        <f t="shared" si="9"/>
        <v>840</v>
      </c>
      <c r="E129">
        <f t="shared" si="10"/>
        <v>1680</v>
      </c>
      <c r="F129">
        <f t="shared" si="11"/>
        <v>3360</v>
      </c>
      <c r="J129" t="s">
        <v>30</v>
      </c>
    </row>
    <row r="130" spans="1:10" ht="12.75" x14ac:dyDescent="0.2">
      <c r="A130" t="s">
        <v>147</v>
      </c>
      <c r="B130" t="s">
        <v>144</v>
      </c>
      <c r="C130">
        <v>220</v>
      </c>
      <c r="D130">
        <f t="shared" si="9"/>
        <v>330</v>
      </c>
      <c r="E130">
        <f t="shared" si="10"/>
        <v>660</v>
      </c>
      <c r="F130">
        <f t="shared" si="11"/>
        <v>1320</v>
      </c>
      <c r="J130" t="s">
        <v>30</v>
      </c>
    </row>
    <row r="131" spans="1:10" ht="12.75" x14ac:dyDescent="0.2">
      <c r="A131" t="s">
        <v>148</v>
      </c>
      <c r="B131" t="s">
        <v>144</v>
      </c>
      <c r="C131">
        <v>100</v>
      </c>
      <c r="D131">
        <f t="shared" si="9"/>
        <v>150</v>
      </c>
      <c r="E131">
        <f t="shared" si="10"/>
        <v>300</v>
      </c>
      <c r="F131">
        <f t="shared" si="11"/>
        <v>600</v>
      </c>
      <c r="J131" t="s">
        <v>30</v>
      </c>
    </row>
    <row r="132" spans="1:10" ht="12.75" x14ac:dyDescent="0.2">
      <c r="A132" t="s">
        <v>149</v>
      </c>
      <c r="B132" t="s">
        <v>144</v>
      </c>
      <c r="C132">
        <v>110</v>
      </c>
      <c r="D132">
        <f t="shared" si="9"/>
        <v>165</v>
      </c>
      <c r="E132">
        <f t="shared" si="10"/>
        <v>330</v>
      </c>
      <c r="F132">
        <f t="shared" si="11"/>
        <v>660</v>
      </c>
      <c r="J132" t="s">
        <v>30</v>
      </c>
    </row>
    <row r="133" spans="1:10" ht="12.75" x14ac:dyDescent="0.2">
      <c r="A133" t="s">
        <v>150</v>
      </c>
      <c r="B133" t="s">
        <v>144</v>
      </c>
      <c r="C133">
        <v>600</v>
      </c>
      <c r="D133">
        <f t="shared" si="9"/>
        <v>900</v>
      </c>
      <c r="E133">
        <f t="shared" si="10"/>
        <v>1800</v>
      </c>
      <c r="F133">
        <f t="shared" si="11"/>
        <v>3600</v>
      </c>
      <c r="J133" t="s">
        <v>30</v>
      </c>
    </row>
    <row r="134" spans="1:10" ht="12.75" x14ac:dyDescent="0.2">
      <c r="A134" t="s">
        <v>151</v>
      </c>
      <c r="B134" t="s">
        <v>144</v>
      </c>
      <c r="C134">
        <v>220</v>
      </c>
      <c r="D134">
        <f t="shared" si="9"/>
        <v>330</v>
      </c>
      <c r="E134">
        <f t="shared" si="10"/>
        <v>660</v>
      </c>
      <c r="F134">
        <f t="shared" si="11"/>
        <v>1320</v>
      </c>
      <c r="G134" t="s">
        <v>152</v>
      </c>
      <c r="J134" t="s">
        <v>30</v>
      </c>
    </row>
    <row r="135" spans="1:10" ht="12.75" x14ac:dyDescent="0.2">
      <c r="A135" t="s">
        <v>153</v>
      </c>
      <c r="B135" t="s">
        <v>144</v>
      </c>
      <c r="C135">
        <v>100</v>
      </c>
      <c r="D135">
        <f t="shared" si="9"/>
        <v>150</v>
      </c>
      <c r="E135">
        <f t="shared" si="10"/>
        <v>300</v>
      </c>
      <c r="F135">
        <f t="shared" si="11"/>
        <v>600</v>
      </c>
      <c r="J135" t="s">
        <v>30</v>
      </c>
    </row>
    <row r="136" spans="1:10" ht="12.75" x14ac:dyDescent="0.2">
      <c r="A136" t="s">
        <v>154</v>
      </c>
      <c r="B136" t="s">
        <v>144</v>
      </c>
      <c r="C136">
        <v>240</v>
      </c>
      <c r="D136">
        <f t="shared" si="9"/>
        <v>360</v>
      </c>
      <c r="E136">
        <f t="shared" si="10"/>
        <v>720</v>
      </c>
      <c r="F136">
        <f t="shared" si="11"/>
        <v>1440</v>
      </c>
      <c r="J136" t="s">
        <v>30</v>
      </c>
    </row>
    <row r="137" spans="1:10" ht="12.75" x14ac:dyDescent="0.2">
      <c r="A137" t="s">
        <v>155</v>
      </c>
      <c r="B137" t="s">
        <v>144</v>
      </c>
      <c r="C137">
        <v>120</v>
      </c>
      <c r="D137">
        <f t="shared" si="9"/>
        <v>180</v>
      </c>
      <c r="E137">
        <f t="shared" si="10"/>
        <v>360</v>
      </c>
      <c r="F137">
        <f t="shared" si="11"/>
        <v>720</v>
      </c>
      <c r="J137" t="s">
        <v>30</v>
      </c>
    </row>
    <row r="138" spans="1:10" ht="12.75" x14ac:dyDescent="0.2">
      <c r="A138" t="s">
        <v>156</v>
      </c>
      <c r="B138" t="s">
        <v>144</v>
      </c>
      <c r="C138">
        <v>100</v>
      </c>
      <c r="D138">
        <f t="shared" si="9"/>
        <v>150</v>
      </c>
      <c r="E138">
        <f t="shared" si="10"/>
        <v>300</v>
      </c>
      <c r="F138">
        <f t="shared" si="11"/>
        <v>600</v>
      </c>
      <c r="J138" t="s">
        <v>30</v>
      </c>
    </row>
    <row r="139" spans="1:10" ht="12.75" x14ac:dyDescent="0.2">
      <c r="A139" t="s">
        <v>157</v>
      </c>
      <c r="B139" t="s">
        <v>144</v>
      </c>
      <c r="C139">
        <v>150</v>
      </c>
      <c r="D139">
        <f t="shared" si="9"/>
        <v>225</v>
      </c>
      <c r="E139">
        <f t="shared" si="10"/>
        <v>450</v>
      </c>
      <c r="F139">
        <f t="shared" si="11"/>
        <v>900</v>
      </c>
      <c r="J139" t="s">
        <v>30</v>
      </c>
    </row>
    <row r="140" spans="1:10" ht="12.75" x14ac:dyDescent="0.2">
      <c r="A140" t="s">
        <v>158</v>
      </c>
      <c r="B140" t="s">
        <v>144</v>
      </c>
      <c r="C140">
        <v>700</v>
      </c>
      <c r="D140">
        <f t="shared" si="9"/>
        <v>1050</v>
      </c>
      <c r="E140">
        <f t="shared" si="10"/>
        <v>2100</v>
      </c>
      <c r="F140">
        <f t="shared" si="11"/>
        <v>4200</v>
      </c>
      <c r="J140" t="s">
        <v>30</v>
      </c>
    </row>
    <row r="141" spans="1:10" ht="12.75" x14ac:dyDescent="0.2">
      <c r="A141" t="s">
        <v>159</v>
      </c>
      <c r="B141" t="s">
        <v>144</v>
      </c>
      <c r="C141">
        <v>220</v>
      </c>
      <c r="D141">
        <f t="shared" si="9"/>
        <v>330</v>
      </c>
      <c r="E141">
        <f t="shared" si="10"/>
        <v>660</v>
      </c>
      <c r="F141">
        <f t="shared" si="11"/>
        <v>1320</v>
      </c>
      <c r="J141" t="s">
        <v>30</v>
      </c>
    </row>
    <row r="142" spans="1:10" ht="12.75" x14ac:dyDescent="0.2">
      <c r="A142" t="s">
        <v>160</v>
      </c>
      <c r="B142" t="s">
        <v>144</v>
      </c>
      <c r="C142">
        <v>100</v>
      </c>
      <c r="D142">
        <f t="shared" si="9"/>
        <v>150</v>
      </c>
      <c r="E142">
        <f t="shared" si="10"/>
        <v>300</v>
      </c>
      <c r="F142">
        <f t="shared" si="11"/>
        <v>600</v>
      </c>
      <c r="J142" t="s">
        <v>30</v>
      </c>
    </row>
    <row r="143" spans="1:10" ht="12.75" x14ac:dyDescent="0.2">
      <c r="A143" t="s">
        <v>161</v>
      </c>
      <c r="B143" t="s">
        <v>144</v>
      </c>
      <c r="C143">
        <v>120</v>
      </c>
      <c r="D143">
        <f t="shared" si="9"/>
        <v>180</v>
      </c>
      <c r="E143">
        <f t="shared" si="10"/>
        <v>360</v>
      </c>
      <c r="F143">
        <f t="shared" si="11"/>
        <v>720</v>
      </c>
      <c r="J143" t="s">
        <v>30</v>
      </c>
    </row>
    <row r="144" spans="1:10" ht="12.75" x14ac:dyDescent="0.2">
      <c r="A144" t="s">
        <v>162</v>
      </c>
      <c r="B144" t="s">
        <v>144</v>
      </c>
      <c r="C144">
        <v>420</v>
      </c>
      <c r="D144">
        <f t="shared" si="9"/>
        <v>630</v>
      </c>
      <c r="E144">
        <f t="shared" si="10"/>
        <v>1260</v>
      </c>
      <c r="F144">
        <f t="shared" si="11"/>
        <v>2520</v>
      </c>
      <c r="J144" t="s">
        <v>30</v>
      </c>
    </row>
    <row r="145" spans="1:10" ht="12.75" x14ac:dyDescent="0.2">
      <c r="A145" t="s">
        <v>163</v>
      </c>
      <c r="B145" t="s">
        <v>144</v>
      </c>
      <c r="C145">
        <v>420</v>
      </c>
      <c r="D145">
        <f t="shared" si="9"/>
        <v>630</v>
      </c>
      <c r="E145">
        <f t="shared" si="10"/>
        <v>1260</v>
      </c>
      <c r="F145">
        <f t="shared" si="11"/>
        <v>2520</v>
      </c>
      <c r="J145" t="s">
        <v>30</v>
      </c>
    </row>
    <row r="146" spans="1:10" ht="12.75" x14ac:dyDescent="0.2">
      <c r="A146" t="s">
        <v>164</v>
      </c>
      <c r="B146" t="s">
        <v>144</v>
      </c>
      <c r="C146">
        <v>600</v>
      </c>
      <c r="D146">
        <f t="shared" si="9"/>
        <v>900</v>
      </c>
      <c r="E146">
        <f t="shared" si="10"/>
        <v>1800</v>
      </c>
      <c r="F146">
        <f t="shared" si="11"/>
        <v>3600</v>
      </c>
      <c r="J146" t="s">
        <v>30</v>
      </c>
    </row>
    <row r="147" spans="1:10" ht="12.75" x14ac:dyDescent="0.2">
      <c r="A147" t="s">
        <v>165</v>
      </c>
      <c r="B147" t="s">
        <v>144</v>
      </c>
      <c r="C147">
        <v>180</v>
      </c>
      <c r="D147">
        <f t="shared" si="9"/>
        <v>270</v>
      </c>
      <c r="E147">
        <f t="shared" si="10"/>
        <v>540</v>
      </c>
      <c r="F147">
        <f t="shared" si="11"/>
        <v>1080</v>
      </c>
      <c r="J147" t="s">
        <v>30</v>
      </c>
    </row>
    <row r="148" spans="1:10" ht="12.75" x14ac:dyDescent="0.2">
      <c r="A148" t="s">
        <v>166</v>
      </c>
      <c r="B148" t="s">
        <v>144</v>
      </c>
      <c r="C148">
        <v>600</v>
      </c>
      <c r="D148">
        <f t="shared" si="9"/>
        <v>900</v>
      </c>
      <c r="E148">
        <f t="shared" si="10"/>
        <v>1800</v>
      </c>
      <c r="F148">
        <f t="shared" si="11"/>
        <v>3600</v>
      </c>
      <c r="J148" t="s">
        <v>30</v>
      </c>
    </row>
    <row r="149" spans="1:10" ht="12.75" x14ac:dyDescent="0.2">
      <c r="A149" t="s">
        <v>167</v>
      </c>
      <c r="B149" t="s">
        <v>144</v>
      </c>
      <c r="C149">
        <v>220</v>
      </c>
      <c r="D149">
        <f t="shared" si="9"/>
        <v>330</v>
      </c>
      <c r="E149">
        <f t="shared" si="10"/>
        <v>660</v>
      </c>
      <c r="F149">
        <f t="shared" si="11"/>
        <v>1320</v>
      </c>
      <c r="J149" t="s">
        <v>30</v>
      </c>
    </row>
    <row r="150" spans="1:10" ht="12.75" x14ac:dyDescent="0.2">
      <c r="A150" t="s">
        <v>168</v>
      </c>
      <c r="B150" t="s">
        <v>144</v>
      </c>
      <c r="C150">
        <v>240</v>
      </c>
      <c r="D150">
        <f t="shared" si="9"/>
        <v>360</v>
      </c>
      <c r="E150">
        <f t="shared" si="10"/>
        <v>720</v>
      </c>
      <c r="F150">
        <f t="shared" si="11"/>
        <v>1440</v>
      </c>
      <c r="J150" t="s">
        <v>30</v>
      </c>
    </row>
    <row r="151" spans="1:10" ht="12.75" x14ac:dyDescent="0.2">
      <c r="A151" t="s">
        <v>169</v>
      </c>
      <c r="B151" t="s">
        <v>144</v>
      </c>
      <c r="C151">
        <v>80</v>
      </c>
      <c r="D151">
        <f t="shared" si="9"/>
        <v>120</v>
      </c>
      <c r="E151">
        <f t="shared" si="10"/>
        <v>240</v>
      </c>
      <c r="F151">
        <f t="shared" si="11"/>
        <v>480</v>
      </c>
      <c r="J151" t="s">
        <v>30</v>
      </c>
    </row>
    <row r="152" spans="1:10" ht="12.75" x14ac:dyDescent="0.2">
      <c r="A152" t="s">
        <v>170</v>
      </c>
      <c r="B152" t="s">
        <v>144</v>
      </c>
      <c r="C152">
        <v>480</v>
      </c>
      <c r="D152">
        <f t="shared" si="9"/>
        <v>720</v>
      </c>
      <c r="E152">
        <f t="shared" si="10"/>
        <v>1440</v>
      </c>
      <c r="F152">
        <f t="shared" si="11"/>
        <v>2880</v>
      </c>
      <c r="J152" t="s">
        <v>30</v>
      </c>
    </row>
    <row r="153" spans="1:10" ht="12.75" x14ac:dyDescent="0.2">
      <c r="A153" t="s">
        <v>171</v>
      </c>
      <c r="B153" t="s">
        <v>144</v>
      </c>
      <c r="C153">
        <v>580</v>
      </c>
      <c r="D153">
        <f t="shared" si="9"/>
        <v>870</v>
      </c>
      <c r="E153">
        <f t="shared" si="10"/>
        <v>1740</v>
      </c>
      <c r="F153">
        <f t="shared" si="11"/>
        <v>3480</v>
      </c>
      <c r="J153" t="s">
        <v>30</v>
      </c>
    </row>
    <row r="154" spans="1:10" ht="12.75" x14ac:dyDescent="0.2">
      <c r="A154" t="s">
        <v>172</v>
      </c>
      <c r="B154" t="s">
        <v>144</v>
      </c>
      <c r="C154">
        <v>120</v>
      </c>
      <c r="D154">
        <f t="shared" si="9"/>
        <v>180</v>
      </c>
      <c r="E154">
        <f t="shared" si="10"/>
        <v>360</v>
      </c>
      <c r="F154">
        <f t="shared" si="11"/>
        <v>720</v>
      </c>
      <c r="J154" t="s">
        <v>30</v>
      </c>
    </row>
    <row r="155" spans="1:10" ht="12.75" x14ac:dyDescent="0.2">
      <c r="A155" t="s">
        <v>173</v>
      </c>
      <c r="B155" t="s">
        <v>144</v>
      </c>
      <c r="C155">
        <v>440</v>
      </c>
      <c r="D155">
        <f t="shared" si="9"/>
        <v>660</v>
      </c>
      <c r="E155">
        <f t="shared" si="10"/>
        <v>1320</v>
      </c>
      <c r="F155">
        <f t="shared" si="11"/>
        <v>2640</v>
      </c>
      <c r="J155" t="s">
        <v>30</v>
      </c>
    </row>
    <row r="156" spans="1:10" ht="12.75" x14ac:dyDescent="0.2">
      <c r="A156" t="s">
        <v>174</v>
      </c>
      <c r="B156" t="s">
        <v>144</v>
      </c>
      <c r="C156">
        <v>220</v>
      </c>
      <c r="D156">
        <f t="shared" si="9"/>
        <v>330</v>
      </c>
      <c r="E156">
        <f t="shared" si="10"/>
        <v>660</v>
      </c>
      <c r="F156">
        <f t="shared" si="11"/>
        <v>1320</v>
      </c>
      <c r="J156" t="s">
        <v>30</v>
      </c>
    </row>
    <row r="157" spans="1:10" ht="12.75" x14ac:dyDescent="0.2">
      <c r="A157" t="s">
        <v>175</v>
      </c>
      <c r="B157" t="s">
        <v>144</v>
      </c>
      <c r="C157">
        <v>150</v>
      </c>
      <c r="D157">
        <f t="shared" si="9"/>
        <v>225</v>
      </c>
      <c r="E157">
        <f t="shared" si="10"/>
        <v>450</v>
      </c>
      <c r="F157">
        <f t="shared" si="11"/>
        <v>900</v>
      </c>
      <c r="J157" t="s">
        <v>30</v>
      </c>
    </row>
    <row r="158" spans="1:10" ht="12.75" x14ac:dyDescent="0.2">
      <c r="A158" t="s">
        <v>176</v>
      </c>
      <c r="B158" t="s">
        <v>144</v>
      </c>
      <c r="C158">
        <v>700</v>
      </c>
      <c r="D158">
        <f t="shared" si="9"/>
        <v>1050</v>
      </c>
      <c r="E158">
        <f t="shared" si="10"/>
        <v>2100</v>
      </c>
      <c r="F158">
        <f t="shared" si="11"/>
        <v>4200</v>
      </c>
      <c r="J158" t="s">
        <v>30</v>
      </c>
    </row>
    <row r="159" spans="1:10" ht="12.75" x14ac:dyDescent="0.2">
      <c r="A159" t="s">
        <v>177</v>
      </c>
      <c r="B159" t="s">
        <v>144</v>
      </c>
      <c r="C159">
        <v>220</v>
      </c>
      <c r="D159">
        <f t="shared" si="9"/>
        <v>330</v>
      </c>
      <c r="E159">
        <f>C159*3</f>
        <v>660</v>
      </c>
      <c r="F159">
        <f>C159*6</f>
        <v>1320</v>
      </c>
      <c r="J159" t="s">
        <v>30</v>
      </c>
    </row>
    <row r="160" spans="1:10" ht="12.75" x14ac:dyDescent="0.2">
      <c r="A160" t="s">
        <v>178</v>
      </c>
      <c r="B160" t="s">
        <v>144</v>
      </c>
      <c r="C160">
        <v>420</v>
      </c>
      <c r="D160">
        <f t="shared" si="9"/>
        <v>630</v>
      </c>
      <c r="E160">
        <f t="shared" ref="E160:E216" si="12">C160*3</f>
        <v>1260</v>
      </c>
      <c r="F160">
        <f t="shared" ref="F160:F216" si="13">C160*6</f>
        <v>2520</v>
      </c>
      <c r="G160" t="s">
        <v>152</v>
      </c>
      <c r="J160" t="s">
        <v>30</v>
      </c>
    </row>
    <row r="161" spans="1:10" ht="12.75" x14ac:dyDescent="0.2">
      <c r="A161" t="s">
        <v>179</v>
      </c>
      <c r="B161" t="s">
        <v>144</v>
      </c>
      <c r="C161">
        <v>180</v>
      </c>
      <c r="D161">
        <f t="shared" si="9"/>
        <v>270</v>
      </c>
      <c r="E161">
        <f t="shared" si="12"/>
        <v>540</v>
      </c>
      <c r="F161">
        <f t="shared" si="13"/>
        <v>1080</v>
      </c>
      <c r="G161" t="s">
        <v>180</v>
      </c>
      <c r="J161" t="s">
        <v>30</v>
      </c>
    </row>
    <row r="162" spans="1:10" ht="12.75" x14ac:dyDescent="0.2">
      <c r="A162" t="s">
        <v>181</v>
      </c>
      <c r="B162" t="s">
        <v>144</v>
      </c>
      <c r="C162">
        <v>150</v>
      </c>
      <c r="D162">
        <f t="shared" si="9"/>
        <v>225</v>
      </c>
      <c r="E162">
        <f t="shared" si="12"/>
        <v>450</v>
      </c>
      <c r="F162">
        <f t="shared" si="13"/>
        <v>900</v>
      </c>
      <c r="J162" t="s">
        <v>30</v>
      </c>
    </row>
    <row r="163" spans="1:10" ht="12.75" x14ac:dyDescent="0.2">
      <c r="A163" t="s">
        <v>182</v>
      </c>
      <c r="B163" t="s">
        <v>144</v>
      </c>
      <c r="C163">
        <v>220</v>
      </c>
      <c r="D163">
        <f t="shared" si="9"/>
        <v>330</v>
      </c>
      <c r="E163">
        <f t="shared" si="12"/>
        <v>660</v>
      </c>
      <c r="F163">
        <f t="shared" si="13"/>
        <v>1320</v>
      </c>
      <c r="J163" t="s">
        <v>30</v>
      </c>
    </row>
    <row r="164" spans="1:10" ht="12.75" x14ac:dyDescent="0.2">
      <c r="A164" t="s">
        <v>183</v>
      </c>
      <c r="B164" t="s">
        <v>144</v>
      </c>
      <c r="C164">
        <v>700</v>
      </c>
      <c r="D164">
        <f t="shared" si="9"/>
        <v>1050</v>
      </c>
      <c r="E164">
        <f t="shared" si="12"/>
        <v>2100</v>
      </c>
      <c r="F164">
        <f t="shared" si="13"/>
        <v>4200</v>
      </c>
      <c r="J164" t="s">
        <v>30</v>
      </c>
    </row>
    <row r="165" spans="1:10" ht="12.75" x14ac:dyDescent="0.2">
      <c r="A165" t="s">
        <v>184</v>
      </c>
      <c r="B165" t="s">
        <v>144</v>
      </c>
      <c r="C165">
        <v>600</v>
      </c>
      <c r="D165">
        <f t="shared" si="9"/>
        <v>900</v>
      </c>
      <c r="E165">
        <f t="shared" si="12"/>
        <v>1800</v>
      </c>
      <c r="F165">
        <f t="shared" si="13"/>
        <v>3600</v>
      </c>
      <c r="J165" t="s">
        <v>30</v>
      </c>
    </row>
    <row r="166" spans="1:10" ht="12.75" x14ac:dyDescent="0.2">
      <c r="A166" t="s">
        <v>185</v>
      </c>
      <c r="B166" t="s">
        <v>144</v>
      </c>
      <c r="C166">
        <v>160</v>
      </c>
      <c r="D166">
        <f t="shared" si="9"/>
        <v>240</v>
      </c>
      <c r="E166">
        <f t="shared" si="12"/>
        <v>480</v>
      </c>
      <c r="F166">
        <f t="shared" si="13"/>
        <v>960</v>
      </c>
      <c r="J166" t="s">
        <v>30</v>
      </c>
    </row>
    <row r="167" spans="1:10" ht="12.75" x14ac:dyDescent="0.2">
      <c r="A167" t="s">
        <v>186</v>
      </c>
      <c r="B167" t="s">
        <v>144</v>
      </c>
      <c r="C167">
        <v>120</v>
      </c>
      <c r="D167">
        <f t="shared" si="9"/>
        <v>180</v>
      </c>
      <c r="E167">
        <f t="shared" si="12"/>
        <v>360</v>
      </c>
      <c r="F167">
        <f t="shared" si="13"/>
        <v>720</v>
      </c>
      <c r="J167" t="s">
        <v>30</v>
      </c>
    </row>
    <row r="168" spans="1:10" ht="12.75" x14ac:dyDescent="0.2">
      <c r="A168" t="s">
        <v>187</v>
      </c>
      <c r="B168" t="s">
        <v>144</v>
      </c>
      <c r="C168">
        <v>240</v>
      </c>
      <c r="D168">
        <f t="shared" si="9"/>
        <v>360</v>
      </c>
      <c r="E168">
        <f t="shared" si="12"/>
        <v>720</v>
      </c>
      <c r="F168">
        <f t="shared" si="13"/>
        <v>1440</v>
      </c>
      <c r="J168" t="s">
        <v>30</v>
      </c>
    </row>
    <row r="169" spans="1:10" ht="12.75" x14ac:dyDescent="0.2">
      <c r="A169" t="s">
        <v>188</v>
      </c>
      <c r="B169" t="s">
        <v>144</v>
      </c>
      <c r="C169">
        <v>160</v>
      </c>
      <c r="D169">
        <f t="shared" si="9"/>
        <v>240</v>
      </c>
      <c r="E169">
        <f t="shared" si="12"/>
        <v>480</v>
      </c>
      <c r="F169">
        <f t="shared" si="13"/>
        <v>960</v>
      </c>
      <c r="J169" t="s">
        <v>30</v>
      </c>
    </row>
    <row r="170" spans="1:10" ht="12.75" x14ac:dyDescent="0.2">
      <c r="A170" t="s">
        <v>189</v>
      </c>
      <c r="B170" t="s">
        <v>144</v>
      </c>
      <c r="C170">
        <v>500</v>
      </c>
      <c r="D170">
        <f t="shared" si="9"/>
        <v>750</v>
      </c>
      <c r="E170">
        <f t="shared" si="12"/>
        <v>1500</v>
      </c>
      <c r="F170">
        <f t="shared" si="13"/>
        <v>3000</v>
      </c>
      <c r="J170" t="s">
        <v>30</v>
      </c>
    </row>
    <row r="171" spans="1:10" ht="12.75" x14ac:dyDescent="0.2">
      <c r="A171" t="s">
        <v>190</v>
      </c>
      <c r="B171" t="s">
        <v>144</v>
      </c>
      <c r="C171">
        <v>620</v>
      </c>
      <c r="D171">
        <f t="shared" si="9"/>
        <v>930</v>
      </c>
      <c r="E171">
        <f t="shared" si="12"/>
        <v>1860</v>
      </c>
      <c r="F171">
        <f t="shared" si="13"/>
        <v>3720</v>
      </c>
      <c r="J171" t="s">
        <v>30</v>
      </c>
    </row>
    <row r="172" spans="1:10" ht="12.75" x14ac:dyDescent="0.2">
      <c r="A172" t="s">
        <v>191</v>
      </c>
      <c r="B172" t="s">
        <v>144</v>
      </c>
      <c r="C172">
        <v>180</v>
      </c>
      <c r="D172">
        <f t="shared" si="9"/>
        <v>270</v>
      </c>
      <c r="E172">
        <f t="shared" si="12"/>
        <v>540</v>
      </c>
      <c r="F172">
        <f t="shared" si="13"/>
        <v>1080</v>
      </c>
      <c r="J172" t="s">
        <v>30</v>
      </c>
    </row>
    <row r="173" spans="1:10" ht="12.75" x14ac:dyDescent="0.2">
      <c r="A173" t="s">
        <v>192</v>
      </c>
      <c r="B173" t="s">
        <v>144</v>
      </c>
      <c r="C173">
        <v>680</v>
      </c>
      <c r="D173">
        <f t="shared" si="9"/>
        <v>1020</v>
      </c>
      <c r="E173">
        <f t="shared" si="12"/>
        <v>2040</v>
      </c>
      <c r="F173">
        <f t="shared" si="13"/>
        <v>4080</v>
      </c>
      <c r="J173" t="s">
        <v>30</v>
      </c>
    </row>
    <row r="174" spans="1:10" ht="12.75" x14ac:dyDescent="0.2">
      <c r="A174" t="s">
        <v>193</v>
      </c>
      <c r="B174" t="s">
        <v>144</v>
      </c>
      <c r="C174">
        <v>220</v>
      </c>
      <c r="D174">
        <f t="shared" si="9"/>
        <v>330</v>
      </c>
      <c r="E174">
        <f t="shared" si="12"/>
        <v>660</v>
      </c>
      <c r="F174">
        <f t="shared" si="13"/>
        <v>1320</v>
      </c>
      <c r="J174" t="s">
        <v>30</v>
      </c>
    </row>
    <row r="175" spans="1:10" ht="12.75" x14ac:dyDescent="0.2">
      <c r="A175" t="s">
        <v>194</v>
      </c>
      <c r="B175" t="s">
        <v>144</v>
      </c>
      <c r="C175">
        <v>180</v>
      </c>
      <c r="D175">
        <f t="shared" si="9"/>
        <v>270</v>
      </c>
      <c r="E175">
        <f t="shared" si="12"/>
        <v>540</v>
      </c>
      <c r="F175">
        <f t="shared" si="13"/>
        <v>1080</v>
      </c>
      <c r="J175" t="s">
        <v>30</v>
      </c>
    </row>
    <row r="176" spans="1:10" ht="12.75" x14ac:dyDescent="0.2">
      <c r="A176" t="s">
        <v>195</v>
      </c>
      <c r="B176" t="s">
        <v>144</v>
      </c>
      <c r="C176">
        <v>220</v>
      </c>
      <c r="D176">
        <f t="shared" si="9"/>
        <v>330</v>
      </c>
      <c r="E176">
        <f t="shared" si="12"/>
        <v>660</v>
      </c>
      <c r="F176">
        <f t="shared" si="13"/>
        <v>1320</v>
      </c>
      <c r="G176" t="s">
        <v>152</v>
      </c>
      <c r="J176" t="s">
        <v>30</v>
      </c>
    </row>
    <row r="177" spans="1:10" ht="12.75" x14ac:dyDescent="0.2">
      <c r="A177" t="s">
        <v>196</v>
      </c>
      <c r="B177" t="s">
        <v>144</v>
      </c>
      <c r="C177">
        <v>50</v>
      </c>
      <c r="D177">
        <f t="shared" si="9"/>
        <v>75</v>
      </c>
      <c r="E177">
        <f t="shared" si="12"/>
        <v>150</v>
      </c>
      <c r="F177">
        <f t="shared" si="13"/>
        <v>300</v>
      </c>
      <c r="J177" t="s">
        <v>30</v>
      </c>
    </row>
    <row r="178" spans="1:10" ht="12.75" x14ac:dyDescent="0.2">
      <c r="A178" t="s">
        <v>197</v>
      </c>
      <c r="B178" t="s">
        <v>144</v>
      </c>
      <c r="C178">
        <v>100</v>
      </c>
      <c r="D178">
        <f t="shared" si="9"/>
        <v>150</v>
      </c>
      <c r="E178">
        <f t="shared" si="12"/>
        <v>300</v>
      </c>
      <c r="F178">
        <f t="shared" si="13"/>
        <v>600</v>
      </c>
      <c r="J178" t="s">
        <v>30</v>
      </c>
    </row>
    <row r="179" spans="1:10" ht="12.75" x14ac:dyDescent="0.2">
      <c r="A179" t="s">
        <v>198</v>
      </c>
      <c r="B179" t="s">
        <v>144</v>
      </c>
      <c r="C179">
        <v>400</v>
      </c>
      <c r="D179">
        <f t="shared" si="9"/>
        <v>600</v>
      </c>
      <c r="E179">
        <f t="shared" si="12"/>
        <v>1200</v>
      </c>
      <c r="F179">
        <f t="shared" si="13"/>
        <v>2400</v>
      </c>
      <c r="J179" t="s">
        <v>30</v>
      </c>
    </row>
    <row r="180" spans="1:10" ht="12.75" x14ac:dyDescent="0.2">
      <c r="A180" t="s">
        <v>199</v>
      </c>
      <c r="B180" t="s">
        <v>144</v>
      </c>
      <c r="C180">
        <v>700</v>
      </c>
      <c r="D180">
        <f t="shared" si="9"/>
        <v>1050</v>
      </c>
      <c r="E180">
        <f t="shared" si="12"/>
        <v>2100</v>
      </c>
      <c r="F180">
        <f t="shared" si="13"/>
        <v>4200</v>
      </c>
      <c r="J180" t="s">
        <v>30</v>
      </c>
    </row>
    <row r="181" spans="1:10" ht="12.75" x14ac:dyDescent="0.2">
      <c r="A181" t="s">
        <v>200</v>
      </c>
      <c r="B181" t="s">
        <v>144</v>
      </c>
      <c r="C181">
        <v>140</v>
      </c>
      <c r="D181">
        <f t="shared" si="9"/>
        <v>210</v>
      </c>
      <c r="E181">
        <f t="shared" si="12"/>
        <v>420</v>
      </c>
      <c r="F181">
        <f t="shared" si="13"/>
        <v>840</v>
      </c>
      <c r="J181" t="s">
        <v>30</v>
      </c>
    </row>
    <row r="182" spans="1:10" ht="12.75" x14ac:dyDescent="0.2">
      <c r="A182" t="s">
        <v>201</v>
      </c>
      <c r="B182" t="s">
        <v>144</v>
      </c>
      <c r="C182">
        <v>50</v>
      </c>
      <c r="D182">
        <f t="shared" si="9"/>
        <v>75</v>
      </c>
      <c r="E182">
        <f t="shared" si="12"/>
        <v>150</v>
      </c>
      <c r="F182">
        <f t="shared" si="13"/>
        <v>300</v>
      </c>
      <c r="J182" t="s">
        <v>30</v>
      </c>
    </row>
    <row r="183" spans="1:10" ht="12.75" x14ac:dyDescent="0.2">
      <c r="A183" t="s">
        <v>202</v>
      </c>
      <c r="B183" t="s">
        <v>144</v>
      </c>
      <c r="C183">
        <v>400</v>
      </c>
      <c r="D183">
        <f t="shared" si="9"/>
        <v>600</v>
      </c>
      <c r="E183">
        <f t="shared" si="12"/>
        <v>1200</v>
      </c>
      <c r="F183">
        <f t="shared" si="13"/>
        <v>2400</v>
      </c>
      <c r="J183" t="s">
        <v>30</v>
      </c>
    </row>
    <row r="184" spans="1:10" ht="12.75" x14ac:dyDescent="0.2">
      <c r="A184" t="s">
        <v>203</v>
      </c>
      <c r="B184" t="s">
        <v>144</v>
      </c>
      <c r="C184">
        <v>150</v>
      </c>
      <c r="D184">
        <f t="shared" si="9"/>
        <v>225</v>
      </c>
      <c r="E184">
        <f t="shared" si="12"/>
        <v>450</v>
      </c>
      <c r="F184">
        <f t="shared" si="13"/>
        <v>900</v>
      </c>
      <c r="J184" t="s">
        <v>30</v>
      </c>
    </row>
    <row r="185" spans="1:10" ht="12.75" x14ac:dyDescent="0.2">
      <c r="A185" t="s">
        <v>204</v>
      </c>
      <c r="B185" t="s">
        <v>144</v>
      </c>
      <c r="C185">
        <v>200</v>
      </c>
      <c r="D185">
        <f t="shared" si="9"/>
        <v>300</v>
      </c>
      <c r="E185">
        <f t="shared" si="12"/>
        <v>600</v>
      </c>
      <c r="F185">
        <f t="shared" si="13"/>
        <v>1200</v>
      </c>
      <c r="J185" t="s">
        <v>30</v>
      </c>
    </row>
    <row r="186" spans="1:10" ht="12.75" x14ac:dyDescent="0.2">
      <c r="A186" t="s">
        <v>205</v>
      </c>
      <c r="B186" t="s">
        <v>144</v>
      </c>
      <c r="C186">
        <v>140</v>
      </c>
      <c r="D186">
        <f t="shared" si="9"/>
        <v>210</v>
      </c>
      <c r="E186">
        <f t="shared" si="12"/>
        <v>420</v>
      </c>
      <c r="F186">
        <f t="shared" si="13"/>
        <v>840</v>
      </c>
      <c r="J186" t="s">
        <v>30</v>
      </c>
    </row>
    <row r="187" spans="1:10" ht="12.75" x14ac:dyDescent="0.2">
      <c r="A187" t="s">
        <v>206</v>
      </c>
      <c r="B187" t="s">
        <v>144</v>
      </c>
      <c r="C187">
        <v>620</v>
      </c>
      <c r="D187">
        <f t="shared" si="9"/>
        <v>930</v>
      </c>
      <c r="E187">
        <f t="shared" si="12"/>
        <v>1860</v>
      </c>
      <c r="F187">
        <f t="shared" si="13"/>
        <v>3720</v>
      </c>
      <c r="J187" t="s">
        <v>30</v>
      </c>
    </row>
    <row r="188" spans="1:10" ht="12.75" x14ac:dyDescent="0.2">
      <c r="A188" t="s">
        <v>207</v>
      </c>
      <c r="B188" t="s">
        <v>144</v>
      </c>
      <c r="C188">
        <v>130</v>
      </c>
      <c r="D188">
        <f t="shared" si="9"/>
        <v>195</v>
      </c>
      <c r="E188">
        <f t="shared" si="12"/>
        <v>390</v>
      </c>
      <c r="F188">
        <f t="shared" si="13"/>
        <v>780</v>
      </c>
      <c r="J188" t="s">
        <v>30</v>
      </c>
    </row>
    <row r="189" spans="1:10" ht="12.75" x14ac:dyDescent="0.2">
      <c r="A189" t="s">
        <v>208</v>
      </c>
      <c r="B189" t="s">
        <v>144</v>
      </c>
      <c r="C189">
        <v>640</v>
      </c>
      <c r="D189">
        <f t="shared" si="9"/>
        <v>960</v>
      </c>
      <c r="E189">
        <f t="shared" si="12"/>
        <v>1920</v>
      </c>
      <c r="F189">
        <f t="shared" si="13"/>
        <v>3840</v>
      </c>
      <c r="G189" t="s">
        <v>209</v>
      </c>
      <c r="J189" t="s">
        <v>30</v>
      </c>
    </row>
    <row r="190" spans="1:10" ht="12.75" x14ac:dyDescent="0.2">
      <c r="A190" t="s">
        <v>210</v>
      </c>
      <c r="B190" t="s">
        <v>211</v>
      </c>
      <c r="C190">
        <v>15</v>
      </c>
      <c r="D190">
        <f t="shared" si="9"/>
        <v>22.5</v>
      </c>
      <c r="E190">
        <f t="shared" si="12"/>
        <v>45</v>
      </c>
      <c r="F190">
        <f t="shared" si="13"/>
        <v>90</v>
      </c>
      <c r="J190" t="s">
        <v>30</v>
      </c>
    </row>
    <row r="191" spans="1:10" ht="12.75" x14ac:dyDescent="0.2">
      <c r="A191" t="s">
        <v>212</v>
      </c>
      <c r="B191" t="s">
        <v>211</v>
      </c>
      <c r="C191">
        <v>9</v>
      </c>
      <c r="D191">
        <f t="shared" si="9"/>
        <v>13.5</v>
      </c>
      <c r="E191">
        <f t="shared" si="12"/>
        <v>27</v>
      </c>
      <c r="F191">
        <f t="shared" si="13"/>
        <v>54</v>
      </c>
      <c r="J191" t="s">
        <v>30</v>
      </c>
    </row>
    <row r="192" spans="1:10" ht="12.75" x14ac:dyDescent="0.2">
      <c r="A192" t="s">
        <v>213</v>
      </c>
      <c r="B192" t="s">
        <v>211</v>
      </c>
      <c r="C192">
        <v>10</v>
      </c>
      <c r="D192">
        <f t="shared" si="9"/>
        <v>15</v>
      </c>
      <c r="E192">
        <f t="shared" si="12"/>
        <v>30</v>
      </c>
      <c r="F192">
        <f t="shared" si="13"/>
        <v>60</v>
      </c>
      <c r="J192" t="s">
        <v>30</v>
      </c>
    </row>
    <row r="193" spans="1:10" ht="12.75" x14ac:dyDescent="0.2">
      <c r="A193" t="s">
        <v>214</v>
      </c>
      <c r="B193" t="s">
        <v>211</v>
      </c>
      <c r="C193">
        <v>14</v>
      </c>
      <c r="D193">
        <f t="shared" si="9"/>
        <v>21</v>
      </c>
      <c r="E193">
        <f t="shared" si="12"/>
        <v>42</v>
      </c>
      <c r="F193">
        <f t="shared" si="13"/>
        <v>84</v>
      </c>
      <c r="J193" t="s">
        <v>30</v>
      </c>
    </row>
    <row r="194" spans="1:10" ht="12.75" x14ac:dyDescent="0.2">
      <c r="A194" t="s">
        <v>215</v>
      </c>
      <c r="B194" t="s">
        <v>211</v>
      </c>
      <c r="C194">
        <v>5</v>
      </c>
      <c r="D194">
        <f t="shared" si="9"/>
        <v>7.5</v>
      </c>
      <c r="E194">
        <f t="shared" si="12"/>
        <v>15</v>
      </c>
      <c r="F194">
        <f t="shared" si="13"/>
        <v>30</v>
      </c>
      <c r="J194" t="s">
        <v>30</v>
      </c>
    </row>
    <row r="195" spans="1:10" ht="12.75" x14ac:dyDescent="0.2">
      <c r="A195" t="s">
        <v>216</v>
      </c>
      <c r="B195" t="s">
        <v>211</v>
      </c>
      <c r="C195">
        <v>7.5</v>
      </c>
      <c r="D195">
        <f t="shared" si="9"/>
        <v>11.25</v>
      </c>
      <c r="E195">
        <f t="shared" si="12"/>
        <v>22.5</v>
      </c>
      <c r="F195">
        <f t="shared" si="13"/>
        <v>45</v>
      </c>
      <c r="J195" t="s">
        <v>30</v>
      </c>
    </row>
    <row r="196" spans="1:10" ht="12.75" x14ac:dyDescent="0.2">
      <c r="A196" t="s">
        <v>217</v>
      </c>
      <c r="B196" t="s">
        <v>211</v>
      </c>
      <c r="C196">
        <v>80</v>
      </c>
      <c r="D196">
        <f t="shared" si="9"/>
        <v>120</v>
      </c>
      <c r="E196">
        <f t="shared" si="12"/>
        <v>240</v>
      </c>
      <c r="F196">
        <f t="shared" si="13"/>
        <v>480</v>
      </c>
      <c r="J196" t="s">
        <v>30</v>
      </c>
    </row>
    <row r="197" spans="1:10" ht="12.75" x14ac:dyDescent="0.2">
      <c r="A197" t="s">
        <v>218</v>
      </c>
      <c r="B197" t="s">
        <v>219</v>
      </c>
      <c r="C197">
        <v>1.2</v>
      </c>
      <c r="D197">
        <f t="shared" si="9"/>
        <v>1.7999999999999998</v>
      </c>
      <c r="E197">
        <f t="shared" si="12"/>
        <v>3.5999999999999996</v>
      </c>
      <c r="F197">
        <f t="shared" si="13"/>
        <v>7.1999999999999993</v>
      </c>
      <c r="G197" t="s">
        <v>220</v>
      </c>
      <c r="J197" t="s">
        <v>30</v>
      </c>
    </row>
    <row r="198" spans="1:10" ht="12.75" x14ac:dyDescent="0.2">
      <c r="A198" t="s">
        <v>221</v>
      </c>
      <c r="B198" t="s">
        <v>219</v>
      </c>
      <c r="C198">
        <v>4</v>
      </c>
      <c r="D198">
        <f t="shared" si="9"/>
        <v>6</v>
      </c>
      <c r="E198">
        <f t="shared" si="12"/>
        <v>12</v>
      </c>
      <c r="F198">
        <f t="shared" si="13"/>
        <v>24</v>
      </c>
      <c r="G198" t="s">
        <v>222</v>
      </c>
      <c r="J198" t="s">
        <v>30</v>
      </c>
    </row>
    <row r="199" spans="1:10" ht="12.75" x14ac:dyDescent="0.2">
      <c r="A199" t="s">
        <v>223</v>
      </c>
      <c r="B199" t="s">
        <v>219</v>
      </c>
      <c r="C199">
        <v>1</v>
      </c>
      <c r="D199">
        <f t="shared" si="9"/>
        <v>1.5</v>
      </c>
      <c r="E199">
        <f t="shared" si="12"/>
        <v>3</v>
      </c>
      <c r="F199">
        <f t="shared" si="13"/>
        <v>6</v>
      </c>
      <c r="G199" t="s">
        <v>224</v>
      </c>
      <c r="J199" t="s">
        <v>30</v>
      </c>
    </row>
    <row r="200" spans="1:10" ht="12.75" x14ac:dyDescent="0.2">
      <c r="A200" t="s">
        <v>225</v>
      </c>
      <c r="B200" t="s">
        <v>219</v>
      </c>
      <c r="C200">
        <v>1.2</v>
      </c>
      <c r="D200">
        <f t="shared" si="9"/>
        <v>1.7999999999999998</v>
      </c>
      <c r="E200">
        <f t="shared" si="12"/>
        <v>3.5999999999999996</v>
      </c>
      <c r="F200">
        <f t="shared" si="13"/>
        <v>7.1999999999999993</v>
      </c>
      <c r="G200" t="s">
        <v>226</v>
      </c>
      <c r="J200" t="s">
        <v>30</v>
      </c>
    </row>
    <row r="201" spans="1:10" ht="12.75" x14ac:dyDescent="0.2">
      <c r="A201" t="s">
        <v>227</v>
      </c>
      <c r="B201" t="s">
        <v>219</v>
      </c>
      <c r="C201">
        <v>0.6</v>
      </c>
      <c r="D201">
        <f t="shared" si="9"/>
        <v>0.89999999999999991</v>
      </c>
      <c r="E201">
        <f t="shared" si="12"/>
        <v>1.7999999999999998</v>
      </c>
      <c r="F201">
        <f t="shared" si="13"/>
        <v>3.5999999999999996</v>
      </c>
      <c r="G201" t="s">
        <v>228</v>
      </c>
      <c r="J201" t="s">
        <v>30</v>
      </c>
    </row>
    <row r="202" spans="1:10" ht="12.75" x14ac:dyDescent="0.2">
      <c r="A202" t="s">
        <v>229</v>
      </c>
      <c r="B202" t="s">
        <v>230</v>
      </c>
      <c r="C202">
        <v>0.8</v>
      </c>
      <c r="D202">
        <f t="shared" si="9"/>
        <v>1.2000000000000002</v>
      </c>
      <c r="E202">
        <f t="shared" si="12"/>
        <v>2.4000000000000004</v>
      </c>
      <c r="F202">
        <f t="shared" si="13"/>
        <v>4.8000000000000007</v>
      </c>
      <c r="G202" t="s">
        <v>231</v>
      </c>
      <c r="J202" t="s">
        <v>30</v>
      </c>
    </row>
    <row r="203" spans="1:10" ht="12.75" x14ac:dyDescent="0.2">
      <c r="A203" t="s">
        <v>232</v>
      </c>
      <c r="B203" t="s">
        <v>230</v>
      </c>
      <c r="C203">
        <v>12.5</v>
      </c>
      <c r="D203">
        <f t="shared" si="9"/>
        <v>18.75</v>
      </c>
      <c r="E203">
        <f t="shared" si="12"/>
        <v>37.5</v>
      </c>
      <c r="F203">
        <f t="shared" si="13"/>
        <v>75</v>
      </c>
      <c r="J203" t="s">
        <v>30</v>
      </c>
    </row>
    <row r="204" spans="1:10" ht="12.75" x14ac:dyDescent="0.2">
      <c r="A204" t="s">
        <v>233</v>
      </c>
      <c r="B204" t="s">
        <v>230</v>
      </c>
      <c r="C204">
        <v>1.75</v>
      </c>
      <c r="D204">
        <f t="shared" si="9"/>
        <v>2.625</v>
      </c>
      <c r="E204">
        <f t="shared" si="12"/>
        <v>5.25</v>
      </c>
      <c r="F204">
        <f t="shared" si="13"/>
        <v>10.5</v>
      </c>
      <c r="J204" t="s">
        <v>30</v>
      </c>
    </row>
    <row r="205" spans="1:10" ht="12.75" x14ac:dyDescent="0.2">
      <c r="A205" t="s">
        <v>234</v>
      </c>
      <c r="B205" t="s">
        <v>235</v>
      </c>
      <c r="C205">
        <v>7</v>
      </c>
      <c r="D205">
        <f t="shared" si="9"/>
        <v>10.5</v>
      </c>
      <c r="E205">
        <f t="shared" si="12"/>
        <v>21</v>
      </c>
      <c r="F205">
        <f t="shared" si="13"/>
        <v>42</v>
      </c>
      <c r="J205" t="s">
        <v>30</v>
      </c>
    </row>
    <row r="206" spans="1:10" ht="12.75" x14ac:dyDescent="0.2">
      <c r="A206" t="s">
        <v>236</v>
      </c>
      <c r="B206" t="s">
        <v>235</v>
      </c>
      <c r="C206">
        <v>0.2</v>
      </c>
      <c r="D206">
        <f t="shared" si="9"/>
        <v>0.30000000000000004</v>
      </c>
      <c r="E206">
        <f t="shared" si="12"/>
        <v>0.60000000000000009</v>
      </c>
      <c r="F206">
        <f t="shared" si="13"/>
        <v>1.2000000000000002</v>
      </c>
      <c r="J206" t="s">
        <v>30</v>
      </c>
    </row>
    <row r="207" spans="1:10" ht="12.75" x14ac:dyDescent="0.2">
      <c r="A207" t="s">
        <v>237</v>
      </c>
      <c r="B207" t="s">
        <v>235</v>
      </c>
      <c r="C207">
        <v>32</v>
      </c>
      <c r="D207">
        <f t="shared" si="9"/>
        <v>48</v>
      </c>
      <c r="E207">
        <f t="shared" si="12"/>
        <v>96</v>
      </c>
      <c r="F207">
        <f t="shared" si="13"/>
        <v>192</v>
      </c>
      <c r="J207" t="s">
        <v>30</v>
      </c>
    </row>
    <row r="208" spans="1:10" ht="12.75" x14ac:dyDescent="0.2">
      <c r="A208" t="s">
        <v>238</v>
      </c>
      <c r="B208" t="s">
        <v>235</v>
      </c>
      <c r="C208">
        <v>38</v>
      </c>
      <c r="D208">
        <f t="shared" si="9"/>
        <v>57</v>
      </c>
      <c r="E208">
        <f t="shared" si="12"/>
        <v>114</v>
      </c>
      <c r="F208">
        <f t="shared" si="13"/>
        <v>228</v>
      </c>
      <c r="J208" t="s">
        <v>30</v>
      </c>
    </row>
    <row r="209" spans="1:10" ht="12.75" x14ac:dyDescent="0.2">
      <c r="A209" t="s">
        <v>239</v>
      </c>
      <c r="B209" t="s">
        <v>235</v>
      </c>
      <c r="C209">
        <v>28</v>
      </c>
      <c r="D209">
        <f t="shared" si="9"/>
        <v>42</v>
      </c>
      <c r="E209">
        <f t="shared" si="12"/>
        <v>84</v>
      </c>
      <c r="F209">
        <f t="shared" si="13"/>
        <v>168</v>
      </c>
      <c r="J209" t="s">
        <v>30</v>
      </c>
    </row>
    <row r="210" spans="1:10" ht="12.75" x14ac:dyDescent="0.2">
      <c r="A210" t="s">
        <v>240</v>
      </c>
      <c r="B210" t="s">
        <v>235</v>
      </c>
      <c r="C210">
        <v>50</v>
      </c>
      <c r="D210">
        <f t="shared" si="9"/>
        <v>75</v>
      </c>
      <c r="E210">
        <f t="shared" si="12"/>
        <v>150</v>
      </c>
      <c r="F210">
        <f t="shared" si="13"/>
        <v>300</v>
      </c>
      <c r="J210" t="s">
        <v>30</v>
      </c>
    </row>
    <row r="211" spans="1:10" ht="12.75" x14ac:dyDescent="0.2">
      <c r="A211" t="s">
        <v>241</v>
      </c>
      <c r="B211" t="s">
        <v>235</v>
      </c>
      <c r="C211">
        <v>40</v>
      </c>
      <c r="D211">
        <f t="shared" si="9"/>
        <v>60</v>
      </c>
      <c r="E211">
        <f t="shared" si="12"/>
        <v>120</v>
      </c>
      <c r="F211">
        <f t="shared" si="13"/>
        <v>240</v>
      </c>
      <c r="J211" t="s">
        <v>30</v>
      </c>
    </row>
    <row r="212" spans="1:10" ht="12.75" x14ac:dyDescent="0.2">
      <c r="A212" t="s">
        <v>242</v>
      </c>
      <c r="B212" t="s">
        <v>235</v>
      </c>
      <c r="C212">
        <v>0.8</v>
      </c>
      <c r="D212">
        <f t="shared" si="9"/>
        <v>1.2000000000000002</v>
      </c>
      <c r="E212">
        <f t="shared" si="12"/>
        <v>2.4000000000000004</v>
      </c>
      <c r="F212">
        <f t="shared" si="13"/>
        <v>4.8000000000000007</v>
      </c>
      <c r="J212" t="s">
        <v>30</v>
      </c>
    </row>
    <row r="213" spans="1:10" ht="12.75" x14ac:dyDescent="0.2">
      <c r="A213" t="s">
        <v>243</v>
      </c>
      <c r="B213" t="s">
        <v>244</v>
      </c>
      <c r="C213">
        <v>18</v>
      </c>
      <c r="D213">
        <f t="shared" si="9"/>
        <v>27</v>
      </c>
      <c r="E213">
        <f t="shared" si="12"/>
        <v>54</v>
      </c>
      <c r="F213">
        <f t="shared" si="13"/>
        <v>108</v>
      </c>
      <c r="J213" t="s">
        <v>30</v>
      </c>
    </row>
    <row r="214" spans="1:10" ht="12.75" x14ac:dyDescent="0.2">
      <c r="A214" t="s">
        <v>245</v>
      </c>
      <c r="B214" t="s">
        <v>244</v>
      </c>
      <c r="C214">
        <v>0.3</v>
      </c>
      <c r="D214">
        <f t="shared" si="9"/>
        <v>0.44999999999999996</v>
      </c>
      <c r="E214">
        <f t="shared" si="12"/>
        <v>0.89999999999999991</v>
      </c>
      <c r="F214">
        <f t="shared" si="13"/>
        <v>1.7999999999999998</v>
      </c>
      <c r="J214" t="s">
        <v>30</v>
      </c>
    </row>
    <row r="215" spans="1:10" ht="12.75" x14ac:dyDescent="0.2">
      <c r="A215" t="s">
        <v>246</v>
      </c>
      <c r="B215" t="s">
        <v>244</v>
      </c>
      <c r="C215">
        <v>9</v>
      </c>
      <c r="D215">
        <f t="shared" si="9"/>
        <v>13.5</v>
      </c>
      <c r="E215">
        <f t="shared" si="12"/>
        <v>27</v>
      </c>
      <c r="F215">
        <f t="shared" si="13"/>
        <v>54</v>
      </c>
      <c r="J215" t="s">
        <v>30</v>
      </c>
    </row>
    <row r="216" spans="1:10" ht="12.75" x14ac:dyDescent="0.2">
      <c r="A216" t="s">
        <v>247</v>
      </c>
      <c r="B216" t="s">
        <v>248</v>
      </c>
      <c r="C216">
        <v>0.54</v>
      </c>
      <c r="D216">
        <f t="shared" si="9"/>
        <v>0.81</v>
      </c>
      <c r="E216">
        <f t="shared" si="12"/>
        <v>1.62</v>
      </c>
      <c r="F216">
        <f t="shared" si="13"/>
        <v>3.24</v>
      </c>
    </row>
    <row r="217" spans="1:10" ht="12.75" x14ac:dyDescent="0.2">
      <c r="A217" t="s">
        <v>249</v>
      </c>
      <c r="B217" t="s">
        <v>250</v>
      </c>
      <c r="C217">
        <v>0.08</v>
      </c>
      <c r="D217">
        <f>C217*1.33</f>
        <v>0.10640000000000001</v>
      </c>
      <c r="E217">
        <f>C217*2.66</f>
        <v>0.21280000000000002</v>
      </c>
      <c r="F217">
        <f>C217*5.22</f>
        <v>0.41759999999999997</v>
      </c>
      <c r="G217" t="s">
        <v>91</v>
      </c>
    </row>
    <row r="218" spans="1:10" ht="12.75" x14ac:dyDescent="0.2">
      <c r="A218" t="s">
        <v>249</v>
      </c>
      <c r="B218" t="s">
        <v>250</v>
      </c>
      <c r="C218">
        <v>0.01</v>
      </c>
      <c r="D218">
        <f t="shared" ref="D218:D219" si="14">C218*1.5</f>
        <v>1.4999999999999999E-2</v>
      </c>
    </row>
    <row r="219" spans="1:10" ht="12.75" x14ac:dyDescent="0.2">
      <c r="A219" t="s">
        <v>251</v>
      </c>
      <c r="B219" t="s">
        <v>250</v>
      </c>
      <c r="C219">
        <v>4.5999999999999996</v>
      </c>
      <c r="D219">
        <f t="shared" si="14"/>
        <v>6.8999999999999995</v>
      </c>
    </row>
    <row r="220" spans="1:10" ht="12.75" x14ac:dyDescent="0.2">
      <c r="A220" t="s">
        <v>252</v>
      </c>
      <c r="B220" t="s">
        <v>250</v>
      </c>
      <c r="C220">
        <v>0.05</v>
      </c>
      <c r="D220">
        <f t="shared" ref="D220:D221" si="15">C220*1.225</f>
        <v>6.1250000000000006E-2</v>
      </c>
      <c r="E220">
        <f t="shared" ref="E220:E221" si="16">C220*2.45</f>
        <v>0.12250000000000001</v>
      </c>
      <c r="F220">
        <f t="shared" ref="F220:F221" si="17">C220*4.9</f>
        <v>0.24500000000000002</v>
      </c>
      <c r="G220" t="s">
        <v>253</v>
      </c>
    </row>
    <row r="221" spans="1:10" ht="12.75" x14ac:dyDescent="0.2">
      <c r="A221" t="s">
        <v>254</v>
      </c>
      <c r="B221" t="s">
        <v>250</v>
      </c>
      <c r="C221">
        <v>0.12</v>
      </c>
      <c r="D221">
        <f t="shared" si="15"/>
        <v>0.14699999999999999</v>
      </c>
      <c r="E221">
        <f t="shared" si="16"/>
        <v>0.29399999999999998</v>
      </c>
      <c r="F221">
        <f t="shared" si="17"/>
        <v>0.58799999999999997</v>
      </c>
      <c r="G221" t="s">
        <v>253</v>
      </c>
    </row>
    <row r="222" spans="1:10" ht="12.75" x14ac:dyDescent="0.2">
      <c r="A222" t="s">
        <v>255</v>
      </c>
      <c r="B222" t="s">
        <v>250</v>
      </c>
      <c r="C222">
        <v>5</v>
      </c>
      <c r="D222">
        <f>C222*1.5</f>
        <v>7.5</v>
      </c>
    </row>
    <row r="223" spans="1:10" ht="12.75" x14ac:dyDescent="0.2">
      <c r="A223" t="s">
        <v>256</v>
      </c>
      <c r="B223" t="s">
        <v>250</v>
      </c>
      <c r="C223">
        <v>0.7</v>
      </c>
      <c r="D223">
        <f t="shared" ref="D223:D225" si="18">C223*1.33</f>
        <v>0.93099999999999994</v>
      </c>
      <c r="G223" t="s">
        <v>91</v>
      </c>
    </row>
    <row r="224" spans="1:10" ht="12.75" x14ac:dyDescent="0.2">
      <c r="A224" t="s">
        <v>257</v>
      </c>
      <c r="B224" t="s">
        <v>250</v>
      </c>
      <c r="C224">
        <v>0.3</v>
      </c>
      <c r="D224">
        <f t="shared" si="18"/>
        <v>0.39900000000000002</v>
      </c>
      <c r="G224" t="s">
        <v>91</v>
      </c>
    </row>
    <row r="225" spans="1:10" ht="12.75" x14ac:dyDescent="0.2">
      <c r="A225" t="s">
        <v>258</v>
      </c>
      <c r="B225" t="s">
        <v>250</v>
      </c>
      <c r="C225">
        <v>0.15</v>
      </c>
      <c r="D225">
        <f t="shared" si="18"/>
        <v>0.19950000000000001</v>
      </c>
      <c r="G225" t="s">
        <v>91</v>
      </c>
    </row>
    <row r="226" spans="1:10" ht="12.75" x14ac:dyDescent="0.2">
      <c r="A226" t="s">
        <v>259</v>
      </c>
      <c r="B226" t="s">
        <v>250</v>
      </c>
      <c r="C226">
        <v>0.1</v>
      </c>
      <c r="D226">
        <f>C226*1.5</f>
        <v>0.15000000000000002</v>
      </c>
    </row>
    <row r="227" spans="1:10" ht="12.75" x14ac:dyDescent="0.2">
      <c r="A227" t="s">
        <v>260</v>
      </c>
      <c r="B227" t="s">
        <v>250</v>
      </c>
      <c r="C227">
        <v>1</v>
      </c>
      <c r="D227">
        <f>C227*1.33</f>
        <v>1.33</v>
      </c>
      <c r="G227" t="s">
        <v>91</v>
      </c>
    </row>
    <row r="228" spans="1:10" ht="12.75" x14ac:dyDescent="0.2">
      <c r="A228" t="s">
        <v>261</v>
      </c>
      <c r="B228" t="s">
        <v>250</v>
      </c>
      <c r="C228">
        <v>0.33</v>
      </c>
      <c r="D228">
        <f>C228*1.5</f>
        <v>0.495</v>
      </c>
    </row>
    <row r="229" spans="1:10" ht="12.75" x14ac:dyDescent="0.2">
      <c r="A229" t="s">
        <v>262</v>
      </c>
      <c r="B229" t="s">
        <v>250</v>
      </c>
      <c r="C229">
        <v>8.3000000000000004E-2</v>
      </c>
      <c r="D229">
        <f t="shared" ref="D229:D231" si="19">C229*1.33</f>
        <v>0.11039000000000002</v>
      </c>
      <c r="G229" t="s">
        <v>91</v>
      </c>
    </row>
    <row r="230" spans="1:10" ht="12.75" x14ac:dyDescent="0.2">
      <c r="A230" t="s">
        <v>263</v>
      </c>
      <c r="B230" t="s">
        <v>250</v>
      </c>
      <c r="C230">
        <v>0.05</v>
      </c>
      <c r="D230">
        <f t="shared" si="19"/>
        <v>6.6500000000000004E-2</v>
      </c>
      <c r="G230" t="s">
        <v>91</v>
      </c>
    </row>
    <row r="231" spans="1:10" ht="12.75" x14ac:dyDescent="0.2">
      <c r="A231" t="s">
        <v>264</v>
      </c>
      <c r="B231" t="s">
        <v>250</v>
      </c>
      <c r="C231">
        <v>0.01</v>
      </c>
      <c r="D231">
        <f t="shared" si="19"/>
        <v>1.3300000000000001E-2</v>
      </c>
      <c r="G231" t="s">
        <v>91</v>
      </c>
    </row>
    <row r="232" spans="1:10" ht="12.75" x14ac:dyDescent="0.2">
      <c r="A232" t="s">
        <v>265</v>
      </c>
      <c r="B232" t="s">
        <v>250</v>
      </c>
      <c r="C232">
        <v>5.0000000000000001E-3</v>
      </c>
      <c r="D232">
        <f>C232*1.5</f>
        <v>7.4999999999999997E-3</v>
      </c>
    </row>
    <row r="233" spans="1:10" ht="12.75" x14ac:dyDescent="0.2">
      <c r="A233" t="s">
        <v>266</v>
      </c>
      <c r="B233" t="s">
        <v>250</v>
      </c>
      <c r="C233">
        <v>0.13300000000000001</v>
      </c>
      <c r="D233">
        <f t="shared" ref="D233:D235" si="20">C233*1.33</f>
        <v>0.17689000000000002</v>
      </c>
      <c r="G233" t="s">
        <v>91</v>
      </c>
    </row>
    <row r="234" spans="1:10" ht="12.75" x14ac:dyDescent="0.2">
      <c r="A234" t="s">
        <v>267</v>
      </c>
      <c r="B234" t="s">
        <v>250</v>
      </c>
      <c r="C234">
        <v>0.05</v>
      </c>
      <c r="D234">
        <f t="shared" si="20"/>
        <v>6.6500000000000004E-2</v>
      </c>
      <c r="E234">
        <f t="shared" ref="E234:E235" si="21">C234*2.66</f>
        <v>0.13300000000000001</v>
      </c>
      <c r="F234">
        <f t="shared" ref="F234:F235" si="22">C234*5.22</f>
        <v>0.26100000000000001</v>
      </c>
      <c r="G234" t="s">
        <v>91</v>
      </c>
    </row>
    <row r="235" spans="1:10" ht="12.75" x14ac:dyDescent="0.2">
      <c r="A235" t="s">
        <v>268</v>
      </c>
      <c r="B235" t="s">
        <v>250</v>
      </c>
      <c r="C235">
        <v>0.1</v>
      </c>
      <c r="D235">
        <f t="shared" si="20"/>
        <v>0.13300000000000001</v>
      </c>
      <c r="E235">
        <f t="shared" si="21"/>
        <v>0.26600000000000001</v>
      </c>
      <c r="F235">
        <f t="shared" si="22"/>
        <v>0.52200000000000002</v>
      </c>
      <c r="G235" t="s">
        <v>91</v>
      </c>
    </row>
    <row r="236" spans="1:10" ht="12.75" x14ac:dyDescent="0.2">
      <c r="A236" t="s">
        <v>269</v>
      </c>
      <c r="B236" t="s">
        <v>250</v>
      </c>
      <c r="C236">
        <v>1</v>
      </c>
      <c r="D236">
        <f t="shared" ref="D236:D266" si="23">C236*1.5</f>
        <v>1.5</v>
      </c>
      <c r="E236">
        <f t="shared" ref="E236:E266" si="24">C236*3</f>
        <v>3</v>
      </c>
      <c r="F236">
        <f t="shared" ref="F236:F266" si="25">C236*6</f>
        <v>6</v>
      </c>
    </row>
    <row r="237" spans="1:10" ht="12.75" x14ac:dyDescent="0.2">
      <c r="A237" t="s">
        <v>270</v>
      </c>
      <c r="B237" t="s">
        <v>271</v>
      </c>
      <c r="C237">
        <v>1</v>
      </c>
      <c r="D237">
        <f t="shared" si="23"/>
        <v>1.5</v>
      </c>
      <c r="E237">
        <f t="shared" si="24"/>
        <v>3</v>
      </c>
      <c r="F237">
        <f t="shared" si="25"/>
        <v>6</v>
      </c>
    </row>
    <row r="238" spans="1:10" ht="12.75" x14ac:dyDescent="0.2">
      <c r="A238" t="s">
        <v>272</v>
      </c>
      <c r="B238" t="s">
        <v>273</v>
      </c>
      <c r="C238">
        <v>0.05</v>
      </c>
      <c r="D238">
        <f t="shared" si="23"/>
        <v>7.5000000000000011E-2</v>
      </c>
      <c r="E238">
        <f t="shared" si="24"/>
        <v>0.15000000000000002</v>
      </c>
      <c r="F238">
        <f t="shared" si="25"/>
        <v>0.30000000000000004</v>
      </c>
    </row>
    <row r="239" spans="1:10" ht="12.75" x14ac:dyDescent="0.2">
      <c r="A239" t="s">
        <v>274</v>
      </c>
      <c r="B239" t="s">
        <v>273</v>
      </c>
      <c r="C239">
        <v>1</v>
      </c>
      <c r="D239">
        <f t="shared" si="23"/>
        <v>1.5</v>
      </c>
      <c r="E239">
        <f t="shared" si="24"/>
        <v>3</v>
      </c>
      <c r="F239">
        <f t="shared" si="25"/>
        <v>6</v>
      </c>
      <c r="J239" t="s">
        <v>30</v>
      </c>
    </row>
    <row r="240" spans="1:10" ht="12.75" x14ac:dyDescent="0.2">
      <c r="A240" t="s">
        <v>275</v>
      </c>
      <c r="B240" t="s">
        <v>273</v>
      </c>
      <c r="C240">
        <v>0.15</v>
      </c>
      <c r="D240">
        <f t="shared" si="23"/>
        <v>0.22499999999999998</v>
      </c>
      <c r="E240">
        <f t="shared" si="24"/>
        <v>0.44999999999999996</v>
      </c>
      <c r="F240">
        <f t="shared" si="25"/>
        <v>0.89999999999999991</v>
      </c>
      <c r="J240" t="s">
        <v>30</v>
      </c>
    </row>
    <row r="241" spans="1:10" ht="12.75" x14ac:dyDescent="0.2">
      <c r="A241" t="s">
        <v>276</v>
      </c>
      <c r="B241" t="s">
        <v>273</v>
      </c>
      <c r="C241">
        <v>0.15</v>
      </c>
      <c r="D241">
        <f t="shared" si="23"/>
        <v>0.22499999999999998</v>
      </c>
      <c r="E241">
        <f t="shared" si="24"/>
        <v>0.44999999999999996</v>
      </c>
      <c r="F241">
        <f t="shared" si="25"/>
        <v>0.89999999999999991</v>
      </c>
      <c r="J241" t="s">
        <v>30</v>
      </c>
    </row>
    <row r="242" spans="1:10" ht="12.75" x14ac:dyDescent="0.2">
      <c r="A242" t="s">
        <v>277</v>
      </c>
      <c r="B242" t="s">
        <v>278</v>
      </c>
      <c r="C242">
        <v>5</v>
      </c>
      <c r="D242">
        <f t="shared" si="23"/>
        <v>7.5</v>
      </c>
      <c r="E242">
        <f t="shared" si="24"/>
        <v>15</v>
      </c>
      <c r="F242">
        <f t="shared" si="25"/>
        <v>30</v>
      </c>
      <c r="J242" t="s">
        <v>30</v>
      </c>
    </row>
    <row r="243" spans="1:10" ht="12.75" x14ac:dyDescent="0.2">
      <c r="A243" t="s">
        <v>279</v>
      </c>
      <c r="B243" t="s">
        <v>278</v>
      </c>
      <c r="C243">
        <v>1.8</v>
      </c>
      <c r="D243">
        <f t="shared" si="23"/>
        <v>2.7</v>
      </c>
      <c r="E243">
        <f t="shared" si="24"/>
        <v>5.4</v>
      </c>
      <c r="F243">
        <f t="shared" si="25"/>
        <v>10.8</v>
      </c>
    </row>
    <row r="244" spans="1:10" ht="12.75" x14ac:dyDescent="0.2">
      <c r="A244" t="s">
        <v>280</v>
      </c>
      <c r="B244" t="s">
        <v>278</v>
      </c>
      <c r="C244">
        <v>5</v>
      </c>
      <c r="D244">
        <f t="shared" si="23"/>
        <v>7.5</v>
      </c>
      <c r="E244">
        <f t="shared" si="24"/>
        <v>15</v>
      </c>
      <c r="F244">
        <f t="shared" si="25"/>
        <v>30</v>
      </c>
      <c r="J244" t="s">
        <v>30</v>
      </c>
    </row>
    <row r="245" spans="1:10" ht="12.75" x14ac:dyDescent="0.2">
      <c r="A245" t="s">
        <v>281</v>
      </c>
      <c r="B245" t="s">
        <v>278</v>
      </c>
      <c r="C245">
        <v>0.4</v>
      </c>
      <c r="D245">
        <f t="shared" si="23"/>
        <v>0.60000000000000009</v>
      </c>
      <c r="E245">
        <f t="shared" si="24"/>
        <v>1.2000000000000002</v>
      </c>
      <c r="F245">
        <f t="shared" si="25"/>
        <v>2.4000000000000004</v>
      </c>
    </row>
    <row r="246" spans="1:10" ht="12.75" x14ac:dyDescent="0.2">
      <c r="A246" t="s">
        <v>282</v>
      </c>
      <c r="B246" t="s">
        <v>278</v>
      </c>
      <c r="C246">
        <v>3</v>
      </c>
      <c r="D246">
        <f t="shared" si="23"/>
        <v>4.5</v>
      </c>
      <c r="E246">
        <f t="shared" si="24"/>
        <v>9</v>
      </c>
      <c r="F246">
        <f t="shared" si="25"/>
        <v>18</v>
      </c>
      <c r="J246" t="s">
        <v>30</v>
      </c>
    </row>
    <row r="247" spans="1:10" ht="12.75" x14ac:dyDescent="0.2">
      <c r="A247" t="s">
        <v>283</v>
      </c>
      <c r="B247" t="s">
        <v>278</v>
      </c>
      <c r="C247">
        <v>6</v>
      </c>
      <c r="D247">
        <f t="shared" si="23"/>
        <v>9</v>
      </c>
      <c r="E247">
        <f t="shared" si="24"/>
        <v>18</v>
      </c>
      <c r="F247">
        <f t="shared" si="25"/>
        <v>36</v>
      </c>
      <c r="J247" t="s">
        <v>30</v>
      </c>
    </row>
    <row r="248" spans="1:10" ht="12.75" x14ac:dyDescent="0.2">
      <c r="A248" t="s">
        <v>284</v>
      </c>
      <c r="B248" t="s">
        <v>278</v>
      </c>
      <c r="C248">
        <v>4.5</v>
      </c>
      <c r="D248">
        <f t="shared" si="23"/>
        <v>6.75</v>
      </c>
      <c r="E248">
        <f t="shared" si="24"/>
        <v>13.5</v>
      </c>
      <c r="F248">
        <f t="shared" si="25"/>
        <v>27</v>
      </c>
      <c r="J248" t="s">
        <v>30</v>
      </c>
    </row>
    <row r="249" spans="1:10" ht="12.75" x14ac:dyDescent="0.2">
      <c r="A249" t="s">
        <v>285</v>
      </c>
      <c r="B249" t="s">
        <v>278</v>
      </c>
      <c r="C249">
        <v>0.2</v>
      </c>
      <c r="D249">
        <f t="shared" si="23"/>
        <v>0.30000000000000004</v>
      </c>
      <c r="E249">
        <f t="shared" si="24"/>
        <v>0.60000000000000009</v>
      </c>
      <c r="F249">
        <f t="shared" si="25"/>
        <v>1.2000000000000002</v>
      </c>
    </row>
    <row r="250" spans="1:10" ht="12.75" x14ac:dyDescent="0.2">
      <c r="A250" t="s">
        <v>286</v>
      </c>
      <c r="B250" t="s">
        <v>278</v>
      </c>
      <c r="C250">
        <v>1.2</v>
      </c>
      <c r="D250">
        <f t="shared" si="23"/>
        <v>1.7999999999999998</v>
      </c>
      <c r="E250">
        <f t="shared" si="24"/>
        <v>3.5999999999999996</v>
      </c>
      <c r="F250">
        <f t="shared" si="25"/>
        <v>7.1999999999999993</v>
      </c>
      <c r="J250" t="s">
        <v>30</v>
      </c>
    </row>
    <row r="251" spans="1:10" ht="12.75" x14ac:dyDescent="0.2">
      <c r="A251" t="s">
        <v>287</v>
      </c>
      <c r="B251" t="s">
        <v>278</v>
      </c>
      <c r="C251">
        <v>5</v>
      </c>
      <c r="D251">
        <f t="shared" si="23"/>
        <v>7.5</v>
      </c>
      <c r="E251">
        <f t="shared" si="24"/>
        <v>15</v>
      </c>
      <c r="F251">
        <f t="shared" si="25"/>
        <v>30</v>
      </c>
      <c r="J251" t="s">
        <v>30</v>
      </c>
    </row>
    <row r="252" spans="1:10" ht="12.75" x14ac:dyDescent="0.2">
      <c r="A252" t="s">
        <v>288</v>
      </c>
      <c r="B252" t="s">
        <v>289</v>
      </c>
      <c r="C252">
        <v>75</v>
      </c>
      <c r="D252">
        <f t="shared" si="23"/>
        <v>112.5</v>
      </c>
      <c r="E252">
        <f t="shared" si="24"/>
        <v>225</v>
      </c>
      <c r="F252">
        <f t="shared" si="25"/>
        <v>450</v>
      </c>
      <c r="G252" t="s">
        <v>290</v>
      </c>
    </row>
    <row r="253" spans="1:10" ht="12.75" x14ac:dyDescent="0.2">
      <c r="A253" t="s">
        <v>291</v>
      </c>
      <c r="B253" t="s">
        <v>289</v>
      </c>
      <c r="C253">
        <v>250</v>
      </c>
      <c r="D253">
        <f t="shared" si="23"/>
        <v>375</v>
      </c>
      <c r="E253">
        <f t="shared" si="24"/>
        <v>750</v>
      </c>
      <c r="F253">
        <f t="shared" si="25"/>
        <v>1500</v>
      </c>
      <c r="G253" t="s">
        <v>292</v>
      </c>
    </row>
    <row r="254" spans="1:10" ht="12.75" x14ac:dyDescent="0.2">
      <c r="A254" t="s">
        <v>293</v>
      </c>
      <c r="B254" t="s">
        <v>289</v>
      </c>
      <c r="C254">
        <v>100</v>
      </c>
      <c r="D254">
        <f t="shared" si="23"/>
        <v>150</v>
      </c>
      <c r="E254">
        <f t="shared" si="24"/>
        <v>300</v>
      </c>
      <c r="F254">
        <f t="shared" si="25"/>
        <v>600</v>
      </c>
      <c r="G254" t="s">
        <v>294</v>
      </c>
    </row>
    <row r="255" spans="1:10" ht="12.75" x14ac:dyDescent="0.2">
      <c r="A255" t="s">
        <v>295</v>
      </c>
      <c r="B255" t="s">
        <v>289</v>
      </c>
      <c r="C255">
        <v>100</v>
      </c>
      <c r="D255">
        <f t="shared" si="23"/>
        <v>150</v>
      </c>
      <c r="E255">
        <f t="shared" si="24"/>
        <v>300</v>
      </c>
      <c r="F255">
        <f t="shared" si="25"/>
        <v>600</v>
      </c>
      <c r="G255" t="s">
        <v>74</v>
      </c>
    </row>
    <row r="256" spans="1:10" ht="12.75" x14ac:dyDescent="0.2">
      <c r="A256" t="s">
        <v>296</v>
      </c>
      <c r="B256" t="s">
        <v>289</v>
      </c>
      <c r="C256">
        <v>150</v>
      </c>
      <c r="D256">
        <f t="shared" si="23"/>
        <v>225</v>
      </c>
      <c r="E256">
        <f t="shared" si="24"/>
        <v>450</v>
      </c>
      <c r="F256">
        <f t="shared" si="25"/>
        <v>900</v>
      </c>
      <c r="G256" t="s">
        <v>292</v>
      </c>
    </row>
    <row r="257" spans="1:10" ht="12.75" x14ac:dyDescent="0.2">
      <c r="A257" t="s">
        <v>297</v>
      </c>
      <c r="B257" t="s">
        <v>289</v>
      </c>
      <c r="C257">
        <v>125</v>
      </c>
      <c r="D257">
        <f t="shared" si="23"/>
        <v>187.5</v>
      </c>
      <c r="E257">
        <f t="shared" si="24"/>
        <v>375</v>
      </c>
      <c r="F257">
        <f t="shared" si="25"/>
        <v>750</v>
      </c>
      <c r="G257" t="s">
        <v>292</v>
      </c>
    </row>
    <row r="258" spans="1:10" ht="12.75" x14ac:dyDescent="0.2">
      <c r="A258" t="s">
        <v>298</v>
      </c>
      <c r="B258" t="s">
        <v>289</v>
      </c>
      <c r="C258">
        <v>750</v>
      </c>
      <c r="D258">
        <f t="shared" si="23"/>
        <v>1125</v>
      </c>
      <c r="E258">
        <f t="shared" si="24"/>
        <v>2250</v>
      </c>
      <c r="F258">
        <f t="shared" si="25"/>
        <v>4500</v>
      </c>
      <c r="G258" t="s">
        <v>290</v>
      </c>
    </row>
    <row r="259" spans="1:10" ht="12.75" x14ac:dyDescent="0.2">
      <c r="A259" t="s">
        <v>299</v>
      </c>
      <c r="B259" t="s">
        <v>289</v>
      </c>
      <c r="C259">
        <v>200</v>
      </c>
      <c r="D259">
        <f t="shared" si="23"/>
        <v>300</v>
      </c>
      <c r="E259">
        <f t="shared" si="24"/>
        <v>600</v>
      </c>
      <c r="F259">
        <f t="shared" si="25"/>
        <v>1200</v>
      </c>
      <c r="G259" t="s">
        <v>294</v>
      </c>
    </row>
    <row r="260" spans="1:10" ht="12.75" x14ac:dyDescent="0.2">
      <c r="A260" t="s">
        <v>300</v>
      </c>
      <c r="B260" t="s">
        <v>289</v>
      </c>
      <c r="C260">
        <v>125</v>
      </c>
      <c r="D260">
        <f t="shared" si="23"/>
        <v>187.5</v>
      </c>
      <c r="E260">
        <f t="shared" si="24"/>
        <v>375</v>
      </c>
      <c r="F260">
        <f t="shared" si="25"/>
        <v>750</v>
      </c>
      <c r="G260" t="s">
        <v>290</v>
      </c>
    </row>
    <row r="261" spans="1:10" ht="12.75" x14ac:dyDescent="0.2">
      <c r="A261" t="s">
        <v>301</v>
      </c>
      <c r="B261" t="s">
        <v>289</v>
      </c>
      <c r="C261">
        <v>1000</v>
      </c>
      <c r="D261">
        <f t="shared" si="23"/>
        <v>1500</v>
      </c>
      <c r="E261">
        <f t="shared" si="24"/>
        <v>3000</v>
      </c>
      <c r="F261">
        <f t="shared" si="25"/>
        <v>6000</v>
      </c>
      <c r="G261" t="s">
        <v>74</v>
      </c>
    </row>
    <row r="262" spans="1:10" ht="12.75" x14ac:dyDescent="0.2">
      <c r="A262" t="s">
        <v>302</v>
      </c>
      <c r="B262" t="s">
        <v>289</v>
      </c>
      <c r="C262">
        <v>100</v>
      </c>
      <c r="D262">
        <f t="shared" si="23"/>
        <v>150</v>
      </c>
      <c r="E262">
        <f t="shared" si="24"/>
        <v>300</v>
      </c>
      <c r="F262">
        <f t="shared" si="25"/>
        <v>600</v>
      </c>
      <c r="G262" t="s">
        <v>74</v>
      </c>
    </row>
    <row r="263" spans="1:10" ht="12.75" x14ac:dyDescent="0.2">
      <c r="A263" t="s">
        <v>303</v>
      </c>
      <c r="B263" t="s">
        <v>289</v>
      </c>
      <c r="C263">
        <v>300</v>
      </c>
      <c r="D263">
        <f t="shared" si="23"/>
        <v>450</v>
      </c>
      <c r="E263">
        <f t="shared" si="24"/>
        <v>900</v>
      </c>
      <c r="F263">
        <f t="shared" si="25"/>
        <v>1800</v>
      </c>
      <c r="G263" t="s">
        <v>290</v>
      </c>
    </row>
    <row r="264" spans="1:10" ht="12.75" x14ac:dyDescent="0.2">
      <c r="A264" t="s">
        <v>304</v>
      </c>
      <c r="B264" t="s">
        <v>289</v>
      </c>
      <c r="C264">
        <v>75</v>
      </c>
      <c r="D264">
        <f t="shared" si="23"/>
        <v>112.5</v>
      </c>
      <c r="E264">
        <f t="shared" si="24"/>
        <v>225</v>
      </c>
      <c r="F264">
        <f t="shared" si="25"/>
        <v>450</v>
      </c>
      <c r="G264" t="s">
        <v>290</v>
      </c>
    </row>
    <row r="265" spans="1:10" ht="12.75" x14ac:dyDescent="0.2">
      <c r="A265" t="s">
        <v>305</v>
      </c>
      <c r="B265" t="s">
        <v>289</v>
      </c>
      <c r="C265">
        <v>600</v>
      </c>
      <c r="D265">
        <f t="shared" si="23"/>
        <v>900</v>
      </c>
      <c r="E265">
        <f t="shared" si="24"/>
        <v>1800</v>
      </c>
      <c r="F265">
        <f t="shared" si="25"/>
        <v>3600</v>
      </c>
      <c r="G265" t="s">
        <v>74</v>
      </c>
    </row>
    <row r="266" spans="1:10" ht="12.75" x14ac:dyDescent="0.2">
      <c r="A266" t="s">
        <v>306</v>
      </c>
      <c r="B266" t="s">
        <v>307</v>
      </c>
      <c r="C266">
        <v>5</v>
      </c>
      <c r="D266">
        <f t="shared" si="23"/>
        <v>7.5</v>
      </c>
      <c r="E266">
        <f t="shared" si="24"/>
        <v>15</v>
      </c>
      <c r="F266">
        <f t="shared" si="25"/>
        <v>30</v>
      </c>
      <c r="J266" t="s">
        <v>30</v>
      </c>
    </row>
    <row r="267" spans="1:10" ht="12.75" x14ac:dyDescent="0.2">
      <c r="A267" t="s">
        <v>308</v>
      </c>
      <c r="B267" t="s">
        <v>307</v>
      </c>
      <c r="C267">
        <v>15</v>
      </c>
    </row>
    <row r="268" spans="1:10" ht="12.75" x14ac:dyDescent="0.2">
      <c r="A268" t="s">
        <v>309</v>
      </c>
      <c r="B268" t="s">
        <v>307</v>
      </c>
      <c r="C268">
        <v>1.4</v>
      </c>
      <c r="D268">
        <f>C268*1.5</f>
        <v>2.0999999999999996</v>
      </c>
    </row>
    <row r="269" spans="1:10" ht="12.75" x14ac:dyDescent="0.2">
      <c r="A269" t="s">
        <v>310</v>
      </c>
      <c r="B269" t="s">
        <v>307</v>
      </c>
      <c r="C269">
        <v>30</v>
      </c>
    </row>
    <row r="270" spans="1:10" ht="12.75" x14ac:dyDescent="0.2">
      <c r="A270" t="s">
        <v>311</v>
      </c>
      <c r="B270" t="s">
        <v>307</v>
      </c>
      <c r="C270">
        <v>1.8</v>
      </c>
    </row>
    <row r="271" spans="1:10" ht="12.75" x14ac:dyDescent="0.2">
      <c r="A271" t="s">
        <v>312</v>
      </c>
      <c r="B271" t="s">
        <v>307</v>
      </c>
      <c r="C271">
        <v>1.5</v>
      </c>
      <c r="D271">
        <f>C271*1.5</f>
        <v>2.25</v>
      </c>
      <c r="E271">
        <f>C271*3</f>
        <v>4.5</v>
      </c>
      <c r="F271">
        <f>C271*6</f>
        <v>9</v>
      </c>
      <c r="J271" t="s">
        <v>30</v>
      </c>
    </row>
    <row r="272" spans="1:10" ht="12.75" x14ac:dyDescent="0.2">
      <c r="A272" t="s">
        <v>313</v>
      </c>
      <c r="B272" t="s">
        <v>307</v>
      </c>
      <c r="C272">
        <v>5</v>
      </c>
    </row>
    <row r="273" spans="1:6" ht="12.75" x14ac:dyDescent="0.2">
      <c r="A273" t="s">
        <v>314</v>
      </c>
      <c r="B273" t="s">
        <v>307</v>
      </c>
      <c r="C273">
        <v>2.4</v>
      </c>
    </row>
    <row r="274" spans="1:6" ht="12.75" x14ac:dyDescent="0.2">
      <c r="A274" t="s">
        <v>315</v>
      </c>
      <c r="B274" t="s">
        <v>307</v>
      </c>
      <c r="C274">
        <v>1.2</v>
      </c>
      <c r="D274">
        <f t="shared" ref="D274:D293" si="26">C274*1.5</f>
        <v>1.7999999999999998</v>
      </c>
    </row>
    <row r="275" spans="1:6" ht="12.75" x14ac:dyDescent="0.2">
      <c r="A275" t="s">
        <v>316</v>
      </c>
      <c r="B275" t="s">
        <v>317</v>
      </c>
      <c r="C275">
        <v>1</v>
      </c>
      <c r="D275">
        <f t="shared" si="26"/>
        <v>1.5</v>
      </c>
    </row>
    <row r="276" spans="1:6" ht="12.75" x14ac:dyDescent="0.2">
      <c r="A276" t="s">
        <v>318</v>
      </c>
      <c r="B276" t="s">
        <v>317</v>
      </c>
      <c r="C276">
        <v>0.1</v>
      </c>
      <c r="D276">
        <f t="shared" si="26"/>
        <v>0.15000000000000002</v>
      </c>
    </row>
    <row r="277" spans="1:6" ht="12.75" x14ac:dyDescent="0.2">
      <c r="A277" t="s">
        <v>319</v>
      </c>
      <c r="B277" t="s">
        <v>317</v>
      </c>
      <c r="C277">
        <v>1.5</v>
      </c>
      <c r="D277">
        <f t="shared" si="26"/>
        <v>2.25</v>
      </c>
    </row>
    <row r="278" spans="1:6" ht="12.75" x14ac:dyDescent="0.2">
      <c r="A278" t="s">
        <v>320</v>
      </c>
      <c r="B278" t="s">
        <v>317</v>
      </c>
      <c r="C278">
        <v>0.7</v>
      </c>
      <c r="D278">
        <f t="shared" si="26"/>
        <v>1.0499999999999998</v>
      </c>
    </row>
    <row r="279" spans="1:6" ht="12.75" x14ac:dyDescent="0.2">
      <c r="A279" t="s">
        <v>321</v>
      </c>
      <c r="B279" t="s">
        <v>317</v>
      </c>
      <c r="C279">
        <v>1</v>
      </c>
      <c r="D279">
        <f t="shared" si="26"/>
        <v>1.5</v>
      </c>
    </row>
    <row r="280" spans="1:6" ht="12.75" x14ac:dyDescent="0.2">
      <c r="A280" t="s">
        <v>322</v>
      </c>
      <c r="B280" t="s">
        <v>317</v>
      </c>
      <c r="C280">
        <v>0.01</v>
      </c>
      <c r="D280">
        <f t="shared" si="26"/>
        <v>1.4999999999999999E-2</v>
      </c>
    </row>
    <row r="281" spans="1:6" ht="12.75" x14ac:dyDescent="0.2">
      <c r="A281" t="s">
        <v>323</v>
      </c>
      <c r="B281" t="s">
        <v>317</v>
      </c>
      <c r="C281">
        <v>1.2</v>
      </c>
      <c r="D281">
        <f t="shared" si="26"/>
        <v>1.7999999999999998</v>
      </c>
    </row>
    <row r="282" spans="1:6" ht="12.75" x14ac:dyDescent="0.2">
      <c r="A282" t="s">
        <v>324</v>
      </c>
      <c r="B282" t="s">
        <v>325</v>
      </c>
      <c r="C282">
        <v>1500</v>
      </c>
      <c r="D282">
        <f t="shared" si="26"/>
        <v>2250</v>
      </c>
      <c r="E282">
        <f t="shared" ref="E282:E293" si="27">C282*3</f>
        <v>4500</v>
      </c>
      <c r="F282">
        <f t="shared" ref="F282:F293" si="28">C282*6</f>
        <v>9000</v>
      </c>
    </row>
    <row r="283" spans="1:6" ht="12.75" x14ac:dyDescent="0.2">
      <c r="A283" t="s">
        <v>326</v>
      </c>
      <c r="B283" t="s">
        <v>327</v>
      </c>
      <c r="C283">
        <v>0.3</v>
      </c>
      <c r="D283">
        <f t="shared" si="26"/>
        <v>0.44999999999999996</v>
      </c>
      <c r="E283">
        <f t="shared" si="27"/>
        <v>0.89999999999999991</v>
      </c>
      <c r="F283">
        <f t="shared" si="28"/>
        <v>1.7999999999999998</v>
      </c>
    </row>
    <row r="284" spans="1:6" ht="12.75" x14ac:dyDescent="0.2">
      <c r="A284" t="s">
        <v>328</v>
      </c>
      <c r="B284" t="s">
        <v>327</v>
      </c>
      <c r="C284">
        <v>200</v>
      </c>
      <c r="D284">
        <f t="shared" si="26"/>
        <v>300</v>
      </c>
      <c r="E284">
        <f t="shared" si="27"/>
        <v>600</v>
      </c>
      <c r="F284">
        <f t="shared" si="28"/>
        <v>1200</v>
      </c>
    </row>
    <row r="285" spans="1:6" ht="12.75" x14ac:dyDescent="0.2">
      <c r="A285" t="s">
        <v>329</v>
      </c>
      <c r="B285" t="s">
        <v>327</v>
      </c>
      <c r="C285">
        <v>4</v>
      </c>
      <c r="D285">
        <f t="shared" si="26"/>
        <v>6</v>
      </c>
      <c r="E285">
        <f t="shared" si="27"/>
        <v>12</v>
      </c>
      <c r="F285">
        <f t="shared" si="28"/>
        <v>24</v>
      </c>
    </row>
    <row r="286" spans="1:6" ht="12.75" x14ac:dyDescent="0.2">
      <c r="A286" t="s">
        <v>330</v>
      </c>
      <c r="B286" t="s">
        <v>327</v>
      </c>
      <c r="C286">
        <v>250</v>
      </c>
      <c r="D286">
        <f t="shared" si="26"/>
        <v>375</v>
      </c>
      <c r="E286">
        <f t="shared" si="27"/>
        <v>750</v>
      </c>
      <c r="F286">
        <f t="shared" si="28"/>
        <v>1500</v>
      </c>
    </row>
    <row r="287" spans="1:6" ht="12.75" x14ac:dyDescent="0.2">
      <c r="A287" t="s">
        <v>331</v>
      </c>
      <c r="B287" t="s">
        <v>327</v>
      </c>
      <c r="C287">
        <v>25</v>
      </c>
      <c r="D287">
        <f t="shared" si="26"/>
        <v>37.5</v>
      </c>
      <c r="E287">
        <f t="shared" si="27"/>
        <v>75</v>
      </c>
      <c r="F287">
        <f t="shared" si="28"/>
        <v>150</v>
      </c>
    </row>
    <row r="288" spans="1:6" ht="12.75" x14ac:dyDescent="0.2">
      <c r="A288" t="s">
        <v>332</v>
      </c>
      <c r="B288" t="s">
        <v>327</v>
      </c>
      <c r="C288">
        <v>0.05</v>
      </c>
      <c r="D288">
        <f t="shared" si="26"/>
        <v>7.5000000000000011E-2</v>
      </c>
      <c r="E288">
        <f t="shared" si="27"/>
        <v>0.15000000000000002</v>
      </c>
      <c r="F288">
        <f t="shared" si="28"/>
        <v>0.30000000000000004</v>
      </c>
    </row>
    <row r="289" spans="1:7" ht="12.75" x14ac:dyDescent="0.2">
      <c r="A289" t="s">
        <v>333</v>
      </c>
      <c r="B289" t="s">
        <v>327</v>
      </c>
      <c r="C289">
        <v>15</v>
      </c>
      <c r="D289">
        <f t="shared" si="26"/>
        <v>22.5</v>
      </c>
      <c r="E289">
        <f t="shared" si="27"/>
        <v>45</v>
      </c>
      <c r="F289">
        <f t="shared" si="28"/>
        <v>90</v>
      </c>
    </row>
    <row r="290" spans="1:7" ht="12.75" x14ac:dyDescent="0.2">
      <c r="A290" t="s">
        <v>334</v>
      </c>
      <c r="B290" t="s">
        <v>327</v>
      </c>
      <c r="C290">
        <v>10</v>
      </c>
      <c r="D290">
        <f t="shared" si="26"/>
        <v>15</v>
      </c>
      <c r="E290">
        <f t="shared" si="27"/>
        <v>30</v>
      </c>
      <c r="F290">
        <f t="shared" si="28"/>
        <v>60</v>
      </c>
    </row>
    <row r="291" spans="1:7" ht="12.75" x14ac:dyDescent="0.2">
      <c r="A291" t="s">
        <v>335</v>
      </c>
      <c r="B291" t="s">
        <v>327</v>
      </c>
      <c r="C291">
        <v>7.5</v>
      </c>
      <c r="D291">
        <f t="shared" si="26"/>
        <v>11.25</v>
      </c>
      <c r="E291">
        <f t="shared" si="27"/>
        <v>22.5</v>
      </c>
      <c r="F291">
        <f t="shared" si="28"/>
        <v>45</v>
      </c>
    </row>
    <row r="292" spans="1:7" ht="12.75" x14ac:dyDescent="0.2">
      <c r="A292" t="s">
        <v>336</v>
      </c>
      <c r="B292" t="s">
        <v>327</v>
      </c>
      <c r="C292">
        <v>1</v>
      </c>
      <c r="D292">
        <f t="shared" si="26"/>
        <v>1.5</v>
      </c>
      <c r="E292">
        <f t="shared" si="27"/>
        <v>3</v>
      </c>
      <c r="F292">
        <f t="shared" si="28"/>
        <v>6</v>
      </c>
    </row>
    <row r="293" spans="1:7" ht="12.75" x14ac:dyDescent="0.2">
      <c r="A293" t="s">
        <v>337</v>
      </c>
      <c r="B293" t="s">
        <v>327</v>
      </c>
      <c r="C293">
        <v>10</v>
      </c>
      <c r="D293">
        <f t="shared" si="26"/>
        <v>15</v>
      </c>
      <c r="E293">
        <f t="shared" si="27"/>
        <v>30</v>
      </c>
      <c r="F293">
        <f t="shared" si="28"/>
        <v>60</v>
      </c>
    </row>
    <row r="294" spans="1:7" ht="12.75" x14ac:dyDescent="0.2">
      <c r="A294" t="s">
        <v>338</v>
      </c>
      <c r="B294" t="s">
        <v>327</v>
      </c>
      <c r="C294">
        <v>7.4999999999999997E-2</v>
      </c>
      <c r="D294">
        <f>C294*1.33</f>
        <v>9.9750000000000005E-2</v>
      </c>
      <c r="G294" t="s">
        <v>91</v>
      </c>
    </row>
    <row r="295" spans="1:7" ht="12.75" x14ac:dyDescent="0.2">
      <c r="A295" t="s">
        <v>339</v>
      </c>
      <c r="B295" t="s">
        <v>327</v>
      </c>
      <c r="C295">
        <v>120</v>
      </c>
      <c r="D295">
        <f t="shared" ref="D295:D318" si="29">C295*1.5</f>
        <v>180</v>
      </c>
      <c r="E295">
        <f t="shared" ref="E295:E318" si="30">C295*3</f>
        <v>360</v>
      </c>
      <c r="F295">
        <f t="shared" ref="F295:F318" si="31">C295*6</f>
        <v>720</v>
      </c>
    </row>
    <row r="296" spans="1:7" ht="12.75" x14ac:dyDescent="0.2">
      <c r="A296" t="s">
        <v>340</v>
      </c>
      <c r="B296" t="s">
        <v>341</v>
      </c>
      <c r="C296">
        <v>150</v>
      </c>
      <c r="D296">
        <f t="shared" si="29"/>
        <v>225</v>
      </c>
      <c r="E296">
        <f t="shared" si="30"/>
        <v>450</v>
      </c>
      <c r="F296">
        <f t="shared" si="31"/>
        <v>900</v>
      </c>
    </row>
    <row r="297" spans="1:7" ht="12.75" x14ac:dyDescent="0.2">
      <c r="A297" t="s">
        <v>342</v>
      </c>
      <c r="B297" t="s">
        <v>341</v>
      </c>
      <c r="C297">
        <v>16</v>
      </c>
      <c r="D297">
        <f t="shared" si="29"/>
        <v>24</v>
      </c>
      <c r="E297">
        <f t="shared" si="30"/>
        <v>48</v>
      </c>
      <c r="F297">
        <f t="shared" si="31"/>
        <v>96</v>
      </c>
    </row>
    <row r="298" spans="1:7" ht="12.75" x14ac:dyDescent="0.2">
      <c r="A298" t="s">
        <v>343</v>
      </c>
      <c r="B298" t="s">
        <v>341</v>
      </c>
      <c r="C298">
        <v>9</v>
      </c>
      <c r="D298">
        <f t="shared" si="29"/>
        <v>13.5</v>
      </c>
      <c r="E298">
        <f t="shared" si="30"/>
        <v>27</v>
      </c>
      <c r="F298">
        <f t="shared" si="31"/>
        <v>54</v>
      </c>
    </row>
    <row r="299" spans="1:7" ht="12.75" x14ac:dyDescent="0.2">
      <c r="A299" t="s">
        <v>344</v>
      </c>
      <c r="B299" t="s">
        <v>341</v>
      </c>
      <c r="C299">
        <v>8</v>
      </c>
      <c r="D299">
        <f t="shared" si="29"/>
        <v>12</v>
      </c>
      <c r="E299">
        <f t="shared" si="30"/>
        <v>24</v>
      </c>
      <c r="F299">
        <f t="shared" si="31"/>
        <v>48</v>
      </c>
    </row>
    <row r="300" spans="1:7" ht="12.75" x14ac:dyDescent="0.2">
      <c r="A300" t="s">
        <v>345</v>
      </c>
      <c r="B300" t="s">
        <v>341</v>
      </c>
      <c r="C300">
        <v>16</v>
      </c>
      <c r="D300">
        <f t="shared" si="29"/>
        <v>24</v>
      </c>
      <c r="E300">
        <f t="shared" si="30"/>
        <v>48</v>
      </c>
      <c r="F300">
        <f t="shared" si="31"/>
        <v>96</v>
      </c>
    </row>
    <row r="301" spans="1:7" ht="12.75" x14ac:dyDescent="0.2">
      <c r="A301" t="s">
        <v>346</v>
      </c>
      <c r="B301" t="s">
        <v>341</v>
      </c>
      <c r="C301">
        <v>10</v>
      </c>
      <c r="D301">
        <f t="shared" si="29"/>
        <v>15</v>
      </c>
      <c r="E301">
        <f t="shared" si="30"/>
        <v>30</v>
      </c>
      <c r="F301">
        <f t="shared" si="31"/>
        <v>60</v>
      </c>
    </row>
    <row r="302" spans="1:7" ht="12.75" x14ac:dyDescent="0.2">
      <c r="A302" t="s">
        <v>347</v>
      </c>
      <c r="B302" t="s">
        <v>341</v>
      </c>
      <c r="C302">
        <v>12</v>
      </c>
      <c r="D302">
        <f t="shared" si="29"/>
        <v>18</v>
      </c>
      <c r="E302">
        <f t="shared" si="30"/>
        <v>36</v>
      </c>
      <c r="F302">
        <f t="shared" si="31"/>
        <v>72</v>
      </c>
    </row>
    <row r="303" spans="1:7" ht="12.75" x14ac:dyDescent="0.2">
      <c r="A303" t="s">
        <v>348</v>
      </c>
      <c r="B303" t="s">
        <v>341</v>
      </c>
      <c r="C303">
        <v>25</v>
      </c>
      <c r="D303">
        <f t="shared" si="29"/>
        <v>37.5</v>
      </c>
      <c r="E303">
        <f t="shared" si="30"/>
        <v>75</v>
      </c>
      <c r="F303">
        <f t="shared" si="31"/>
        <v>150</v>
      </c>
    </row>
    <row r="304" spans="1:7" ht="12.75" x14ac:dyDescent="0.2">
      <c r="A304" t="s">
        <v>349</v>
      </c>
      <c r="B304" t="s">
        <v>341</v>
      </c>
      <c r="C304">
        <v>12</v>
      </c>
      <c r="D304">
        <f t="shared" si="29"/>
        <v>18</v>
      </c>
      <c r="E304">
        <f t="shared" si="30"/>
        <v>36</v>
      </c>
      <c r="F304">
        <f t="shared" si="31"/>
        <v>72</v>
      </c>
    </row>
    <row r="305" spans="1:13" ht="12.75" x14ac:dyDescent="0.2">
      <c r="A305" t="s">
        <v>350</v>
      </c>
      <c r="B305" t="s">
        <v>341</v>
      </c>
      <c r="C305">
        <v>12</v>
      </c>
      <c r="D305">
        <f t="shared" si="29"/>
        <v>18</v>
      </c>
      <c r="E305">
        <f t="shared" si="30"/>
        <v>36</v>
      </c>
      <c r="F305">
        <f t="shared" si="31"/>
        <v>72</v>
      </c>
    </row>
    <row r="306" spans="1:13" ht="12.75" x14ac:dyDescent="0.2">
      <c r="A306" t="s">
        <v>351</v>
      </c>
      <c r="B306" t="s">
        <v>341</v>
      </c>
      <c r="C306">
        <v>18</v>
      </c>
      <c r="D306">
        <f t="shared" si="29"/>
        <v>27</v>
      </c>
      <c r="E306">
        <f t="shared" si="30"/>
        <v>54</v>
      </c>
      <c r="F306">
        <f t="shared" si="31"/>
        <v>108</v>
      </c>
    </row>
    <row r="307" spans="1:13" ht="12.75" x14ac:dyDescent="0.2">
      <c r="A307" t="s">
        <v>352</v>
      </c>
      <c r="B307" t="s">
        <v>341</v>
      </c>
      <c r="C307">
        <v>16</v>
      </c>
      <c r="D307">
        <f t="shared" si="29"/>
        <v>24</v>
      </c>
      <c r="E307">
        <f t="shared" si="30"/>
        <v>48</v>
      </c>
      <c r="F307">
        <f t="shared" si="31"/>
        <v>96</v>
      </c>
    </row>
    <row r="308" spans="1:13" ht="12.75" x14ac:dyDescent="0.2">
      <c r="A308" t="s">
        <v>353</v>
      </c>
      <c r="B308" t="s">
        <v>341</v>
      </c>
      <c r="C308">
        <v>11</v>
      </c>
      <c r="D308">
        <f t="shared" si="29"/>
        <v>16.5</v>
      </c>
      <c r="E308">
        <f t="shared" si="30"/>
        <v>33</v>
      </c>
      <c r="F308">
        <f t="shared" si="31"/>
        <v>66</v>
      </c>
    </row>
    <row r="309" spans="1:13" ht="12.75" x14ac:dyDescent="0.2">
      <c r="A309" t="s">
        <v>354</v>
      </c>
      <c r="B309" t="s">
        <v>341</v>
      </c>
      <c r="C309">
        <v>50</v>
      </c>
      <c r="D309">
        <f t="shared" si="29"/>
        <v>75</v>
      </c>
      <c r="E309">
        <f t="shared" si="30"/>
        <v>150</v>
      </c>
      <c r="F309">
        <f t="shared" si="31"/>
        <v>300</v>
      </c>
    </row>
    <row r="310" spans="1:13" ht="12.75" x14ac:dyDescent="0.2">
      <c r="A310" t="s">
        <v>355</v>
      </c>
      <c r="B310" t="s">
        <v>341</v>
      </c>
      <c r="C310">
        <v>20</v>
      </c>
      <c r="D310">
        <f t="shared" si="29"/>
        <v>30</v>
      </c>
      <c r="E310">
        <f t="shared" si="30"/>
        <v>60</v>
      </c>
      <c r="F310">
        <f t="shared" si="31"/>
        <v>120</v>
      </c>
    </row>
    <row r="311" spans="1:13" ht="12.75" x14ac:dyDescent="0.2">
      <c r="A311" t="s">
        <v>356</v>
      </c>
      <c r="B311" t="s">
        <v>341</v>
      </c>
      <c r="C311">
        <v>30</v>
      </c>
      <c r="D311">
        <f t="shared" si="29"/>
        <v>45</v>
      </c>
      <c r="E311">
        <f t="shared" si="30"/>
        <v>90</v>
      </c>
      <c r="F311">
        <f t="shared" si="31"/>
        <v>180</v>
      </c>
    </row>
    <row r="312" spans="1:13" ht="12.75" x14ac:dyDescent="0.2">
      <c r="A312" t="s">
        <v>357</v>
      </c>
      <c r="B312" t="s">
        <v>341</v>
      </c>
      <c r="C312">
        <v>9</v>
      </c>
      <c r="D312">
        <f t="shared" si="29"/>
        <v>13.5</v>
      </c>
      <c r="E312">
        <f t="shared" si="30"/>
        <v>27</v>
      </c>
      <c r="F312">
        <f t="shared" si="31"/>
        <v>54</v>
      </c>
    </row>
    <row r="313" spans="1:13" ht="12.75" x14ac:dyDescent="0.2">
      <c r="A313" t="s">
        <v>358</v>
      </c>
      <c r="B313" t="s">
        <v>341</v>
      </c>
      <c r="C313">
        <v>11</v>
      </c>
      <c r="D313">
        <f t="shared" si="29"/>
        <v>16.5</v>
      </c>
      <c r="E313">
        <f t="shared" si="30"/>
        <v>33</v>
      </c>
      <c r="F313">
        <f t="shared" si="31"/>
        <v>66</v>
      </c>
    </row>
    <row r="314" spans="1:13" ht="12.75" x14ac:dyDescent="0.2">
      <c r="A314" t="s">
        <v>359</v>
      </c>
      <c r="B314" t="s">
        <v>341</v>
      </c>
      <c r="C314">
        <v>5</v>
      </c>
      <c r="D314">
        <f t="shared" si="29"/>
        <v>7.5</v>
      </c>
      <c r="E314">
        <f t="shared" si="30"/>
        <v>15</v>
      </c>
      <c r="F314">
        <f t="shared" si="31"/>
        <v>30</v>
      </c>
    </row>
    <row r="315" spans="1:13" ht="12.75" x14ac:dyDescent="0.2">
      <c r="A315" t="s">
        <v>360</v>
      </c>
      <c r="B315" t="s">
        <v>341</v>
      </c>
      <c r="C315">
        <v>9</v>
      </c>
      <c r="D315">
        <f t="shared" si="29"/>
        <v>13.5</v>
      </c>
      <c r="E315">
        <f t="shared" si="30"/>
        <v>27</v>
      </c>
      <c r="F315">
        <f t="shared" si="31"/>
        <v>54</v>
      </c>
    </row>
    <row r="316" spans="1:13" ht="12.75" x14ac:dyDescent="0.2">
      <c r="A316" t="s">
        <v>361</v>
      </c>
      <c r="B316" t="s">
        <v>341</v>
      </c>
      <c r="C316">
        <v>8</v>
      </c>
      <c r="D316">
        <f t="shared" si="29"/>
        <v>12</v>
      </c>
      <c r="E316">
        <f t="shared" si="30"/>
        <v>24</v>
      </c>
      <c r="F316">
        <f t="shared" si="31"/>
        <v>48</v>
      </c>
    </row>
    <row r="317" spans="1:13" ht="12.75" x14ac:dyDescent="0.2">
      <c r="A317" t="s">
        <v>362</v>
      </c>
      <c r="B317" t="s">
        <v>341</v>
      </c>
      <c r="C317">
        <v>14</v>
      </c>
      <c r="D317">
        <f t="shared" si="29"/>
        <v>21</v>
      </c>
      <c r="E317">
        <f t="shared" si="30"/>
        <v>42</v>
      </c>
      <c r="F317">
        <f t="shared" si="31"/>
        <v>84</v>
      </c>
    </row>
    <row r="318" spans="1:13" ht="12.75" x14ac:dyDescent="0.2">
      <c r="A318" t="s">
        <v>363</v>
      </c>
      <c r="B318" t="s">
        <v>364</v>
      </c>
      <c r="C318">
        <v>20</v>
      </c>
      <c r="D318">
        <f t="shared" si="29"/>
        <v>30</v>
      </c>
      <c r="E318">
        <f t="shared" si="30"/>
        <v>60</v>
      </c>
      <c r="F318">
        <f t="shared" si="31"/>
        <v>120</v>
      </c>
    </row>
    <row r="319" spans="1:13" ht="12.75" x14ac:dyDescent="0.2">
      <c r="A319" t="s">
        <v>365</v>
      </c>
      <c r="B319" t="s">
        <v>364</v>
      </c>
      <c r="C319">
        <v>6.2389999999999999</v>
      </c>
      <c r="D319">
        <f t="shared" ref="D319:D320" si="32">C319*1.33</f>
        <v>8.2978699999999996</v>
      </c>
      <c r="E319">
        <f t="shared" ref="E319:E320" si="33">C319*2.66</f>
        <v>16.595739999999999</v>
      </c>
      <c r="F319">
        <f t="shared" ref="F319:F320" si="34">C319*5.22</f>
        <v>32.56758</v>
      </c>
      <c r="G319" t="s">
        <v>91</v>
      </c>
      <c r="J319" t="s">
        <v>30</v>
      </c>
      <c r="K319" t="s">
        <v>366</v>
      </c>
      <c r="L319" t="s">
        <v>367</v>
      </c>
      <c r="M319" t="s">
        <v>368</v>
      </c>
    </row>
    <row r="320" spans="1:13" ht="12.75" x14ac:dyDescent="0.2">
      <c r="A320" t="s">
        <v>369</v>
      </c>
      <c r="B320" t="s">
        <v>364</v>
      </c>
      <c r="C320">
        <v>0.02</v>
      </c>
      <c r="D320">
        <f t="shared" si="32"/>
        <v>2.6600000000000002E-2</v>
      </c>
      <c r="E320">
        <f t="shared" si="33"/>
        <v>5.3200000000000004E-2</v>
      </c>
      <c r="F320">
        <f t="shared" si="34"/>
        <v>0.10439999999999999</v>
      </c>
      <c r="G320" t="s">
        <v>91</v>
      </c>
      <c r="J320" t="s">
        <v>30</v>
      </c>
      <c r="K320">
        <f>$C320*45*5</f>
        <v>4.5</v>
      </c>
      <c r="L320">
        <f>K320/5</f>
        <v>0.9</v>
      </c>
      <c r="M320">
        <f>L320/10</f>
        <v>0.09</v>
      </c>
    </row>
    <row r="321" spans="1:10" ht="12.75" x14ac:dyDescent="0.2">
      <c r="A321" t="s">
        <v>370</v>
      </c>
      <c r="B321" t="s">
        <v>364</v>
      </c>
      <c r="C321">
        <v>40</v>
      </c>
      <c r="D321">
        <f>C321*1.5</f>
        <v>60</v>
      </c>
      <c r="E321">
        <f>C321*3</f>
        <v>120</v>
      </c>
      <c r="F321">
        <f>C321*6</f>
        <v>240</v>
      </c>
    </row>
    <row r="322" spans="1:10" ht="12.75" x14ac:dyDescent="0.2">
      <c r="A322" t="s">
        <v>371</v>
      </c>
      <c r="B322" t="s">
        <v>364</v>
      </c>
      <c r="C322">
        <v>1.2E-2</v>
      </c>
      <c r="D322">
        <f>C322*1.33</f>
        <v>1.5960000000000002E-2</v>
      </c>
      <c r="E322">
        <f>C322*2.66</f>
        <v>3.1920000000000004E-2</v>
      </c>
      <c r="F322">
        <f>C322*5.22</f>
        <v>6.2640000000000001E-2</v>
      </c>
      <c r="G322" t="s">
        <v>91</v>
      </c>
    </row>
    <row r="323" spans="1:10" ht="12.75" x14ac:dyDescent="0.2">
      <c r="A323" t="s">
        <v>372</v>
      </c>
      <c r="B323" t="s">
        <v>364</v>
      </c>
      <c r="C323">
        <v>2.46</v>
      </c>
      <c r="D323">
        <f t="shared" ref="D323:D324" si="35">C323*1.5</f>
        <v>3.69</v>
      </c>
      <c r="E323">
        <f t="shared" ref="E323:E324" si="36">C323*3</f>
        <v>7.38</v>
      </c>
      <c r="F323">
        <f t="shared" ref="F323:F324" si="37">C323*6</f>
        <v>14.76</v>
      </c>
    </row>
    <row r="324" spans="1:10" ht="12.75" x14ac:dyDescent="0.2">
      <c r="A324" t="s">
        <v>373</v>
      </c>
      <c r="B324" t="s">
        <v>364</v>
      </c>
      <c r="C324">
        <v>2.5000000000000001E-2</v>
      </c>
      <c r="D324">
        <f t="shared" si="35"/>
        <v>3.7500000000000006E-2</v>
      </c>
      <c r="E324">
        <f t="shared" si="36"/>
        <v>7.5000000000000011E-2</v>
      </c>
      <c r="F324">
        <f t="shared" si="37"/>
        <v>0.15000000000000002</v>
      </c>
      <c r="J324" t="s">
        <v>30</v>
      </c>
    </row>
    <row r="325" spans="1:10" ht="12.75" x14ac:dyDescent="0.2">
      <c r="A325" t="s">
        <v>374</v>
      </c>
      <c r="B325" t="s">
        <v>375</v>
      </c>
      <c r="C325">
        <v>0.26</v>
      </c>
      <c r="D325">
        <f>C325*1.225</f>
        <v>0.31850000000000006</v>
      </c>
      <c r="E325">
        <f>C325*2.45</f>
        <v>0.63700000000000012</v>
      </c>
      <c r="F325">
        <f>C325*4.9</f>
        <v>1.2740000000000002</v>
      </c>
      <c r="G325" t="s">
        <v>253</v>
      </c>
    </row>
    <row r="326" spans="1:10" ht="12.75" x14ac:dyDescent="0.2">
      <c r="A326" t="s">
        <v>376</v>
      </c>
      <c r="B326" t="s">
        <v>375</v>
      </c>
      <c r="C326">
        <v>5.5E-2</v>
      </c>
      <c r="D326">
        <f t="shared" ref="D326:D328" si="38">C326*1.5</f>
        <v>8.2500000000000004E-2</v>
      </c>
      <c r="E326">
        <f t="shared" ref="E326:E328" si="39">C326*3</f>
        <v>0.16500000000000001</v>
      </c>
      <c r="F326">
        <f t="shared" ref="F326:F328" si="40">C326*6</f>
        <v>0.33</v>
      </c>
      <c r="J326" t="s">
        <v>30</v>
      </c>
    </row>
    <row r="327" spans="1:10" ht="12.75" x14ac:dyDescent="0.2">
      <c r="A327" t="s">
        <v>377</v>
      </c>
      <c r="B327" t="s">
        <v>375</v>
      </c>
      <c r="C327">
        <v>0.4</v>
      </c>
      <c r="D327">
        <f t="shared" si="38"/>
        <v>0.60000000000000009</v>
      </c>
      <c r="E327">
        <f t="shared" si="39"/>
        <v>1.2000000000000002</v>
      </c>
      <c r="F327">
        <f t="shared" si="40"/>
        <v>2.4000000000000004</v>
      </c>
    </row>
    <row r="328" spans="1:10" ht="12.75" x14ac:dyDescent="0.2">
      <c r="A328" t="s">
        <v>378</v>
      </c>
      <c r="B328" t="s">
        <v>375</v>
      </c>
      <c r="C328">
        <v>0.5</v>
      </c>
      <c r="D328">
        <f t="shared" si="38"/>
        <v>0.75</v>
      </c>
      <c r="E328">
        <f t="shared" si="39"/>
        <v>1.5</v>
      </c>
      <c r="F328">
        <f t="shared" si="40"/>
        <v>3</v>
      </c>
    </row>
    <row r="329" spans="1:10" ht="12.75" x14ac:dyDescent="0.2">
      <c r="A329" t="s">
        <v>379</v>
      </c>
      <c r="B329" t="s">
        <v>375</v>
      </c>
      <c r="C329">
        <v>0.01</v>
      </c>
    </row>
    <row r="330" spans="1:10" ht="12.75" x14ac:dyDescent="0.2">
      <c r="A330" t="s">
        <v>380</v>
      </c>
      <c r="B330" t="s">
        <v>375</v>
      </c>
      <c r="C330">
        <v>6</v>
      </c>
      <c r="D330">
        <f>C330*1.33</f>
        <v>7.98</v>
      </c>
      <c r="E330">
        <f>C330*2.66</f>
        <v>15.96</v>
      </c>
      <c r="F330">
        <f>C330*5.22</f>
        <v>31.32</v>
      </c>
      <c r="G330" t="s">
        <v>91</v>
      </c>
      <c r="J330" t="s">
        <v>30</v>
      </c>
    </row>
    <row r="331" spans="1:10" ht="12.75" x14ac:dyDescent="0.2">
      <c r="A331" t="s">
        <v>381</v>
      </c>
      <c r="B331" t="s">
        <v>375</v>
      </c>
      <c r="C331">
        <v>0.05</v>
      </c>
      <c r="D331">
        <f t="shared" ref="D331:D334" si="41">C331*1.5</f>
        <v>7.5000000000000011E-2</v>
      </c>
      <c r="E331">
        <f t="shared" ref="E331:E334" si="42">C331*3</f>
        <v>0.15000000000000002</v>
      </c>
      <c r="F331">
        <f t="shared" ref="F331:F334" si="43">C331*6</f>
        <v>0.30000000000000004</v>
      </c>
    </row>
    <row r="332" spans="1:10" ht="12.75" x14ac:dyDescent="0.2">
      <c r="A332" t="s">
        <v>382</v>
      </c>
      <c r="B332" t="s">
        <v>375</v>
      </c>
      <c r="C332">
        <v>0.15</v>
      </c>
      <c r="D332">
        <f t="shared" si="41"/>
        <v>0.22499999999999998</v>
      </c>
      <c r="E332">
        <f t="shared" si="42"/>
        <v>0.44999999999999996</v>
      </c>
      <c r="F332">
        <f t="shared" si="43"/>
        <v>0.89999999999999991</v>
      </c>
    </row>
    <row r="333" spans="1:10" ht="12.75" x14ac:dyDescent="0.2">
      <c r="A333" t="s">
        <v>383</v>
      </c>
      <c r="B333" t="s">
        <v>375</v>
      </c>
      <c r="C333">
        <v>0.6</v>
      </c>
      <c r="D333">
        <f t="shared" si="41"/>
        <v>0.89999999999999991</v>
      </c>
      <c r="E333">
        <f t="shared" si="42"/>
        <v>1.7999999999999998</v>
      </c>
      <c r="F333">
        <f t="shared" si="43"/>
        <v>3.5999999999999996</v>
      </c>
      <c r="J333" t="s">
        <v>30</v>
      </c>
    </row>
    <row r="334" spans="1:10" ht="12.75" x14ac:dyDescent="0.2">
      <c r="A334" t="s">
        <v>384</v>
      </c>
      <c r="B334" t="s">
        <v>375</v>
      </c>
      <c r="C334">
        <v>10.67</v>
      </c>
      <c r="D334">
        <f t="shared" si="41"/>
        <v>16.004999999999999</v>
      </c>
      <c r="E334">
        <f t="shared" si="42"/>
        <v>32.01</v>
      </c>
      <c r="F334">
        <f t="shared" si="43"/>
        <v>64.02</v>
      </c>
    </row>
    <row r="335" spans="1:10" ht="12.75" x14ac:dyDescent="0.2">
      <c r="A335" t="s">
        <v>385</v>
      </c>
      <c r="B335" t="s">
        <v>375</v>
      </c>
      <c r="C335">
        <v>1</v>
      </c>
    </row>
    <row r="336" spans="1:10" ht="12.75" x14ac:dyDescent="0.2">
      <c r="A336" t="s">
        <v>386</v>
      </c>
      <c r="B336" t="s">
        <v>375</v>
      </c>
      <c r="C336">
        <v>4.3999999999999997E-2</v>
      </c>
      <c r="D336">
        <f t="shared" ref="D336:D337" si="44">C336*1.5</f>
        <v>6.6000000000000003E-2</v>
      </c>
      <c r="E336">
        <f t="shared" ref="E336:E337" si="45">C336*3</f>
        <v>0.13200000000000001</v>
      </c>
      <c r="F336">
        <f t="shared" ref="F336:F337" si="46">C336*6</f>
        <v>0.26400000000000001</v>
      </c>
    </row>
    <row r="337" spans="1:10" ht="12.75" x14ac:dyDescent="0.2">
      <c r="A337" t="s">
        <v>387</v>
      </c>
      <c r="B337" t="s">
        <v>375</v>
      </c>
      <c r="C337">
        <v>0.38</v>
      </c>
      <c r="D337">
        <f t="shared" si="44"/>
        <v>0.57000000000000006</v>
      </c>
      <c r="E337">
        <f t="shared" si="45"/>
        <v>1.1400000000000001</v>
      </c>
      <c r="F337">
        <f t="shared" si="46"/>
        <v>2.2800000000000002</v>
      </c>
    </row>
    <row r="338" spans="1:10" ht="12.75" x14ac:dyDescent="0.2">
      <c r="A338" t="s">
        <v>388</v>
      </c>
      <c r="B338" t="s">
        <v>375</v>
      </c>
      <c r="C338">
        <v>12</v>
      </c>
      <c r="D338">
        <f>C338*1.33</f>
        <v>15.96</v>
      </c>
      <c r="E338">
        <f>C338*2.66</f>
        <v>31.92</v>
      </c>
      <c r="F338">
        <f>C338*5.22</f>
        <v>62.64</v>
      </c>
      <c r="G338" t="s">
        <v>91</v>
      </c>
      <c r="J338" t="s">
        <v>30</v>
      </c>
    </row>
    <row r="339" spans="1:10" ht="12.75" x14ac:dyDescent="0.2">
      <c r="A339" t="s">
        <v>389</v>
      </c>
      <c r="B339" t="s">
        <v>375</v>
      </c>
      <c r="C339">
        <v>0.6</v>
      </c>
      <c r="D339">
        <f t="shared" ref="D339:D340" si="47">C339*1.5</f>
        <v>0.89999999999999991</v>
      </c>
      <c r="E339">
        <f t="shared" ref="E339:E340" si="48">C339*3</f>
        <v>1.7999999999999998</v>
      </c>
      <c r="F339">
        <f t="shared" ref="F339:F340" si="49">C339*6</f>
        <v>3.5999999999999996</v>
      </c>
    </row>
    <row r="340" spans="1:10" ht="12.75" x14ac:dyDescent="0.2">
      <c r="A340" t="s">
        <v>390</v>
      </c>
      <c r="B340" t="s">
        <v>375</v>
      </c>
      <c r="C340">
        <v>100</v>
      </c>
      <c r="D340">
        <f t="shared" si="47"/>
        <v>150</v>
      </c>
      <c r="E340">
        <f t="shared" si="48"/>
        <v>300</v>
      </c>
      <c r="F340">
        <f t="shared" si="49"/>
        <v>600</v>
      </c>
    </row>
    <row r="341" spans="1:10" ht="12.75" x14ac:dyDescent="0.2">
      <c r="A341" t="s">
        <v>391</v>
      </c>
      <c r="B341" t="s">
        <v>375</v>
      </c>
      <c r="C341">
        <v>10</v>
      </c>
    </row>
    <row r="342" spans="1:10" ht="12.75" x14ac:dyDescent="0.2">
      <c r="A342" t="s">
        <v>392</v>
      </c>
      <c r="B342" t="s">
        <v>375</v>
      </c>
      <c r="C342">
        <v>16</v>
      </c>
      <c r="D342">
        <f t="shared" ref="D342:D345" si="50">C342*1.5</f>
        <v>24</v>
      </c>
      <c r="E342">
        <f t="shared" ref="E342:E345" si="51">C342*3</f>
        <v>48</v>
      </c>
      <c r="F342">
        <f t="shared" ref="F342:F345" si="52">C342*6</f>
        <v>96</v>
      </c>
    </row>
    <row r="343" spans="1:10" ht="12.75" x14ac:dyDescent="0.2">
      <c r="A343" t="s">
        <v>393</v>
      </c>
      <c r="B343" t="s">
        <v>375</v>
      </c>
      <c r="C343">
        <v>0.8</v>
      </c>
      <c r="D343">
        <f t="shared" si="50"/>
        <v>1.2000000000000002</v>
      </c>
      <c r="E343">
        <f t="shared" si="51"/>
        <v>2.4000000000000004</v>
      </c>
      <c r="F343">
        <f t="shared" si="52"/>
        <v>4.8000000000000007</v>
      </c>
      <c r="J343" t="s">
        <v>30</v>
      </c>
    </row>
    <row r="344" spans="1:10" ht="12.75" x14ac:dyDescent="0.2">
      <c r="A344" t="s">
        <v>394</v>
      </c>
      <c r="B344" t="s">
        <v>375</v>
      </c>
      <c r="C344">
        <v>3.3</v>
      </c>
      <c r="D344">
        <f t="shared" si="50"/>
        <v>4.9499999999999993</v>
      </c>
      <c r="E344">
        <f t="shared" si="51"/>
        <v>9.8999999999999986</v>
      </c>
      <c r="F344">
        <f t="shared" si="52"/>
        <v>19.799999999999997</v>
      </c>
    </row>
    <row r="345" spans="1:10" ht="12.75" x14ac:dyDescent="0.2">
      <c r="A345" t="s">
        <v>395</v>
      </c>
      <c r="B345" t="s">
        <v>375</v>
      </c>
      <c r="C345">
        <v>1.23</v>
      </c>
      <c r="D345">
        <f t="shared" si="50"/>
        <v>1.845</v>
      </c>
      <c r="E345">
        <f t="shared" si="51"/>
        <v>3.69</v>
      </c>
      <c r="F345">
        <f t="shared" si="52"/>
        <v>7.38</v>
      </c>
    </row>
    <row r="346" spans="1:10" ht="12.75" x14ac:dyDescent="0.2">
      <c r="A346" t="s">
        <v>396</v>
      </c>
      <c r="B346" t="s">
        <v>375</v>
      </c>
      <c r="C346">
        <v>0.1</v>
      </c>
    </row>
    <row r="347" spans="1:10" ht="12.75" x14ac:dyDescent="0.2">
      <c r="A347" t="s">
        <v>397</v>
      </c>
      <c r="B347" t="s">
        <v>375</v>
      </c>
      <c r="C347">
        <v>0.03</v>
      </c>
      <c r="D347">
        <f>C347*1.5</f>
        <v>4.4999999999999998E-2</v>
      </c>
      <c r="E347">
        <f>C347*3</f>
        <v>0.09</v>
      </c>
      <c r="F347">
        <f>C347*6</f>
        <v>0.18</v>
      </c>
    </row>
    <row r="348" spans="1:10" ht="12.75" x14ac:dyDescent="0.2">
      <c r="A348" t="s">
        <v>398</v>
      </c>
      <c r="B348" t="s">
        <v>399</v>
      </c>
      <c r="C348" t="s">
        <v>125</v>
      </c>
      <c r="G348" t="s">
        <v>400</v>
      </c>
    </row>
    <row r="349" spans="1:10" ht="12.75" x14ac:dyDescent="0.2">
      <c r="A349" t="s">
        <v>401</v>
      </c>
      <c r="B349" t="s">
        <v>402</v>
      </c>
      <c r="C349" t="s">
        <v>125</v>
      </c>
      <c r="G349" t="s">
        <v>403</v>
      </c>
    </row>
    <row r="350" spans="1:10" ht="12.75" x14ac:dyDescent="0.2">
      <c r="A350" t="s">
        <v>404</v>
      </c>
      <c r="B350" t="s">
        <v>402</v>
      </c>
      <c r="C350" t="s">
        <v>125</v>
      </c>
      <c r="G350" t="s">
        <v>405</v>
      </c>
    </row>
    <row r="351" spans="1:10" ht="12.75" x14ac:dyDescent="0.2">
      <c r="A351" t="s">
        <v>406</v>
      </c>
      <c r="B351" t="s">
        <v>402</v>
      </c>
      <c r="C351">
        <v>47</v>
      </c>
      <c r="D351">
        <f>C351*1.5</f>
        <v>70.5</v>
      </c>
      <c r="E351">
        <f>C351*3</f>
        <v>141</v>
      </c>
      <c r="F351">
        <f>C351*6</f>
        <v>282</v>
      </c>
      <c r="J351" t="s">
        <v>30</v>
      </c>
    </row>
    <row r="352" spans="1:10" ht="12.75" x14ac:dyDescent="0.2">
      <c r="A352" t="s">
        <v>407</v>
      </c>
      <c r="B352" t="s">
        <v>402</v>
      </c>
      <c r="C352" t="s">
        <v>125</v>
      </c>
      <c r="G352" t="s">
        <v>408</v>
      </c>
    </row>
    <row r="353" spans="1:10" ht="12.75" x14ac:dyDescent="0.2">
      <c r="A353" t="s">
        <v>409</v>
      </c>
      <c r="B353" t="s">
        <v>402</v>
      </c>
      <c r="C353" t="s">
        <v>125</v>
      </c>
      <c r="G353" t="s">
        <v>410</v>
      </c>
    </row>
    <row r="354" spans="1:10" ht="12.75" x14ac:dyDescent="0.2">
      <c r="A354" t="s">
        <v>411</v>
      </c>
      <c r="B354" t="s">
        <v>402</v>
      </c>
      <c r="C354" t="s">
        <v>125</v>
      </c>
      <c r="G354" t="s">
        <v>412</v>
      </c>
    </row>
    <row r="355" spans="1:10" ht="12.75" x14ac:dyDescent="0.2">
      <c r="A355" t="s">
        <v>413</v>
      </c>
      <c r="B355" t="s">
        <v>414</v>
      </c>
      <c r="C355">
        <v>9</v>
      </c>
      <c r="D355">
        <f t="shared" ref="D355:D391" si="53">C355*1.5</f>
        <v>13.5</v>
      </c>
      <c r="E355">
        <f t="shared" ref="E355:E391" si="54">C355*3</f>
        <v>27</v>
      </c>
      <c r="F355">
        <f t="shared" ref="F355:F391" si="55">C355*6</f>
        <v>54</v>
      </c>
    </row>
    <row r="356" spans="1:10" ht="12.75" x14ac:dyDescent="0.2">
      <c r="A356" t="s">
        <v>415</v>
      </c>
      <c r="B356" t="s">
        <v>414</v>
      </c>
      <c r="C356">
        <v>0.4</v>
      </c>
      <c r="D356">
        <f t="shared" si="53"/>
        <v>0.60000000000000009</v>
      </c>
      <c r="E356">
        <f t="shared" si="54"/>
        <v>1.2000000000000002</v>
      </c>
      <c r="F356">
        <f t="shared" si="55"/>
        <v>2.4000000000000004</v>
      </c>
    </row>
    <row r="357" spans="1:10" ht="12.75" x14ac:dyDescent="0.2">
      <c r="A357" t="s">
        <v>416</v>
      </c>
      <c r="B357" t="s">
        <v>414</v>
      </c>
      <c r="C357">
        <v>0.5</v>
      </c>
      <c r="D357">
        <f t="shared" si="53"/>
        <v>0.75</v>
      </c>
      <c r="E357">
        <f t="shared" si="54"/>
        <v>1.5</v>
      </c>
      <c r="F357">
        <f t="shared" si="55"/>
        <v>3</v>
      </c>
    </row>
    <row r="358" spans="1:10" ht="12.75" x14ac:dyDescent="0.2">
      <c r="A358" t="s">
        <v>417</v>
      </c>
      <c r="B358" t="s">
        <v>414</v>
      </c>
      <c r="C358">
        <v>25</v>
      </c>
      <c r="D358">
        <f t="shared" si="53"/>
        <v>37.5</v>
      </c>
      <c r="E358">
        <f t="shared" si="54"/>
        <v>75</v>
      </c>
      <c r="F358">
        <f t="shared" si="55"/>
        <v>150</v>
      </c>
      <c r="J358" t="s">
        <v>30</v>
      </c>
    </row>
    <row r="359" spans="1:10" ht="12.75" x14ac:dyDescent="0.2">
      <c r="A359" t="s">
        <v>418</v>
      </c>
      <c r="B359" t="s">
        <v>414</v>
      </c>
      <c r="C359">
        <v>17.5</v>
      </c>
      <c r="D359">
        <f t="shared" si="53"/>
        <v>26.25</v>
      </c>
      <c r="E359">
        <f t="shared" si="54"/>
        <v>52.5</v>
      </c>
      <c r="F359">
        <f t="shared" si="55"/>
        <v>105</v>
      </c>
      <c r="J359" t="s">
        <v>30</v>
      </c>
    </row>
    <row r="360" spans="1:10" ht="12.75" x14ac:dyDescent="0.2">
      <c r="A360" t="s">
        <v>419</v>
      </c>
      <c r="B360" t="s">
        <v>414</v>
      </c>
      <c r="C360">
        <v>7.5</v>
      </c>
      <c r="D360">
        <f t="shared" si="53"/>
        <v>11.25</v>
      </c>
      <c r="E360">
        <f t="shared" si="54"/>
        <v>22.5</v>
      </c>
      <c r="F360">
        <f t="shared" si="55"/>
        <v>45</v>
      </c>
      <c r="J360" t="s">
        <v>30</v>
      </c>
    </row>
    <row r="361" spans="1:10" ht="12.75" x14ac:dyDescent="0.2">
      <c r="A361" t="s">
        <v>420</v>
      </c>
      <c r="B361" t="s">
        <v>414</v>
      </c>
      <c r="C361">
        <v>1.2</v>
      </c>
      <c r="D361">
        <f t="shared" si="53"/>
        <v>1.7999999999999998</v>
      </c>
      <c r="E361">
        <f t="shared" si="54"/>
        <v>3.5999999999999996</v>
      </c>
      <c r="F361">
        <f t="shared" si="55"/>
        <v>7.1999999999999993</v>
      </c>
    </row>
    <row r="362" spans="1:10" ht="12.75" x14ac:dyDescent="0.2">
      <c r="A362" t="s">
        <v>421</v>
      </c>
      <c r="B362" t="s">
        <v>414</v>
      </c>
      <c r="C362">
        <v>0.05</v>
      </c>
      <c r="D362">
        <f t="shared" si="53"/>
        <v>7.5000000000000011E-2</v>
      </c>
      <c r="E362">
        <f t="shared" si="54"/>
        <v>0.15000000000000002</v>
      </c>
      <c r="F362">
        <f t="shared" si="55"/>
        <v>0.30000000000000004</v>
      </c>
    </row>
    <row r="363" spans="1:10" ht="12.75" x14ac:dyDescent="0.2">
      <c r="A363" t="s">
        <v>422</v>
      </c>
      <c r="B363" t="s">
        <v>414</v>
      </c>
      <c r="C363">
        <v>3.5</v>
      </c>
      <c r="D363">
        <f t="shared" si="53"/>
        <v>5.25</v>
      </c>
      <c r="E363">
        <f t="shared" si="54"/>
        <v>10.5</v>
      </c>
      <c r="F363">
        <f t="shared" si="55"/>
        <v>21</v>
      </c>
    </row>
    <row r="364" spans="1:10" ht="12.75" x14ac:dyDescent="0.2">
      <c r="A364" t="s">
        <v>423</v>
      </c>
      <c r="B364" t="s">
        <v>414</v>
      </c>
      <c r="C364">
        <v>11</v>
      </c>
      <c r="D364">
        <f t="shared" si="53"/>
        <v>16.5</v>
      </c>
      <c r="E364">
        <f t="shared" si="54"/>
        <v>33</v>
      </c>
      <c r="F364">
        <f t="shared" si="55"/>
        <v>66</v>
      </c>
    </row>
    <row r="365" spans="1:10" ht="12.75" x14ac:dyDescent="0.2">
      <c r="A365" t="s">
        <v>424</v>
      </c>
      <c r="B365" t="s">
        <v>414</v>
      </c>
      <c r="C365">
        <v>12</v>
      </c>
      <c r="D365">
        <f t="shared" si="53"/>
        <v>18</v>
      </c>
      <c r="E365">
        <f t="shared" si="54"/>
        <v>36</v>
      </c>
      <c r="F365">
        <f t="shared" si="55"/>
        <v>72</v>
      </c>
    </row>
    <row r="366" spans="1:10" ht="12.75" x14ac:dyDescent="0.2">
      <c r="A366" t="s">
        <v>425</v>
      </c>
      <c r="B366" t="s">
        <v>414</v>
      </c>
      <c r="C366">
        <v>1</v>
      </c>
      <c r="D366">
        <f t="shared" si="53"/>
        <v>1.5</v>
      </c>
      <c r="E366">
        <f t="shared" si="54"/>
        <v>3</v>
      </c>
      <c r="F366">
        <f t="shared" si="55"/>
        <v>6</v>
      </c>
    </row>
    <row r="367" spans="1:10" ht="12.75" x14ac:dyDescent="0.2">
      <c r="A367" t="s">
        <v>426</v>
      </c>
      <c r="B367" t="s">
        <v>414</v>
      </c>
      <c r="C367">
        <v>12</v>
      </c>
      <c r="D367">
        <f t="shared" si="53"/>
        <v>18</v>
      </c>
      <c r="E367">
        <f t="shared" si="54"/>
        <v>36</v>
      </c>
      <c r="F367">
        <f t="shared" si="55"/>
        <v>72</v>
      </c>
    </row>
    <row r="368" spans="1:10" ht="12.75" x14ac:dyDescent="0.2">
      <c r="A368" t="s">
        <v>427</v>
      </c>
      <c r="B368" t="s">
        <v>414</v>
      </c>
      <c r="C368">
        <v>11</v>
      </c>
      <c r="D368">
        <f t="shared" si="53"/>
        <v>16.5</v>
      </c>
      <c r="E368">
        <f t="shared" si="54"/>
        <v>33</v>
      </c>
      <c r="F368">
        <f t="shared" si="55"/>
        <v>66</v>
      </c>
    </row>
    <row r="369" spans="1:6" ht="12.75" x14ac:dyDescent="0.2">
      <c r="A369" t="s">
        <v>428</v>
      </c>
      <c r="B369" t="s">
        <v>414</v>
      </c>
      <c r="C369">
        <v>1.2</v>
      </c>
      <c r="D369">
        <f t="shared" si="53"/>
        <v>1.7999999999999998</v>
      </c>
      <c r="E369">
        <f t="shared" si="54"/>
        <v>3.5999999999999996</v>
      </c>
      <c r="F369">
        <f t="shared" si="55"/>
        <v>7.1999999999999993</v>
      </c>
    </row>
    <row r="370" spans="1:6" ht="12.75" x14ac:dyDescent="0.2">
      <c r="A370" t="s">
        <v>429</v>
      </c>
      <c r="B370" t="s">
        <v>414</v>
      </c>
      <c r="C370">
        <v>2</v>
      </c>
      <c r="D370">
        <f t="shared" si="53"/>
        <v>3</v>
      </c>
      <c r="E370">
        <f t="shared" si="54"/>
        <v>6</v>
      </c>
      <c r="F370">
        <f t="shared" si="55"/>
        <v>12</v>
      </c>
    </row>
    <row r="371" spans="1:6" ht="12.75" x14ac:dyDescent="0.2">
      <c r="A371" t="s">
        <v>430</v>
      </c>
      <c r="B371" t="s">
        <v>414</v>
      </c>
      <c r="C371">
        <v>6</v>
      </c>
      <c r="D371">
        <f t="shared" si="53"/>
        <v>9</v>
      </c>
      <c r="E371">
        <f t="shared" si="54"/>
        <v>18</v>
      </c>
      <c r="F371">
        <f t="shared" si="55"/>
        <v>36</v>
      </c>
    </row>
    <row r="372" spans="1:6" ht="12.75" x14ac:dyDescent="0.2">
      <c r="A372" t="s">
        <v>431</v>
      </c>
      <c r="B372" t="s">
        <v>414</v>
      </c>
      <c r="C372">
        <v>0.5</v>
      </c>
      <c r="D372">
        <f t="shared" si="53"/>
        <v>0.75</v>
      </c>
      <c r="E372">
        <f t="shared" si="54"/>
        <v>1.5</v>
      </c>
      <c r="F372">
        <f t="shared" si="55"/>
        <v>3</v>
      </c>
    </row>
    <row r="373" spans="1:6" ht="12.75" x14ac:dyDescent="0.2">
      <c r="A373" t="s">
        <v>432</v>
      </c>
      <c r="B373" t="s">
        <v>414</v>
      </c>
      <c r="C373">
        <v>6</v>
      </c>
      <c r="D373">
        <f t="shared" si="53"/>
        <v>9</v>
      </c>
      <c r="E373">
        <f t="shared" si="54"/>
        <v>18</v>
      </c>
      <c r="F373">
        <f t="shared" si="55"/>
        <v>36</v>
      </c>
    </row>
    <row r="374" spans="1:6" ht="12.75" x14ac:dyDescent="0.2">
      <c r="A374" t="s">
        <v>433</v>
      </c>
      <c r="B374" t="s">
        <v>414</v>
      </c>
      <c r="C374">
        <v>7.5</v>
      </c>
      <c r="D374">
        <f t="shared" si="53"/>
        <v>11.25</v>
      </c>
      <c r="E374">
        <f t="shared" si="54"/>
        <v>22.5</v>
      </c>
      <c r="F374">
        <f t="shared" si="55"/>
        <v>45</v>
      </c>
    </row>
    <row r="375" spans="1:6" ht="12.75" x14ac:dyDescent="0.2">
      <c r="A375" t="s">
        <v>434</v>
      </c>
      <c r="B375" t="s">
        <v>414</v>
      </c>
      <c r="C375">
        <v>2</v>
      </c>
      <c r="D375">
        <f t="shared" si="53"/>
        <v>3</v>
      </c>
      <c r="E375">
        <f t="shared" si="54"/>
        <v>6</v>
      </c>
      <c r="F375">
        <f t="shared" si="55"/>
        <v>12</v>
      </c>
    </row>
    <row r="376" spans="1:6" ht="12.75" x14ac:dyDescent="0.2">
      <c r="A376" t="s">
        <v>435</v>
      </c>
      <c r="B376" t="s">
        <v>414</v>
      </c>
      <c r="C376">
        <v>4</v>
      </c>
      <c r="D376">
        <f t="shared" si="53"/>
        <v>6</v>
      </c>
      <c r="E376">
        <f t="shared" si="54"/>
        <v>12</v>
      </c>
      <c r="F376">
        <f t="shared" si="55"/>
        <v>24</v>
      </c>
    </row>
    <row r="377" spans="1:6" ht="12.75" x14ac:dyDescent="0.2">
      <c r="A377" t="s">
        <v>436</v>
      </c>
      <c r="B377" t="s">
        <v>414</v>
      </c>
      <c r="C377">
        <v>3</v>
      </c>
      <c r="D377">
        <f t="shared" si="53"/>
        <v>4.5</v>
      </c>
      <c r="E377">
        <f t="shared" si="54"/>
        <v>9</v>
      </c>
      <c r="F377">
        <f t="shared" si="55"/>
        <v>18</v>
      </c>
    </row>
    <row r="378" spans="1:6" ht="12.75" x14ac:dyDescent="0.2">
      <c r="A378" t="s">
        <v>437</v>
      </c>
      <c r="B378" t="s">
        <v>414</v>
      </c>
      <c r="C378">
        <v>0.3</v>
      </c>
      <c r="D378">
        <f t="shared" si="53"/>
        <v>0.44999999999999996</v>
      </c>
      <c r="E378">
        <f t="shared" si="54"/>
        <v>0.89999999999999991</v>
      </c>
      <c r="F378">
        <f t="shared" si="55"/>
        <v>1.7999999999999998</v>
      </c>
    </row>
    <row r="379" spans="1:6" ht="12.75" x14ac:dyDescent="0.2">
      <c r="A379" t="s">
        <v>438</v>
      </c>
      <c r="B379" t="s">
        <v>414</v>
      </c>
      <c r="C379">
        <v>3</v>
      </c>
      <c r="D379">
        <f t="shared" si="53"/>
        <v>4.5</v>
      </c>
      <c r="E379">
        <f t="shared" si="54"/>
        <v>9</v>
      </c>
      <c r="F379">
        <f t="shared" si="55"/>
        <v>18</v>
      </c>
    </row>
    <row r="380" spans="1:6" ht="12.75" x14ac:dyDescent="0.2">
      <c r="A380" t="s">
        <v>439</v>
      </c>
      <c r="B380" t="s">
        <v>414</v>
      </c>
      <c r="C380">
        <v>0.8</v>
      </c>
      <c r="D380">
        <f t="shared" si="53"/>
        <v>1.2000000000000002</v>
      </c>
      <c r="E380">
        <f t="shared" si="54"/>
        <v>2.4000000000000004</v>
      </c>
      <c r="F380">
        <f t="shared" si="55"/>
        <v>4.8000000000000007</v>
      </c>
    </row>
    <row r="381" spans="1:6" ht="12.75" x14ac:dyDescent="0.2">
      <c r="A381" t="s">
        <v>440</v>
      </c>
      <c r="B381" t="s">
        <v>414</v>
      </c>
      <c r="C381">
        <v>7.5</v>
      </c>
      <c r="D381">
        <f t="shared" si="53"/>
        <v>11.25</v>
      </c>
      <c r="E381">
        <f t="shared" si="54"/>
        <v>22.5</v>
      </c>
      <c r="F381">
        <f t="shared" si="55"/>
        <v>45</v>
      </c>
    </row>
    <row r="382" spans="1:6" ht="12.75" x14ac:dyDescent="0.2">
      <c r="A382" t="s">
        <v>441</v>
      </c>
      <c r="B382" t="s">
        <v>414</v>
      </c>
      <c r="C382">
        <v>7.5</v>
      </c>
      <c r="D382">
        <f t="shared" si="53"/>
        <v>11.25</v>
      </c>
      <c r="E382">
        <f t="shared" si="54"/>
        <v>22.5</v>
      </c>
      <c r="F382">
        <f t="shared" si="55"/>
        <v>45</v>
      </c>
    </row>
    <row r="383" spans="1:6" ht="12.75" x14ac:dyDescent="0.2">
      <c r="A383" t="s">
        <v>442</v>
      </c>
      <c r="B383" t="s">
        <v>414</v>
      </c>
      <c r="C383">
        <v>3</v>
      </c>
      <c r="D383">
        <f t="shared" si="53"/>
        <v>4.5</v>
      </c>
      <c r="E383">
        <f t="shared" si="54"/>
        <v>9</v>
      </c>
      <c r="F383">
        <f t="shared" si="55"/>
        <v>18</v>
      </c>
    </row>
    <row r="384" spans="1:6" ht="12.75" x14ac:dyDescent="0.2">
      <c r="A384" t="s">
        <v>443</v>
      </c>
      <c r="B384" t="s">
        <v>414</v>
      </c>
      <c r="C384">
        <v>4</v>
      </c>
      <c r="D384">
        <f t="shared" si="53"/>
        <v>6</v>
      </c>
      <c r="E384">
        <f t="shared" si="54"/>
        <v>12</v>
      </c>
      <c r="F384">
        <f t="shared" si="55"/>
        <v>24</v>
      </c>
    </row>
    <row r="385" spans="1:6" ht="12.75" x14ac:dyDescent="0.2">
      <c r="A385" t="s">
        <v>444</v>
      </c>
      <c r="B385" t="s">
        <v>414</v>
      </c>
      <c r="C385">
        <v>0.9</v>
      </c>
      <c r="D385">
        <f t="shared" si="53"/>
        <v>1.35</v>
      </c>
      <c r="E385">
        <f t="shared" si="54"/>
        <v>2.7</v>
      </c>
      <c r="F385">
        <f t="shared" si="55"/>
        <v>5.4</v>
      </c>
    </row>
    <row r="386" spans="1:6" ht="12.75" x14ac:dyDescent="0.2">
      <c r="A386" t="s">
        <v>445</v>
      </c>
      <c r="B386" t="s">
        <v>414</v>
      </c>
      <c r="C386">
        <v>0.2</v>
      </c>
      <c r="D386">
        <f t="shared" si="53"/>
        <v>0.30000000000000004</v>
      </c>
      <c r="E386">
        <f t="shared" si="54"/>
        <v>0.60000000000000009</v>
      </c>
      <c r="F386">
        <f t="shared" si="55"/>
        <v>1.2000000000000002</v>
      </c>
    </row>
    <row r="387" spans="1:6" ht="12.75" x14ac:dyDescent="0.2">
      <c r="A387" t="s">
        <v>446</v>
      </c>
      <c r="B387" t="s">
        <v>414</v>
      </c>
      <c r="C387">
        <v>2</v>
      </c>
      <c r="D387">
        <f t="shared" si="53"/>
        <v>3</v>
      </c>
      <c r="E387">
        <f t="shared" si="54"/>
        <v>6</v>
      </c>
      <c r="F387">
        <f t="shared" si="55"/>
        <v>12</v>
      </c>
    </row>
    <row r="388" spans="1:6" ht="12.75" x14ac:dyDescent="0.2">
      <c r="A388" t="s">
        <v>447</v>
      </c>
      <c r="B388" t="s">
        <v>414</v>
      </c>
      <c r="C388">
        <v>11</v>
      </c>
      <c r="D388">
        <f t="shared" si="53"/>
        <v>16.5</v>
      </c>
      <c r="E388">
        <f t="shared" si="54"/>
        <v>33</v>
      </c>
      <c r="F388">
        <f t="shared" si="55"/>
        <v>66</v>
      </c>
    </row>
    <row r="389" spans="1:6" ht="12.75" x14ac:dyDescent="0.2">
      <c r="A389" t="s">
        <v>448</v>
      </c>
      <c r="B389" t="s">
        <v>414</v>
      </c>
      <c r="C389">
        <v>2</v>
      </c>
      <c r="D389">
        <f t="shared" si="53"/>
        <v>3</v>
      </c>
      <c r="E389">
        <f t="shared" si="54"/>
        <v>6</v>
      </c>
      <c r="F389">
        <f t="shared" si="55"/>
        <v>12</v>
      </c>
    </row>
    <row r="390" spans="1:6" ht="12.75" x14ac:dyDescent="0.2">
      <c r="A390" t="s">
        <v>449</v>
      </c>
      <c r="B390" t="s">
        <v>414</v>
      </c>
      <c r="C390">
        <v>1</v>
      </c>
      <c r="D390">
        <f t="shared" si="53"/>
        <v>1.5</v>
      </c>
      <c r="E390">
        <f t="shared" si="54"/>
        <v>3</v>
      </c>
      <c r="F390">
        <f t="shared" si="55"/>
        <v>6</v>
      </c>
    </row>
    <row r="391" spans="1:6" ht="12.75" x14ac:dyDescent="0.2">
      <c r="A391" t="s">
        <v>450</v>
      </c>
      <c r="B391" t="s">
        <v>414</v>
      </c>
      <c r="C391">
        <v>1</v>
      </c>
      <c r="D391">
        <f t="shared" si="53"/>
        <v>1.5</v>
      </c>
      <c r="E391">
        <f t="shared" si="54"/>
        <v>3</v>
      </c>
      <c r="F391">
        <f t="shared" si="55"/>
        <v>6</v>
      </c>
    </row>
    <row r="392" spans="1:6" ht="12.75" x14ac:dyDescent="0.2"/>
    <row r="393" spans="1:6" ht="12.75" x14ac:dyDescent="0.2"/>
    <row r="394" spans="1:6" ht="12.75" x14ac:dyDescent="0.2"/>
    <row r="395" spans="1:6" ht="12.75" x14ac:dyDescent="0.2"/>
    <row r="396" spans="1:6" ht="12.75" x14ac:dyDescent="0.2"/>
    <row r="397" spans="1:6" ht="12.75" x14ac:dyDescent="0.2"/>
    <row r="398" spans="1:6" ht="12.75" x14ac:dyDescent="0.2"/>
    <row r="399" spans="1:6" ht="12.75" x14ac:dyDescent="0.2"/>
    <row r="400" spans="1:6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&amp;CPagina &amp;P</oddFooter>
  </headerFooter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30.7109375" customWidth="1"/>
    <col min="2" max="2" width="23.140625" customWidth="1"/>
    <col min="3" max="3" width="12.5703125" customWidth="1"/>
    <col min="4" max="5" width="12.7109375" customWidth="1"/>
    <col min="6" max="6" width="13" customWidth="1"/>
    <col min="7" max="7" width="20.28515625" hidden="1" customWidth="1"/>
    <col min="8" max="8" width="14.42578125" hidden="1"/>
    <col min="9" max="9" width="18.42578125" customWidth="1"/>
  </cols>
  <sheetData>
    <row r="1" spans="1:10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451</v>
      </c>
      <c r="H1" t="s">
        <v>452</v>
      </c>
      <c r="I1" t="s">
        <v>453</v>
      </c>
      <c r="J1" t="s">
        <v>6</v>
      </c>
    </row>
    <row r="2" spans="1:10" ht="15" customHeight="1" x14ac:dyDescent="0.2">
      <c r="A2" t="s">
        <v>454</v>
      </c>
      <c r="B2" t="s">
        <v>455</v>
      </c>
      <c r="C2">
        <v>15000</v>
      </c>
      <c r="D2">
        <f t="shared" ref="D2:D5" si="0">C2*1.5</f>
        <v>22500</v>
      </c>
      <c r="E2">
        <f t="shared" ref="E2:E5" si="1">C2*3</f>
        <v>45000</v>
      </c>
      <c r="F2">
        <f t="shared" ref="F2:F5" si="2">C2*6</f>
        <v>90000</v>
      </c>
      <c r="I2">
        <v>200</v>
      </c>
      <c r="J2" t="s">
        <v>456</v>
      </c>
    </row>
    <row r="3" spans="1:10" ht="15" customHeight="1" x14ac:dyDescent="0.2">
      <c r="A3" t="s">
        <v>457</v>
      </c>
      <c r="B3" t="s">
        <v>455</v>
      </c>
      <c r="C3">
        <v>30000</v>
      </c>
      <c r="D3">
        <f t="shared" si="0"/>
        <v>45000</v>
      </c>
      <c r="E3">
        <f t="shared" si="1"/>
        <v>90000</v>
      </c>
      <c r="F3">
        <f t="shared" si="2"/>
        <v>180000</v>
      </c>
      <c r="I3">
        <v>400</v>
      </c>
      <c r="J3" t="s">
        <v>458</v>
      </c>
    </row>
    <row r="4" spans="1:10" ht="15" customHeight="1" x14ac:dyDescent="0.2">
      <c r="A4" t="s">
        <v>459</v>
      </c>
      <c r="B4" t="s">
        <v>455</v>
      </c>
      <c r="C4">
        <v>9000</v>
      </c>
      <c r="D4">
        <f t="shared" si="0"/>
        <v>13500</v>
      </c>
      <c r="E4">
        <f t="shared" si="1"/>
        <v>27000</v>
      </c>
      <c r="F4">
        <f t="shared" si="2"/>
        <v>54000</v>
      </c>
      <c r="J4" t="s">
        <v>460</v>
      </c>
    </row>
    <row r="5" spans="1:10" ht="15" customHeight="1" x14ac:dyDescent="0.2">
      <c r="A5" t="s">
        <v>461</v>
      </c>
      <c r="B5" t="s">
        <v>455</v>
      </c>
      <c r="C5">
        <v>15000</v>
      </c>
      <c r="D5">
        <f t="shared" si="0"/>
        <v>22500</v>
      </c>
      <c r="E5">
        <f t="shared" si="1"/>
        <v>45000</v>
      </c>
      <c r="F5">
        <f t="shared" si="2"/>
        <v>90000</v>
      </c>
      <c r="J5" t="s">
        <v>456</v>
      </c>
    </row>
    <row r="6" spans="1:10" ht="15" customHeight="1" x14ac:dyDescent="0.2">
      <c r="A6" t="s">
        <v>462</v>
      </c>
      <c r="B6" t="s">
        <v>463</v>
      </c>
      <c r="C6" t="s">
        <v>125</v>
      </c>
      <c r="I6">
        <v>100</v>
      </c>
      <c r="J6" t="s">
        <v>464</v>
      </c>
    </row>
    <row r="7" spans="1:10" ht="15" customHeight="1" x14ac:dyDescent="0.2">
      <c r="A7" t="s">
        <v>465</v>
      </c>
      <c r="B7" t="s">
        <v>466</v>
      </c>
      <c r="C7">
        <v>5000</v>
      </c>
      <c r="D7">
        <f>C7*1.5</f>
        <v>7500</v>
      </c>
      <c r="G7" t="s">
        <v>467</v>
      </c>
      <c r="H7">
        <v>3</v>
      </c>
      <c r="I7">
        <v>60</v>
      </c>
    </row>
    <row r="8" spans="1:10" ht="15" customHeight="1" x14ac:dyDescent="0.2">
      <c r="A8" t="s">
        <v>468</v>
      </c>
      <c r="B8" t="s">
        <v>466</v>
      </c>
      <c r="C8">
        <v>1500</v>
      </c>
      <c r="D8">
        <f t="shared" ref="D8:D9" si="3">C8*1.33</f>
        <v>1995</v>
      </c>
      <c r="G8" t="s">
        <v>469</v>
      </c>
      <c r="H8">
        <v>2</v>
      </c>
      <c r="I8">
        <v>30</v>
      </c>
      <c r="J8" t="s">
        <v>91</v>
      </c>
    </row>
    <row r="9" spans="1:10" ht="15" customHeight="1" x14ac:dyDescent="0.2">
      <c r="A9" t="s">
        <v>470</v>
      </c>
      <c r="B9" t="s">
        <v>466</v>
      </c>
      <c r="C9">
        <v>300</v>
      </c>
      <c r="D9">
        <f t="shared" si="3"/>
        <v>399</v>
      </c>
      <c r="G9" t="s">
        <v>471</v>
      </c>
      <c r="I9">
        <v>10</v>
      </c>
      <c r="J9" t="s">
        <v>91</v>
      </c>
    </row>
    <row r="10" spans="1:10" ht="15" customHeight="1" x14ac:dyDescent="0.2">
      <c r="A10" t="s">
        <v>472</v>
      </c>
      <c r="B10" t="s">
        <v>466</v>
      </c>
      <c r="C10">
        <v>1500</v>
      </c>
      <c r="D10">
        <f t="shared" ref="D10:D11" si="4">C10*1.5</f>
        <v>2250</v>
      </c>
      <c r="G10" t="s">
        <v>469</v>
      </c>
      <c r="H10" t="s">
        <v>473</v>
      </c>
      <c r="I10">
        <v>30</v>
      </c>
    </row>
    <row r="11" spans="1:10" ht="15" customHeight="1" x14ac:dyDescent="0.2">
      <c r="A11" t="s">
        <v>474</v>
      </c>
      <c r="B11" t="s">
        <v>466</v>
      </c>
      <c r="C11">
        <v>2000</v>
      </c>
      <c r="D11">
        <f t="shared" si="4"/>
        <v>3000</v>
      </c>
      <c r="G11" t="s">
        <v>469</v>
      </c>
      <c r="H11" t="s">
        <v>473</v>
      </c>
      <c r="I11">
        <v>40</v>
      </c>
    </row>
    <row r="12" spans="1:10" ht="15" customHeight="1" x14ac:dyDescent="0.2">
      <c r="A12" t="s">
        <v>475</v>
      </c>
      <c r="B12" t="s">
        <v>466</v>
      </c>
      <c r="C12">
        <v>600</v>
      </c>
      <c r="D12">
        <f>C12*1.33</f>
        <v>798</v>
      </c>
      <c r="G12" t="s">
        <v>469</v>
      </c>
      <c r="H12" t="s">
        <v>476</v>
      </c>
      <c r="I12">
        <v>30</v>
      </c>
      <c r="J12" t="s">
        <v>91</v>
      </c>
    </row>
    <row r="13" spans="1:10" ht="15" customHeight="1" x14ac:dyDescent="0.2">
      <c r="A13" t="s">
        <v>477</v>
      </c>
      <c r="B13" t="s">
        <v>466</v>
      </c>
      <c r="C13">
        <v>1000</v>
      </c>
      <c r="D13">
        <f>C13*1.5</f>
        <v>1500</v>
      </c>
      <c r="G13" t="s">
        <v>471</v>
      </c>
      <c r="I13">
        <v>25</v>
      </c>
    </row>
    <row r="14" spans="1:10" ht="15" customHeight="1" x14ac:dyDescent="0.2">
      <c r="A14" t="s">
        <v>478</v>
      </c>
      <c r="B14" t="s">
        <v>479</v>
      </c>
      <c r="C14">
        <v>50000</v>
      </c>
      <c r="G14" t="s">
        <v>480</v>
      </c>
      <c r="H14" t="s">
        <v>481</v>
      </c>
      <c r="I14">
        <v>400</v>
      </c>
    </row>
    <row r="15" spans="1:10" ht="15" customHeight="1" x14ac:dyDescent="0.2">
      <c r="A15" t="s">
        <v>482</v>
      </c>
      <c r="B15" t="s">
        <v>479</v>
      </c>
      <c r="C15">
        <v>5000</v>
      </c>
      <c r="D15">
        <f t="shared" ref="D15:D16" si="5">C15*1.5</f>
        <v>7500</v>
      </c>
      <c r="G15" t="s">
        <v>467</v>
      </c>
      <c r="H15" t="s">
        <v>483</v>
      </c>
      <c r="I15">
        <v>60</v>
      </c>
    </row>
    <row r="16" spans="1:10" ht="15" customHeight="1" x14ac:dyDescent="0.2">
      <c r="A16" t="s">
        <v>484</v>
      </c>
      <c r="B16" t="s">
        <v>479</v>
      </c>
      <c r="C16">
        <v>25000</v>
      </c>
      <c r="D16">
        <f t="shared" si="5"/>
        <v>37500</v>
      </c>
      <c r="G16" t="s">
        <v>485</v>
      </c>
      <c r="H16" t="s">
        <v>486</v>
      </c>
      <c r="I16">
        <v>150</v>
      </c>
    </row>
    <row r="17" spans="1:10" ht="15" customHeight="1" x14ac:dyDescent="0.2">
      <c r="A17" t="s">
        <v>487</v>
      </c>
      <c r="B17" t="s">
        <v>479</v>
      </c>
      <c r="C17">
        <v>500000</v>
      </c>
      <c r="G17" t="s">
        <v>488</v>
      </c>
      <c r="H17" t="s">
        <v>489</v>
      </c>
      <c r="I17">
        <v>1200</v>
      </c>
    </row>
    <row r="18" spans="1:10" ht="15" customHeight="1" x14ac:dyDescent="0.2">
      <c r="A18" t="s">
        <v>490</v>
      </c>
      <c r="B18" t="s">
        <v>479</v>
      </c>
      <c r="C18">
        <v>2000</v>
      </c>
      <c r="D18">
        <f t="shared" ref="D18:D46" si="6">C18*1.5</f>
        <v>3000</v>
      </c>
      <c r="G18" t="s">
        <v>469</v>
      </c>
      <c r="H18" t="s">
        <v>491</v>
      </c>
      <c r="I18">
        <v>60</v>
      </c>
    </row>
    <row r="19" spans="1:10" ht="15" customHeight="1" x14ac:dyDescent="0.2">
      <c r="A19" t="s">
        <v>492</v>
      </c>
      <c r="B19" t="s">
        <v>493</v>
      </c>
      <c r="C19">
        <v>50</v>
      </c>
      <c r="D19">
        <f t="shared" si="6"/>
        <v>75</v>
      </c>
    </row>
    <row r="20" spans="1:10" ht="15" customHeight="1" x14ac:dyDescent="0.2">
      <c r="A20" t="s">
        <v>494</v>
      </c>
      <c r="B20" t="s">
        <v>493</v>
      </c>
      <c r="C20">
        <v>5</v>
      </c>
      <c r="D20">
        <f t="shared" si="6"/>
        <v>7.5</v>
      </c>
    </row>
    <row r="21" spans="1:10" ht="15" customHeight="1" x14ac:dyDescent="0.2">
      <c r="A21" t="s">
        <v>495</v>
      </c>
      <c r="B21" t="s">
        <v>493</v>
      </c>
      <c r="C21">
        <v>1600</v>
      </c>
      <c r="D21">
        <f t="shared" si="6"/>
        <v>2400</v>
      </c>
      <c r="E21">
        <f t="shared" ref="E21:E23" si="7">C21*3</f>
        <v>4800</v>
      </c>
    </row>
    <row r="22" spans="1:10" ht="15" customHeight="1" x14ac:dyDescent="0.2">
      <c r="A22" t="s">
        <v>496</v>
      </c>
      <c r="B22" t="s">
        <v>493</v>
      </c>
      <c r="C22">
        <v>400</v>
      </c>
      <c r="D22">
        <f t="shared" si="6"/>
        <v>600</v>
      </c>
      <c r="E22">
        <f t="shared" si="7"/>
        <v>1200</v>
      </c>
    </row>
    <row r="23" spans="1:10" ht="15" customHeight="1" x14ac:dyDescent="0.2">
      <c r="A23" t="s">
        <v>497</v>
      </c>
      <c r="B23" t="s">
        <v>493</v>
      </c>
      <c r="C23">
        <v>50</v>
      </c>
      <c r="D23">
        <f t="shared" si="6"/>
        <v>75</v>
      </c>
      <c r="E23">
        <f t="shared" si="7"/>
        <v>150</v>
      </c>
    </row>
    <row r="24" spans="1:10" ht="15" customHeight="1" x14ac:dyDescent="0.2">
      <c r="A24" t="s">
        <v>498</v>
      </c>
      <c r="B24" t="s">
        <v>493</v>
      </c>
      <c r="C24">
        <v>20</v>
      </c>
      <c r="D24">
        <f t="shared" si="6"/>
        <v>30</v>
      </c>
    </row>
    <row r="25" spans="1:10" ht="15" customHeight="1" x14ac:dyDescent="0.2">
      <c r="A25" t="s">
        <v>499</v>
      </c>
      <c r="B25" t="s">
        <v>500</v>
      </c>
      <c r="C25">
        <v>3000</v>
      </c>
      <c r="D25">
        <f t="shared" si="6"/>
        <v>4500</v>
      </c>
      <c r="E25">
        <f t="shared" ref="E25:E46" si="8">C25*3</f>
        <v>9000</v>
      </c>
      <c r="F25">
        <f t="shared" ref="F25:F46" si="9">C25*6</f>
        <v>18000</v>
      </c>
      <c r="I25">
        <v>300</v>
      </c>
      <c r="J25" t="s">
        <v>501</v>
      </c>
    </row>
    <row r="26" spans="1:10" ht="15" customHeight="1" x14ac:dyDescent="0.2">
      <c r="A26" t="s">
        <v>502</v>
      </c>
      <c r="B26" t="s">
        <v>500</v>
      </c>
      <c r="C26">
        <v>12000</v>
      </c>
      <c r="D26">
        <f t="shared" si="6"/>
        <v>18000</v>
      </c>
      <c r="E26">
        <f t="shared" si="8"/>
        <v>36000</v>
      </c>
      <c r="F26">
        <f t="shared" si="9"/>
        <v>72000</v>
      </c>
      <c r="I26">
        <v>730</v>
      </c>
      <c r="J26" t="s">
        <v>503</v>
      </c>
    </row>
    <row r="27" spans="1:10" ht="12.75" x14ac:dyDescent="0.2">
      <c r="A27" t="s">
        <v>504</v>
      </c>
      <c r="B27" t="s">
        <v>500</v>
      </c>
      <c r="C27">
        <v>7500</v>
      </c>
      <c r="D27">
        <f t="shared" si="6"/>
        <v>11250</v>
      </c>
      <c r="E27">
        <f t="shared" si="8"/>
        <v>22500</v>
      </c>
      <c r="F27">
        <f t="shared" si="9"/>
        <v>45000</v>
      </c>
      <c r="I27">
        <v>80</v>
      </c>
      <c r="J27" t="s">
        <v>505</v>
      </c>
    </row>
    <row r="28" spans="1:10" ht="12.75" x14ac:dyDescent="0.2">
      <c r="A28" t="s">
        <v>506</v>
      </c>
      <c r="B28" t="s">
        <v>500</v>
      </c>
      <c r="C28">
        <v>1500</v>
      </c>
      <c r="D28">
        <f t="shared" si="6"/>
        <v>2250</v>
      </c>
      <c r="E28">
        <f t="shared" si="8"/>
        <v>4500</v>
      </c>
      <c r="F28">
        <f t="shared" si="9"/>
        <v>9000</v>
      </c>
      <c r="I28">
        <v>120</v>
      </c>
      <c r="J28" t="s">
        <v>507</v>
      </c>
    </row>
    <row r="29" spans="1:10" ht="12.75" x14ac:dyDescent="0.2">
      <c r="A29" t="s">
        <v>508</v>
      </c>
      <c r="B29" t="s">
        <v>500</v>
      </c>
      <c r="C29">
        <v>18000</v>
      </c>
      <c r="D29">
        <f t="shared" si="6"/>
        <v>27000</v>
      </c>
      <c r="E29">
        <f t="shared" si="8"/>
        <v>54000</v>
      </c>
      <c r="F29">
        <f t="shared" si="9"/>
        <v>108000</v>
      </c>
      <c r="I29">
        <v>1000</v>
      </c>
      <c r="J29" t="s">
        <v>509</v>
      </c>
    </row>
    <row r="30" spans="1:10" ht="12.75" x14ac:dyDescent="0.2">
      <c r="A30" t="s">
        <v>510</v>
      </c>
      <c r="B30" t="s">
        <v>511</v>
      </c>
      <c r="C30">
        <v>4500</v>
      </c>
      <c r="D30">
        <f t="shared" si="6"/>
        <v>6750</v>
      </c>
      <c r="E30">
        <f t="shared" si="8"/>
        <v>13500</v>
      </c>
      <c r="F30">
        <f t="shared" si="9"/>
        <v>27000</v>
      </c>
      <c r="I30">
        <v>150</v>
      </c>
      <c r="J30" t="s">
        <v>512</v>
      </c>
    </row>
    <row r="31" spans="1:10" ht="12.75" x14ac:dyDescent="0.2">
      <c r="A31" t="s">
        <v>513</v>
      </c>
      <c r="B31" t="s">
        <v>511</v>
      </c>
      <c r="C31">
        <v>1050</v>
      </c>
      <c r="D31">
        <f t="shared" si="6"/>
        <v>1575</v>
      </c>
      <c r="E31">
        <f t="shared" si="8"/>
        <v>3150</v>
      </c>
      <c r="F31">
        <f t="shared" si="9"/>
        <v>6300</v>
      </c>
      <c r="I31">
        <v>100</v>
      </c>
      <c r="J31" t="s">
        <v>514</v>
      </c>
    </row>
    <row r="32" spans="1:10" ht="12.75" x14ac:dyDescent="0.2">
      <c r="A32" t="s">
        <v>515</v>
      </c>
      <c r="B32" t="s">
        <v>511</v>
      </c>
      <c r="C32">
        <v>3000</v>
      </c>
      <c r="D32">
        <f t="shared" si="6"/>
        <v>4500</v>
      </c>
      <c r="E32">
        <f t="shared" si="8"/>
        <v>9000</v>
      </c>
      <c r="F32">
        <f t="shared" si="9"/>
        <v>18000</v>
      </c>
      <c r="I32">
        <v>120</v>
      </c>
      <c r="J32" t="s">
        <v>516</v>
      </c>
    </row>
    <row r="33" spans="1:10" ht="12.75" x14ac:dyDescent="0.2">
      <c r="A33" t="s">
        <v>517</v>
      </c>
      <c r="B33" t="s">
        <v>511</v>
      </c>
      <c r="C33">
        <v>20</v>
      </c>
      <c r="D33">
        <f t="shared" si="6"/>
        <v>30</v>
      </c>
      <c r="E33">
        <f t="shared" si="8"/>
        <v>60</v>
      </c>
      <c r="F33">
        <f t="shared" si="9"/>
        <v>120</v>
      </c>
      <c r="I33">
        <v>2</v>
      </c>
    </row>
    <row r="34" spans="1:10" ht="12.75" x14ac:dyDescent="0.2">
      <c r="A34" t="s">
        <v>518</v>
      </c>
      <c r="B34" t="s">
        <v>511</v>
      </c>
      <c r="C34">
        <v>3000</v>
      </c>
      <c r="D34">
        <f t="shared" si="6"/>
        <v>4500</v>
      </c>
      <c r="E34">
        <f t="shared" si="8"/>
        <v>9000</v>
      </c>
      <c r="F34">
        <f t="shared" si="9"/>
        <v>18000</v>
      </c>
      <c r="I34">
        <v>150</v>
      </c>
      <c r="J34" t="s">
        <v>501</v>
      </c>
    </row>
    <row r="35" spans="1:10" ht="12.75" x14ac:dyDescent="0.2">
      <c r="A35" t="s">
        <v>519</v>
      </c>
      <c r="B35" t="s">
        <v>511</v>
      </c>
      <c r="C35">
        <v>6000</v>
      </c>
      <c r="D35">
        <f t="shared" si="6"/>
        <v>9000</v>
      </c>
      <c r="E35">
        <f t="shared" si="8"/>
        <v>18000</v>
      </c>
      <c r="F35">
        <f t="shared" si="9"/>
        <v>36000</v>
      </c>
      <c r="I35">
        <v>200</v>
      </c>
      <c r="J35" t="s">
        <v>520</v>
      </c>
    </row>
    <row r="36" spans="1:10" ht="12.75" x14ac:dyDescent="0.2">
      <c r="A36" t="s">
        <v>521</v>
      </c>
      <c r="B36" t="s">
        <v>522</v>
      </c>
      <c r="C36">
        <v>2200</v>
      </c>
      <c r="D36">
        <f t="shared" si="6"/>
        <v>3300</v>
      </c>
      <c r="E36">
        <f t="shared" si="8"/>
        <v>6600</v>
      </c>
      <c r="F36">
        <f t="shared" si="9"/>
        <v>13200</v>
      </c>
    </row>
    <row r="37" spans="1:10" ht="12.75" x14ac:dyDescent="0.2">
      <c r="A37" t="s">
        <v>523</v>
      </c>
      <c r="B37" t="s">
        <v>522</v>
      </c>
      <c r="C37">
        <v>3200</v>
      </c>
      <c r="D37">
        <f t="shared" si="6"/>
        <v>4800</v>
      </c>
      <c r="E37">
        <f t="shared" si="8"/>
        <v>9600</v>
      </c>
      <c r="F37">
        <f t="shared" si="9"/>
        <v>19200</v>
      </c>
    </row>
    <row r="38" spans="1:10" ht="12.75" x14ac:dyDescent="0.2">
      <c r="A38" t="s">
        <v>524</v>
      </c>
      <c r="B38" t="s">
        <v>522</v>
      </c>
      <c r="C38">
        <v>6000</v>
      </c>
      <c r="D38">
        <f t="shared" si="6"/>
        <v>9000</v>
      </c>
      <c r="E38">
        <f t="shared" si="8"/>
        <v>18000</v>
      </c>
      <c r="F38">
        <f t="shared" si="9"/>
        <v>36000</v>
      </c>
    </row>
    <row r="39" spans="1:10" ht="12.75" x14ac:dyDescent="0.2">
      <c r="A39" t="s">
        <v>525</v>
      </c>
      <c r="B39" t="s">
        <v>522</v>
      </c>
      <c r="C39">
        <v>120</v>
      </c>
      <c r="D39">
        <f t="shared" si="6"/>
        <v>180</v>
      </c>
      <c r="E39">
        <f t="shared" si="8"/>
        <v>360</v>
      </c>
      <c r="F39">
        <f t="shared" si="9"/>
        <v>720</v>
      </c>
    </row>
    <row r="40" spans="1:10" ht="12.75" x14ac:dyDescent="0.2">
      <c r="A40" t="s">
        <v>526</v>
      </c>
      <c r="B40" t="s">
        <v>527</v>
      </c>
      <c r="C40">
        <v>600</v>
      </c>
      <c r="D40">
        <f t="shared" si="6"/>
        <v>900</v>
      </c>
      <c r="E40">
        <f t="shared" si="8"/>
        <v>1800</v>
      </c>
      <c r="F40">
        <f t="shared" si="9"/>
        <v>3600</v>
      </c>
    </row>
    <row r="41" spans="1:10" ht="12.75" x14ac:dyDescent="0.2">
      <c r="A41" t="s">
        <v>528</v>
      </c>
      <c r="B41" t="s">
        <v>527</v>
      </c>
      <c r="C41">
        <v>1500</v>
      </c>
      <c r="D41">
        <f t="shared" si="6"/>
        <v>2250</v>
      </c>
      <c r="E41">
        <f t="shared" si="8"/>
        <v>4500</v>
      </c>
      <c r="F41">
        <f t="shared" si="9"/>
        <v>9000</v>
      </c>
    </row>
    <row r="42" spans="1:10" ht="12.75" x14ac:dyDescent="0.2">
      <c r="A42" t="s">
        <v>529</v>
      </c>
      <c r="B42" t="s">
        <v>527</v>
      </c>
      <c r="C42">
        <v>12</v>
      </c>
      <c r="D42">
        <f t="shared" si="6"/>
        <v>18</v>
      </c>
      <c r="E42">
        <f t="shared" si="8"/>
        <v>36</v>
      </c>
      <c r="F42">
        <f t="shared" si="9"/>
        <v>72</v>
      </c>
    </row>
    <row r="43" spans="1:10" ht="12.75" x14ac:dyDescent="0.2">
      <c r="A43" t="s">
        <v>530</v>
      </c>
      <c r="B43" t="s">
        <v>527</v>
      </c>
      <c r="C43">
        <v>800</v>
      </c>
      <c r="D43">
        <f t="shared" si="6"/>
        <v>1200</v>
      </c>
      <c r="E43">
        <f t="shared" si="8"/>
        <v>2400</v>
      </c>
      <c r="F43">
        <f t="shared" si="9"/>
        <v>4800</v>
      </c>
    </row>
    <row r="44" spans="1:10" ht="12.75" x14ac:dyDescent="0.2">
      <c r="A44" t="s">
        <v>531</v>
      </c>
      <c r="B44" t="s">
        <v>527</v>
      </c>
      <c r="C44">
        <v>70</v>
      </c>
      <c r="D44">
        <f t="shared" si="6"/>
        <v>105</v>
      </c>
      <c r="E44">
        <f t="shared" si="8"/>
        <v>210</v>
      </c>
      <c r="F44">
        <f t="shared" si="9"/>
        <v>420</v>
      </c>
    </row>
    <row r="45" spans="1:10" ht="12.75" x14ac:dyDescent="0.2">
      <c r="A45" t="s">
        <v>532</v>
      </c>
      <c r="B45" t="s">
        <v>527</v>
      </c>
      <c r="C45">
        <v>1200</v>
      </c>
      <c r="D45">
        <f t="shared" si="6"/>
        <v>1800</v>
      </c>
      <c r="E45">
        <f t="shared" si="8"/>
        <v>3600</v>
      </c>
      <c r="F45">
        <f t="shared" si="9"/>
        <v>7200</v>
      </c>
    </row>
    <row r="46" spans="1:10" ht="12.75" x14ac:dyDescent="0.2">
      <c r="A46" t="s">
        <v>533</v>
      </c>
      <c r="B46" t="s">
        <v>527</v>
      </c>
      <c r="C46">
        <v>1800</v>
      </c>
      <c r="D46">
        <f t="shared" si="6"/>
        <v>2700</v>
      </c>
      <c r="E46">
        <f t="shared" si="8"/>
        <v>5400</v>
      </c>
      <c r="F46">
        <f t="shared" si="9"/>
        <v>10800</v>
      </c>
    </row>
    <row r="47" spans="1:10" ht="12.75" x14ac:dyDescent="0.2">
      <c r="A47" t="s">
        <v>534</v>
      </c>
      <c r="B47" t="s">
        <v>535</v>
      </c>
      <c r="C47">
        <v>6000</v>
      </c>
      <c r="G47" t="s">
        <v>467</v>
      </c>
      <c r="H47">
        <v>1</v>
      </c>
      <c r="I47">
        <v>90</v>
      </c>
    </row>
    <row r="48" spans="1:10" ht="12.75" x14ac:dyDescent="0.2">
      <c r="A48" t="s">
        <v>536</v>
      </c>
      <c r="B48" t="s">
        <v>535</v>
      </c>
      <c r="C48">
        <v>3000</v>
      </c>
      <c r="G48" t="s">
        <v>534</v>
      </c>
      <c r="H48">
        <v>2</v>
      </c>
      <c r="I48">
        <v>30</v>
      </c>
    </row>
    <row r="49" spans="1:9" ht="12.75" x14ac:dyDescent="0.2">
      <c r="A49" t="s">
        <v>537</v>
      </c>
      <c r="B49" t="s">
        <v>535</v>
      </c>
      <c r="C49">
        <v>6000</v>
      </c>
      <c r="G49" t="s">
        <v>536</v>
      </c>
      <c r="H49">
        <v>3</v>
      </c>
      <c r="I49">
        <v>60</v>
      </c>
    </row>
    <row r="50" spans="1:9" ht="12.75" x14ac:dyDescent="0.2">
      <c r="A50" t="s">
        <v>538</v>
      </c>
      <c r="B50" t="s">
        <v>535</v>
      </c>
      <c r="C50">
        <v>12000</v>
      </c>
      <c r="G50" t="s">
        <v>537</v>
      </c>
      <c r="H50">
        <v>4</v>
      </c>
      <c r="I50">
        <v>90</v>
      </c>
    </row>
    <row r="51" spans="1:9" ht="12.75" x14ac:dyDescent="0.2">
      <c r="A51" t="s">
        <v>539</v>
      </c>
      <c r="B51" t="s">
        <v>535</v>
      </c>
      <c r="C51">
        <v>18000</v>
      </c>
      <c r="G51" t="s">
        <v>538</v>
      </c>
      <c r="H51">
        <v>5</v>
      </c>
      <c r="I51">
        <v>120</v>
      </c>
    </row>
    <row r="52" spans="1:9" ht="12.75" x14ac:dyDescent="0.2">
      <c r="A52" t="s">
        <v>540</v>
      </c>
      <c r="B52" t="s">
        <v>535</v>
      </c>
      <c r="C52">
        <v>10000</v>
      </c>
      <c r="G52" t="s">
        <v>467</v>
      </c>
      <c r="H52">
        <v>2</v>
      </c>
      <c r="I52">
        <v>150</v>
      </c>
    </row>
    <row r="53" spans="1:9" ht="12.75" x14ac:dyDescent="0.2">
      <c r="A53" t="s">
        <v>541</v>
      </c>
      <c r="B53" t="s">
        <v>535</v>
      </c>
      <c r="C53">
        <v>5000</v>
      </c>
      <c r="G53" t="s">
        <v>542</v>
      </c>
      <c r="H53">
        <v>3</v>
      </c>
      <c r="I53">
        <v>50</v>
      </c>
    </row>
    <row r="54" spans="1:9" ht="12.75" x14ac:dyDescent="0.2">
      <c r="A54" t="s">
        <v>543</v>
      </c>
      <c r="B54" t="s">
        <v>535</v>
      </c>
      <c r="C54">
        <v>10000</v>
      </c>
      <c r="G54" t="s">
        <v>544</v>
      </c>
      <c r="H54">
        <v>4</v>
      </c>
      <c r="I54">
        <v>100</v>
      </c>
    </row>
    <row r="55" spans="1:9" ht="12.75" x14ac:dyDescent="0.2">
      <c r="A55" t="s">
        <v>545</v>
      </c>
      <c r="B55" t="s">
        <v>535</v>
      </c>
      <c r="C55">
        <v>15000</v>
      </c>
      <c r="G55" t="s">
        <v>546</v>
      </c>
      <c r="H55">
        <v>5</v>
      </c>
      <c r="I55">
        <v>150</v>
      </c>
    </row>
    <row r="56" spans="1:9" ht="12.75" x14ac:dyDescent="0.2">
      <c r="A56" t="s">
        <v>547</v>
      </c>
      <c r="B56" t="s">
        <v>535</v>
      </c>
      <c r="C56">
        <v>20000</v>
      </c>
      <c r="G56" t="s">
        <v>548</v>
      </c>
      <c r="H56">
        <v>6</v>
      </c>
      <c r="I56">
        <v>200</v>
      </c>
    </row>
    <row r="57" spans="1:9" ht="12.75" x14ac:dyDescent="0.2">
      <c r="A57" t="s">
        <v>549</v>
      </c>
      <c r="B57" t="s">
        <v>535</v>
      </c>
      <c r="C57">
        <v>8000</v>
      </c>
      <c r="G57" t="s">
        <v>467</v>
      </c>
      <c r="H57">
        <v>1</v>
      </c>
      <c r="I57">
        <v>120</v>
      </c>
    </row>
    <row r="58" spans="1:9" ht="12.75" x14ac:dyDescent="0.2">
      <c r="A58" t="s">
        <v>550</v>
      </c>
      <c r="B58" t="s">
        <v>535</v>
      </c>
      <c r="C58">
        <v>3000</v>
      </c>
      <c r="G58" t="s">
        <v>549</v>
      </c>
      <c r="H58">
        <v>2</v>
      </c>
      <c r="I58">
        <v>40</v>
      </c>
    </row>
    <row r="59" spans="1:9" ht="12.75" x14ac:dyDescent="0.2">
      <c r="A59" t="s">
        <v>551</v>
      </c>
      <c r="B59" t="s">
        <v>535</v>
      </c>
      <c r="C59">
        <v>6000</v>
      </c>
      <c r="G59" t="s">
        <v>550</v>
      </c>
      <c r="H59">
        <v>3</v>
      </c>
      <c r="I59">
        <v>80</v>
      </c>
    </row>
    <row r="60" spans="1:9" ht="12.75" x14ac:dyDescent="0.2">
      <c r="A60" t="s">
        <v>552</v>
      </c>
      <c r="B60" t="s">
        <v>535</v>
      </c>
      <c r="C60">
        <v>12000</v>
      </c>
      <c r="G60" t="s">
        <v>551</v>
      </c>
      <c r="H60">
        <v>4</v>
      </c>
      <c r="I60">
        <v>120</v>
      </c>
    </row>
    <row r="61" spans="1:9" ht="12.75" x14ac:dyDescent="0.2">
      <c r="A61" t="s">
        <v>553</v>
      </c>
      <c r="B61" t="s">
        <v>535</v>
      </c>
      <c r="C61">
        <v>18000</v>
      </c>
      <c r="G61" t="s">
        <v>554</v>
      </c>
      <c r="H61">
        <v>5</v>
      </c>
      <c r="I61">
        <v>160</v>
      </c>
    </row>
    <row r="62" spans="1:9" ht="12.75" x14ac:dyDescent="0.2">
      <c r="A62" t="s">
        <v>555</v>
      </c>
      <c r="B62" t="s">
        <v>535</v>
      </c>
      <c r="C62">
        <v>8000</v>
      </c>
      <c r="G62" t="s">
        <v>469</v>
      </c>
      <c r="H62">
        <v>1</v>
      </c>
      <c r="I62">
        <v>120</v>
      </c>
    </row>
    <row r="63" spans="1:9" ht="12.75" x14ac:dyDescent="0.2">
      <c r="A63" t="s">
        <v>556</v>
      </c>
      <c r="B63" t="s">
        <v>535</v>
      </c>
      <c r="C63">
        <v>3000</v>
      </c>
      <c r="G63" t="s">
        <v>555</v>
      </c>
      <c r="H63">
        <v>2</v>
      </c>
      <c r="I63">
        <v>40</v>
      </c>
    </row>
    <row r="64" spans="1:9" ht="12.75" x14ac:dyDescent="0.2">
      <c r="A64" t="s">
        <v>557</v>
      </c>
      <c r="B64" t="s">
        <v>535</v>
      </c>
      <c r="C64">
        <v>6000</v>
      </c>
      <c r="G64" t="s">
        <v>556</v>
      </c>
      <c r="H64">
        <v>3</v>
      </c>
      <c r="I64">
        <v>80</v>
      </c>
    </row>
    <row r="65" spans="1:9" ht="12.75" x14ac:dyDescent="0.2">
      <c r="A65" t="s">
        <v>558</v>
      </c>
      <c r="B65" t="s">
        <v>535</v>
      </c>
      <c r="C65">
        <v>12000</v>
      </c>
      <c r="G65" t="s">
        <v>557</v>
      </c>
      <c r="H65">
        <v>4</v>
      </c>
      <c r="I65">
        <v>120</v>
      </c>
    </row>
    <row r="66" spans="1:9" ht="12.75" x14ac:dyDescent="0.2">
      <c r="A66" t="s">
        <v>559</v>
      </c>
      <c r="B66" t="s">
        <v>535</v>
      </c>
      <c r="C66">
        <v>18000</v>
      </c>
      <c r="G66" t="s">
        <v>558</v>
      </c>
      <c r="H66">
        <v>5</v>
      </c>
      <c r="I66">
        <v>160</v>
      </c>
    </row>
    <row r="67" spans="1:9" ht="12.75" x14ac:dyDescent="0.2"/>
    <row r="68" spans="1:9" ht="12.75" x14ac:dyDescent="0.2"/>
    <row r="69" spans="1:9" ht="12.75" x14ac:dyDescent="0.2"/>
    <row r="70" spans="1:9" ht="12.75" x14ac:dyDescent="0.2"/>
    <row r="71" spans="1:9" ht="12.75" x14ac:dyDescent="0.2"/>
    <row r="72" spans="1:9" ht="12.75" x14ac:dyDescent="0.2"/>
    <row r="73" spans="1:9" ht="12.75" x14ac:dyDescent="0.2"/>
    <row r="74" spans="1:9" ht="12.75" x14ac:dyDescent="0.2"/>
    <row r="75" spans="1:9" ht="12.75" x14ac:dyDescent="0.2"/>
    <row r="76" spans="1:9" ht="12.75" x14ac:dyDescent="0.2"/>
    <row r="77" spans="1:9" ht="12.75" x14ac:dyDescent="0.2"/>
    <row r="78" spans="1:9" ht="12.75" x14ac:dyDescent="0.2"/>
    <row r="79" spans="1:9" ht="12.75" x14ac:dyDescent="0.2"/>
    <row r="80" spans="1:9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44"/>
  <sheetViews>
    <sheetView tabSelected="1" workbookViewId="0">
      <selection activeCell="D14" sqref="D14"/>
    </sheetView>
  </sheetViews>
  <sheetFormatPr defaultColWidth="14.42578125" defaultRowHeight="15" customHeight="1" x14ac:dyDescent="0.2"/>
  <cols>
    <col min="1" max="1" width="21.5703125" customWidth="1"/>
    <col min="2" max="2" width="60.42578125" customWidth="1"/>
    <col min="3" max="5" width="12.7109375" customWidth="1"/>
    <col min="6" max="6" width="14" customWidth="1"/>
    <col min="7" max="7" width="14.28515625" customWidth="1"/>
    <col min="8" max="9" width="8.7109375" customWidth="1"/>
    <col min="10" max="10" width="13.28515625" customWidth="1"/>
    <col min="11" max="26" width="8.7109375" customWidth="1"/>
  </cols>
  <sheetData>
    <row r="1" spans="1:7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customHeight="1" x14ac:dyDescent="0.2">
      <c r="A2" t="str">
        <f ca="1">IFERROR(__xludf.DUMMYFUNCTION("QUERY('Smaller Things'!A2:J1000,""WHERE NOT J CONTAINS 'No'"")"),"Abacus")</f>
        <v>Abacus</v>
      </c>
      <c r="B2" t="str">
        <f ca="1">IFERROR(__xludf.DUMMYFUNCTION("""COMPUTED_VALUE"""),"Adventuring Gear (PHB)")</f>
        <v>Adventuring Gear (PHB)</v>
      </c>
      <c r="C2">
        <f ca="1">IFERROR(__xludf.DUMMYFUNCTION("""COMPUTED_VALUE"""),2)</f>
        <v>2</v>
      </c>
      <c r="D2">
        <f ca="1">IFERROR(__xludf.DUMMYFUNCTION("""COMPUTED_VALUE"""),3)</f>
        <v>3</v>
      </c>
      <c r="E2">
        <f ca="1">IFERROR(__xludf.DUMMYFUNCTION("""COMPUTED_VALUE"""),6)</f>
        <v>6</v>
      </c>
      <c r="F2">
        <f ca="1">IFERROR(__xludf.DUMMYFUNCTION("""COMPUTED_VALUE"""),12)</f>
        <v>12</v>
      </c>
    </row>
    <row r="3" spans="1:7" ht="15" customHeight="1" x14ac:dyDescent="0.2">
      <c r="A3" t="str">
        <f ca="1">IFERROR(__xludf.DUMMYFUNCTION("""COMPUTED_VALUE"""),"Acid (vial)")</f>
        <v>Acid (vial)</v>
      </c>
      <c r="B3" t="str">
        <f ca="1">IFERROR(__xludf.DUMMYFUNCTION("""COMPUTED_VALUE"""),"Adventuring Gear (PHB)")</f>
        <v>Adventuring Gear (PHB)</v>
      </c>
      <c r="C3">
        <f ca="1">IFERROR(__xludf.DUMMYFUNCTION("""COMPUTED_VALUE"""),2.9)</f>
        <v>2.9</v>
      </c>
      <c r="D3">
        <f ca="1">IFERROR(__xludf.DUMMYFUNCTION("""COMPUTED_VALUE"""),4.35)</f>
        <v>4.3499999999999996</v>
      </c>
      <c r="E3">
        <f ca="1">IFERROR(__xludf.DUMMYFUNCTION("""COMPUTED_VALUE"""),8.7)</f>
        <v>8.6999999999999993</v>
      </c>
      <c r="F3">
        <f ca="1">IFERROR(__xludf.DUMMYFUNCTION("""COMPUTED_VALUE"""),17.4)</f>
        <v>17.399999999999999</v>
      </c>
    </row>
    <row r="4" spans="1:7" ht="15" customHeight="1" x14ac:dyDescent="0.2">
      <c r="A4" t="str">
        <f ca="1">IFERROR(__xludf.DUMMYFUNCTION("""COMPUTED_VALUE"""),"Alchemist’s fire")</f>
        <v>Alchemist’s fire</v>
      </c>
      <c r="B4" t="str">
        <f ca="1">IFERROR(__xludf.DUMMYFUNCTION("""COMPUTED_VALUE"""),"Adventuring Gear (PHB)")</f>
        <v>Adventuring Gear (PHB)</v>
      </c>
      <c r="C4">
        <f ca="1">IFERROR(__xludf.DUMMYFUNCTION("""COMPUTED_VALUE"""),8.4)</f>
        <v>8.4</v>
      </c>
      <c r="D4">
        <f ca="1">IFERROR(__xludf.DUMMYFUNCTION("""COMPUTED_VALUE"""),12.6)</f>
        <v>12.6</v>
      </c>
      <c r="E4">
        <f ca="1">IFERROR(__xludf.DUMMYFUNCTION("""COMPUTED_VALUE"""),25.2)</f>
        <v>25.2</v>
      </c>
      <c r="F4">
        <f ca="1">IFERROR(__xludf.DUMMYFUNCTION("""COMPUTED_VALUE"""),50.4)</f>
        <v>50.4</v>
      </c>
    </row>
    <row r="5" spans="1:7" ht="15" customHeight="1" x14ac:dyDescent="0.2">
      <c r="A5" t="str">
        <f ca="1">IFERROR(__xludf.DUMMYFUNCTION("""COMPUTED_VALUE"""),"Amulet holy symbol")</f>
        <v>Amulet holy symbol</v>
      </c>
      <c r="B5" t="str">
        <f ca="1">IFERROR(__xludf.DUMMYFUNCTION("""COMPUTED_VALUE"""),"Adventuring Gear (PHB)")</f>
        <v>Adventuring Gear (PHB)</v>
      </c>
      <c r="C5">
        <f ca="1">IFERROR(__xludf.DUMMYFUNCTION("""COMPUTED_VALUE"""),5)</f>
        <v>5</v>
      </c>
      <c r="D5">
        <f ca="1">IFERROR(__xludf.DUMMYFUNCTION("""COMPUTED_VALUE"""),7.5)</f>
        <v>7.5</v>
      </c>
      <c r="E5">
        <f ca="1">IFERROR(__xludf.DUMMYFUNCTION("""COMPUTED_VALUE"""),15)</f>
        <v>15</v>
      </c>
      <c r="F5">
        <f ca="1">IFERROR(__xludf.DUMMYFUNCTION("""COMPUTED_VALUE"""),30)</f>
        <v>30</v>
      </c>
    </row>
    <row r="6" spans="1:7" ht="15" customHeight="1" x14ac:dyDescent="0.2">
      <c r="A6" t="str">
        <f ca="1">IFERROR(__xludf.DUMMYFUNCTION("""COMPUTED_VALUE"""),"Antitoxin (vial)")</f>
        <v>Antitoxin (vial)</v>
      </c>
      <c r="B6" t="str">
        <f ca="1">IFERROR(__xludf.DUMMYFUNCTION("""COMPUTED_VALUE"""),"Adventuring Gear (PHB)")</f>
        <v>Adventuring Gear (PHB)</v>
      </c>
      <c r="C6">
        <f ca="1">IFERROR(__xludf.DUMMYFUNCTION("""COMPUTED_VALUE"""),25)</f>
        <v>25</v>
      </c>
      <c r="D6">
        <f ca="1">IFERROR(__xludf.DUMMYFUNCTION("""COMPUTED_VALUE"""),37.5)</f>
        <v>37.5</v>
      </c>
      <c r="E6">
        <f ca="1">IFERROR(__xludf.DUMMYFUNCTION("""COMPUTED_VALUE"""),75)</f>
        <v>75</v>
      </c>
      <c r="F6">
        <f ca="1">IFERROR(__xludf.DUMMYFUNCTION("""COMPUTED_VALUE"""),150)</f>
        <v>150</v>
      </c>
    </row>
    <row r="7" spans="1:7" ht="15" customHeight="1" x14ac:dyDescent="0.2">
      <c r="A7" t="str">
        <f ca="1">IFERROR(__xludf.DUMMYFUNCTION("""COMPUTED_VALUE"""),"Arrows (20)")</f>
        <v>Arrows (20)</v>
      </c>
      <c r="B7" t="str">
        <f ca="1">IFERROR(__xludf.DUMMYFUNCTION("""COMPUTED_VALUE"""),"Adventuring Gear (PHB)")</f>
        <v>Adventuring Gear (PHB)</v>
      </c>
      <c r="C7">
        <f ca="1">IFERROR(__xludf.DUMMYFUNCTION("""COMPUTED_VALUE"""),0.12)</f>
        <v>0.12</v>
      </c>
      <c r="D7">
        <f ca="1">IFERROR(__xludf.DUMMYFUNCTION("""COMPUTED_VALUE"""),0.18)</f>
        <v>0.18</v>
      </c>
      <c r="E7">
        <f ca="1">IFERROR(__xludf.DUMMYFUNCTION("""COMPUTED_VALUE"""),0.36)</f>
        <v>0.36</v>
      </c>
      <c r="F7">
        <f ca="1">IFERROR(__xludf.DUMMYFUNCTION("""COMPUTED_VALUE"""),0.72)</f>
        <v>0.72</v>
      </c>
    </row>
    <row r="8" spans="1:7" ht="15" customHeight="1" x14ac:dyDescent="0.2">
      <c r="A8" t="str">
        <f ca="1">IFERROR(__xludf.DUMMYFUNCTION("""COMPUTED_VALUE"""),"Backpack")</f>
        <v>Backpack</v>
      </c>
      <c r="B8" t="str">
        <f ca="1">IFERROR(__xludf.DUMMYFUNCTION("""COMPUTED_VALUE"""),"Adventuring Gear (PHB)")</f>
        <v>Adventuring Gear (PHB)</v>
      </c>
      <c r="C8">
        <f ca="1">IFERROR(__xludf.DUMMYFUNCTION("""COMPUTED_VALUE"""),1)</f>
        <v>1</v>
      </c>
      <c r="D8">
        <f ca="1">IFERROR(__xludf.DUMMYFUNCTION("""COMPUTED_VALUE"""),1.5)</f>
        <v>1.5</v>
      </c>
      <c r="E8">
        <f ca="1">IFERROR(__xludf.DUMMYFUNCTION("""COMPUTED_VALUE"""),3)</f>
        <v>3</v>
      </c>
      <c r="F8">
        <f ca="1">IFERROR(__xludf.DUMMYFUNCTION("""COMPUTED_VALUE"""),6)</f>
        <v>6</v>
      </c>
    </row>
    <row r="9" spans="1:7" ht="15" customHeight="1" x14ac:dyDescent="0.2">
      <c r="A9" t="str">
        <f ca="1">IFERROR(__xludf.DUMMYFUNCTION("""COMPUTED_VALUE"""),"Ball bearings (bag of 1000)")</f>
        <v>Ball bearings (bag of 1000)</v>
      </c>
      <c r="B9" t="str">
        <f ca="1">IFERROR(__xludf.DUMMYFUNCTION("""COMPUTED_VALUE"""),"Adventuring Gear (PHB)")</f>
        <v>Adventuring Gear (PHB)</v>
      </c>
      <c r="C9">
        <f ca="1">IFERROR(__xludf.DUMMYFUNCTION("""COMPUTED_VALUE"""),3)</f>
        <v>3</v>
      </c>
      <c r="D9">
        <f ca="1">IFERROR(__xludf.DUMMYFUNCTION("""COMPUTED_VALUE"""),4.5)</f>
        <v>4.5</v>
      </c>
      <c r="E9">
        <f ca="1">IFERROR(__xludf.DUMMYFUNCTION("""COMPUTED_VALUE"""),9)</f>
        <v>9</v>
      </c>
      <c r="F9">
        <f ca="1">IFERROR(__xludf.DUMMYFUNCTION("""COMPUTED_VALUE"""),18)</f>
        <v>18</v>
      </c>
    </row>
    <row r="10" spans="1:7" ht="15" customHeight="1" x14ac:dyDescent="0.2">
      <c r="A10" t="str">
        <f ca="1">IFERROR(__xludf.DUMMYFUNCTION("""COMPUTED_VALUE"""),"Barrel")</f>
        <v>Barrel</v>
      </c>
      <c r="B10" t="str">
        <f ca="1">IFERROR(__xludf.DUMMYFUNCTION("""COMPUTED_VALUE"""),"Adventuring Gear (PHB)")</f>
        <v>Adventuring Gear (PHB)</v>
      </c>
      <c r="C10">
        <f ca="1">IFERROR(__xludf.DUMMYFUNCTION("""COMPUTED_VALUE"""),1.6)</f>
        <v>1.6</v>
      </c>
      <c r="D10">
        <f ca="1">IFERROR(__xludf.DUMMYFUNCTION("""COMPUTED_VALUE"""),2.4)</f>
        <v>2.4</v>
      </c>
      <c r="E10">
        <f ca="1">IFERROR(__xludf.DUMMYFUNCTION("""COMPUTED_VALUE"""),4.8)</f>
        <v>4.8</v>
      </c>
      <c r="F10">
        <f ca="1">IFERROR(__xludf.DUMMYFUNCTION("""COMPUTED_VALUE"""),9.6)</f>
        <v>9.6</v>
      </c>
    </row>
    <row r="11" spans="1:7" ht="15" customHeight="1" x14ac:dyDescent="0.2">
      <c r="A11" t="str">
        <f ca="1">IFERROR(__xludf.DUMMYFUNCTION("""COMPUTED_VALUE"""),"Basket")</f>
        <v>Basket</v>
      </c>
      <c r="B11" t="str">
        <f ca="1">IFERROR(__xludf.DUMMYFUNCTION("""COMPUTED_VALUE"""),"Adventuring Gear (PHB)")</f>
        <v>Adventuring Gear (PHB)</v>
      </c>
      <c r="C11">
        <f ca="1">IFERROR(__xludf.DUMMYFUNCTION("""COMPUTED_VALUE"""),0.7)</f>
        <v>0.7</v>
      </c>
      <c r="D11">
        <f ca="1">IFERROR(__xludf.DUMMYFUNCTION("""COMPUTED_VALUE"""),1.04999999999999)</f>
        <v>1.0499999999999901</v>
      </c>
      <c r="E11">
        <f ca="1">IFERROR(__xludf.DUMMYFUNCTION("""COMPUTED_VALUE"""),2.09999999999999)</f>
        <v>2.0999999999999899</v>
      </c>
      <c r="F11">
        <f ca="1">IFERROR(__xludf.DUMMYFUNCTION("""COMPUTED_VALUE"""),4.19999999999999)</f>
        <v>4.1999999999999904</v>
      </c>
    </row>
    <row r="12" spans="1:7" ht="15" customHeight="1" x14ac:dyDescent="0.2">
      <c r="A12" t="str">
        <f ca="1">IFERROR(__xludf.DUMMYFUNCTION("""COMPUTED_VALUE"""),"Bedroll")</f>
        <v>Bedroll</v>
      </c>
      <c r="B12" t="str">
        <f ca="1">IFERROR(__xludf.DUMMYFUNCTION("""COMPUTED_VALUE"""),"Adventuring Gear (PHB)")</f>
        <v>Adventuring Gear (PHB)</v>
      </c>
      <c r="C12">
        <f ca="1">IFERROR(__xludf.DUMMYFUNCTION("""COMPUTED_VALUE"""),0.8)</f>
        <v>0.8</v>
      </c>
      <c r="D12">
        <f ca="1">IFERROR(__xludf.DUMMYFUNCTION("""COMPUTED_VALUE"""),1.2)</f>
        <v>1.2</v>
      </c>
      <c r="E12">
        <f ca="1">IFERROR(__xludf.DUMMYFUNCTION("""COMPUTED_VALUE"""),2.4)</f>
        <v>2.4</v>
      </c>
      <c r="F12">
        <f ca="1">IFERROR(__xludf.DUMMYFUNCTION("""COMPUTED_VALUE"""),4.8)</f>
        <v>4.8</v>
      </c>
    </row>
    <row r="13" spans="1:7" ht="15" customHeight="1" x14ac:dyDescent="0.2">
      <c r="A13" t="str">
        <f ca="1">IFERROR(__xludf.DUMMYFUNCTION("""COMPUTED_VALUE"""),"Bell")</f>
        <v>Bell</v>
      </c>
      <c r="B13" t="str">
        <f ca="1">IFERROR(__xludf.DUMMYFUNCTION("""COMPUTED_VALUE"""),"Adventuring Gear (PHB)")</f>
        <v>Adventuring Gear (PHB)</v>
      </c>
      <c r="C13">
        <f ca="1">IFERROR(__xludf.DUMMYFUNCTION("""COMPUTED_VALUE"""),1.7)</f>
        <v>1.7</v>
      </c>
      <c r="D13">
        <f ca="1">IFERROR(__xludf.DUMMYFUNCTION("""COMPUTED_VALUE"""),2.55)</f>
        <v>2.5499999999999998</v>
      </c>
      <c r="E13">
        <f ca="1">IFERROR(__xludf.DUMMYFUNCTION("""COMPUTED_VALUE"""),5.1)</f>
        <v>5.0999999999999996</v>
      </c>
      <c r="F13">
        <f ca="1">IFERROR(__xludf.DUMMYFUNCTION("""COMPUTED_VALUE"""),10.2)</f>
        <v>10.199999999999999</v>
      </c>
    </row>
    <row r="14" spans="1:7" ht="15" customHeight="1" x14ac:dyDescent="0.2">
      <c r="A14" t="str">
        <f ca="1">IFERROR(__xludf.DUMMYFUNCTION("""COMPUTED_VALUE"""),"Blanket")</f>
        <v>Blanket</v>
      </c>
      <c r="B14" t="str">
        <f ca="1">IFERROR(__xludf.DUMMYFUNCTION("""COMPUTED_VALUE"""),"Adventuring Gear (PHB)")</f>
        <v>Adventuring Gear (PHB)</v>
      </c>
      <c r="C14">
        <f ca="1">IFERROR(__xludf.DUMMYFUNCTION("""COMPUTED_VALUE"""),0.5)</f>
        <v>0.5</v>
      </c>
      <c r="D14" t="s">
        <v>560</v>
      </c>
      <c r="E14">
        <f ca="1">IFERROR(__xludf.DUMMYFUNCTION("""COMPUTED_VALUE"""),1.5)</f>
        <v>1.5</v>
      </c>
      <c r="F14">
        <f ca="1">IFERROR(__xludf.DUMMYFUNCTION("""COMPUTED_VALUE"""),3)</f>
        <v>3</v>
      </c>
    </row>
    <row r="15" spans="1:7" ht="15" customHeight="1" x14ac:dyDescent="0.2">
      <c r="A15" t="str">
        <f ca="1">IFERROR(__xludf.DUMMYFUNCTION("""COMPUTED_VALUE"""),"Block and tackle")</f>
        <v>Block and tackle</v>
      </c>
      <c r="B15" t="str">
        <f ca="1">IFERROR(__xludf.DUMMYFUNCTION("""COMPUTED_VALUE"""),"Adventuring Gear (PHB)")</f>
        <v>Adventuring Gear (PHB)</v>
      </c>
      <c r="C15">
        <f ca="1">IFERROR(__xludf.DUMMYFUNCTION("""COMPUTED_VALUE"""),3)</f>
        <v>3</v>
      </c>
      <c r="D15">
        <f ca="1">IFERROR(__xludf.DUMMYFUNCTION("""COMPUTED_VALUE"""),4.5)</f>
        <v>4.5</v>
      </c>
      <c r="E15">
        <f ca="1">IFERROR(__xludf.DUMMYFUNCTION("""COMPUTED_VALUE"""),9)</f>
        <v>9</v>
      </c>
      <c r="F15">
        <f ca="1">IFERROR(__xludf.DUMMYFUNCTION("""COMPUTED_VALUE"""),18)</f>
        <v>18</v>
      </c>
    </row>
    <row r="16" spans="1:7" ht="15" customHeight="1" x14ac:dyDescent="0.2">
      <c r="A16" t="str">
        <f ca="1">IFERROR(__xludf.DUMMYFUNCTION("""COMPUTED_VALUE"""),"Blowgun needles (50)")</f>
        <v>Blowgun needles (50)</v>
      </c>
      <c r="B16" t="str">
        <f ca="1">IFERROR(__xludf.DUMMYFUNCTION("""COMPUTED_VALUE"""),"Adventuring Gear (PHB)")</f>
        <v>Adventuring Gear (PHB)</v>
      </c>
      <c r="C16">
        <f ca="1">IFERROR(__xludf.DUMMYFUNCTION("""COMPUTED_VALUE"""),0.01)</f>
        <v>0.01</v>
      </c>
      <c r="D16">
        <f ca="1">IFERROR(__xludf.DUMMYFUNCTION("""COMPUTED_VALUE"""),0.015)</f>
        <v>1.4999999999999999E-2</v>
      </c>
      <c r="E16">
        <f ca="1">IFERROR(__xludf.DUMMYFUNCTION("""COMPUTED_VALUE"""),0.03)</f>
        <v>0.03</v>
      </c>
      <c r="F16">
        <f ca="1">IFERROR(__xludf.DUMMYFUNCTION("""COMPUTED_VALUE"""),0.06)</f>
        <v>0.06</v>
      </c>
    </row>
    <row r="17" spans="1:6" ht="15" customHeight="1" x14ac:dyDescent="0.2">
      <c r="A17" t="str">
        <f ca="1">IFERROR(__xludf.DUMMYFUNCTION("""COMPUTED_VALUE"""),"Book")</f>
        <v>Book</v>
      </c>
      <c r="B17" t="str">
        <f ca="1">IFERROR(__xludf.DUMMYFUNCTION("""COMPUTED_VALUE"""),"Adventuring Gear (PHB)")</f>
        <v>Adventuring Gear (PHB)</v>
      </c>
      <c r="C17">
        <f ca="1">IFERROR(__xludf.DUMMYFUNCTION("""COMPUTED_VALUE"""),3)</f>
        <v>3</v>
      </c>
      <c r="D17">
        <f ca="1">IFERROR(__xludf.DUMMYFUNCTION("""COMPUTED_VALUE"""),4.5)</f>
        <v>4.5</v>
      </c>
      <c r="E17">
        <f ca="1">IFERROR(__xludf.DUMMYFUNCTION("""COMPUTED_VALUE"""),9)</f>
        <v>9</v>
      </c>
      <c r="F17">
        <f ca="1">IFERROR(__xludf.DUMMYFUNCTION("""COMPUTED_VALUE"""),18)</f>
        <v>18</v>
      </c>
    </row>
    <row r="18" spans="1:6" ht="15" customHeight="1" x14ac:dyDescent="0.2">
      <c r="A18" t="str">
        <f ca="1">IFERROR(__xludf.DUMMYFUNCTION("""COMPUTED_VALUE"""),"Bottle, glass")</f>
        <v>Bottle, glass</v>
      </c>
      <c r="B18" t="str">
        <f ca="1">IFERROR(__xludf.DUMMYFUNCTION("""COMPUTED_VALUE"""),"Adventuring Gear (PHB)")</f>
        <v>Adventuring Gear (PHB)</v>
      </c>
      <c r="C18">
        <f ca="1">IFERROR(__xludf.DUMMYFUNCTION("""COMPUTED_VALUE"""),0.08)</f>
        <v>0.08</v>
      </c>
      <c r="D18">
        <f ca="1">IFERROR(__xludf.DUMMYFUNCTION("""COMPUTED_VALUE"""),0.12)</f>
        <v>0.12</v>
      </c>
      <c r="E18">
        <f ca="1">IFERROR(__xludf.DUMMYFUNCTION("""COMPUTED_VALUE"""),0.24)</f>
        <v>0.24</v>
      </c>
      <c r="F18">
        <f ca="1">IFERROR(__xludf.DUMMYFUNCTION("""COMPUTED_VALUE"""),0.48)</f>
        <v>0.48</v>
      </c>
    </row>
    <row r="19" spans="1:6" ht="15" customHeight="1" x14ac:dyDescent="0.2">
      <c r="A19" t="str">
        <f ca="1">IFERROR(__xludf.DUMMYFUNCTION("""COMPUTED_VALUE"""),"Bucket")</f>
        <v>Bucket</v>
      </c>
      <c r="B19" t="str">
        <f ca="1">IFERROR(__xludf.DUMMYFUNCTION("""COMPUTED_VALUE"""),"Adventuring Gear (PHB)")</f>
        <v>Adventuring Gear (PHB)</v>
      </c>
      <c r="C19">
        <f ca="1">IFERROR(__xludf.DUMMYFUNCTION("""COMPUTED_VALUE"""),0.4)</f>
        <v>0.4</v>
      </c>
      <c r="D19">
        <f ca="1">IFERROR(__xludf.DUMMYFUNCTION("""COMPUTED_VALUE"""),0.6)</f>
        <v>0.6</v>
      </c>
      <c r="E19">
        <f ca="1">IFERROR(__xludf.DUMMYFUNCTION("""COMPUTED_VALUE"""),1.2)</f>
        <v>1.2</v>
      </c>
      <c r="F19">
        <f ca="1">IFERROR(__xludf.DUMMYFUNCTION("""COMPUTED_VALUE"""),2.4)</f>
        <v>2.4</v>
      </c>
    </row>
    <row r="20" spans="1:6" ht="15" customHeight="1" x14ac:dyDescent="0.2">
      <c r="A20" t="str">
        <f ca="1">IFERROR(__xludf.DUMMYFUNCTION("""COMPUTED_VALUE"""),"Caltrops (bag of 20)")</f>
        <v>Caltrops (bag of 20)</v>
      </c>
      <c r="B20" t="str">
        <f ca="1">IFERROR(__xludf.DUMMYFUNCTION("""COMPUTED_VALUE"""),"Adventuring Gear (PHB)")</f>
        <v>Adventuring Gear (PHB)</v>
      </c>
      <c r="C20">
        <f ca="1">IFERROR(__xludf.DUMMYFUNCTION("""COMPUTED_VALUE"""),2)</f>
        <v>2</v>
      </c>
      <c r="D20">
        <f ca="1">IFERROR(__xludf.DUMMYFUNCTION("""COMPUTED_VALUE"""),3)</f>
        <v>3</v>
      </c>
      <c r="E20">
        <f ca="1">IFERROR(__xludf.DUMMYFUNCTION("""COMPUTED_VALUE"""),6)</f>
        <v>6</v>
      </c>
      <c r="F20">
        <f ca="1">IFERROR(__xludf.DUMMYFUNCTION("""COMPUTED_VALUE"""),12)</f>
        <v>12</v>
      </c>
    </row>
    <row r="21" spans="1:6" ht="15" customHeight="1" x14ac:dyDescent="0.2">
      <c r="A21" t="str">
        <f ca="1">IFERROR(__xludf.DUMMYFUNCTION("""COMPUTED_VALUE"""),"Candle")</f>
        <v>Candle</v>
      </c>
      <c r="B21" t="str">
        <f ca="1">IFERROR(__xludf.DUMMYFUNCTION("""COMPUTED_VALUE"""),"Adventuring Gear (PHB)")</f>
        <v>Adventuring Gear (PHB)</v>
      </c>
      <c r="C21">
        <f ca="1">IFERROR(__xludf.DUMMYFUNCTION("""COMPUTED_VALUE"""),0.01)</f>
        <v>0.01</v>
      </c>
      <c r="D21">
        <f ca="1">IFERROR(__xludf.DUMMYFUNCTION("""COMPUTED_VALUE"""),0.015)</f>
        <v>1.4999999999999999E-2</v>
      </c>
      <c r="E21">
        <f ca="1">IFERROR(__xludf.DUMMYFUNCTION("""COMPUTED_VALUE"""),0.03)</f>
        <v>0.03</v>
      </c>
      <c r="F21">
        <f ca="1">IFERROR(__xludf.DUMMYFUNCTION("""COMPUTED_VALUE"""),0.06)</f>
        <v>0.06</v>
      </c>
    </row>
    <row r="22" spans="1:6" ht="15" customHeight="1" x14ac:dyDescent="0.2">
      <c r="A22" t="str">
        <f ca="1">IFERROR(__xludf.DUMMYFUNCTION("""COMPUTED_VALUE"""),"Case, map or scroll")</f>
        <v>Case, map or scroll</v>
      </c>
      <c r="B22" t="str">
        <f ca="1">IFERROR(__xludf.DUMMYFUNCTION("""COMPUTED_VALUE"""),"Adventuring Gear (PHB)")</f>
        <v>Adventuring Gear (PHB)</v>
      </c>
      <c r="C22">
        <f ca="1">IFERROR(__xludf.DUMMYFUNCTION("""COMPUTED_VALUE"""),0.6)</f>
        <v>0.6</v>
      </c>
      <c r="D22">
        <f ca="1">IFERROR(__xludf.DUMMYFUNCTION("""COMPUTED_VALUE"""),0.899999999999999)</f>
        <v>0.89999999999999902</v>
      </c>
      <c r="E22">
        <f ca="1">IFERROR(__xludf.DUMMYFUNCTION("""COMPUTED_VALUE"""),1.79999999999999)</f>
        <v>1.7999999999999901</v>
      </c>
      <c r="F22">
        <f ca="1">IFERROR(__xludf.DUMMYFUNCTION("""COMPUTED_VALUE"""),3.59999999999999)</f>
        <v>3.5999999999999899</v>
      </c>
    </row>
    <row r="23" spans="1:6" ht="15" customHeight="1" x14ac:dyDescent="0.2">
      <c r="A23" t="str">
        <f ca="1">IFERROR(__xludf.DUMMYFUNCTION("""COMPUTED_VALUE"""),"Chain (10 ft.)")</f>
        <v>Chain (10 ft.)</v>
      </c>
      <c r="B23" t="str">
        <f ca="1">IFERROR(__xludf.DUMMYFUNCTION("""COMPUTED_VALUE"""),"Adventuring Gear (PHB)")</f>
        <v>Adventuring Gear (PHB)</v>
      </c>
      <c r="C23">
        <f ca="1">IFERROR(__xludf.DUMMYFUNCTION("""COMPUTED_VALUE"""),2)</f>
        <v>2</v>
      </c>
      <c r="D23">
        <f ca="1">IFERROR(__xludf.DUMMYFUNCTION("""COMPUTED_VALUE"""),3)</f>
        <v>3</v>
      </c>
      <c r="E23">
        <f ca="1">IFERROR(__xludf.DUMMYFUNCTION("""COMPUTED_VALUE"""),6)</f>
        <v>6</v>
      </c>
      <c r="F23">
        <f ca="1">IFERROR(__xludf.DUMMYFUNCTION("""COMPUTED_VALUE"""),12)</f>
        <v>12</v>
      </c>
    </row>
    <row r="24" spans="1:6" ht="15" customHeight="1" x14ac:dyDescent="0.2">
      <c r="A24" t="str">
        <f ca="1">IFERROR(__xludf.DUMMYFUNCTION("""COMPUTED_VALUE"""),"Chalk (1 piece)")</f>
        <v>Chalk (1 piece)</v>
      </c>
      <c r="B24" t="str">
        <f ca="1">IFERROR(__xludf.DUMMYFUNCTION("""COMPUTED_VALUE"""),"Adventuring Gear (PHB)")</f>
        <v>Adventuring Gear (PHB)</v>
      </c>
      <c r="C24">
        <f ca="1">IFERROR(__xludf.DUMMYFUNCTION("""COMPUTED_VALUE"""),0.01)</f>
        <v>0.01</v>
      </c>
      <c r="D24">
        <f ca="1">IFERROR(__xludf.DUMMYFUNCTION("""COMPUTED_VALUE"""),0.015)</f>
        <v>1.4999999999999999E-2</v>
      </c>
      <c r="E24">
        <f ca="1">IFERROR(__xludf.DUMMYFUNCTION("""COMPUTED_VALUE"""),0.03)</f>
        <v>0.03</v>
      </c>
      <c r="F24">
        <f ca="1">IFERROR(__xludf.DUMMYFUNCTION("""COMPUTED_VALUE"""),0.06)</f>
        <v>0.06</v>
      </c>
    </row>
    <row r="25" spans="1:6" ht="12.75" x14ac:dyDescent="0.2">
      <c r="A25" t="str">
        <f ca="1">IFERROR(__xludf.DUMMYFUNCTION("""COMPUTED_VALUE"""),"Chest")</f>
        <v>Chest</v>
      </c>
      <c r="B25" t="str">
        <f ca="1">IFERROR(__xludf.DUMMYFUNCTION("""COMPUTED_VALUE"""),"Adventuring Gear (PHB)")</f>
        <v>Adventuring Gear (PHB)</v>
      </c>
      <c r="C25">
        <f ca="1">IFERROR(__xludf.DUMMYFUNCTION("""COMPUTED_VALUE"""),5)</f>
        <v>5</v>
      </c>
      <c r="D25">
        <f ca="1">IFERROR(__xludf.DUMMYFUNCTION("""COMPUTED_VALUE"""),7.5)</f>
        <v>7.5</v>
      </c>
      <c r="E25">
        <f ca="1">IFERROR(__xludf.DUMMYFUNCTION("""COMPUTED_VALUE"""),15)</f>
        <v>15</v>
      </c>
      <c r="F25">
        <f ca="1">IFERROR(__xludf.DUMMYFUNCTION("""COMPUTED_VALUE"""),30)</f>
        <v>30</v>
      </c>
    </row>
    <row r="26" spans="1:6" ht="12.75" x14ac:dyDescent="0.2">
      <c r="A26" t="str">
        <f ca="1">IFERROR(__xludf.DUMMYFUNCTION("""COMPUTED_VALUE"""),"Climber’s kit")</f>
        <v>Climber’s kit</v>
      </c>
      <c r="B26" t="str">
        <f ca="1">IFERROR(__xludf.DUMMYFUNCTION("""COMPUTED_VALUE"""),"Adventuring Gear (PHB)")</f>
        <v>Adventuring Gear (PHB)</v>
      </c>
      <c r="C26">
        <f ca="1">IFERROR(__xludf.DUMMYFUNCTION("""COMPUTED_VALUE"""),25)</f>
        <v>25</v>
      </c>
      <c r="D26">
        <f ca="1">IFERROR(__xludf.DUMMYFUNCTION("""COMPUTED_VALUE"""),37.5)</f>
        <v>37.5</v>
      </c>
      <c r="E26">
        <f ca="1">IFERROR(__xludf.DUMMYFUNCTION("""COMPUTED_VALUE"""),75)</f>
        <v>75</v>
      </c>
      <c r="F26">
        <f ca="1">IFERROR(__xludf.DUMMYFUNCTION("""COMPUTED_VALUE"""),150)</f>
        <v>150</v>
      </c>
    </row>
    <row r="27" spans="1:6" ht="12.75" x14ac:dyDescent="0.2">
      <c r="A27" t="str">
        <f ca="1">IFERROR(__xludf.DUMMYFUNCTION("""COMPUTED_VALUE"""),"Clothes, common")</f>
        <v>Clothes, common</v>
      </c>
      <c r="B27" t="str">
        <f ca="1">IFERROR(__xludf.DUMMYFUNCTION("""COMPUTED_VALUE"""),"Adventuring Gear (PHB)")</f>
        <v>Adventuring Gear (PHB)</v>
      </c>
      <c r="C27">
        <f ca="1">IFERROR(__xludf.DUMMYFUNCTION("""COMPUTED_VALUE"""),2)</f>
        <v>2</v>
      </c>
      <c r="D27">
        <f ca="1">IFERROR(__xludf.DUMMYFUNCTION("""COMPUTED_VALUE"""),3)</f>
        <v>3</v>
      </c>
      <c r="E27">
        <f ca="1">IFERROR(__xludf.DUMMYFUNCTION("""COMPUTED_VALUE"""),6)</f>
        <v>6</v>
      </c>
      <c r="F27">
        <f ca="1">IFERROR(__xludf.DUMMYFUNCTION("""COMPUTED_VALUE"""),12)</f>
        <v>12</v>
      </c>
    </row>
    <row r="28" spans="1:6" ht="12.75" x14ac:dyDescent="0.2">
      <c r="A28" t="str">
        <f ca="1">IFERROR(__xludf.DUMMYFUNCTION("""COMPUTED_VALUE"""),"Clothes, costume")</f>
        <v>Clothes, costume</v>
      </c>
      <c r="B28" t="str">
        <f ca="1">IFERROR(__xludf.DUMMYFUNCTION("""COMPUTED_VALUE"""),"Adventuring Gear (PHB)")</f>
        <v>Adventuring Gear (PHB)</v>
      </c>
      <c r="C28">
        <f ca="1">IFERROR(__xludf.DUMMYFUNCTION("""COMPUTED_VALUE"""),10)</f>
        <v>10</v>
      </c>
      <c r="D28">
        <f ca="1">IFERROR(__xludf.DUMMYFUNCTION("""COMPUTED_VALUE"""),15)</f>
        <v>15</v>
      </c>
      <c r="E28">
        <f ca="1">IFERROR(__xludf.DUMMYFUNCTION("""COMPUTED_VALUE"""),30)</f>
        <v>30</v>
      </c>
      <c r="F28">
        <f ca="1">IFERROR(__xludf.DUMMYFUNCTION("""COMPUTED_VALUE"""),60)</f>
        <v>60</v>
      </c>
    </row>
    <row r="29" spans="1:6" ht="12.75" x14ac:dyDescent="0.2">
      <c r="A29" t="str">
        <f ca="1">IFERROR(__xludf.DUMMYFUNCTION("""COMPUTED_VALUE"""),"Clothes, fine")</f>
        <v>Clothes, fine</v>
      </c>
      <c r="B29" t="str">
        <f ca="1">IFERROR(__xludf.DUMMYFUNCTION("""COMPUTED_VALUE"""),"Adventuring Gear (PHB)")</f>
        <v>Adventuring Gear (PHB)</v>
      </c>
      <c r="C29">
        <f ca="1">IFERROR(__xludf.DUMMYFUNCTION("""COMPUTED_VALUE"""),20)</f>
        <v>20</v>
      </c>
      <c r="D29">
        <f ca="1">IFERROR(__xludf.DUMMYFUNCTION("""COMPUTED_VALUE"""),30)</f>
        <v>30</v>
      </c>
      <c r="E29">
        <f ca="1">IFERROR(__xludf.DUMMYFUNCTION("""COMPUTED_VALUE"""),60)</f>
        <v>60</v>
      </c>
      <c r="F29">
        <f ca="1">IFERROR(__xludf.DUMMYFUNCTION("""COMPUTED_VALUE"""),120)</f>
        <v>120</v>
      </c>
    </row>
    <row r="30" spans="1:6" ht="12.75" x14ac:dyDescent="0.2">
      <c r="A30" t="str">
        <f ca="1">IFERROR(__xludf.DUMMYFUNCTION("""COMPUTED_VALUE"""),"Clothes, traveler’s")</f>
        <v>Clothes, traveler’s</v>
      </c>
      <c r="B30" t="str">
        <f ca="1">IFERROR(__xludf.DUMMYFUNCTION("""COMPUTED_VALUE"""),"Adventuring Gear (PHB)")</f>
        <v>Adventuring Gear (PHB)</v>
      </c>
      <c r="C30">
        <f ca="1">IFERROR(__xludf.DUMMYFUNCTION("""COMPUTED_VALUE"""),5)</f>
        <v>5</v>
      </c>
      <c r="D30">
        <f ca="1">IFERROR(__xludf.DUMMYFUNCTION("""COMPUTED_VALUE"""),7.5)</f>
        <v>7.5</v>
      </c>
      <c r="E30">
        <f ca="1">IFERROR(__xludf.DUMMYFUNCTION("""COMPUTED_VALUE"""),15)</f>
        <v>15</v>
      </c>
      <c r="F30">
        <f ca="1">IFERROR(__xludf.DUMMYFUNCTION("""COMPUTED_VALUE"""),30)</f>
        <v>30</v>
      </c>
    </row>
    <row r="31" spans="1:6" ht="12.75" x14ac:dyDescent="0.2">
      <c r="A31" t="str">
        <f ca="1">IFERROR(__xludf.DUMMYFUNCTION("""COMPUTED_VALUE"""),"Component pouch")</f>
        <v>Component pouch</v>
      </c>
      <c r="B31" t="str">
        <f ca="1">IFERROR(__xludf.DUMMYFUNCTION("""COMPUTED_VALUE"""),"Adventuring Gear (PHB)")</f>
        <v>Adventuring Gear (PHB)</v>
      </c>
      <c r="C31">
        <f ca="1">IFERROR(__xludf.DUMMYFUNCTION("""COMPUTED_VALUE"""),12.5)</f>
        <v>12.5</v>
      </c>
      <c r="D31">
        <f ca="1">IFERROR(__xludf.DUMMYFUNCTION("""COMPUTED_VALUE"""),18.75)</f>
        <v>18.75</v>
      </c>
      <c r="E31">
        <f ca="1">IFERROR(__xludf.DUMMYFUNCTION("""COMPUTED_VALUE"""),37.5)</f>
        <v>37.5</v>
      </c>
      <c r="F31">
        <f ca="1">IFERROR(__xludf.DUMMYFUNCTION("""COMPUTED_VALUE"""),75)</f>
        <v>75</v>
      </c>
    </row>
    <row r="32" spans="1:6" ht="12.75" x14ac:dyDescent="0.2">
      <c r="A32" t="str">
        <f ca="1">IFERROR(__xludf.DUMMYFUNCTION("""COMPUTED_VALUE"""),"Crowbar")</f>
        <v>Crowbar</v>
      </c>
      <c r="B32" t="str">
        <f ca="1">IFERROR(__xludf.DUMMYFUNCTION("""COMPUTED_VALUE"""),"Adventuring Gear (PHB)")</f>
        <v>Adventuring Gear (PHB)</v>
      </c>
      <c r="C32">
        <f ca="1">IFERROR(__xludf.DUMMYFUNCTION("""COMPUTED_VALUE"""),2)</f>
        <v>2</v>
      </c>
      <c r="D32">
        <f ca="1">IFERROR(__xludf.DUMMYFUNCTION("""COMPUTED_VALUE"""),3)</f>
        <v>3</v>
      </c>
      <c r="E32">
        <f ca="1">IFERROR(__xludf.DUMMYFUNCTION("""COMPUTED_VALUE"""),6)</f>
        <v>6</v>
      </c>
      <c r="F32">
        <f ca="1">IFERROR(__xludf.DUMMYFUNCTION("""COMPUTED_VALUE"""),12)</f>
        <v>12</v>
      </c>
    </row>
    <row r="33" spans="1:6" ht="12.75" x14ac:dyDescent="0.2">
      <c r="A33" t="str">
        <f ca="1">IFERROR(__xludf.DUMMYFUNCTION("""COMPUTED_VALUE"""),"Crystal arcane focus")</f>
        <v>Crystal arcane focus</v>
      </c>
      <c r="B33" t="str">
        <f ca="1">IFERROR(__xludf.DUMMYFUNCTION("""COMPUTED_VALUE"""),"Adventuring Gear (PHB)")</f>
        <v>Adventuring Gear (PHB)</v>
      </c>
      <c r="C33">
        <f ca="1">IFERROR(__xludf.DUMMYFUNCTION("""COMPUTED_VALUE"""),10)</f>
        <v>10</v>
      </c>
      <c r="D33">
        <f ca="1">IFERROR(__xludf.DUMMYFUNCTION("""COMPUTED_VALUE"""),15)</f>
        <v>15</v>
      </c>
      <c r="E33">
        <f ca="1">IFERROR(__xludf.DUMMYFUNCTION("""COMPUTED_VALUE"""),30)</f>
        <v>30</v>
      </c>
      <c r="F33">
        <f ca="1">IFERROR(__xludf.DUMMYFUNCTION("""COMPUTED_VALUE"""),60)</f>
        <v>60</v>
      </c>
    </row>
    <row r="34" spans="1:6" ht="12.75" x14ac:dyDescent="0.2">
      <c r="A34" t="str">
        <f ca="1">IFERROR(__xludf.DUMMYFUNCTION("""COMPUTED_VALUE"""),"Emblem holy symbol")</f>
        <v>Emblem holy symbol</v>
      </c>
      <c r="B34" t="str">
        <f ca="1">IFERROR(__xludf.DUMMYFUNCTION("""COMPUTED_VALUE"""),"Adventuring Gear (PHB)")</f>
        <v>Adventuring Gear (PHB)</v>
      </c>
      <c r="C34">
        <f ca="1">IFERROR(__xludf.DUMMYFUNCTION("""COMPUTED_VALUE"""),5)</f>
        <v>5</v>
      </c>
      <c r="D34">
        <f ca="1">IFERROR(__xludf.DUMMYFUNCTION("""COMPUTED_VALUE"""),7.5)</f>
        <v>7.5</v>
      </c>
      <c r="E34">
        <f ca="1">IFERROR(__xludf.DUMMYFUNCTION("""COMPUTED_VALUE"""),15)</f>
        <v>15</v>
      </c>
      <c r="F34">
        <f ca="1">IFERROR(__xludf.DUMMYFUNCTION("""COMPUTED_VALUE"""),30)</f>
        <v>30</v>
      </c>
    </row>
    <row r="35" spans="1:6" ht="12.75" x14ac:dyDescent="0.2">
      <c r="A35" t="str">
        <f ca="1">IFERROR(__xludf.DUMMYFUNCTION("""COMPUTED_VALUE"""),"Fishing tackle")</f>
        <v>Fishing tackle</v>
      </c>
      <c r="B35" t="str">
        <f ca="1">IFERROR(__xludf.DUMMYFUNCTION("""COMPUTED_VALUE"""),"Adventuring Gear (PHB)")</f>
        <v>Adventuring Gear (PHB)</v>
      </c>
      <c r="C35">
        <f ca="1">IFERROR(__xludf.DUMMYFUNCTION("""COMPUTED_VALUE"""),0.12)</f>
        <v>0.12</v>
      </c>
      <c r="D35">
        <f ca="1">IFERROR(__xludf.DUMMYFUNCTION("""COMPUTED_VALUE"""),0.18)</f>
        <v>0.18</v>
      </c>
      <c r="E35">
        <f ca="1">IFERROR(__xludf.DUMMYFUNCTION("""COMPUTED_VALUE"""),0.36)</f>
        <v>0.36</v>
      </c>
      <c r="F35">
        <f ca="1">IFERROR(__xludf.DUMMYFUNCTION("""COMPUTED_VALUE"""),0.72)</f>
        <v>0.72</v>
      </c>
    </row>
    <row r="36" spans="1:6" ht="12.75" x14ac:dyDescent="0.2">
      <c r="A36" t="str">
        <f ca="1">IFERROR(__xludf.DUMMYFUNCTION("""COMPUTED_VALUE"""),"Flask or tankard")</f>
        <v>Flask or tankard</v>
      </c>
      <c r="B36" t="str">
        <f ca="1">IFERROR(__xludf.DUMMYFUNCTION("""COMPUTED_VALUE"""),"Adventuring Gear (PHB)")</f>
        <v>Adventuring Gear (PHB)</v>
      </c>
      <c r="C36">
        <f ca="1">IFERROR(__xludf.DUMMYFUNCTION("""COMPUTED_VALUE"""),0.07)</f>
        <v>7.0000000000000007E-2</v>
      </c>
      <c r="D36">
        <f ca="1">IFERROR(__xludf.DUMMYFUNCTION("""COMPUTED_VALUE"""),0.105)</f>
        <v>0.105</v>
      </c>
      <c r="E36">
        <f ca="1">IFERROR(__xludf.DUMMYFUNCTION("""COMPUTED_VALUE"""),0.21)</f>
        <v>0.21</v>
      </c>
      <c r="F36">
        <f ca="1">IFERROR(__xludf.DUMMYFUNCTION("""COMPUTED_VALUE"""),0.42)</f>
        <v>0.42</v>
      </c>
    </row>
    <row r="37" spans="1:6" ht="12.75" x14ac:dyDescent="0.2">
      <c r="A37" t="str">
        <f ca="1">IFERROR(__xludf.DUMMYFUNCTION("""COMPUTED_VALUE"""),"Grappling hook")</f>
        <v>Grappling hook</v>
      </c>
      <c r="B37" t="str">
        <f ca="1">IFERROR(__xludf.DUMMYFUNCTION("""COMPUTED_VALUE"""),"Adventuring Gear (PHB)")</f>
        <v>Adventuring Gear (PHB)</v>
      </c>
      <c r="C37">
        <f ca="1">IFERROR(__xludf.DUMMYFUNCTION("""COMPUTED_VALUE"""),1.6)</f>
        <v>1.6</v>
      </c>
      <c r="D37">
        <f ca="1">IFERROR(__xludf.DUMMYFUNCTION("""COMPUTED_VALUE"""),2.4)</f>
        <v>2.4</v>
      </c>
      <c r="E37">
        <f ca="1">IFERROR(__xludf.DUMMYFUNCTION("""COMPUTED_VALUE"""),4.8)</f>
        <v>4.8</v>
      </c>
      <c r="F37">
        <f ca="1">IFERROR(__xludf.DUMMYFUNCTION("""COMPUTED_VALUE"""),9.6)</f>
        <v>9.6</v>
      </c>
    </row>
    <row r="38" spans="1:6" ht="12.75" x14ac:dyDescent="0.2">
      <c r="A38" t="str">
        <f ca="1">IFERROR(__xludf.DUMMYFUNCTION("""COMPUTED_VALUE"""),"Hammer")</f>
        <v>Hammer</v>
      </c>
      <c r="B38" t="str">
        <f ca="1">IFERROR(__xludf.DUMMYFUNCTION("""COMPUTED_VALUE"""),"Adventuring Gear (PHB)")</f>
        <v>Adventuring Gear (PHB)</v>
      </c>
      <c r="C38">
        <f ca="1">IFERROR(__xludf.DUMMYFUNCTION("""COMPUTED_VALUE"""),0.5)</f>
        <v>0.5</v>
      </c>
      <c r="D38">
        <f ca="1">IFERROR(__xludf.DUMMYFUNCTION("""COMPUTED_VALUE"""),0.75)</f>
        <v>0.75</v>
      </c>
      <c r="E38">
        <f ca="1">IFERROR(__xludf.DUMMYFUNCTION("""COMPUTED_VALUE"""),1.5)</f>
        <v>1.5</v>
      </c>
      <c r="F38">
        <f ca="1">IFERROR(__xludf.DUMMYFUNCTION("""COMPUTED_VALUE"""),3)</f>
        <v>3</v>
      </c>
    </row>
    <row r="39" spans="1:6" ht="12.75" x14ac:dyDescent="0.2">
      <c r="A39" t="str">
        <f ca="1">IFERROR(__xludf.DUMMYFUNCTION("""COMPUTED_VALUE"""),"Hammer, sledge")</f>
        <v>Hammer, sledge</v>
      </c>
      <c r="B39" t="str">
        <f ca="1">IFERROR(__xludf.DUMMYFUNCTION("""COMPUTED_VALUE"""),"Adventuring Gear (PHB)")</f>
        <v>Adventuring Gear (PHB)</v>
      </c>
      <c r="C39">
        <f ca="1">IFERROR(__xludf.DUMMYFUNCTION("""COMPUTED_VALUE"""),0.8)</f>
        <v>0.8</v>
      </c>
      <c r="D39">
        <f ca="1">IFERROR(__xludf.DUMMYFUNCTION("""COMPUTED_VALUE"""),1.2)</f>
        <v>1.2</v>
      </c>
      <c r="E39">
        <f ca="1">IFERROR(__xludf.DUMMYFUNCTION("""COMPUTED_VALUE"""),2.4)</f>
        <v>2.4</v>
      </c>
      <c r="F39">
        <f ca="1">IFERROR(__xludf.DUMMYFUNCTION("""COMPUTED_VALUE"""),4.8)</f>
        <v>4.8</v>
      </c>
    </row>
    <row r="40" spans="1:6" ht="12.75" x14ac:dyDescent="0.2">
      <c r="A40" t="str">
        <f ca="1">IFERROR(__xludf.DUMMYFUNCTION("""COMPUTED_VALUE"""),"Healer’s kit")</f>
        <v>Healer’s kit</v>
      </c>
      <c r="B40" t="str">
        <f ca="1">IFERROR(__xludf.DUMMYFUNCTION("""COMPUTED_VALUE"""),"Adventuring Gear (PHB)")</f>
        <v>Adventuring Gear (PHB)</v>
      </c>
      <c r="C40">
        <f ca="1">IFERROR(__xludf.DUMMYFUNCTION("""COMPUTED_VALUE"""),5)</f>
        <v>5</v>
      </c>
      <c r="D40">
        <f ca="1">IFERROR(__xludf.DUMMYFUNCTION("""COMPUTED_VALUE"""),7.5)</f>
        <v>7.5</v>
      </c>
      <c r="E40">
        <f ca="1">IFERROR(__xludf.DUMMYFUNCTION("""COMPUTED_VALUE"""),15)</f>
        <v>15</v>
      </c>
      <c r="F40">
        <f ca="1">IFERROR(__xludf.DUMMYFUNCTION("""COMPUTED_VALUE"""),30)</f>
        <v>30</v>
      </c>
    </row>
    <row r="41" spans="1:6" ht="12.75" x14ac:dyDescent="0.2">
      <c r="A41" t="str">
        <f ca="1">IFERROR(__xludf.DUMMYFUNCTION("""COMPUTED_VALUE"""),"Holy water (flask)")</f>
        <v>Holy water (flask)</v>
      </c>
      <c r="B41" t="str">
        <f ca="1">IFERROR(__xludf.DUMMYFUNCTION("""COMPUTED_VALUE"""),"Adventuring Gear (PHB)")</f>
        <v>Adventuring Gear (PHB)</v>
      </c>
      <c r="C41">
        <f ca="1">IFERROR(__xludf.DUMMYFUNCTION("""COMPUTED_VALUE"""),7.21)</f>
        <v>7.21</v>
      </c>
      <c r="D41">
        <f ca="1">IFERROR(__xludf.DUMMYFUNCTION("""COMPUTED_VALUE"""),10.815)</f>
        <v>10.815</v>
      </c>
      <c r="E41">
        <f ca="1">IFERROR(__xludf.DUMMYFUNCTION("""COMPUTED_VALUE"""),21.63)</f>
        <v>21.63</v>
      </c>
      <c r="F41">
        <f ca="1">IFERROR(__xludf.DUMMYFUNCTION("""COMPUTED_VALUE"""),43.26)</f>
        <v>43.26</v>
      </c>
    </row>
    <row r="42" spans="1:6" ht="12.75" x14ac:dyDescent="0.2">
      <c r="A42" t="str">
        <f ca="1">IFERROR(__xludf.DUMMYFUNCTION("""COMPUTED_VALUE"""),"Hourglass")</f>
        <v>Hourglass</v>
      </c>
      <c r="B42" t="str">
        <f ca="1">IFERROR(__xludf.DUMMYFUNCTION("""COMPUTED_VALUE"""),"Adventuring Gear (PHB)")</f>
        <v>Adventuring Gear (PHB)</v>
      </c>
      <c r="C42">
        <f ca="1">IFERROR(__xludf.DUMMYFUNCTION("""COMPUTED_VALUE"""),1.5)</f>
        <v>1.5</v>
      </c>
      <c r="D42">
        <f ca="1">IFERROR(__xludf.DUMMYFUNCTION("""COMPUTED_VALUE"""),2.25)</f>
        <v>2.25</v>
      </c>
      <c r="E42">
        <f ca="1">IFERROR(__xludf.DUMMYFUNCTION("""COMPUTED_VALUE"""),4.5)</f>
        <v>4.5</v>
      </c>
      <c r="F42">
        <f ca="1">IFERROR(__xludf.DUMMYFUNCTION("""COMPUTED_VALUE"""),9)</f>
        <v>9</v>
      </c>
    </row>
    <row r="43" spans="1:6" ht="12.75" x14ac:dyDescent="0.2">
      <c r="A43" t="str">
        <f ca="1">IFERROR(__xludf.DUMMYFUNCTION("""COMPUTED_VALUE"""),"Hunting trap")</f>
        <v>Hunting trap</v>
      </c>
      <c r="B43" t="str">
        <f ca="1">IFERROR(__xludf.DUMMYFUNCTION("""COMPUTED_VALUE"""),"Adventuring Gear (PHB)")</f>
        <v>Adventuring Gear (PHB)</v>
      </c>
      <c r="C43">
        <f ca="1">IFERROR(__xludf.DUMMYFUNCTION("""COMPUTED_VALUE"""),4)</f>
        <v>4</v>
      </c>
      <c r="D43">
        <f ca="1">IFERROR(__xludf.DUMMYFUNCTION("""COMPUTED_VALUE"""),6)</f>
        <v>6</v>
      </c>
      <c r="E43">
        <f ca="1">IFERROR(__xludf.DUMMYFUNCTION("""COMPUTED_VALUE"""),12)</f>
        <v>12</v>
      </c>
      <c r="F43">
        <f ca="1">IFERROR(__xludf.DUMMYFUNCTION("""COMPUTED_VALUE"""),24)</f>
        <v>24</v>
      </c>
    </row>
    <row r="44" spans="1:6" ht="12.75" x14ac:dyDescent="0.2">
      <c r="A44" t="str">
        <f ca="1">IFERROR(__xludf.DUMMYFUNCTION("""COMPUTED_VALUE"""),"Ink (1 ounce bottle)")</f>
        <v>Ink (1 ounce bottle)</v>
      </c>
      <c r="B44" t="str">
        <f ca="1">IFERROR(__xludf.DUMMYFUNCTION("""COMPUTED_VALUE"""),"Adventuring Gear (PHB)")</f>
        <v>Adventuring Gear (PHB)</v>
      </c>
      <c r="C44">
        <f ca="1">IFERROR(__xludf.DUMMYFUNCTION("""COMPUTED_VALUE"""),0.1)</f>
        <v>0.1</v>
      </c>
      <c r="D44">
        <f ca="1">IFERROR(__xludf.DUMMYFUNCTION("""COMPUTED_VALUE"""),0.15)</f>
        <v>0.15</v>
      </c>
      <c r="E44">
        <f ca="1">IFERROR(__xludf.DUMMYFUNCTION("""COMPUTED_VALUE"""),0.3)</f>
        <v>0.3</v>
      </c>
      <c r="F44">
        <f ca="1">IFERROR(__xludf.DUMMYFUNCTION("""COMPUTED_VALUE"""),0.6)</f>
        <v>0.6</v>
      </c>
    </row>
    <row r="45" spans="1:6" ht="12.75" x14ac:dyDescent="0.2">
      <c r="A45" t="str">
        <f ca="1">IFERROR(__xludf.DUMMYFUNCTION("""COMPUTED_VALUE"""),"Ink pen")</f>
        <v>Ink pen</v>
      </c>
      <c r="B45" t="str">
        <f ca="1">IFERROR(__xludf.DUMMYFUNCTION("""COMPUTED_VALUE"""),"Adventuring Gear (PHB)")</f>
        <v>Adventuring Gear (PHB)</v>
      </c>
      <c r="C45">
        <f ca="1">IFERROR(__xludf.DUMMYFUNCTION("""COMPUTED_VALUE"""),0.03)</f>
        <v>0.03</v>
      </c>
      <c r="D45">
        <f ca="1">IFERROR(__xludf.DUMMYFUNCTION("""COMPUTED_VALUE"""),0.045)</f>
        <v>4.4999999999999998E-2</v>
      </c>
      <c r="E45">
        <f ca="1">IFERROR(__xludf.DUMMYFUNCTION("""COMPUTED_VALUE"""),0.09)</f>
        <v>0.09</v>
      </c>
      <c r="F45">
        <f ca="1">IFERROR(__xludf.DUMMYFUNCTION("""COMPUTED_VALUE"""),0.18)</f>
        <v>0.18</v>
      </c>
    </row>
    <row r="46" spans="1:6" ht="12.75" x14ac:dyDescent="0.2">
      <c r="A46" t="str">
        <f ca="1">IFERROR(__xludf.DUMMYFUNCTION("""COMPUTED_VALUE"""),"Jug or pitcher")</f>
        <v>Jug or pitcher</v>
      </c>
      <c r="B46" t="str">
        <f ca="1">IFERROR(__xludf.DUMMYFUNCTION("""COMPUTED_VALUE"""),"Adventuring Gear (PHB)")</f>
        <v>Adventuring Gear (PHB)</v>
      </c>
      <c r="C46">
        <f ca="1">IFERROR(__xludf.DUMMYFUNCTION("""COMPUTED_VALUE"""),0.4)</f>
        <v>0.4</v>
      </c>
      <c r="D46">
        <f ca="1">IFERROR(__xludf.DUMMYFUNCTION("""COMPUTED_VALUE"""),0.6)</f>
        <v>0.6</v>
      </c>
      <c r="E46">
        <f ca="1">IFERROR(__xludf.DUMMYFUNCTION("""COMPUTED_VALUE"""),1.2)</f>
        <v>1.2</v>
      </c>
      <c r="F46">
        <f ca="1">IFERROR(__xludf.DUMMYFUNCTION("""COMPUTED_VALUE"""),2.4)</f>
        <v>2.4</v>
      </c>
    </row>
    <row r="47" spans="1:6" ht="12.75" x14ac:dyDescent="0.2">
      <c r="A47" t="str">
        <f ca="1">IFERROR(__xludf.DUMMYFUNCTION("""COMPUTED_VALUE"""),"Ladder (10-foot)")</f>
        <v>Ladder (10-foot)</v>
      </c>
      <c r="B47" t="str">
        <f ca="1">IFERROR(__xludf.DUMMYFUNCTION("""COMPUTED_VALUE"""),"Adventuring Gear (PHB)")</f>
        <v>Adventuring Gear (PHB)</v>
      </c>
      <c r="C47">
        <f ca="1">IFERROR(__xludf.DUMMYFUNCTION("""COMPUTED_VALUE"""),0.5)</f>
        <v>0.5</v>
      </c>
      <c r="D47">
        <f ca="1">IFERROR(__xludf.DUMMYFUNCTION("""COMPUTED_VALUE"""),0.75)</f>
        <v>0.75</v>
      </c>
      <c r="E47">
        <f ca="1">IFERROR(__xludf.DUMMYFUNCTION("""COMPUTED_VALUE"""),1.5)</f>
        <v>1.5</v>
      </c>
      <c r="F47">
        <f ca="1">IFERROR(__xludf.DUMMYFUNCTION("""COMPUTED_VALUE"""),3)</f>
        <v>3</v>
      </c>
    </row>
    <row r="48" spans="1:6" ht="12.75" x14ac:dyDescent="0.2">
      <c r="A48" t="str">
        <f ca="1">IFERROR(__xludf.DUMMYFUNCTION("""COMPUTED_VALUE"""),"Lamp")</f>
        <v>Lamp</v>
      </c>
      <c r="B48" t="str">
        <f ca="1">IFERROR(__xludf.DUMMYFUNCTION("""COMPUTED_VALUE"""),"Adventuring Gear (PHB)")</f>
        <v>Adventuring Gear (PHB)</v>
      </c>
      <c r="C48">
        <f ca="1">IFERROR(__xludf.DUMMYFUNCTION("""COMPUTED_VALUE"""),0.5)</f>
        <v>0.5</v>
      </c>
      <c r="D48">
        <f ca="1">IFERROR(__xludf.DUMMYFUNCTION("""COMPUTED_VALUE"""),0.75)</f>
        <v>0.75</v>
      </c>
      <c r="E48">
        <f ca="1">IFERROR(__xludf.DUMMYFUNCTION("""COMPUTED_VALUE"""),1.5)</f>
        <v>1.5</v>
      </c>
      <c r="F48">
        <f ca="1">IFERROR(__xludf.DUMMYFUNCTION("""COMPUTED_VALUE"""),3)</f>
        <v>3</v>
      </c>
    </row>
    <row r="49" spans="1:7" ht="12.75" x14ac:dyDescent="0.2">
      <c r="A49" t="str">
        <f ca="1">IFERROR(__xludf.DUMMYFUNCTION("""COMPUTED_VALUE"""),"Lantern, bullseye")</f>
        <v>Lantern, bullseye</v>
      </c>
      <c r="B49" t="str">
        <f ca="1">IFERROR(__xludf.DUMMYFUNCTION("""COMPUTED_VALUE"""),"Adventuring Gear (PHB)")</f>
        <v>Adventuring Gear (PHB)</v>
      </c>
      <c r="C49">
        <f ca="1">IFERROR(__xludf.DUMMYFUNCTION("""COMPUTED_VALUE"""),0.8)</f>
        <v>0.8</v>
      </c>
      <c r="D49">
        <f ca="1">IFERROR(__xludf.DUMMYFUNCTION("""COMPUTED_VALUE"""),1.2)</f>
        <v>1.2</v>
      </c>
      <c r="E49">
        <f ca="1">IFERROR(__xludf.DUMMYFUNCTION("""COMPUTED_VALUE"""),2.4)</f>
        <v>2.4</v>
      </c>
      <c r="F49">
        <f ca="1">IFERROR(__xludf.DUMMYFUNCTION("""COMPUTED_VALUE"""),4.8)</f>
        <v>4.8</v>
      </c>
    </row>
    <row r="50" spans="1:7" ht="12.75" x14ac:dyDescent="0.2">
      <c r="A50" t="str">
        <f ca="1">IFERROR(__xludf.DUMMYFUNCTION("""COMPUTED_VALUE"""),"Lantern, hooded")</f>
        <v>Lantern, hooded</v>
      </c>
      <c r="B50" t="str">
        <f ca="1">IFERROR(__xludf.DUMMYFUNCTION("""COMPUTED_VALUE"""),"Adventuring Gear (PHB)")</f>
        <v>Adventuring Gear (PHB)</v>
      </c>
      <c r="C50">
        <f ca="1">IFERROR(__xludf.DUMMYFUNCTION("""COMPUTED_VALUE"""),0.8)</f>
        <v>0.8</v>
      </c>
      <c r="D50">
        <f ca="1">IFERROR(__xludf.DUMMYFUNCTION("""COMPUTED_VALUE"""),1.2)</f>
        <v>1.2</v>
      </c>
      <c r="E50">
        <f ca="1">IFERROR(__xludf.DUMMYFUNCTION("""COMPUTED_VALUE"""),2.4)</f>
        <v>2.4</v>
      </c>
      <c r="F50">
        <f ca="1">IFERROR(__xludf.DUMMYFUNCTION("""COMPUTED_VALUE"""),4.8)</f>
        <v>4.8</v>
      </c>
    </row>
    <row r="51" spans="1:7" ht="12.75" x14ac:dyDescent="0.2">
      <c r="A51" t="str">
        <f ca="1">IFERROR(__xludf.DUMMYFUNCTION("""COMPUTED_VALUE"""),"Lock")</f>
        <v>Lock</v>
      </c>
      <c r="B51" t="str">
        <f ca="1">IFERROR(__xludf.DUMMYFUNCTION("""COMPUTED_VALUE"""),"Adventuring Gear (PHB)")</f>
        <v>Adventuring Gear (PHB)</v>
      </c>
      <c r="C51">
        <f ca="1">IFERROR(__xludf.DUMMYFUNCTION("""COMPUTED_VALUE"""),1.5)</f>
        <v>1.5</v>
      </c>
      <c r="D51">
        <f ca="1">IFERROR(__xludf.DUMMYFUNCTION("""COMPUTED_VALUE"""),2.25)</f>
        <v>2.25</v>
      </c>
      <c r="E51">
        <f ca="1">IFERROR(__xludf.DUMMYFUNCTION("""COMPUTED_VALUE"""),4.5)</f>
        <v>4.5</v>
      </c>
      <c r="F51">
        <f ca="1">IFERROR(__xludf.DUMMYFUNCTION("""COMPUTED_VALUE"""),9)</f>
        <v>9</v>
      </c>
    </row>
    <row r="52" spans="1:7" ht="12.75" x14ac:dyDescent="0.2">
      <c r="A52" t="str">
        <f ca="1">IFERROR(__xludf.DUMMYFUNCTION("""COMPUTED_VALUE"""),"Magnifying glass")</f>
        <v>Magnifying glass</v>
      </c>
      <c r="B52" t="str">
        <f ca="1">IFERROR(__xludf.DUMMYFUNCTION("""COMPUTED_VALUE"""),"Adventuring Gear (PHB)")</f>
        <v>Adventuring Gear (PHB)</v>
      </c>
      <c r="C52">
        <f ca="1">IFERROR(__xludf.DUMMYFUNCTION("""COMPUTED_VALUE"""),1.2)</f>
        <v>1.2</v>
      </c>
      <c r="D52">
        <f ca="1">IFERROR(__xludf.DUMMYFUNCTION("""COMPUTED_VALUE"""),1.79999999999999)</f>
        <v>1.7999999999999901</v>
      </c>
      <c r="E52">
        <f ca="1">IFERROR(__xludf.DUMMYFUNCTION("""COMPUTED_VALUE"""),3.59999999999999)</f>
        <v>3.5999999999999899</v>
      </c>
      <c r="F52">
        <f ca="1">IFERROR(__xludf.DUMMYFUNCTION("""COMPUTED_VALUE"""),7.19999999999999)</f>
        <v>7.1999999999999904</v>
      </c>
    </row>
    <row r="53" spans="1:7" ht="12.75" x14ac:dyDescent="0.2">
      <c r="A53" t="str">
        <f ca="1">IFERROR(__xludf.DUMMYFUNCTION("""COMPUTED_VALUE"""),"Manacles")</f>
        <v>Manacles</v>
      </c>
      <c r="B53" t="str">
        <f ca="1">IFERROR(__xludf.DUMMYFUNCTION("""COMPUTED_VALUE"""),"Adventuring Gear (PHB)")</f>
        <v>Adventuring Gear (PHB)</v>
      </c>
      <c r="C53">
        <f ca="1">IFERROR(__xludf.DUMMYFUNCTION("""COMPUTED_VALUE"""),0.5)</f>
        <v>0.5</v>
      </c>
      <c r="D53">
        <f ca="1">IFERROR(__xludf.DUMMYFUNCTION("""COMPUTED_VALUE"""),0.75)</f>
        <v>0.75</v>
      </c>
      <c r="E53">
        <f ca="1">IFERROR(__xludf.DUMMYFUNCTION("""COMPUTED_VALUE"""),1.5)</f>
        <v>1.5</v>
      </c>
      <c r="F53">
        <f ca="1">IFERROR(__xludf.DUMMYFUNCTION("""COMPUTED_VALUE"""),3)</f>
        <v>3</v>
      </c>
    </row>
    <row r="54" spans="1:7" ht="12.75" x14ac:dyDescent="0.2">
      <c r="A54" t="str">
        <f ca="1">IFERROR(__xludf.DUMMYFUNCTION("""COMPUTED_VALUE"""),"Mess kit")</f>
        <v>Mess kit</v>
      </c>
      <c r="B54" t="str">
        <f ca="1">IFERROR(__xludf.DUMMYFUNCTION("""COMPUTED_VALUE"""),"Adventuring Gear (PHB)")</f>
        <v>Adventuring Gear (PHB)</v>
      </c>
      <c r="C54">
        <f ca="1">IFERROR(__xludf.DUMMYFUNCTION("""COMPUTED_VALUE"""),0.2)</f>
        <v>0.2</v>
      </c>
      <c r="D54">
        <f ca="1">IFERROR(__xludf.DUMMYFUNCTION("""COMPUTED_VALUE"""),0.3)</f>
        <v>0.3</v>
      </c>
      <c r="E54">
        <f ca="1">IFERROR(__xludf.DUMMYFUNCTION("""COMPUTED_VALUE"""),0.6)</f>
        <v>0.6</v>
      </c>
      <c r="F54">
        <f ca="1">IFERROR(__xludf.DUMMYFUNCTION("""COMPUTED_VALUE"""),1.2)</f>
        <v>1.2</v>
      </c>
    </row>
    <row r="55" spans="1:7" ht="12.75" x14ac:dyDescent="0.2">
      <c r="A55" t="str">
        <f ca="1">IFERROR(__xludf.DUMMYFUNCTION("""COMPUTED_VALUE"""),"Mirror, steel")</f>
        <v>Mirror, steel</v>
      </c>
      <c r="B55" t="str">
        <f ca="1">IFERROR(__xludf.DUMMYFUNCTION("""COMPUTED_VALUE"""),"Adventuring Gear (PHB)")</f>
        <v>Adventuring Gear (PHB)</v>
      </c>
      <c r="C55">
        <f ca="1">IFERROR(__xludf.DUMMYFUNCTION("""COMPUTED_VALUE"""),0.12)</f>
        <v>0.12</v>
      </c>
      <c r="D55">
        <f ca="1">IFERROR(__xludf.DUMMYFUNCTION("""COMPUTED_VALUE"""),0.18)</f>
        <v>0.18</v>
      </c>
      <c r="E55">
        <f ca="1">IFERROR(__xludf.DUMMYFUNCTION("""COMPUTED_VALUE"""),0.36)</f>
        <v>0.36</v>
      </c>
      <c r="F55">
        <f ca="1">IFERROR(__xludf.DUMMYFUNCTION("""COMPUTED_VALUE"""),0.72)</f>
        <v>0.72</v>
      </c>
    </row>
    <row r="56" spans="1:7" ht="12.75" x14ac:dyDescent="0.2">
      <c r="A56" t="str">
        <f ca="1">IFERROR(__xludf.DUMMYFUNCTION("""COMPUTED_VALUE"""),"Oil (flask)")</f>
        <v>Oil (flask)</v>
      </c>
      <c r="B56" t="str">
        <f ca="1">IFERROR(__xludf.DUMMYFUNCTION("""COMPUTED_VALUE"""),"Adventuring Gear (PHB)")</f>
        <v>Adventuring Gear (PHB)</v>
      </c>
      <c r="C56">
        <f ca="1">IFERROR(__xludf.DUMMYFUNCTION("""COMPUTED_VALUE"""),0.03)</f>
        <v>0.03</v>
      </c>
      <c r="D56">
        <f ca="1">IFERROR(__xludf.DUMMYFUNCTION("""COMPUTED_VALUE"""),0.045)</f>
        <v>4.4999999999999998E-2</v>
      </c>
      <c r="E56">
        <f ca="1">IFERROR(__xludf.DUMMYFUNCTION("""COMPUTED_VALUE"""),0.09)</f>
        <v>0.09</v>
      </c>
      <c r="F56">
        <f ca="1">IFERROR(__xludf.DUMMYFUNCTION("""COMPUTED_VALUE"""),0.18)</f>
        <v>0.18</v>
      </c>
    </row>
    <row r="57" spans="1:7" ht="12.75" x14ac:dyDescent="0.2">
      <c r="A57" t="str">
        <f ca="1">IFERROR(__xludf.DUMMYFUNCTION("""COMPUTED_VALUE"""),"Orb arcane focus")</f>
        <v>Orb arcane focus</v>
      </c>
      <c r="B57" t="str">
        <f ca="1">IFERROR(__xludf.DUMMYFUNCTION("""COMPUTED_VALUE"""),"Adventuring Gear (PHB)")</f>
        <v>Adventuring Gear (PHB)</v>
      </c>
      <c r="C57">
        <f ca="1">IFERROR(__xludf.DUMMYFUNCTION("""COMPUTED_VALUE"""),20)</f>
        <v>20</v>
      </c>
      <c r="D57">
        <f ca="1">IFERROR(__xludf.DUMMYFUNCTION("""COMPUTED_VALUE"""),30)</f>
        <v>30</v>
      </c>
      <c r="E57">
        <f ca="1">IFERROR(__xludf.DUMMYFUNCTION("""COMPUTED_VALUE"""),60)</f>
        <v>60</v>
      </c>
      <c r="F57">
        <f ca="1">IFERROR(__xludf.DUMMYFUNCTION("""COMPUTED_VALUE"""),120)</f>
        <v>120</v>
      </c>
    </row>
    <row r="58" spans="1:7" ht="12.75" x14ac:dyDescent="0.2">
      <c r="A58" t="str">
        <f ca="1">IFERROR(__xludf.DUMMYFUNCTION("""COMPUTED_VALUE"""),"Paper (one sheet)")</f>
        <v>Paper (one sheet)</v>
      </c>
      <c r="B58" t="str">
        <f ca="1">IFERROR(__xludf.DUMMYFUNCTION("""COMPUTED_VALUE"""),"Adventuring Gear (PHB)")</f>
        <v>Adventuring Gear (PHB)</v>
      </c>
      <c r="C58">
        <f ca="1">IFERROR(__xludf.DUMMYFUNCTION("""COMPUTED_VALUE"""),0.05)</f>
        <v>0.05</v>
      </c>
      <c r="D58">
        <f ca="1">IFERROR(__xludf.DUMMYFUNCTION("""COMPUTED_VALUE"""),0.075)</f>
        <v>7.4999999999999997E-2</v>
      </c>
      <c r="E58">
        <f ca="1">IFERROR(__xludf.DUMMYFUNCTION("""COMPUTED_VALUE"""),0.15)</f>
        <v>0.15</v>
      </c>
      <c r="F58">
        <f ca="1">IFERROR(__xludf.DUMMYFUNCTION("""COMPUTED_VALUE"""),0.3)</f>
        <v>0.3</v>
      </c>
    </row>
    <row r="59" spans="1:7" ht="12.75" x14ac:dyDescent="0.2">
      <c r="A59" t="str">
        <f ca="1">IFERROR(__xludf.DUMMYFUNCTION("""COMPUTED_VALUE"""),"Parchment (one sheet)")</f>
        <v>Parchment (one sheet)</v>
      </c>
      <c r="B59" t="str">
        <f ca="1">IFERROR(__xludf.DUMMYFUNCTION("""COMPUTED_VALUE"""),"Adventuring Gear (PHB)")</f>
        <v>Adventuring Gear (PHB)</v>
      </c>
      <c r="C59">
        <f ca="1">IFERROR(__xludf.DUMMYFUNCTION("""COMPUTED_VALUE"""),0.1)</f>
        <v>0.1</v>
      </c>
      <c r="D59">
        <f ca="1">IFERROR(__xludf.DUMMYFUNCTION("""COMPUTED_VALUE"""),0.15)</f>
        <v>0.15</v>
      </c>
      <c r="E59">
        <f ca="1">IFERROR(__xludf.DUMMYFUNCTION("""COMPUTED_VALUE"""),0.3)</f>
        <v>0.3</v>
      </c>
      <c r="F59">
        <f ca="1">IFERROR(__xludf.DUMMYFUNCTION("""COMPUTED_VALUE"""),0.6)</f>
        <v>0.6</v>
      </c>
    </row>
    <row r="60" spans="1:7" ht="12.75" x14ac:dyDescent="0.2">
      <c r="A60" t="str">
        <f ca="1">IFERROR(__xludf.DUMMYFUNCTION("""COMPUTED_VALUE"""),"Perfume (vial)")</f>
        <v>Perfume (vial)</v>
      </c>
      <c r="B60" t="str">
        <f ca="1">IFERROR(__xludf.DUMMYFUNCTION("""COMPUTED_VALUE"""),"Adventuring Gear (PHB)")</f>
        <v>Adventuring Gear (PHB)</v>
      </c>
      <c r="C60">
        <f ca="1">IFERROR(__xludf.DUMMYFUNCTION("""COMPUTED_VALUE"""),4)</f>
        <v>4</v>
      </c>
      <c r="D60">
        <f ca="1">IFERROR(__xludf.DUMMYFUNCTION("""COMPUTED_VALUE"""),6)</f>
        <v>6</v>
      </c>
      <c r="E60">
        <f ca="1">IFERROR(__xludf.DUMMYFUNCTION("""COMPUTED_VALUE"""),12)</f>
        <v>12</v>
      </c>
      <c r="F60">
        <f ca="1">IFERROR(__xludf.DUMMYFUNCTION("""COMPUTED_VALUE"""),24)</f>
        <v>24</v>
      </c>
    </row>
    <row r="61" spans="1:7" ht="12.75" x14ac:dyDescent="0.2">
      <c r="A61" t="str">
        <f ca="1">IFERROR(__xludf.DUMMYFUNCTION("""COMPUTED_VALUE"""),"Pick, miner’s")</f>
        <v>Pick, miner’s</v>
      </c>
      <c r="B61" t="str">
        <f ca="1">IFERROR(__xludf.DUMMYFUNCTION("""COMPUTED_VALUE"""),"Adventuring Gear (PHB)")</f>
        <v>Adventuring Gear (PHB)</v>
      </c>
      <c r="C61">
        <f ca="1">IFERROR(__xludf.DUMMYFUNCTION("""COMPUTED_VALUE"""),2)</f>
        <v>2</v>
      </c>
      <c r="D61">
        <f ca="1">IFERROR(__xludf.DUMMYFUNCTION("""COMPUTED_VALUE"""),3)</f>
        <v>3</v>
      </c>
      <c r="E61">
        <f ca="1">IFERROR(__xludf.DUMMYFUNCTION("""COMPUTED_VALUE"""),6)</f>
        <v>6</v>
      </c>
      <c r="F61">
        <f ca="1">IFERROR(__xludf.DUMMYFUNCTION("""COMPUTED_VALUE"""),12)</f>
        <v>12</v>
      </c>
    </row>
    <row r="62" spans="1:7" ht="12.75" x14ac:dyDescent="0.2">
      <c r="A62" t="str">
        <f ca="1">IFERROR(__xludf.DUMMYFUNCTION("""COMPUTED_VALUE"""),"Piton")</f>
        <v>Piton</v>
      </c>
      <c r="B62" t="str">
        <f ca="1">IFERROR(__xludf.DUMMYFUNCTION("""COMPUTED_VALUE"""),"Adventuring Gear (PHB)")</f>
        <v>Adventuring Gear (PHB)</v>
      </c>
      <c r="C62">
        <f ca="1">IFERROR(__xludf.DUMMYFUNCTION("""COMPUTED_VALUE"""),0.05)</f>
        <v>0.05</v>
      </c>
      <c r="D62">
        <f ca="1">IFERROR(__xludf.DUMMYFUNCTION("""COMPUTED_VALUE"""),0.075)</f>
        <v>7.4999999999999997E-2</v>
      </c>
      <c r="E62">
        <f ca="1">IFERROR(__xludf.DUMMYFUNCTION("""COMPUTED_VALUE"""),0.15)</f>
        <v>0.15</v>
      </c>
      <c r="F62">
        <f ca="1">IFERROR(__xludf.DUMMYFUNCTION("""COMPUTED_VALUE"""),0.3)</f>
        <v>0.3</v>
      </c>
    </row>
    <row r="63" spans="1:7" ht="12.75" x14ac:dyDescent="0.2">
      <c r="A63" t="str">
        <f ca="1">IFERROR(__xludf.DUMMYFUNCTION("""COMPUTED_VALUE"""),"Poison, basic (vial)")</f>
        <v>Poison, basic (vial)</v>
      </c>
      <c r="B63" t="str">
        <f ca="1">IFERROR(__xludf.DUMMYFUNCTION("""COMPUTED_VALUE"""),"Adventuring Gear (PHB)")</f>
        <v>Adventuring Gear (PHB)</v>
      </c>
      <c r="C63">
        <f ca="1">IFERROR(__xludf.DUMMYFUNCTION("""COMPUTED_VALUE"""),50)</f>
        <v>50</v>
      </c>
      <c r="D63">
        <f ca="1">IFERROR(__xludf.DUMMYFUNCTION("""COMPUTED_VALUE"""),75)</f>
        <v>75</v>
      </c>
      <c r="E63">
        <f ca="1">IFERROR(__xludf.DUMMYFUNCTION("""COMPUTED_VALUE"""),150)</f>
        <v>150</v>
      </c>
      <c r="F63">
        <f ca="1">IFERROR(__xludf.DUMMYFUNCTION("""COMPUTED_VALUE"""),300)</f>
        <v>300</v>
      </c>
      <c r="G63" t="str">
        <f ca="1">IFERROR(__xludf.DUMMYFUNCTION("""COMPUTED_VALUE"""),"Injury, you can use this poison to coat one slashing or piercing weapon or up to three pieces of ammunition.")</f>
        <v>Injury, you can use this poison to coat one slashing or piercing weapon or up to three pieces of ammunition.</v>
      </c>
    </row>
    <row r="64" spans="1:7" ht="12.75" x14ac:dyDescent="0.2">
      <c r="A64" t="str">
        <f ca="1">IFERROR(__xludf.DUMMYFUNCTION("""COMPUTED_VALUE"""),"Pole (10-foot)")</f>
        <v>Pole (10-foot)</v>
      </c>
      <c r="B64" t="str">
        <f ca="1">IFERROR(__xludf.DUMMYFUNCTION("""COMPUTED_VALUE"""),"Adventuring Gear (PHB)")</f>
        <v>Adventuring Gear (PHB)</v>
      </c>
      <c r="C64">
        <f ca="1">IFERROR(__xludf.DUMMYFUNCTION("""COMPUTED_VALUE"""),0.1)</f>
        <v>0.1</v>
      </c>
      <c r="D64">
        <f ca="1">IFERROR(__xludf.DUMMYFUNCTION("""COMPUTED_VALUE"""),0.15)</f>
        <v>0.15</v>
      </c>
      <c r="E64">
        <f ca="1">IFERROR(__xludf.DUMMYFUNCTION("""COMPUTED_VALUE"""),0.3)</f>
        <v>0.3</v>
      </c>
      <c r="F64">
        <f ca="1">IFERROR(__xludf.DUMMYFUNCTION("""COMPUTED_VALUE"""),0.6)</f>
        <v>0.6</v>
      </c>
    </row>
    <row r="65" spans="1:7" ht="12.75" x14ac:dyDescent="0.2">
      <c r="A65" t="str">
        <f ca="1">IFERROR(__xludf.DUMMYFUNCTION("""COMPUTED_VALUE"""),"Pot, iron")</f>
        <v>Pot, iron</v>
      </c>
      <c r="B65" t="str">
        <f ca="1">IFERROR(__xludf.DUMMYFUNCTION("""COMPUTED_VALUE"""),"Adventuring Gear (PHB)")</f>
        <v>Adventuring Gear (PHB)</v>
      </c>
      <c r="C65">
        <f ca="1">IFERROR(__xludf.DUMMYFUNCTION("""COMPUTED_VALUE"""),3.4)</f>
        <v>3.4</v>
      </c>
      <c r="D65">
        <f ca="1">IFERROR(__xludf.DUMMYFUNCTION("""COMPUTED_VALUE"""),5.1)</f>
        <v>5.0999999999999996</v>
      </c>
      <c r="E65">
        <f ca="1">IFERROR(__xludf.DUMMYFUNCTION("""COMPUTED_VALUE"""),10.2)</f>
        <v>10.199999999999999</v>
      </c>
      <c r="F65">
        <f ca="1">IFERROR(__xludf.DUMMYFUNCTION("""COMPUTED_VALUE"""),20.4)</f>
        <v>20.399999999999999</v>
      </c>
    </row>
    <row r="66" spans="1:7" ht="12.75" x14ac:dyDescent="0.2">
      <c r="A66" t="str">
        <f ca="1">IFERROR(__xludf.DUMMYFUNCTION("""COMPUTED_VALUE"""),"Potion of healing")</f>
        <v>Potion of healing</v>
      </c>
      <c r="B66" t="str">
        <f ca="1">IFERROR(__xludf.DUMMYFUNCTION("""COMPUTED_VALUE"""),"Adventuring Gear (PHB)")</f>
        <v>Adventuring Gear (PHB)</v>
      </c>
      <c r="C66">
        <f ca="1">IFERROR(__xludf.DUMMYFUNCTION("""COMPUTED_VALUE"""),50)</f>
        <v>50</v>
      </c>
      <c r="D66">
        <f ca="1">IFERROR(__xludf.DUMMYFUNCTION("""COMPUTED_VALUE"""),75)</f>
        <v>75</v>
      </c>
      <c r="E66">
        <f ca="1">IFERROR(__xludf.DUMMYFUNCTION("""COMPUTED_VALUE"""),150)</f>
        <v>150</v>
      </c>
      <c r="F66">
        <f ca="1">IFERROR(__xludf.DUMMYFUNCTION("""COMPUTED_VALUE"""),300)</f>
        <v>300</v>
      </c>
    </row>
    <row r="67" spans="1:7" ht="12.75" x14ac:dyDescent="0.2">
      <c r="A67" t="str">
        <f ca="1">IFERROR(__xludf.DUMMYFUNCTION("""COMPUTED_VALUE"""),"Pouch")</f>
        <v>Pouch</v>
      </c>
      <c r="B67" t="str">
        <f ca="1">IFERROR(__xludf.DUMMYFUNCTION("""COMPUTED_VALUE"""),"Adventuring Gear (PHB)")</f>
        <v>Adventuring Gear (PHB)</v>
      </c>
      <c r="C67">
        <f ca="1">IFERROR(__xludf.DUMMYFUNCTION("""COMPUTED_VALUE"""),0.12)</f>
        <v>0.12</v>
      </c>
      <c r="D67">
        <f ca="1">IFERROR(__xludf.DUMMYFUNCTION("""COMPUTED_VALUE"""),0.18)</f>
        <v>0.18</v>
      </c>
      <c r="E67">
        <f ca="1">IFERROR(__xludf.DUMMYFUNCTION("""COMPUTED_VALUE"""),0.36)</f>
        <v>0.36</v>
      </c>
      <c r="F67">
        <f ca="1">IFERROR(__xludf.DUMMYFUNCTION("""COMPUTED_VALUE"""),0.72)</f>
        <v>0.72</v>
      </c>
    </row>
    <row r="68" spans="1:7" ht="12.75" x14ac:dyDescent="0.2">
      <c r="A68" t="str">
        <f ca="1">IFERROR(__xludf.DUMMYFUNCTION("""COMPUTED_VALUE"""),"Quiver")</f>
        <v>Quiver</v>
      </c>
      <c r="B68" t="str">
        <f ca="1">IFERROR(__xludf.DUMMYFUNCTION("""COMPUTED_VALUE"""),"Adventuring Gear (PHB)")</f>
        <v>Adventuring Gear (PHB)</v>
      </c>
      <c r="C68">
        <f ca="1">IFERROR(__xludf.DUMMYFUNCTION("""COMPUTED_VALUE"""),0.3)</f>
        <v>0.3</v>
      </c>
      <c r="D68">
        <f ca="1">IFERROR(__xludf.DUMMYFUNCTION("""COMPUTED_VALUE"""),0.449999999999999)</f>
        <v>0.44999999999999901</v>
      </c>
      <c r="E68">
        <f ca="1">IFERROR(__xludf.DUMMYFUNCTION("""COMPUTED_VALUE"""),0.899999999999999)</f>
        <v>0.89999999999999902</v>
      </c>
      <c r="F68">
        <f ca="1">IFERROR(__xludf.DUMMYFUNCTION("""COMPUTED_VALUE"""),1.79999999999999)</f>
        <v>1.7999999999999901</v>
      </c>
    </row>
    <row r="69" spans="1:7" ht="12.75" x14ac:dyDescent="0.2">
      <c r="A69" t="str">
        <f ca="1">IFERROR(__xludf.DUMMYFUNCTION("""COMPUTED_VALUE"""),"Ram, portable")</f>
        <v>Ram, portable</v>
      </c>
      <c r="B69" t="str">
        <f ca="1">IFERROR(__xludf.DUMMYFUNCTION("""COMPUTED_VALUE"""),"Adventuring Gear (PHB)")</f>
        <v>Adventuring Gear (PHB)</v>
      </c>
      <c r="C69">
        <f ca="1">IFERROR(__xludf.DUMMYFUNCTION("""COMPUTED_VALUE"""),1.5)</f>
        <v>1.5</v>
      </c>
      <c r="D69">
        <f ca="1">IFERROR(__xludf.DUMMYFUNCTION("""COMPUTED_VALUE"""),2.25)</f>
        <v>2.25</v>
      </c>
      <c r="E69">
        <f ca="1">IFERROR(__xludf.DUMMYFUNCTION("""COMPUTED_VALUE"""),4.5)</f>
        <v>4.5</v>
      </c>
      <c r="F69">
        <f ca="1">IFERROR(__xludf.DUMMYFUNCTION("""COMPUTED_VALUE"""),9)</f>
        <v>9</v>
      </c>
    </row>
    <row r="70" spans="1:7" ht="12.75" x14ac:dyDescent="0.2">
      <c r="A70" t="str">
        <f ca="1">IFERROR(__xludf.DUMMYFUNCTION("""COMPUTED_VALUE"""),"Rations (1 day)")</f>
        <v>Rations (1 day)</v>
      </c>
      <c r="B70" t="str">
        <f ca="1">IFERROR(__xludf.DUMMYFUNCTION("""COMPUTED_VALUE"""),"Adventuring Gear (PHB)")</f>
        <v>Adventuring Gear (PHB)</v>
      </c>
      <c r="C70">
        <f ca="1">IFERROR(__xludf.DUMMYFUNCTION("""COMPUTED_VALUE"""),0.25)</f>
        <v>0.25</v>
      </c>
      <c r="D70">
        <f ca="1">IFERROR(__xludf.DUMMYFUNCTION("""COMPUTED_VALUE"""),0.375)</f>
        <v>0.375</v>
      </c>
      <c r="E70">
        <f ca="1">IFERROR(__xludf.DUMMYFUNCTION("""COMPUTED_VALUE"""),0.75)</f>
        <v>0.75</v>
      </c>
      <c r="F70">
        <f ca="1">IFERROR(__xludf.DUMMYFUNCTION("""COMPUTED_VALUE"""),1.5)</f>
        <v>1.5</v>
      </c>
    </row>
    <row r="71" spans="1:7" ht="12.75" x14ac:dyDescent="0.2">
      <c r="A71" t="str">
        <f ca="1">IFERROR(__xludf.DUMMYFUNCTION("""COMPUTED_VALUE"""),"Reliquary holy symbol")</f>
        <v>Reliquary holy symbol</v>
      </c>
      <c r="B71" t="str">
        <f ca="1">IFERROR(__xludf.DUMMYFUNCTION("""COMPUTED_VALUE"""),"Adventuring Gear (PHB)")</f>
        <v>Adventuring Gear (PHB)</v>
      </c>
      <c r="C71">
        <f ca="1">IFERROR(__xludf.DUMMYFUNCTION("""COMPUTED_VALUE"""),5)</f>
        <v>5</v>
      </c>
      <c r="D71">
        <f ca="1">IFERROR(__xludf.DUMMYFUNCTION("""COMPUTED_VALUE"""),7.5)</f>
        <v>7.5</v>
      </c>
      <c r="E71">
        <f ca="1">IFERROR(__xludf.DUMMYFUNCTION("""COMPUTED_VALUE"""),15)</f>
        <v>15</v>
      </c>
      <c r="F71">
        <f ca="1">IFERROR(__xludf.DUMMYFUNCTION("""COMPUTED_VALUE"""),30)</f>
        <v>30</v>
      </c>
    </row>
    <row r="72" spans="1:7" ht="12.75" x14ac:dyDescent="0.2">
      <c r="A72" t="str">
        <f ca="1">IFERROR(__xludf.DUMMYFUNCTION("""COMPUTED_VALUE"""),"Robes")</f>
        <v>Robes</v>
      </c>
      <c r="B72" t="str">
        <f ca="1">IFERROR(__xludf.DUMMYFUNCTION("""COMPUTED_VALUE"""),"Adventuring Gear (PHB)")</f>
        <v>Adventuring Gear (PHB)</v>
      </c>
      <c r="C72">
        <f ca="1">IFERROR(__xludf.DUMMYFUNCTION("""COMPUTED_VALUE"""),2.5)</f>
        <v>2.5</v>
      </c>
      <c r="D72">
        <f ca="1">IFERROR(__xludf.DUMMYFUNCTION("""COMPUTED_VALUE"""),3.75)</f>
        <v>3.75</v>
      </c>
      <c r="E72">
        <f ca="1">IFERROR(__xludf.DUMMYFUNCTION("""COMPUTED_VALUE"""),7.5)</f>
        <v>7.5</v>
      </c>
      <c r="F72">
        <f ca="1">IFERROR(__xludf.DUMMYFUNCTION("""COMPUTED_VALUE"""),15)</f>
        <v>15</v>
      </c>
    </row>
    <row r="73" spans="1:7" ht="12.75" x14ac:dyDescent="0.2">
      <c r="A73" t="str">
        <f ca="1">IFERROR(__xludf.DUMMYFUNCTION("""COMPUTED_VALUE"""),"Rod arcane focus")</f>
        <v>Rod arcane focus</v>
      </c>
      <c r="B73" t="str">
        <f ca="1">IFERROR(__xludf.DUMMYFUNCTION("""COMPUTED_VALUE"""),"Adventuring Gear (PHB)")</f>
        <v>Adventuring Gear (PHB)</v>
      </c>
      <c r="C73">
        <f ca="1">IFERROR(__xludf.DUMMYFUNCTION("""COMPUTED_VALUE"""),10)</f>
        <v>10</v>
      </c>
      <c r="D73">
        <f ca="1">IFERROR(__xludf.DUMMYFUNCTION("""COMPUTED_VALUE"""),15)</f>
        <v>15</v>
      </c>
      <c r="E73">
        <f ca="1">IFERROR(__xludf.DUMMYFUNCTION("""COMPUTED_VALUE"""),30)</f>
        <v>30</v>
      </c>
      <c r="F73">
        <f ca="1">IFERROR(__xludf.DUMMYFUNCTION("""COMPUTED_VALUE"""),60)</f>
        <v>60</v>
      </c>
    </row>
    <row r="74" spans="1:7" ht="12.75" x14ac:dyDescent="0.2">
      <c r="A74" t="str">
        <f ca="1">IFERROR(__xludf.DUMMYFUNCTION("""COMPUTED_VALUE"""),"Rope, hempen (50 feet)")</f>
        <v>Rope, hempen (50 feet)</v>
      </c>
      <c r="B74" t="str">
        <f ca="1">IFERROR(__xludf.DUMMYFUNCTION("""COMPUTED_VALUE"""),"Adventuring Gear (PHB)")</f>
        <v>Adventuring Gear (PHB)</v>
      </c>
      <c r="C74">
        <f ca="1">IFERROR(__xludf.DUMMYFUNCTION("""COMPUTED_VALUE"""),1.2)</f>
        <v>1.2</v>
      </c>
      <c r="D74">
        <f ca="1">IFERROR(__xludf.DUMMYFUNCTION("""COMPUTED_VALUE"""),1.79999999999999)</f>
        <v>1.7999999999999901</v>
      </c>
      <c r="E74">
        <f ca="1">IFERROR(__xludf.DUMMYFUNCTION("""COMPUTED_VALUE"""),3.59999999999999)</f>
        <v>3.5999999999999899</v>
      </c>
      <c r="F74">
        <f ca="1">IFERROR(__xludf.DUMMYFUNCTION("""COMPUTED_VALUE"""),7.19999999999999)</f>
        <v>7.1999999999999904</v>
      </c>
    </row>
    <row r="75" spans="1:7" ht="12.75" x14ac:dyDescent="0.2">
      <c r="A75" t="str">
        <f ca="1">IFERROR(__xludf.DUMMYFUNCTION("""COMPUTED_VALUE"""),"Rope, silk (50 feet)")</f>
        <v>Rope, silk (50 feet)</v>
      </c>
      <c r="B75" t="str">
        <f ca="1">IFERROR(__xludf.DUMMYFUNCTION("""COMPUTED_VALUE"""),"Adventuring Gear (PHB)")</f>
        <v>Adventuring Gear (PHB)</v>
      </c>
      <c r="C75">
        <f ca="1">IFERROR(__xludf.DUMMYFUNCTION("""COMPUTED_VALUE"""),5.2)</f>
        <v>5.2</v>
      </c>
      <c r="D75">
        <f ca="1">IFERROR(__xludf.DUMMYFUNCTION("""COMPUTED_VALUE"""),7.8)</f>
        <v>7.8</v>
      </c>
      <c r="E75">
        <f ca="1">IFERROR(__xludf.DUMMYFUNCTION("""COMPUTED_VALUE"""),15.6)</f>
        <v>15.6</v>
      </c>
      <c r="F75">
        <f ca="1">IFERROR(__xludf.DUMMYFUNCTION("""COMPUTED_VALUE"""),31.2)</f>
        <v>31.2</v>
      </c>
    </row>
    <row r="76" spans="1:7" ht="12.75" x14ac:dyDescent="0.2">
      <c r="A76" t="str">
        <f ca="1">IFERROR(__xludf.DUMMYFUNCTION("""COMPUTED_VALUE"""),"Sack")</f>
        <v>Sack</v>
      </c>
      <c r="B76" t="str">
        <f ca="1">IFERROR(__xludf.DUMMYFUNCTION("""COMPUTED_VALUE"""),"Adventuring Gear (PHB)")</f>
        <v>Adventuring Gear (PHB)</v>
      </c>
      <c r="C76">
        <f ca="1">IFERROR(__xludf.DUMMYFUNCTION("""COMPUTED_VALUE"""),0.5)</f>
        <v>0.5</v>
      </c>
      <c r="D76">
        <f ca="1">IFERROR(__xludf.DUMMYFUNCTION("""COMPUTED_VALUE"""),0.75)</f>
        <v>0.75</v>
      </c>
      <c r="E76">
        <f ca="1">IFERROR(__xludf.DUMMYFUNCTION("""COMPUTED_VALUE"""),1.5)</f>
        <v>1.5</v>
      </c>
      <c r="F76">
        <f ca="1">IFERROR(__xludf.DUMMYFUNCTION("""COMPUTED_VALUE"""),3)</f>
        <v>3</v>
      </c>
    </row>
    <row r="77" spans="1:7" ht="12.75" x14ac:dyDescent="0.2">
      <c r="A77" t="str">
        <f ca="1">IFERROR(__xludf.DUMMYFUNCTION("""COMPUTED_VALUE"""),"Scale, merchant's")</f>
        <v>Scale, merchant's</v>
      </c>
      <c r="B77" t="str">
        <f ca="1">IFERROR(__xludf.DUMMYFUNCTION("""COMPUTED_VALUE"""),"Adventuring Gear (PHB)")</f>
        <v>Adventuring Gear (PHB)</v>
      </c>
      <c r="C77">
        <f ca="1">IFERROR(__xludf.DUMMYFUNCTION("""COMPUTED_VALUE"""),3)</f>
        <v>3</v>
      </c>
      <c r="D77">
        <f ca="1">IFERROR(__xludf.DUMMYFUNCTION("""COMPUTED_VALUE"""),4.5)</f>
        <v>4.5</v>
      </c>
      <c r="E77">
        <f ca="1">IFERROR(__xludf.DUMMYFUNCTION("""COMPUTED_VALUE"""),9)</f>
        <v>9</v>
      </c>
      <c r="F77">
        <f ca="1">IFERROR(__xludf.DUMMYFUNCTION("""COMPUTED_VALUE"""),18)</f>
        <v>18</v>
      </c>
    </row>
    <row r="78" spans="1:7" ht="12.75" x14ac:dyDescent="0.2">
      <c r="A78" t="str">
        <f ca="1">IFERROR(__xludf.DUMMYFUNCTION("""COMPUTED_VALUE"""),"Sealing wax")</f>
        <v>Sealing wax</v>
      </c>
      <c r="B78" t="str">
        <f ca="1">IFERROR(__xludf.DUMMYFUNCTION("""COMPUTED_VALUE"""),"Adventuring Gear (PHB)")</f>
        <v>Adventuring Gear (PHB)</v>
      </c>
      <c r="C78">
        <f ca="1">IFERROR(__xludf.DUMMYFUNCTION("""COMPUTED_VALUE"""),0.25)</f>
        <v>0.25</v>
      </c>
      <c r="D78">
        <f ca="1">IFERROR(__xludf.DUMMYFUNCTION("""COMPUTED_VALUE"""),0.375)</f>
        <v>0.375</v>
      </c>
      <c r="E78">
        <f ca="1">IFERROR(__xludf.DUMMYFUNCTION("""COMPUTED_VALUE"""),0.75)</f>
        <v>0.75</v>
      </c>
      <c r="F78">
        <f ca="1">IFERROR(__xludf.DUMMYFUNCTION("""COMPUTED_VALUE"""),1.5)</f>
        <v>1.5</v>
      </c>
    </row>
    <row r="79" spans="1:7" ht="12.75" x14ac:dyDescent="0.2">
      <c r="A79" t="str">
        <f ca="1">IFERROR(__xludf.DUMMYFUNCTION("""COMPUTED_VALUE"""),"Shovel")</f>
        <v>Shovel</v>
      </c>
      <c r="B79" t="str">
        <f ca="1">IFERROR(__xludf.DUMMYFUNCTION("""COMPUTED_VALUE"""),"Adventuring Gear (PHB)")</f>
        <v>Adventuring Gear (PHB)</v>
      </c>
      <c r="C79">
        <f ca="1">IFERROR(__xludf.DUMMYFUNCTION("""COMPUTED_VALUE"""),1)</f>
        <v>1</v>
      </c>
      <c r="D79">
        <f ca="1">IFERROR(__xludf.DUMMYFUNCTION("""COMPUTED_VALUE"""),1.33)</f>
        <v>1.33</v>
      </c>
      <c r="E79">
        <f ca="1">IFERROR(__xludf.DUMMYFUNCTION("""COMPUTED_VALUE"""),2.66)</f>
        <v>2.66</v>
      </c>
      <c r="F79">
        <f ca="1">IFERROR(__xludf.DUMMYFUNCTION("""COMPUTED_VALUE"""),5.22)</f>
        <v>5.22</v>
      </c>
      <c r="G79" t="str">
        <f ca="1">IFERROR(__xludf.DUMMYFUNCTION("""COMPUTED_VALUE"""),"c")</f>
        <v>c</v>
      </c>
    </row>
    <row r="80" spans="1:7" ht="12.75" x14ac:dyDescent="0.2">
      <c r="A80" t="str">
        <f ca="1">IFERROR(__xludf.DUMMYFUNCTION("""COMPUTED_VALUE"""),"Signal whistle")</f>
        <v>Signal whistle</v>
      </c>
      <c r="B80" t="str">
        <f ca="1">IFERROR(__xludf.DUMMYFUNCTION("""COMPUTED_VALUE"""),"Adventuring Gear (PHB)")</f>
        <v>Adventuring Gear (PHB)</v>
      </c>
      <c r="C80">
        <f ca="1">IFERROR(__xludf.DUMMYFUNCTION("""COMPUTED_VALUE"""),0.05)</f>
        <v>0.05</v>
      </c>
      <c r="D80">
        <f ca="1">IFERROR(__xludf.DUMMYFUNCTION("""COMPUTED_VALUE"""),0.075)</f>
        <v>7.4999999999999997E-2</v>
      </c>
      <c r="E80">
        <f ca="1">IFERROR(__xludf.DUMMYFUNCTION("""COMPUTED_VALUE"""),0.15)</f>
        <v>0.15</v>
      </c>
      <c r="F80">
        <f ca="1">IFERROR(__xludf.DUMMYFUNCTION("""COMPUTED_VALUE"""),0.3)</f>
        <v>0.3</v>
      </c>
    </row>
    <row r="81" spans="1:7" ht="12.75" x14ac:dyDescent="0.2">
      <c r="A81" t="str">
        <f ca="1">IFERROR(__xludf.DUMMYFUNCTION("""COMPUTED_VALUE"""),"Signet ring")</f>
        <v>Signet ring</v>
      </c>
      <c r="B81" t="str">
        <f ca="1">IFERROR(__xludf.DUMMYFUNCTION("""COMPUTED_VALUE"""),"Adventuring Gear (PHB)")</f>
        <v>Adventuring Gear (PHB)</v>
      </c>
      <c r="C81">
        <f ca="1">IFERROR(__xludf.DUMMYFUNCTION("""COMPUTED_VALUE"""),5)</f>
        <v>5</v>
      </c>
      <c r="D81">
        <f ca="1">IFERROR(__xludf.DUMMYFUNCTION("""COMPUTED_VALUE"""),7.5)</f>
        <v>7.5</v>
      </c>
      <c r="E81">
        <f ca="1">IFERROR(__xludf.DUMMYFUNCTION("""COMPUTED_VALUE"""),15)</f>
        <v>15</v>
      </c>
      <c r="F81">
        <f ca="1">IFERROR(__xludf.DUMMYFUNCTION("""COMPUTED_VALUE"""),30)</f>
        <v>30</v>
      </c>
    </row>
    <row r="82" spans="1:7" ht="12.75" x14ac:dyDescent="0.2">
      <c r="A82" t="str">
        <f ca="1">IFERROR(__xludf.DUMMYFUNCTION("""COMPUTED_VALUE"""),"Sling bullets (20)")</f>
        <v>Sling bullets (20)</v>
      </c>
      <c r="B82" t="str">
        <f ca="1">IFERROR(__xludf.DUMMYFUNCTION("""COMPUTED_VALUE"""),"Adventuring Gear (PHB)")</f>
        <v>Adventuring Gear (PHB)</v>
      </c>
      <c r="C82">
        <f ca="1">IFERROR(__xludf.DUMMYFUNCTION("""COMPUTED_VALUE"""),0.04)</f>
        <v>0.04</v>
      </c>
      <c r="D82">
        <f ca="1">IFERROR(__xludf.DUMMYFUNCTION("""COMPUTED_VALUE"""),0.06)</f>
        <v>0.06</v>
      </c>
      <c r="E82">
        <f ca="1">IFERROR(__xludf.DUMMYFUNCTION("""COMPUTED_VALUE"""),0.12)</f>
        <v>0.12</v>
      </c>
      <c r="F82">
        <f ca="1">IFERROR(__xludf.DUMMYFUNCTION("""COMPUTED_VALUE"""),0.24)</f>
        <v>0.24</v>
      </c>
    </row>
    <row r="83" spans="1:7" ht="12.75" x14ac:dyDescent="0.2">
      <c r="A83" t="str">
        <f ca="1">IFERROR(__xludf.DUMMYFUNCTION("""COMPUTED_VALUE"""),"Soap")</f>
        <v>Soap</v>
      </c>
      <c r="B83" t="str">
        <f ca="1">IFERROR(__xludf.DUMMYFUNCTION("""COMPUTED_VALUE"""),"Adventuring Gear (PHB)")</f>
        <v>Adventuring Gear (PHB)</v>
      </c>
      <c r="C83">
        <f ca="1">IFERROR(__xludf.DUMMYFUNCTION("""COMPUTED_VALUE"""),0.08)</f>
        <v>0.08</v>
      </c>
      <c r="D83">
        <f ca="1">IFERROR(__xludf.DUMMYFUNCTION("""COMPUTED_VALUE"""),0.12)</f>
        <v>0.12</v>
      </c>
      <c r="E83">
        <f ca="1">IFERROR(__xludf.DUMMYFUNCTION("""COMPUTED_VALUE"""),0.24)</f>
        <v>0.24</v>
      </c>
      <c r="F83">
        <f ca="1">IFERROR(__xludf.DUMMYFUNCTION("""COMPUTED_VALUE"""),0.48)</f>
        <v>0.48</v>
      </c>
    </row>
    <row r="84" spans="1:7" ht="12.75" x14ac:dyDescent="0.2">
      <c r="A84" t="str">
        <f ca="1">IFERROR(__xludf.DUMMYFUNCTION("""COMPUTED_VALUE"""),"Spellbook")</f>
        <v>Spellbook</v>
      </c>
      <c r="B84" t="str">
        <f ca="1">IFERROR(__xludf.DUMMYFUNCTION("""COMPUTED_VALUE"""),"Adventuring Gear (PHB)")</f>
        <v>Adventuring Gear (PHB)</v>
      </c>
      <c r="C84">
        <f ca="1">IFERROR(__xludf.DUMMYFUNCTION("""COMPUTED_VALUE"""),30)</f>
        <v>30</v>
      </c>
      <c r="D84">
        <f ca="1">IFERROR(__xludf.DUMMYFUNCTION("""COMPUTED_VALUE"""),45)</f>
        <v>45</v>
      </c>
      <c r="E84">
        <f ca="1">IFERROR(__xludf.DUMMYFUNCTION("""COMPUTED_VALUE"""),90)</f>
        <v>90</v>
      </c>
      <c r="F84">
        <f ca="1">IFERROR(__xludf.DUMMYFUNCTION("""COMPUTED_VALUE"""),180)</f>
        <v>180</v>
      </c>
    </row>
    <row r="85" spans="1:7" ht="12.75" x14ac:dyDescent="0.2">
      <c r="A85" t="str">
        <f ca="1">IFERROR(__xludf.DUMMYFUNCTION("""COMPUTED_VALUE"""),"Spikes, iron (10)")</f>
        <v>Spikes, iron (10)</v>
      </c>
      <c r="B85" t="str">
        <f ca="1">IFERROR(__xludf.DUMMYFUNCTION("""COMPUTED_VALUE"""),"Adventuring Gear (PHB)")</f>
        <v>Adventuring Gear (PHB)</v>
      </c>
      <c r="C85">
        <f ca="1">IFERROR(__xludf.DUMMYFUNCTION("""COMPUTED_VALUE"""),1)</f>
        <v>1</v>
      </c>
      <c r="D85">
        <f ca="1">IFERROR(__xludf.DUMMYFUNCTION("""COMPUTED_VALUE"""),1.5)</f>
        <v>1.5</v>
      </c>
      <c r="E85">
        <f ca="1">IFERROR(__xludf.DUMMYFUNCTION("""COMPUTED_VALUE"""),3)</f>
        <v>3</v>
      </c>
      <c r="F85">
        <f ca="1">IFERROR(__xludf.DUMMYFUNCTION("""COMPUTED_VALUE"""),6)</f>
        <v>6</v>
      </c>
    </row>
    <row r="86" spans="1:7" ht="12.75" x14ac:dyDescent="0.2">
      <c r="A86" t="str">
        <f ca="1">IFERROR(__xludf.DUMMYFUNCTION("""COMPUTED_VALUE"""),"Sprig of mistletoe druidic focus")</f>
        <v>Sprig of mistletoe druidic focus</v>
      </c>
      <c r="B86" t="str">
        <f ca="1">IFERROR(__xludf.DUMMYFUNCTION("""COMPUTED_VALUE"""),"Adventuring Gear (PHB)")</f>
        <v>Adventuring Gear (PHB)</v>
      </c>
      <c r="C86">
        <f ca="1">IFERROR(__xludf.DUMMYFUNCTION("""COMPUTED_VALUE"""),1)</f>
        <v>1</v>
      </c>
      <c r="D86">
        <f ca="1">IFERROR(__xludf.DUMMYFUNCTION("""COMPUTED_VALUE"""),1.5)</f>
        <v>1.5</v>
      </c>
      <c r="E86">
        <f ca="1">IFERROR(__xludf.DUMMYFUNCTION("""COMPUTED_VALUE"""),3)</f>
        <v>3</v>
      </c>
      <c r="F86">
        <f ca="1">IFERROR(__xludf.DUMMYFUNCTION("""COMPUTED_VALUE"""),6)</f>
        <v>6</v>
      </c>
    </row>
    <row r="87" spans="1:7" ht="12.75" x14ac:dyDescent="0.2">
      <c r="A87" t="str">
        <f ca="1">IFERROR(__xludf.DUMMYFUNCTION("""COMPUTED_VALUE"""),"Spyglass")</f>
        <v>Spyglass</v>
      </c>
      <c r="B87" t="str">
        <f ca="1">IFERROR(__xludf.DUMMYFUNCTION("""COMPUTED_VALUE"""),"Adventuring Gear (PHB)")</f>
        <v>Adventuring Gear (PHB)</v>
      </c>
      <c r="C87">
        <f ca="1">IFERROR(__xludf.DUMMYFUNCTION("""COMPUTED_VALUE"""),2)</f>
        <v>2</v>
      </c>
      <c r="D87">
        <f ca="1">IFERROR(__xludf.DUMMYFUNCTION("""COMPUTED_VALUE"""),3)</f>
        <v>3</v>
      </c>
      <c r="E87">
        <f ca="1">IFERROR(__xludf.DUMMYFUNCTION("""COMPUTED_VALUE"""),6)</f>
        <v>6</v>
      </c>
      <c r="F87">
        <f ca="1">IFERROR(__xludf.DUMMYFUNCTION("""COMPUTED_VALUE"""),12)</f>
        <v>12</v>
      </c>
    </row>
    <row r="88" spans="1:7" ht="12.75" x14ac:dyDescent="0.2">
      <c r="A88" t="str">
        <f ca="1">IFERROR(__xludf.DUMMYFUNCTION("""COMPUTED_VALUE"""),"Staff arcane focus")</f>
        <v>Staff arcane focus</v>
      </c>
      <c r="B88" t="str">
        <f ca="1">IFERROR(__xludf.DUMMYFUNCTION("""COMPUTED_VALUE"""),"Adventuring Gear (PHB)")</f>
        <v>Adventuring Gear (PHB)</v>
      </c>
      <c r="C88">
        <f ca="1">IFERROR(__xludf.DUMMYFUNCTION("""COMPUTED_VALUE"""),5)</f>
        <v>5</v>
      </c>
      <c r="D88">
        <f ca="1">IFERROR(__xludf.DUMMYFUNCTION("""COMPUTED_VALUE"""),7.5)</f>
        <v>7.5</v>
      </c>
      <c r="E88">
        <f ca="1">IFERROR(__xludf.DUMMYFUNCTION("""COMPUTED_VALUE"""),15)</f>
        <v>15</v>
      </c>
      <c r="F88">
        <f ca="1">IFERROR(__xludf.DUMMYFUNCTION("""COMPUTED_VALUE"""),30)</f>
        <v>30</v>
      </c>
    </row>
    <row r="89" spans="1:7" ht="12.75" x14ac:dyDescent="0.2">
      <c r="A89" t="str">
        <f ca="1">IFERROR(__xludf.DUMMYFUNCTION("""COMPUTED_VALUE"""),"Tent, two-person")</f>
        <v>Tent, two-person</v>
      </c>
      <c r="B89" t="str">
        <f ca="1">IFERROR(__xludf.DUMMYFUNCTION("""COMPUTED_VALUE"""),"Adventuring Gear (PHB)")</f>
        <v>Adventuring Gear (PHB)</v>
      </c>
      <c r="C89">
        <f ca="1">IFERROR(__xludf.DUMMYFUNCTION("""COMPUTED_VALUE"""),2)</f>
        <v>2</v>
      </c>
      <c r="D89">
        <f ca="1">IFERROR(__xludf.DUMMYFUNCTION("""COMPUTED_VALUE"""),3)</f>
        <v>3</v>
      </c>
      <c r="E89">
        <f ca="1">IFERROR(__xludf.DUMMYFUNCTION("""COMPUTED_VALUE"""),6)</f>
        <v>6</v>
      </c>
      <c r="F89">
        <f ca="1">IFERROR(__xludf.DUMMYFUNCTION("""COMPUTED_VALUE"""),12)</f>
        <v>12</v>
      </c>
    </row>
    <row r="90" spans="1:7" ht="12.75" x14ac:dyDescent="0.2">
      <c r="A90" t="str">
        <f ca="1">IFERROR(__xludf.DUMMYFUNCTION("""COMPUTED_VALUE"""),"Tinderbox")</f>
        <v>Tinderbox</v>
      </c>
      <c r="B90" t="str">
        <f ca="1">IFERROR(__xludf.DUMMYFUNCTION("""COMPUTED_VALUE"""),"Adventuring Gear (PHB)")</f>
        <v>Adventuring Gear (PHB)</v>
      </c>
      <c r="C90">
        <f ca="1">IFERROR(__xludf.DUMMYFUNCTION("""COMPUTED_VALUE"""),0.5)</f>
        <v>0.5</v>
      </c>
      <c r="D90">
        <f ca="1">IFERROR(__xludf.DUMMYFUNCTION("""COMPUTED_VALUE"""),0.75)</f>
        <v>0.75</v>
      </c>
      <c r="E90">
        <f ca="1">IFERROR(__xludf.DUMMYFUNCTION("""COMPUTED_VALUE"""),1.5)</f>
        <v>1.5</v>
      </c>
      <c r="F90">
        <f ca="1">IFERROR(__xludf.DUMMYFUNCTION("""COMPUTED_VALUE"""),3)</f>
        <v>3</v>
      </c>
    </row>
    <row r="91" spans="1:7" ht="12.75" x14ac:dyDescent="0.2">
      <c r="A91" t="str">
        <f ca="1">IFERROR(__xludf.DUMMYFUNCTION("""COMPUTED_VALUE"""),"Torch")</f>
        <v>Torch</v>
      </c>
      <c r="B91" t="str">
        <f ca="1">IFERROR(__xludf.DUMMYFUNCTION("""COMPUTED_VALUE"""),"Adventuring Gear (PHB)")</f>
        <v>Adventuring Gear (PHB)</v>
      </c>
      <c r="C91">
        <f ca="1">IFERROR(__xludf.DUMMYFUNCTION("""COMPUTED_VALUE"""),0.04)</f>
        <v>0.04</v>
      </c>
      <c r="D91">
        <f ca="1">IFERROR(__xludf.DUMMYFUNCTION("""COMPUTED_VALUE"""),0.06)</f>
        <v>0.06</v>
      </c>
      <c r="E91">
        <f ca="1">IFERROR(__xludf.DUMMYFUNCTION("""COMPUTED_VALUE"""),0.12)</f>
        <v>0.12</v>
      </c>
      <c r="F91">
        <f ca="1">IFERROR(__xludf.DUMMYFUNCTION("""COMPUTED_VALUE"""),0.24)</f>
        <v>0.24</v>
      </c>
    </row>
    <row r="92" spans="1:7" ht="12.75" x14ac:dyDescent="0.2">
      <c r="A92" t="str">
        <f ca="1">IFERROR(__xludf.DUMMYFUNCTION("""COMPUTED_VALUE"""),"Totem druidic focus")</f>
        <v>Totem druidic focus</v>
      </c>
      <c r="B92" t="str">
        <f ca="1">IFERROR(__xludf.DUMMYFUNCTION("""COMPUTED_VALUE"""),"Adventuring Gear (PHB)")</f>
        <v>Adventuring Gear (PHB)</v>
      </c>
      <c r="C92">
        <f ca="1">IFERROR(__xludf.DUMMYFUNCTION("""COMPUTED_VALUE"""),1)</f>
        <v>1</v>
      </c>
      <c r="D92">
        <f ca="1">IFERROR(__xludf.DUMMYFUNCTION("""COMPUTED_VALUE"""),1.5)</f>
        <v>1.5</v>
      </c>
      <c r="E92">
        <f ca="1">IFERROR(__xludf.DUMMYFUNCTION("""COMPUTED_VALUE"""),3)</f>
        <v>3</v>
      </c>
      <c r="F92">
        <f ca="1">IFERROR(__xludf.DUMMYFUNCTION("""COMPUTED_VALUE"""),6)</f>
        <v>6</v>
      </c>
    </row>
    <row r="93" spans="1:7" ht="12.75" x14ac:dyDescent="0.2">
      <c r="A93" t="str">
        <f ca="1">IFERROR(__xludf.DUMMYFUNCTION("""COMPUTED_VALUE"""),"Vial")</f>
        <v>Vial</v>
      </c>
      <c r="B93" t="str">
        <f ca="1">IFERROR(__xludf.DUMMYFUNCTION("""COMPUTED_VALUE"""),"Adventuring Gear (PHB)")</f>
        <v>Adventuring Gear (PHB)</v>
      </c>
      <c r="C93">
        <f ca="1">IFERROR(__xludf.DUMMYFUNCTION("""COMPUTED_VALUE"""),0.04)</f>
        <v>0.04</v>
      </c>
      <c r="D93">
        <f ca="1">IFERROR(__xludf.DUMMYFUNCTION("""COMPUTED_VALUE"""),0.06)</f>
        <v>0.06</v>
      </c>
      <c r="E93">
        <f ca="1">IFERROR(__xludf.DUMMYFUNCTION("""COMPUTED_VALUE"""),0.12)</f>
        <v>0.12</v>
      </c>
      <c r="F93">
        <f ca="1">IFERROR(__xludf.DUMMYFUNCTION("""COMPUTED_VALUE"""),0.24)</f>
        <v>0.24</v>
      </c>
    </row>
    <row r="94" spans="1:7" ht="12.75" x14ac:dyDescent="0.2">
      <c r="A94" t="str">
        <f ca="1">IFERROR(__xludf.DUMMYFUNCTION("""COMPUTED_VALUE"""),"Wand arcane focus")</f>
        <v>Wand arcane focus</v>
      </c>
      <c r="B94" t="str">
        <f ca="1">IFERROR(__xludf.DUMMYFUNCTION("""COMPUTED_VALUE"""),"Adventuring Gear (PHB)")</f>
        <v>Adventuring Gear (PHB)</v>
      </c>
      <c r="C94">
        <f ca="1">IFERROR(__xludf.DUMMYFUNCTION("""COMPUTED_VALUE"""),10)</f>
        <v>10</v>
      </c>
      <c r="D94">
        <f ca="1">IFERROR(__xludf.DUMMYFUNCTION("""COMPUTED_VALUE"""),15)</f>
        <v>15</v>
      </c>
      <c r="E94">
        <f ca="1">IFERROR(__xludf.DUMMYFUNCTION("""COMPUTED_VALUE"""),30)</f>
        <v>30</v>
      </c>
      <c r="F94">
        <f ca="1">IFERROR(__xludf.DUMMYFUNCTION("""COMPUTED_VALUE"""),60)</f>
        <v>60</v>
      </c>
    </row>
    <row r="95" spans="1:7" ht="12.75" x14ac:dyDescent="0.2">
      <c r="A95" t="str">
        <f ca="1">IFERROR(__xludf.DUMMYFUNCTION("""COMPUTED_VALUE"""),"Waterskin")</f>
        <v>Waterskin</v>
      </c>
      <c r="B95" t="str">
        <f ca="1">IFERROR(__xludf.DUMMYFUNCTION("""COMPUTED_VALUE"""),"Adventuring Gear (PHB)")</f>
        <v>Adventuring Gear (PHB)</v>
      </c>
      <c r="C95">
        <f ca="1">IFERROR(__xludf.DUMMYFUNCTION("""COMPUTED_VALUE"""),0.5)</f>
        <v>0.5</v>
      </c>
      <c r="D95">
        <f ca="1">IFERROR(__xludf.DUMMYFUNCTION("""COMPUTED_VALUE"""),0.75)</f>
        <v>0.75</v>
      </c>
      <c r="E95">
        <f ca="1">IFERROR(__xludf.DUMMYFUNCTION("""COMPUTED_VALUE"""),1.5)</f>
        <v>1.5</v>
      </c>
      <c r="F95">
        <f ca="1">IFERROR(__xludf.DUMMYFUNCTION("""COMPUTED_VALUE"""),3)</f>
        <v>3</v>
      </c>
    </row>
    <row r="96" spans="1:7" ht="12.75" x14ac:dyDescent="0.2">
      <c r="A96" t="str">
        <f ca="1">IFERROR(__xludf.DUMMYFUNCTION("""COMPUTED_VALUE"""),"Whetstone")</f>
        <v>Whetstone</v>
      </c>
      <c r="B96" t="str">
        <f ca="1">IFERROR(__xludf.DUMMYFUNCTION("""COMPUTED_VALUE"""),"Adventuring Gear (PHB)")</f>
        <v>Adventuring Gear (PHB)</v>
      </c>
      <c r="C96">
        <f ca="1">IFERROR(__xludf.DUMMYFUNCTION("""COMPUTED_VALUE"""),0.08)</f>
        <v>0.08</v>
      </c>
      <c r="D96">
        <f ca="1">IFERROR(__xludf.DUMMYFUNCTION("""COMPUTED_VALUE"""),0.1064)</f>
        <v>0.10639999999999999</v>
      </c>
      <c r="E96">
        <f ca="1">IFERROR(__xludf.DUMMYFUNCTION("""COMPUTED_VALUE"""),0.2128)</f>
        <v>0.21279999999999999</v>
      </c>
      <c r="F96">
        <f ca="1">IFERROR(__xludf.DUMMYFUNCTION("""COMPUTED_VALUE"""),0.417599999999999)</f>
        <v>0.41759999999999903</v>
      </c>
      <c r="G96" t="str">
        <f ca="1">IFERROR(__xludf.DUMMYFUNCTION("""COMPUTED_VALUE"""),"c")</f>
        <v>c</v>
      </c>
    </row>
    <row r="97" spans="1:7" ht="12.75" x14ac:dyDescent="0.2">
      <c r="A97" t="str">
        <f ca="1">IFERROR(__xludf.DUMMYFUNCTION("""COMPUTED_VALUE"""),"Wooden staff druidic focus")</f>
        <v>Wooden staff druidic focus</v>
      </c>
      <c r="B97" t="str">
        <f ca="1">IFERROR(__xludf.DUMMYFUNCTION("""COMPUTED_VALUE"""),"Adventuring Gear (PHB)")</f>
        <v>Adventuring Gear (PHB)</v>
      </c>
      <c r="C97">
        <f ca="1">IFERROR(__xludf.DUMMYFUNCTION("""COMPUTED_VALUE"""),5)</f>
        <v>5</v>
      </c>
      <c r="D97">
        <f ca="1">IFERROR(__xludf.DUMMYFUNCTION("""COMPUTED_VALUE"""),7.5)</f>
        <v>7.5</v>
      </c>
      <c r="E97">
        <f ca="1">IFERROR(__xludf.DUMMYFUNCTION("""COMPUTED_VALUE"""),15)</f>
        <v>15</v>
      </c>
      <c r="F97">
        <f ca="1">IFERROR(__xludf.DUMMYFUNCTION("""COMPUTED_VALUE"""),30)</f>
        <v>30</v>
      </c>
    </row>
    <row r="98" spans="1:7" ht="12.75" x14ac:dyDescent="0.2">
      <c r="A98" t="str">
        <f ca="1">IFERROR(__xludf.DUMMYFUNCTION("""COMPUTED_VALUE"""),"Yew wand druidic focus")</f>
        <v>Yew wand druidic focus</v>
      </c>
      <c r="B98" t="str">
        <f ca="1">IFERROR(__xludf.DUMMYFUNCTION("""COMPUTED_VALUE"""),"Adventuring Gear (PHB)")</f>
        <v>Adventuring Gear (PHB)</v>
      </c>
      <c r="C98">
        <f ca="1">IFERROR(__xludf.DUMMYFUNCTION("""COMPUTED_VALUE"""),10)</f>
        <v>10</v>
      </c>
      <c r="D98">
        <f ca="1">IFERROR(__xludf.DUMMYFUNCTION("""COMPUTED_VALUE"""),15)</f>
        <v>15</v>
      </c>
      <c r="E98">
        <f ca="1">IFERROR(__xludf.DUMMYFUNCTION("""COMPUTED_VALUE"""),30)</f>
        <v>30</v>
      </c>
      <c r="F98">
        <f ca="1">IFERROR(__xludf.DUMMYFUNCTION("""COMPUTED_VALUE"""),60)</f>
        <v>60</v>
      </c>
    </row>
    <row r="99" spans="1:7" ht="12.75" x14ac:dyDescent="0.2">
      <c r="A99" t="str">
        <f ca="1">IFERROR(__xludf.DUMMYFUNCTION("""COMPUTED_VALUE"""),"Adamantine armor")</f>
        <v>Adamantine armor</v>
      </c>
      <c r="B99" t="str">
        <f ca="1">IFERROR(__xludf.DUMMYFUNCTION("""COMPUTED_VALUE"""),"Armor")</f>
        <v>Armor</v>
      </c>
      <c r="G99" t="str">
        <f ca="1">IFERROR(__xludf.DUMMYFUNCTION("""COMPUTED_VALUE"""),"Price is twice the cost of the armor + its weight in lbs. of adamantine")</f>
        <v>Price is twice the cost of the armor + its weight in lbs. of adamantine</v>
      </c>
    </row>
    <row r="100" spans="1:7" ht="12.75" x14ac:dyDescent="0.2">
      <c r="A100" t="str">
        <f ca="1">IFERROR(__xludf.DUMMYFUNCTION("""COMPUTED_VALUE"""),"Mithral armor")</f>
        <v>Mithral armor</v>
      </c>
      <c r="B100" t="str">
        <f ca="1">IFERROR(__xludf.DUMMYFUNCTION("""COMPUTED_VALUE"""),"Armor")</f>
        <v>Armor</v>
      </c>
      <c r="G100" t="str">
        <f ca="1">IFERROR(__xludf.DUMMYFUNCTION("""COMPUTED_VALUE"""),"Price is twice the cost of the armor + 1/4th of its weight in lbs. of mithral")</f>
        <v>Price is twice the cost of the armor + 1/4th of its weight in lbs. of mithral</v>
      </c>
    </row>
    <row r="101" spans="1:7" ht="12.75" x14ac:dyDescent="0.2">
      <c r="A101" t="str">
        <f ca="1">IFERROR(__xludf.DUMMYFUNCTION("""COMPUTED_VALUE"""),"Breastplate, medium armor")</f>
        <v>Breastplate, medium armor</v>
      </c>
      <c r="B101" t="str">
        <f ca="1">IFERROR(__xludf.DUMMYFUNCTION("""COMPUTED_VALUE"""),"Armor, PHB")</f>
        <v>Armor, PHB</v>
      </c>
      <c r="C101">
        <f ca="1">IFERROR(__xludf.DUMMYFUNCTION("""COMPUTED_VALUE"""),35)</f>
        <v>35</v>
      </c>
      <c r="D101">
        <f ca="1">IFERROR(__xludf.DUMMYFUNCTION("""COMPUTED_VALUE"""),52.5)</f>
        <v>52.5</v>
      </c>
      <c r="E101">
        <f ca="1">IFERROR(__xludf.DUMMYFUNCTION("""COMPUTED_VALUE"""),105)</f>
        <v>105</v>
      </c>
      <c r="F101">
        <f ca="1">IFERROR(__xludf.DUMMYFUNCTION("""COMPUTED_VALUE"""),210)</f>
        <v>210</v>
      </c>
    </row>
    <row r="102" spans="1:7" ht="12.75" x14ac:dyDescent="0.2">
      <c r="A102" t="str">
        <f ca="1">IFERROR(__xludf.DUMMYFUNCTION("""COMPUTED_VALUE"""),"Chain mail, heavy armor")</f>
        <v>Chain mail, heavy armor</v>
      </c>
      <c r="B102" t="str">
        <f ca="1">IFERROR(__xludf.DUMMYFUNCTION("""COMPUTED_VALUE"""),"Armor, PHB")</f>
        <v>Armor, PHB</v>
      </c>
      <c r="C102">
        <f ca="1">IFERROR(__xludf.DUMMYFUNCTION("""COMPUTED_VALUE"""),27.5)</f>
        <v>27.5</v>
      </c>
      <c r="D102">
        <f ca="1">IFERROR(__xludf.DUMMYFUNCTION("""COMPUTED_VALUE"""),41.25)</f>
        <v>41.25</v>
      </c>
      <c r="E102">
        <f ca="1">IFERROR(__xludf.DUMMYFUNCTION("""COMPUTED_VALUE"""),82.5)</f>
        <v>82.5</v>
      </c>
      <c r="F102">
        <f ca="1">IFERROR(__xludf.DUMMYFUNCTION("""COMPUTED_VALUE"""),165)</f>
        <v>165</v>
      </c>
    </row>
    <row r="103" spans="1:7" ht="12.75" x14ac:dyDescent="0.2">
      <c r="A103" t="str">
        <f ca="1">IFERROR(__xludf.DUMMYFUNCTION("""COMPUTED_VALUE"""),"Chain shirt, medium armor")</f>
        <v>Chain shirt, medium armor</v>
      </c>
      <c r="B103" t="str">
        <f ca="1">IFERROR(__xludf.DUMMYFUNCTION("""COMPUTED_VALUE"""),"Armor, PHB")</f>
        <v>Armor, PHB</v>
      </c>
      <c r="C103">
        <f ca="1">IFERROR(__xludf.DUMMYFUNCTION("""COMPUTED_VALUE"""),12)</f>
        <v>12</v>
      </c>
      <c r="D103">
        <f ca="1">IFERROR(__xludf.DUMMYFUNCTION("""COMPUTED_VALUE"""),18)</f>
        <v>18</v>
      </c>
      <c r="E103">
        <f ca="1">IFERROR(__xludf.DUMMYFUNCTION("""COMPUTED_VALUE"""),36)</f>
        <v>36</v>
      </c>
      <c r="F103">
        <f ca="1">IFERROR(__xludf.DUMMYFUNCTION("""COMPUTED_VALUE"""),72)</f>
        <v>72</v>
      </c>
    </row>
    <row r="104" spans="1:7" ht="12.75" x14ac:dyDescent="0.2">
      <c r="A104" t="str">
        <f ca="1">IFERROR(__xludf.DUMMYFUNCTION("""COMPUTED_VALUE"""),"Half plate, medium armor")</f>
        <v>Half plate, medium armor</v>
      </c>
      <c r="B104" t="str">
        <f ca="1">IFERROR(__xludf.DUMMYFUNCTION("""COMPUTED_VALUE"""),"Armor, PHB")</f>
        <v>Armor, PHB</v>
      </c>
      <c r="C104">
        <f ca="1">IFERROR(__xludf.DUMMYFUNCTION("""COMPUTED_VALUE"""),90)</f>
        <v>90</v>
      </c>
      <c r="D104">
        <f ca="1">IFERROR(__xludf.DUMMYFUNCTION("""COMPUTED_VALUE"""),135)</f>
        <v>135</v>
      </c>
      <c r="E104">
        <f ca="1">IFERROR(__xludf.DUMMYFUNCTION("""COMPUTED_VALUE"""),270)</f>
        <v>270</v>
      </c>
      <c r="F104">
        <f ca="1">IFERROR(__xludf.DUMMYFUNCTION("""COMPUTED_VALUE"""),540)</f>
        <v>540</v>
      </c>
    </row>
    <row r="105" spans="1:7" ht="12.75" x14ac:dyDescent="0.2">
      <c r="A105" t="str">
        <f ca="1">IFERROR(__xludf.DUMMYFUNCTION("""COMPUTED_VALUE"""),"Hide, medium armor")</f>
        <v>Hide, medium armor</v>
      </c>
      <c r="B105" t="str">
        <f ca="1">IFERROR(__xludf.DUMMYFUNCTION("""COMPUTED_VALUE"""),"Armor, PHB")</f>
        <v>Armor, PHB</v>
      </c>
      <c r="C105">
        <f ca="1">IFERROR(__xludf.DUMMYFUNCTION("""COMPUTED_VALUE"""),6)</f>
        <v>6</v>
      </c>
      <c r="D105">
        <f ca="1">IFERROR(__xludf.DUMMYFUNCTION("""COMPUTED_VALUE"""),9)</f>
        <v>9</v>
      </c>
      <c r="E105">
        <f ca="1">IFERROR(__xludf.DUMMYFUNCTION("""COMPUTED_VALUE"""),18)</f>
        <v>18</v>
      </c>
      <c r="F105">
        <f ca="1">IFERROR(__xludf.DUMMYFUNCTION("""COMPUTED_VALUE"""),36)</f>
        <v>36</v>
      </c>
    </row>
    <row r="106" spans="1:7" ht="12.75" x14ac:dyDescent="0.2">
      <c r="A106" t="str">
        <f ca="1">IFERROR(__xludf.DUMMYFUNCTION("""COMPUTED_VALUE"""),"Leather, light armor")</f>
        <v>Leather, light armor</v>
      </c>
      <c r="B106" t="str">
        <f ca="1">IFERROR(__xludf.DUMMYFUNCTION("""COMPUTED_VALUE"""),"Armor, PHB")</f>
        <v>Armor, PHB</v>
      </c>
      <c r="C106">
        <f ca="1">IFERROR(__xludf.DUMMYFUNCTION("""COMPUTED_VALUE"""),8)</f>
        <v>8</v>
      </c>
      <c r="D106">
        <f ca="1">IFERROR(__xludf.DUMMYFUNCTION("""COMPUTED_VALUE"""),12)</f>
        <v>12</v>
      </c>
      <c r="E106">
        <f ca="1">IFERROR(__xludf.DUMMYFUNCTION("""COMPUTED_VALUE"""),24)</f>
        <v>24</v>
      </c>
      <c r="F106">
        <f ca="1">IFERROR(__xludf.DUMMYFUNCTION("""COMPUTED_VALUE"""),48)</f>
        <v>48</v>
      </c>
    </row>
    <row r="107" spans="1:7" ht="12.75" x14ac:dyDescent="0.2">
      <c r="A107" t="str">
        <f ca="1">IFERROR(__xludf.DUMMYFUNCTION("""COMPUTED_VALUE"""),"Padded, light armor")</f>
        <v>Padded, light armor</v>
      </c>
      <c r="B107" t="str">
        <f ca="1">IFERROR(__xludf.DUMMYFUNCTION("""COMPUTED_VALUE"""),"Armor, PHB")</f>
        <v>Armor, PHB</v>
      </c>
      <c r="C107">
        <f ca="1">IFERROR(__xludf.DUMMYFUNCTION("""COMPUTED_VALUE"""),2)</f>
        <v>2</v>
      </c>
      <c r="D107">
        <f ca="1">IFERROR(__xludf.DUMMYFUNCTION("""COMPUTED_VALUE"""),3)</f>
        <v>3</v>
      </c>
      <c r="E107">
        <f ca="1">IFERROR(__xludf.DUMMYFUNCTION("""COMPUTED_VALUE"""),6)</f>
        <v>6</v>
      </c>
      <c r="F107">
        <f ca="1">IFERROR(__xludf.DUMMYFUNCTION("""COMPUTED_VALUE"""),12)</f>
        <v>12</v>
      </c>
    </row>
    <row r="108" spans="1:7" ht="12.75" x14ac:dyDescent="0.2">
      <c r="A108" t="str">
        <f ca="1">IFERROR(__xludf.DUMMYFUNCTION("""COMPUTED_VALUE"""),"Plate, heavy armor")</f>
        <v>Plate, heavy armor</v>
      </c>
      <c r="B108" t="str">
        <f ca="1">IFERROR(__xludf.DUMMYFUNCTION("""COMPUTED_VALUE"""),"Armor, PHB")</f>
        <v>Armor, PHB</v>
      </c>
      <c r="C108">
        <f ca="1">IFERROR(__xludf.DUMMYFUNCTION("""COMPUTED_VALUE"""),225)</f>
        <v>225</v>
      </c>
      <c r="D108">
        <f ca="1">IFERROR(__xludf.DUMMYFUNCTION("""COMPUTED_VALUE"""),337.5)</f>
        <v>337.5</v>
      </c>
      <c r="E108">
        <f ca="1">IFERROR(__xludf.DUMMYFUNCTION("""COMPUTED_VALUE"""),675)</f>
        <v>675</v>
      </c>
      <c r="F108">
        <f ca="1">IFERROR(__xludf.DUMMYFUNCTION("""COMPUTED_VALUE"""),1350)</f>
        <v>1350</v>
      </c>
    </row>
    <row r="109" spans="1:7" ht="12.75" x14ac:dyDescent="0.2">
      <c r="A109" t="str">
        <f ca="1">IFERROR(__xludf.DUMMYFUNCTION("""COMPUTED_VALUE"""),"Ring mail, heavy armor")</f>
        <v>Ring mail, heavy armor</v>
      </c>
      <c r="B109" t="str">
        <f ca="1">IFERROR(__xludf.DUMMYFUNCTION("""COMPUTED_VALUE"""),"Armor, PHB")</f>
        <v>Armor, PHB</v>
      </c>
      <c r="C109">
        <f ca="1">IFERROR(__xludf.DUMMYFUNCTION("""COMPUTED_VALUE"""),12)</f>
        <v>12</v>
      </c>
      <c r="D109">
        <f ca="1">IFERROR(__xludf.DUMMYFUNCTION("""COMPUTED_VALUE"""),18)</f>
        <v>18</v>
      </c>
      <c r="E109">
        <f ca="1">IFERROR(__xludf.DUMMYFUNCTION("""COMPUTED_VALUE"""),36)</f>
        <v>36</v>
      </c>
      <c r="F109">
        <f ca="1">IFERROR(__xludf.DUMMYFUNCTION("""COMPUTED_VALUE"""),72)</f>
        <v>72</v>
      </c>
    </row>
    <row r="110" spans="1:7" ht="12.75" x14ac:dyDescent="0.2">
      <c r="A110" t="str">
        <f ca="1">IFERROR(__xludf.DUMMYFUNCTION("""COMPUTED_VALUE"""),"Scale mail, medium armor")</f>
        <v>Scale mail, medium armor</v>
      </c>
      <c r="B110" t="str">
        <f ca="1">IFERROR(__xludf.DUMMYFUNCTION("""COMPUTED_VALUE"""),"Armor, PHB")</f>
        <v>Armor, PHB</v>
      </c>
      <c r="C110">
        <f ca="1">IFERROR(__xludf.DUMMYFUNCTION("""COMPUTED_VALUE"""),17)</f>
        <v>17</v>
      </c>
      <c r="D110">
        <f ca="1">IFERROR(__xludf.DUMMYFUNCTION("""COMPUTED_VALUE"""),25.5)</f>
        <v>25.5</v>
      </c>
      <c r="E110">
        <f ca="1">IFERROR(__xludf.DUMMYFUNCTION("""COMPUTED_VALUE"""),51)</f>
        <v>51</v>
      </c>
      <c r="F110">
        <f ca="1">IFERROR(__xludf.DUMMYFUNCTION("""COMPUTED_VALUE"""),102)</f>
        <v>102</v>
      </c>
    </row>
    <row r="111" spans="1:7" ht="12.75" x14ac:dyDescent="0.2">
      <c r="A111" t="str">
        <f ca="1">IFERROR(__xludf.DUMMYFUNCTION("""COMPUTED_VALUE"""),"Shield")</f>
        <v>Shield</v>
      </c>
      <c r="B111" t="str">
        <f ca="1">IFERROR(__xludf.DUMMYFUNCTION("""COMPUTED_VALUE"""),"Armor, PHB")</f>
        <v>Armor, PHB</v>
      </c>
      <c r="C111">
        <f ca="1">IFERROR(__xludf.DUMMYFUNCTION("""COMPUTED_VALUE"""),6)</f>
        <v>6</v>
      </c>
      <c r="D111">
        <f ca="1">IFERROR(__xludf.DUMMYFUNCTION("""COMPUTED_VALUE"""),9)</f>
        <v>9</v>
      </c>
      <c r="E111">
        <f ca="1">IFERROR(__xludf.DUMMYFUNCTION("""COMPUTED_VALUE"""),18)</f>
        <v>18</v>
      </c>
      <c r="F111">
        <f ca="1">IFERROR(__xludf.DUMMYFUNCTION("""COMPUTED_VALUE"""),36)</f>
        <v>36</v>
      </c>
    </row>
    <row r="112" spans="1:7" ht="12.75" x14ac:dyDescent="0.2">
      <c r="A112" t="str">
        <f ca="1">IFERROR(__xludf.DUMMYFUNCTION("""COMPUTED_VALUE"""),"Splint, heavy armor")</f>
        <v>Splint, heavy armor</v>
      </c>
      <c r="B112" t="str">
        <f ca="1">IFERROR(__xludf.DUMMYFUNCTION("""COMPUTED_VALUE"""),"Armor, PHB")</f>
        <v>Armor, PHB</v>
      </c>
      <c r="C112">
        <f ca="1">IFERROR(__xludf.DUMMYFUNCTION("""COMPUTED_VALUE"""),70)</f>
        <v>70</v>
      </c>
      <c r="D112">
        <f ca="1">IFERROR(__xludf.DUMMYFUNCTION("""COMPUTED_VALUE"""),105)</f>
        <v>105</v>
      </c>
      <c r="E112">
        <f ca="1">IFERROR(__xludf.DUMMYFUNCTION("""COMPUTED_VALUE"""),210)</f>
        <v>210</v>
      </c>
      <c r="F112">
        <f ca="1">IFERROR(__xludf.DUMMYFUNCTION("""COMPUTED_VALUE"""),420)</f>
        <v>420</v>
      </c>
    </row>
    <row r="113" spans="1:7" ht="12.75" x14ac:dyDescent="0.2">
      <c r="A113" t="str">
        <f ca="1">IFERROR(__xludf.DUMMYFUNCTION("""COMPUTED_VALUE"""),"Studded leather, light armor")</f>
        <v>Studded leather, light armor</v>
      </c>
      <c r="B113" t="str">
        <f ca="1">IFERROR(__xludf.DUMMYFUNCTION("""COMPUTED_VALUE"""),"Armor, PHB")</f>
        <v>Armor, PHB</v>
      </c>
      <c r="C113">
        <f ca="1">IFERROR(__xludf.DUMMYFUNCTION("""COMPUTED_VALUE"""),10.5)</f>
        <v>10.5</v>
      </c>
      <c r="D113">
        <f ca="1">IFERROR(__xludf.DUMMYFUNCTION("""COMPUTED_VALUE"""),15.75)</f>
        <v>15.75</v>
      </c>
      <c r="E113">
        <f ca="1">IFERROR(__xludf.DUMMYFUNCTION("""COMPUTED_VALUE"""),31.5)</f>
        <v>31.5</v>
      </c>
      <c r="F113">
        <f ca="1">IFERROR(__xludf.DUMMYFUNCTION("""COMPUTED_VALUE"""),63)</f>
        <v>63</v>
      </c>
    </row>
    <row r="114" spans="1:7" ht="12.75" x14ac:dyDescent="0.2">
      <c r="A114" t="str">
        <f ca="1">IFERROR(__xludf.DUMMYFUNCTION("""COMPUTED_VALUE"""),"Wine, gallon")</f>
        <v>Wine, gallon</v>
      </c>
      <c r="B114" t="str">
        <f ca="1">IFERROR(__xludf.DUMMYFUNCTION("""COMPUTED_VALUE"""),"Food, Drink, and Lodgings")</f>
        <v>Food, Drink, and Lodgings</v>
      </c>
      <c r="C114">
        <f ca="1">IFERROR(__xludf.DUMMYFUNCTION("""COMPUTED_VALUE"""),0.54)</f>
        <v>0.54</v>
      </c>
      <c r="D114">
        <f ca="1">IFERROR(__xludf.DUMMYFUNCTION("""COMPUTED_VALUE"""),0.81)</f>
        <v>0.81</v>
      </c>
      <c r="E114">
        <f ca="1">IFERROR(__xludf.DUMMYFUNCTION("""COMPUTED_VALUE"""),1.62)</f>
        <v>1.62</v>
      </c>
      <c r="F114">
        <f ca="1">IFERROR(__xludf.DUMMYFUNCTION("""COMPUTED_VALUE"""),3.24)</f>
        <v>3.24</v>
      </c>
    </row>
    <row r="115" spans="1:7" ht="12.75" x14ac:dyDescent="0.2">
      <c r="A115" t="str">
        <f ca="1">IFERROR(__xludf.DUMMYFUNCTION("""COMPUTED_VALUE"""),"Ale, gallon")</f>
        <v>Ale, gallon</v>
      </c>
      <c r="B115" t="str">
        <f ca="1">IFERROR(__xludf.DUMMYFUNCTION("""COMPUTED_VALUE"""),"Food, Drink, and Lodgings, PHB")</f>
        <v>Food, Drink, and Lodgings, PHB</v>
      </c>
      <c r="C115">
        <f ca="1">IFERROR(__xludf.DUMMYFUNCTION("""COMPUTED_VALUE"""),0.08)</f>
        <v>0.08</v>
      </c>
      <c r="D115">
        <f ca="1">IFERROR(__xludf.DUMMYFUNCTION("""COMPUTED_VALUE"""),0.1064)</f>
        <v>0.10639999999999999</v>
      </c>
      <c r="E115">
        <f ca="1">IFERROR(__xludf.DUMMYFUNCTION("""COMPUTED_VALUE"""),0.2128)</f>
        <v>0.21279999999999999</v>
      </c>
      <c r="F115">
        <f ca="1">IFERROR(__xludf.DUMMYFUNCTION("""COMPUTED_VALUE"""),0.417599999999999)</f>
        <v>0.41759999999999903</v>
      </c>
      <c r="G115" t="str">
        <f ca="1">IFERROR(__xludf.DUMMYFUNCTION("""COMPUTED_VALUE"""),"c")</f>
        <v>c</v>
      </c>
    </row>
    <row r="116" spans="1:7" ht="12.75" x14ac:dyDescent="0.2">
      <c r="A116" t="str">
        <f ca="1">IFERROR(__xludf.DUMMYFUNCTION("""COMPUTED_VALUE"""),"Ale, gallon")</f>
        <v>Ale, gallon</v>
      </c>
      <c r="B116" t="str">
        <f ca="1">IFERROR(__xludf.DUMMYFUNCTION("""COMPUTED_VALUE"""),"Food, Drink, and Lodgings, PHB")</f>
        <v>Food, Drink, and Lodgings, PHB</v>
      </c>
      <c r="C116">
        <f ca="1">IFERROR(__xludf.DUMMYFUNCTION("""COMPUTED_VALUE"""),0.01)</f>
        <v>0.01</v>
      </c>
      <c r="D116">
        <f ca="1">IFERROR(__xludf.DUMMYFUNCTION("""COMPUTED_VALUE"""),0.015)</f>
        <v>1.4999999999999999E-2</v>
      </c>
    </row>
    <row r="117" spans="1:7" ht="12.75" x14ac:dyDescent="0.2">
      <c r="A117" t="str">
        <f ca="1">IFERROR(__xludf.DUMMYFUNCTION("""COMPUTED_VALUE"""),"Banquet (person)")</f>
        <v>Banquet (person)</v>
      </c>
      <c r="B117" t="str">
        <f ca="1">IFERROR(__xludf.DUMMYFUNCTION("""COMPUTED_VALUE"""),"Food, Drink, and Lodgings, PHB")</f>
        <v>Food, Drink, and Lodgings, PHB</v>
      </c>
      <c r="C117">
        <f ca="1">IFERROR(__xludf.DUMMYFUNCTION("""COMPUTED_VALUE"""),4.6)</f>
        <v>4.5999999999999996</v>
      </c>
      <c r="D117">
        <f ca="1">IFERROR(__xludf.DUMMYFUNCTION("""COMPUTED_VALUE"""),6.89999999999999)</f>
        <v>6.8999999999999897</v>
      </c>
    </row>
    <row r="118" spans="1:7" ht="12.75" x14ac:dyDescent="0.2">
      <c r="A118" t="str">
        <f ca="1">IFERROR(__xludf.DUMMYFUNCTION("""COMPUTED_VALUE"""),"Bread, loaf")</f>
        <v>Bread, loaf</v>
      </c>
      <c r="B118" t="str">
        <f ca="1">IFERROR(__xludf.DUMMYFUNCTION("""COMPUTED_VALUE"""),"Food, Drink, and Lodgings, PHB")</f>
        <v>Food, Drink, and Lodgings, PHB</v>
      </c>
      <c r="C118">
        <f ca="1">IFERROR(__xludf.DUMMYFUNCTION("""COMPUTED_VALUE"""),0.05)</f>
        <v>0.05</v>
      </c>
      <c r="D118">
        <f ca="1">IFERROR(__xludf.DUMMYFUNCTION("""COMPUTED_VALUE"""),0.06125)</f>
        <v>6.1249999999999999E-2</v>
      </c>
      <c r="E118">
        <f ca="1">IFERROR(__xludf.DUMMYFUNCTION("""COMPUTED_VALUE"""),0.1225)</f>
        <v>0.1225</v>
      </c>
      <c r="F118">
        <f ca="1">IFERROR(__xludf.DUMMYFUNCTION("""COMPUTED_VALUE"""),0.245)</f>
        <v>0.245</v>
      </c>
      <c r="G118" t="str">
        <f ca="1">IFERROR(__xludf.DUMMYFUNCTION("""COMPUTED_VALUE"""),"vc")</f>
        <v>vc</v>
      </c>
    </row>
    <row r="119" spans="1:7" ht="12.75" x14ac:dyDescent="0.2">
      <c r="A119" t="str">
        <f ca="1">IFERROR(__xludf.DUMMYFUNCTION("""COMPUTED_VALUE"""),"Cheese, hunk")</f>
        <v>Cheese, hunk</v>
      </c>
      <c r="B119" t="str">
        <f ca="1">IFERROR(__xludf.DUMMYFUNCTION("""COMPUTED_VALUE"""),"Food, Drink, and Lodgings, PHB")</f>
        <v>Food, Drink, and Lodgings, PHB</v>
      </c>
      <c r="C119">
        <f ca="1">IFERROR(__xludf.DUMMYFUNCTION("""COMPUTED_VALUE"""),0.12)</f>
        <v>0.12</v>
      </c>
      <c r="D119">
        <f ca="1">IFERROR(__xludf.DUMMYFUNCTION("""COMPUTED_VALUE"""),0.147)</f>
        <v>0.14699999999999999</v>
      </c>
      <c r="E119">
        <f ca="1">IFERROR(__xludf.DUMMYFUNCTION("""COMPUTED_VALUE"""),0.294)</f>
        <v>0.29399999999999998</v>
      </c>
      <c r="F119">
        <f ca="1">IFERROR(__xludf.DUMMYFUNCTION("""COMPUTED_VALUE"""),0.588)</f>
        <v>0.58799999999999997</v>
      </c>
      <c r="G119" t="str">
        <f ca="1">IFERROR(__xludf.DUMMYFUNCTION("""COMPUTED_VALUE"""),"vc")</f>
        <v>vc</v>
      </c>
    </row>
    <row r="120" spans="1:7" ht="12.75" x14ac:dyDescent="0.2">
      <c r="A120" t="str">
        <f ca="1">IFERROR(__xludf.DUMMYFUNCTION("""COMPUTED_VALUE"""),"Inn stay aristocratic")</f>
        <v>Inn stay aristocratic</v>
      </c>
      <c r="B120" t="str">
        <f ca="1">IFERROR(__xludf.DUMMYFUNCTION("""COMPUTED_VALUE"""),"Food, Drink, and Lodgings, PHB")</f>
        <v>Food, Drink, and Lodgings, PHB</v>
      </c>
      <c r="C120">
        <f ca="1">IFERROR(__xludf.DUMMYFUNCTION("""COMPUTED_VALUE"""),5)</f>
        <v>5</v>
      </c>
      <c r="D120">
        <f ca="1">IFERROR(__xludf.DUMMYFUNCTION("""COMPUTED_VALUE"""),7.5)</f>
        <v>7.5</v>
      </c>
    </row>
    <row r="121" spans="1:7" ht="12.75" x14ac:dyDescent="0.2">
      <c r="A121" t="str">
        <f ca="1">IFERROR(__xludf.DUMMYFUNCTION("""COMPUTED_VALUE"""),"Inn stay comfortable")</f>
        <v>Inn stay comfortable</v>
      </c>
      <c r="B121" t="str">
        <f ca="1">IFERROR(__xludf.DUMMYFUNCTION("""COMPUTED_VALUE"""),"Food, Drink, and Lodgings, PHB")</f>
        <v>Food, Drink, and Lodgings, PHB</v>
      </c>
      <c r="C121">
        <f ca="1">IFERROR(__xludf.DUMMYFUNCTION("""COMPUTED_VALUE"""),0.7)</f>
        <v>0.7</v>
      </c>
      <c r="D121">
        <f ca="1">IFERROR(__xludf.DUMMYFUNCTION("""COMPUTED_VALUE"""),0.930999999999999)</f>
        <v>0.93099999999999905</v>
      </c>
      <c r="G121" t="str">
        <f ca="1">IFERROR(__xludf.DUMMYFUNCTION("""COMPUTED_VALUE"""),"c")</f>
        <v>c</v>
      </c>
    </row>
    <row r="122" spans="1:7" ht="12.75" x14ac:dyDescent="0.2">
      <c r="A122" t="str">
        <f ca="1">IFERROR(__xludf.DUMMYFUNCTION("""COMPUTED_VALUE"""),"Inn stay modest")</f>
        <v>Inn stay modest</v>
      </c>
      <c r="B122" t="str">
        <f ca="1">IFERROR(__xludf.DUMMYFUNCTION("""COMPUTED_VALUE"""),"Food, Drink, and Lodgings, PHB")</f>
        <v>Food, Drink, and Lodgings, PHB</v>
      </c>
      <c r="C122">
        <f ca="1">IFERROR(__xludf.DUMMYFUNCTION("""COMPUTED_VALUE"""),0.3)</f>
        <v>0.3</v>
      </c>
      <c r="D122">
        <f ca="1">IFERROR(__xludf.DUMMYFUNCTION("""COMPUTED_VALUE"""),0.399)</f>
        <v>0.39900000000000002</v>
      </c>
      <c r="G122" t="str">
        <f ca="1">IFERROR(__xludf.DUMMYFUNCTION("""COMPUTED_VALUE"""),"c")</f>
        <v>c</v>
      </c>
    </row>
    <row r="123" spans="1:7" ht="12.75" x14ac:dyDescent="0.2">
      <c r="A123" t="str">
        <f ca="1">IFERROR(__xludf.DUMMYFUNCTION("""COMPUTED_VALUE"""),"Inn stay poor")</f>
        <v>Inn stay poor</v>
      </c>
      <c r="B123" t="str">
        <f ca="1">IFERROR(__xludf.DUMMYFUNCTION("""COMPUTED_VALUE"""),"Food, Drink, and Lodgings, PHB")</f>
        <v>Food, Drink, and Lodgings, PHB</v>
      </c>
      <c r="C123">
        <f ca="1">IFERROR(__xludf.DUMMYFUNCTION("""COMPUTED_VALUE"""),0.15)</f>
        <v>0.15</v>
      </c>
      <c r="D123">
        <f ca="1">IFERROR(__xludf.DUMMYFUNCTION("""COMPUTED_VALUE"""),0.1995)</f>
        <v>0.19950000000000001</v>
      </c>
      <c r="G123" t="str">
        <f ca="1">IFERROR(__xludf.DUMMYFUNCTION("""COMPUTED_VALUE"""),"c")</f>
        <v>c</v>
      </c>
    </row>
    <row r="124" spans="1:7" ht="12.75" x14ac:dyDescent="0.2">
      <c r="A124" t="str">
        <f ca="1">IFERROR(__xludf.DUMMYFUNCTION("""COMPUTED_VALUE"""),"Inn stay squalid")</f>
        <v>Inn stay squalid</v>
      </c>
      <c r="B124" t="str">
        <f ca="1">IFERROR(__xludf.DUMMYFUNCTION("""COMPUTED_VALUE"""),"Food, Drink, and Lodgings, PHB")</f>
        <v>Food, Drink, and Lodgings, PHB</v>
      </c>
      <c r="C124">
        <f ca="1">IFERROR(__xludf.DUMMYFUNCTION("""COMPUTED_VALUE"""),0.1)</f>
        <v>0.1</v>
      </c>
      <c r="D124">
        <f ca="1">IFERROR(__xludf.DUMMYFUNCTION("""COMPUTED_VALUE"""),0.15)</f>
        <v>0.15</v>
      </c>
    </row>
    <row r="125" spans="1:7" ht="12.75" x14ac:dyDescent="0.2">
      <c r="A125" t="str">
        <f ca="1">IFERROR(__xludf.DUMMYFUNCTION("""COMPUTED_VALUE"""),"Inn stay wealthy")</f>
        <v>Inn stay wealthy</v>
      </c>
      <c r="B125" t="str">
        <f ca="1">IFERROR(__xludf.DUMMYFUNCTION("""COMPUTED_VALUE"""),"Food, Drink, and Lodgings, PHB")</f>
        <v>Food, Drink, and Lodgings, PHB</v>
      </c>
      <c r="C125">
        <f ca="1">IFERROR(__xludf.DUMMYFUNCTION("""COMPUTED_VALUE"""),1)</f>
        <v>1</v>
      </c>
      <c r="D125">
        <f ca="1">IFERROR(__xludf.DUMMYFUNCTION("""COMPUTED_VALUE"""),1.33)</f>
        <v>1.33</v>
      </c>
      <c r="G125" t="str">
        <f ca="1">IFERROR(__xludf.DUMMYFUNCTION("""COMPUTED_VALUE"""),"c")</f>
        <v>c</v>
      </c>
    </row>
    <row r="126" spans="1:7" ht="12.75" x14ac:dyDescent="0.2">
      <c r="A126" t="str">
        <f ca="1">IFERROR(__xludf.DUMMYFUNCTION("""COMPUTED_VALUE"""),"Meals aristocratic")</f>
        <v>Meals aristocratic</v>
      </c>
      <c r="B126" t="str">
        <f ca="1">IFERROR(__xludf.DUMMYFUNCTION("""COMPUTED_VALUE"""),"Food, Drink, and Lodgings, PHB")</f>
        <v>Food, Drink, and Lodgings, PHB</v>
      </c>
      <c r="C126">
        <f ca="1">IFERROR(__xludf.DUMMYFUNCTION("""COMPUTED_VALUE"""),0.33)</f>
        <v>0.33</v>
      </c>
      <c r="D126">
        <f ca="1">IFERROR(__xludf.DUMMYFUNCTION("""COMPUTED_VALUE"""),0.495)</f>
        <v>0.495</v>
      </c>
    </row>
    <row r="127" spans="1:7" ht="12.75" x14ac:dyDescent="0.2">
      <c r="A127" t="str">
        <f ca="1">IFERROR(__xludf.DUMMYFUNCTION("""COMPUTED_VALUE"""),"Meals comfortable")</f>
        <v>Meals comfortable</v>
      </c>
      <c r="B127" t="str">
        <f ca="1">IFERROR(__xludf.DUMMYFUNCTION("""COMPUTED_VALUE"""),"Food, Drink, and Lodgings, PHB")</f>
        <v>Food, Drink, and Lodgings, PHB</v>
      </c>
      <c r="C127">
        <f ca="1">IFERROR(__xludf.DUMMYFUNCTION("""COMPUTED_VALUE"""),0.083)</f>
        <v>8.3000000000000004E-2</v>
      </c>
      <c r="D127">
        <f ca="1">IFERROR(__xludf.DUMMYFUNCTION("""COMPUTED_VALUE"""),0.11039)</f>
        <v>0.11039</v>
      </c>
      <c r="G127" t="str">
        <f ca="1">IFERROR(__xludf.DUMMYFUNCTION("""COMPUTED_VALUE"""),"c")</f>
        <v>c</v>
      </c>
    </row>
    <row r="128" spans="1:7" ht="12.75" x14ac:dyDescent="0.2">
      <c r="A128" t="str">
        <f ca="1">IFERROR(__xludf.DUMMYFUNCTION("""COMPUTED_VALUE"""),"Meals modest")</f>
        <v>Meals modest</v>
      </c>
      <c r="B128" t="str">
        <f ca="1">IFERROR(__xludf.DUMMYFUNCTION("""COMPUTED_VALUE"""),"Food, Drink, and Lodgings, PHB")</f>
        <v>Food, Drink, and Lodgings, PHB</v>
      </c>
      <c r="C128">
        <f ca="1">IFERROR(__xludf.DUMMYFUNCTION("""COMPUTED_VALUE"""),0.05)</f>
        <v>0.05</v>
      </c>
      <c r="D128">
        <f ca="1">IFERROR(__xludf.DUMMYFUNCTION("""COMPUTED_VALUE"""),0.0665)</f>
        <v>6.6500000000000004E-2</v>
      </c>
      <c r="G128" t="str">
        <f ca="1">IFERROR(__xludf.DUMMYFUNCTION("""COMPUTED_VALUE"""),"c")</f>
        <v>c</v>
      </c>
    </row>
    <row r="129" spans="1:7" ht="12.75" x14ac:dyDescent="0.2">
      <c r="A129" t="str">
        <f ca="1">IFERROR(__xludf.DUMMYFUNCTION("""COMPUTED_VALUE"""),"Meals poor")</f>
        <v>Meals poor</v>
      </c>
      <c r="B129" t="str">
        <f ca="1">IFERROR(__xludf.DUMMYFUNCTION("""COMPUTED_VALUE"""),"Food, Drink, and Lodgings, PHB")</f>
        <v>Food, Drink, and Lodgings, PHB</v>
      </c>
      <c r="C129">
        <f ca="1">IFERROR(__xludf.DUMMYFUNCTION("""COMPUTED_VALUE"""),0.01)</f>
        <v>0.01</v>
      </c>
      <c r="D129">
        <f ca="1">IFERROR(__xludf.DUMMYFUNCTION("""COMPUTED_VALUE"""),0.0133)</f>
        <v>1.3299999999999999E-2</v>
      </c>
      <c r="G129" t="str">
        <f ca="1">IFERROR(__xludf.DUMMYFUNCTION("""COMPUTED_VALUE"""),"c")</f>
        <v>c</v>
      </c>
    </row>
    <row r="130" spans="1:7" ht="12.75" x14ac:dyDescent="0.2">
      <c r="A130" t="str">
        <f ca="1">IFERROR(__xludf.DUMMYFUNCTION("""COMPUTED_VALUE"""),"Meals squalid")</f>
        <v>Meals squalid</v>
      </c>
      <c r="B130" t="str">
        <f ca="1">IFERROR(__xludf.DUMMYFUNCTION("""COMPUTED_VALUE"""),"Food, Drink, and Lodgings, PHB")</f>
        <v>Food, Drink, and Lodgings, PHB</v>
      </c>
      <c r="C130">
        <f ca="1">IFERROR(__xludf.DUMMYFUNCTION("""COMPUTED_VALUE"""),0.005)</f>
        <v>5.0000000000000001E-3</v>
      </c>
      <c r="D130">
        <f ca="1">IFERROR(__xludf.DUMMYFUNCTION("""COMPUTED_VALUE"""),0.0075)</f>
        <v>7.4999999999999997E-3</v>
      </c>
    </row>
    <row r="131" spans="1:7" ht="12.75" x14ac:dyDescent="0.2">
      <c r="A131" t="str">
        <f ca="1">IFERROR(__xludf.DUMMYFUNCTION("""COMPUTED_VALUE"""),"Meals wealthy")</f>
        <v>Meals wealthy</v>
      </c>
      <c r="B131" t="str">
        <f ca="1">IFERROR(__xludf.DUMMYFUNCTION("""COMPUTED_VALUE"""),"Food, Drink, and Lodgings, PHB")</f>
        <v>Food, Drink, and Lodgings, PHB</v>
      </c>
      <c r="C131">
        <f ca="1">IFERROR(__xludf.DUMMYFUNCTION("""COMPUTED_VALUE"""),0.133)</f>
        <v>0.13300000000000001</v>
      </c>
      <c r="D131">
        <f ca="1">IFERROR(__xludf.DUMMYFUNCTION("""COMPUTED_VALUE"""),0.17689)</f>
        <v>0.17688999999999999</v>
      </c>
      <c r="G131" t="str">
        <f ca="1">IFERROR(__xludf.DUMMYFUNCTION("""COMPUTED_VALUE"""),"c")</f>
        <v>c</v>
      </c>
    </row>
    <row r="132" spans="1:7" ht="12.75" x14ac:dyDescent="0.2">
      <c r="A132" t="str">
        <f ca="1">IFERROR(__xludf.DUMMYFUNCTION("""COMPUTED_VALUE"""),"Meat, chunk")</f>
        <v>Meat, chunk</v>
      </c>
      <c r="B132" t="str">
        <f ca="1">IFERROR(__xludf.DUMMYFUNCTION("""COMPUTED_VALUE"""),"Food, Drink, and Lodgings, PHB")</f>
        <v>Food, Drink, and Lodgings, PHB</v>
      </c>
      <c r="C132">
        <f ca="1">IFERROR(__xludf.DUMMYFUNCTION("""COMPUTED_VALUE"""),0.05)</f>
        <v>0.05</v>
      </c>
      <c r="D132">
        <f ca="1">IFERROR(__xludf.DUMMYFUNCTION("""COMPUTED_VALUE"""),0.0665)</f>
        <v>6.6500000000000004E-2</v>
      </c>
      <c r="E132">
        <f ca="1">IFERROR(__xludf.DUMMYFUNCTION("""COMPUTED_VALUE"""),0.133)</f>
        <v>0.13300000000000001</v>
      </c>
      <c r="F132">
        <f ca="1">IFERROR(__xludf.DUMMYFUNCTION("""COMPUTED_VALUE"""),0.261)</f>
        <v>0.26100000000000001</v>
      </c>
      <c r="G132" t="str">
        <f ca="1">IFERROR(__xludf.DUMMYFUNCTION("""COMPUTED_VALUE"""),"c")</f>
        <v>c</v>
      </c>
    </row>
    <row r="133" spans="1:7" ht="12.75" x14ac:dyDescent="0.2">
      <c r="A133" t="str">
        <f ca="1">IFERROR(__xludf.DUMMYFUNCTION("""COMPUTED_VALUE"""),"Wine, common (pitcher)")</f>
        <v>Wine, common (pitcher)</v>
      </c>
      <c r="B133" t="str">
        <f ca="1">IFERROR(__xludf.DUMMYFUNCTION("""COMPUTED_VALUE"""),"Food, Drink, and Lodgings, PHB")</f>
        <v>Food, Drink, and Lodgings, PHB</v>
      </c>
      <c r="C133">
        <f ca="1">IFERROR(__xludf.DUMMYFUNCTION("""COMPUTED_VALUE"""),0.1)</f>
        <v>0.1</v>
      </c>
      <c r="D133">
        <f ca="1">IFERROR(__xludf.DUMMYFUNCTION("""COMPUTED_VALUE"""),0.133)</f>
        <v>0.13300000000000001</v>
      </c>
      <c r="E133">
        <f ca="1">IFERROR(__xludf.DUMMYFUNCTION("""COMPUTED_VALUE"""),0.266)</f>
        <v>0.26600000000000001</v>
      </c>
      <c r="F133">
        <f ca="1">IFERROR(__xludf.DUMMYFUNCTION("""COMPUTED_VALUE"""),0.522)</f>
        <v>0.52200000000000002</v>
      </c>
      <c r="G133" t="str">
        <f ca="1">IFERROR(__xludf.DUMMYFUNCTION("""COMPUTED_VALUE"""),"c")</f>
        <v>c</v>
      </c>
    </row>
    <row r="134" spans="1:7" ht="12.75" x14ac:dyDescent="0.2">
      <c r="A134" t="str">
        <f ca="1">IFERROR(__xludf.DUMMYFUNCTION("""COMPUTED_VALUE"""),"Wine, fine (bottle)")</f>
        <v>Wine, fine (bottle)</v>
      </c>
      <c r="B134" t="str">
        <f ca="1">IFERROR(__xludf.DUMMYFUNCTION("""COMPUTED_VALUE"""),"Food, Drink, and Lodgings, PHB")</f>
        <v>Food, Drink, and Lodgings, PHB</v>
      </c>
      <c r="C134">
        <f ca="1">IFERROR(__xludf.DUMMYFUNCTION("""COMPUTED_VALUE"""),1)</f>
        <v>1</v>
      </c>
      <c r="D134">
        <f ca="1">IFERROR(__xludf.DUMMYFUNCTION("""COMPUTED_VALUE"""),1.5)</f>
        <v>1.5</v>
      </c>
      <c r="E134">
        <f ca="1">IFERROR(__xludf.DUMMYFUNCTION("""COMPUTED_VALUE"""),3)</f>
        <v>3</v>
      </c>
      <c r="F134">
        <f ca="1">IFERROR(__xludf.DUMMYFUNCTION("""COMPUTED_VALUE"""),6)</f>
        <v>6</v>
      </c>
    </row>
    <row r="135" spans="1:7" ht="12.75" x14ac:dyDescent="0.2">
      <c r="A135" t="str">
        <f ca="1">IFERROR(__xludf.DUMMYFUNCTION("""COMPUTED_VALUE"""),"Mundane Tusken Tiles")</f>
        <v>Mundane Tusken Tiles</v>
      </c>
      <c r="B135" t="str">
        <f ca="1">IFERROR(__xludf.DUMMYFUNCTION("""COMPUTED_VALUE"""),"Gaming set")</f>
        <v>Gaming set</v>
      </c>
      <c r="C135">
        <f ca="1">IFERROR(__xludf.DUMMYFUNCTION("""COMPUTED_VALUE"""),1)</f>
        <v>1</v>
      </c>
      <c r="D135">
        <f ca="1">IFERROR(__xludf.DUMMYFUNCTION("""COMPUTED_VALUE"""),1.5)</f>
        <v>1.5</v>
      </c>
      <c r="E135">
        <f ca="1">IFERROR(__xludf.DUMMYFUNCTION("""COMPUTED_VALUE"""),3)</f>
        <v>3</v>
      </c>
      <c r="F135">
        <f ca="1">IFERROR(__xludf.DUMMYFUNCTION("""COMPUTED_VALUE"""),6)</f>
        <v>6</v>
      </c>
    </row>
    <row r="136" spans="1:7" ht="12.75" x14ac:dyDescent="0.2">
      <c r="A136" t="str">
        <f ca="1">IFERROR(__xludf.DUMMYFUNCTION("""COMPUTED_VALUE"""),"Dice set")</f>
        <v>Dice set</v>
      </c>
      <c r="B136" t="str">
        <f ca="1">IFERROR(__xludf.DUMMYFUNCTION("""COMPUTED_VALUE"""),"Gaming set, PHB")</f>
        <v>Gaming set, PHB</v>
      </c>
      <c r="C136">
        <f ca="1">IFERROR(__xludf.DUMMYFUNCTION("""COMPUTED_VALUE"""),0.05)</f>
        <v>0.05</v>
      </c>
      <c r="D136">
        <f ca="1">IFERROR(__xludf.DUMMYFUNCTION("""COMPUTED_VALUE"""),0.075)</f>
        <v>7.4999999999999997E-2</v>
      </c>
      <c r="E136">
        <f ca="1">IFERROR(__xludf.DUMMYFUNCTION("""COMPUTED_VALUE"""),0.15)</f>
        <v>0.15</v>
      </c>
      <c r="F136">
        <f ca="1">IFERROR(__xludf.DUMMYFUNCTION("""COMPUTED_VALUE"""),0.3)</f>
        <v>0.3</v>
      </c>
    </row>
    <row r="137" spans="1:7" ht="12.75" x14ac:dyDescent="0.2">
      <c r="A137" t="str">
        <f ca="1">IFERROR(__xludf.DUMMYFUNCTION("""COMPUTED_VALUE"""),"Drum")</f>
        <v>Drum</v>
      </c>
      <c r="B137" t="str">
        <f ca="1">IFERROR(__xludf.DUMMYFUNCTION("""COMPUTED_VALUE"""),"Musical instrument, PHB")</f>
        <v>Musical instrument, PHB</v>
      </c>
      <c r="C137">
        <f ca="1">IFERROR(__xludf.DUMMYFUNCTION("""COMPUTED_VALUE"""),1.8)</f>
        <v>1.8</v>
      </c>
      <c r="D137">
        <f ca="1">IFERROR(__xludf.DUMMYFUNCTION("""COMPUTED_VALUE"""),2.7)</f>
        <v>2.7</v>
      </c>
      <c r="E137">
        <f ca="1">IFERROR(__xludf.DUMMYFUNCTION("""COMPUTED_VALUE"""),5.4)</f>
        <v>5.4</v>
      </c>
      <c r="F137">
        <f ca="1">IFERROR(__xludf.DUMMYFUNCTION("""COMPUTED_VALUE"""),10.8)</f>
        <v>10.8</v>
      </c>
    </row>
    <row r="138" spans="1:7" ht="12.75" x14ac:dyDescent="0.2">
      <c r="A138" t="str">
        <f ca="1">IFERROR(__xludf.DUMMYFUNCTION("""COMPUTED_VALUE"""),"Flute")</f>
        <v>Flute</v>
      </c>
      <c r="B138" t="str">
        <f ca="1">IFERROR(__xludf.DUMMYFUNCTION("""COMPUTED_VALUE"""),"Musical instrument, PHB")</f>
        <v>Musical instrument, PHB</v>
      </c>
      <c r="C138">
        <f ca="1">IFERROR(__xludf.DUMMYFUNCTION("""COMPUTED_VALUE"""),0.4)</f>
        <v>0.4</v>
      </c>
      <c r="D138">
        <f ca="1">IFERROR(__xludf.DUMMYFUNCTION("""COMPUTED_VALUE"""),0.6)</f>
        <v>0.6</v>
      </c>
      <c r="E138">
        <f ca="1">IFERROR(__xludf.DUMMYFUNCTION("""COMPUTED_VALUE"""),1.2)</f>
        <v>1.2</v>
      </c>
      <c r="F138">
        <f ca="1">IFERROR(__xludf.DUMMYFUNCTION("""COMPUTED_VALUE"""),2.4)</f>
        <v>2.4</v>
      </c>
    </row>
    <row r="139" spans="1:7" ht="12.75" x14ac:dyDescent="0.2">
      <c r="A139" t="str">
        <f ca="1">IFERROR(__xludf.DUMMYFUNCTION("""COMPUTED_VALUE"""),"Pan flute")</f>
        <v>Pan flute</v>
      </c>
      <c r="B139" t="str">
        <f ca="1">IFERROR(__xludf.DUMMYFUNCTION("""COMPUTED_VALUE"""),"Musical instrument, PHB")</f>
        <v>Musical instrument, PHB</v>
      </c>
      <c r="C139">
        <f ca="1">IFERROR(__xludf.DUMMYFUNCTION("""COMPUTED_VALUE"""),0.2)</f>
        <v>0.2</v>
      </c>
      <c r="D139">
        <f ca="1">IFERROR(__xludf.DUMMYFUNCTION("""COMPUTED_VALUE"""),0.3)</f>
        <v>0.3</v>
      </c>
      <c r="E139">
        <f ca="1">IFERROR(__xludf.DUMMYFUNCTION("""COMPUTED_VALUE"""),0.6)</f>
        <v>0.6</v>
      </c>
      <c r="F139">
        <f ca="1">IFERROR(__xludf.DUMMYFUNCTION("""COMPUTED_VALUE"""),1.2)</f>
        <v>1.2</v>
      </c>
    </row>
    <row r="140" spans="1:7" ht="12.75" x14ac:dyDescent="0.2">
      <c r="A140" t="str">
        <f ca="1">IFERROR(__xludf.DUMMYFUNCTION("""COMPUTED_VALUE"""),"Poison, assassin's blood")</f>
        <v>Poison, assassin's blood</v>
      </c>
      <c r="B140" t="str">
        <f ca="1">IFERROR(__xludf.DUMMYFUNCTION("""COMPUTED_VALUE"""),"Poisons, DMG")</f>
        <v>Poisons, DMG</v>
      </c>
      <c r="C140">
        <f ca="1">IFERROR(__xludf.DUMMYFUNCTION("""COMPUTED_VALUE"""),75)</f>
        <v>75</v>
      </c>
      <c r="D140">
        <f ca="1">IFERROR(__xludf.DUMMYFUNCTION("""COMPUTED_VALUE"""),112.5)</f>
        <v>112.5</v>
      </c>
      <c r="E140">
        <f ca="1">IFERROR(__xludf.DUMMYFUNCTION("""COMPUTED_VALUE"""),225)</f>
        <v>225</v>
      </c>
      <c r="F140">
        <f ca="1">IFERROR(__xludf.DUMMYFUNCTION("""COMPUTED_VALUE"""),450)</f>
        <v>450</v>
      </c>
      <c r="G140" t="str">
        <f ca="1">IFERROR(__xludf.DUMMYFUNCTION("""COMPUTED_VALUE"""),"Ingested")</f>
        <v>Ingested</v>
      </c>
    </row>
    <row r="141" spans="1:7" ht="12.75" x14ac:dyDescent="0.2">
      <c r="A141" t="str">
        <f ca="1">IFERROR(__xludf.DUMMYFUNCTION("""COMPUTED_VALUE"""),"Poison, burnt othur fumes")</f>
        <v>Poison, burnt othur fumes</v>
      </c>
      <c r="B141" t="str">
        <f ca="1">IFERROR(__xludf.DUMMYFUNCTION("""COMPUTED_VALUE"""),"Poisons, DMG")</f>
        <v>Poisons, DMG</v>
      </c>
      <c r="C141">
        <f ca="1">IFERROR(__xludf.DUMMYFUNCTION("""COMPUTED_VALUE"""),250)</f>
        <v>250</v>
      </c>
      <c r="D141">
        <f ca="1">IFERROR(__xludf.DUMMYFUNCTION("""COMPUTED_VALUE"""),375)</f>
        <v>375</v>
      </c>
      <c r="E141">
        <f ca="1">IFERROR(__xludf.DUMMYFUNCTION("""COMPUTED_VALUE"""),750)</f>
        <v>750</v>
      </c>
      <c r="F141">
        <f ca="1">IFERROR(__xludf.DUMMYFUNCTION("""COMPUTED_VALUE"""),1500)</f>
        <v>1500</v>
      </c>
      <c r="G141" t="str">
        <f ca="1">IFERROR(__xludf.DUMMYFUNCTION("""COMPUTED_VALUE"""),"Inhaled")</f>
        <v>Inhaled</v>
      </c>
    </row>
    <row r="142" spans="1:7" ht="12.75" x14ac:dyDescent="0.2">
      <c r="A142" t="str">
        <f ca="1">IFERROR(__xludf.DUMMYFUNCTION("""COMPUTED_VALUE"""),"Poison, carrion crawler mucus")</f>
        <v>Poison, carrion crawler mucus</v>
      </c>
      <c r="B142" t="str">
        <f ca="1">IFERROR(__xludf.DUMMYFUNCTION("""COMPUTED_VALUE"""),"Poisons, DMG")</f>
        <v>Poisons, DMG</v>
      </c>
      <c r="C142">
        <f ca="1">IFERROR(__xludf.DUMMYFUNCTION("""COMPUTED_VALUE"""),100)</f>
        <v>100</v>
      </c>
      <c r="D142">
        <f ca="1">IFERROR(__xludf.DUMMYFUNCTION("""COMPUTED_VALUE"""),150)</f>
        <v>150</v>
      </c>
      <c r="E142">
        <f ca="1">IFERROR(__xludf.DUMMYFUNCTION("""COMPUTED_VALUE"""),300)</f>
        <v>300</v>
      </c>
      <c r="F142">
        <f ca="1">IFERROR(__xludf.DUMMYFUNCTION("""COMPUTED_VALUE"""),600)</f>
        <v>600</v>
      </c>
      <c r="G142" t="str">
        <f ca="1">IFERROR(__xludf.DUMMYFUNCTION("""COMPUTED_VALUE"""),"Contact")</f>
        <v>Contact</v>
      </c>
    </row>
    <row r="143" spans="1:7" ht="12.75" x14ac:dyDescent="0.2">
      <c r="A143" t="str">
        <f ca="1">IFERROR(__xludf.DUMMYFUNCTION("""COMPUTED_VALUE"""),"Poison, drow")</f>
        <v>Poison, drow</v>
      </c>
      <c r="B143" t="str">
        <f ca="1">IFERROR(__xludf.DUMMYFUNCTION("""COMPUTED_VALUE"""),"Poisons, DMG")</f>
        <v>Poisons, DMG</v>
      </c>
      <c r="C143">
        <f ca="1">IFERROR(__xludf.DUMMYFUNCTION("""COMPUTED_VALUE"""),100)</f>
        <v>100</v>
      </c>
      <c r="D143">
        <f ca="1">IFERROR(__xludf.DUMMYFUNCTION("""COMPUTED_VALUE"""),150)</f>
        <v>150</v>
      </c>
      <c r="E143">
        <f ca="1">IFERROR(__xludf.DUMMYFUNCTION("""COMPUTED_VALUE"""),300)</f>
        <v>300</v>
      </c>
      <c r="F143">
        <f ca="1">IFERROR(__xludf.DUMMYFUNCTION("""COMPUTED_VALUE"""),600)</f>
        <v>600</v>
      </c>
      <c r="G143" t="str">
        <f ca="1">IFERROR(__xludf.DUMMYFUNCTION("""COMPUTED_VALUE"""),"Injury, you can use this poison to coat one slashing or piercing weapon or up to three pieces of ammunition.")</f>
        <v>Injury, you can use this poison to coat one slashing or piercing weapon or up to three pieces of ammunition.</v>
      </c>
    </row>
    <row r="144" spans="1:7" ht="12.75" x14ac:dyDescent="0.2">
      <c r="A144" t="str">
        <f ca="1">IFERROR(__xludf.DUMMYFUNCTION("""COMPUTED_VALUE"""),"Poison, essence of ether")</f>
        <v>Poison, essence of ether</v>
      </c>
      <c r="B144" t="str">
        <f ca="1">IFERROR(__xludf.DUMMYFUNCTION("""COMPUTED_VALUE"""),"Poisons, DMG")</f>
        <v>Poisons, DMG</v>
      </c>
      <c r="C144">
        <f ca="1">IFERROR(__xludf.DUMMYFUNCTION("""COMPUTED_VALUE"""),150)</f>
        <v>150</v>
      </c>
      <c r="D144">
        <f ca="1">IFERROR(__xludf.DUMMYFUNCTION("""COMPUTED_VALUE"""),225)</f>
        <v>225</v>
      </c>
      <c r="E144">
        <f ca="1">IFERROR(__xludf.DUMMYFUNCTION("""COMPUTED_VALUE"""),450)</f>
        <v>450</v>
      </c>
      <c r="F144">
        <f ca="1">IFERROR(__xludf.DUMMYFUNCTION("""COMPUTED_VALUE"""),900)</f>
        <v>900</v>
      </c>
      <c r="G144" t="str">
        <f ca="1">IFERROR(__xludf.DUMMYFUNCTION("""COMPUTED_VALUE"""),"Inhaled")</f>
        <v>Inhaled</v>
      </c>
    </row>
    <row r="145" spans="1:7" ht="12.75" x14ac:dyDescent="0.2">
      <c r="A145" t="str">
        <f ca="1">IFERROR(__xludf.DUMMYFUNCTION("""COMPUTED_VALUE"""),"Poison, malice")</f>
        <v>Poison, malice</v>
      </c>
      <c r="B145" t="str">
        <f ca="1">IFERROR(__xludf.DUMMYFUNCTION("""COMPUTED_VALUE"""),"Poisons, DMG")</f>
        <v>Poisons, DMG</v>
      </c>
      <c r="C145">
        <f ca="1">IFERROR(__xludf.DUMMYFUNCTION("""COMPUTED_VALUE"""),125)</f>
        <v>125</v>
      </c>
      <c r="D145">
        <f ca="1">IFERROR(__xludf.DUMMYFUNCTION("""COMPUTED_VALUE"""),187.5)</f>
        <v>187.5</v>
      </c>
      <c r="E145">
        <f ca="1">IFERROR(__xludf.DUMMYFUNCTION("""COMPUTED_VALUE"""),375)</f>
        <v>375</v>
      </c>
      <c r="F145">
        <f ca="1">IFERROR(__xludf.DUMMYFUNCTION("""COMPUTED_VALUE"""),750)</f>
        <v>750</v>
      </c>
      <c r="G145" t="str">
        <f ca="1">IFERROR(__xludf.DUMMYFUNCTION("""COMPUTED_VALUE"""),"Inhaled")</f>
        <v>Inhaled</v>
      </c>
    </row>
    <row r="146" spans="1:7" ht="12.75" x14ac:dyDescent="0.2">
      <c r="A146" t="str">
        <f ca="1">IFERROR(__xludf.DUMMYFUNCTION("""COMPUTED_VALUE"""),"Poison, midnight tears")</f>
        <v>Poison, midnight tears</v>
      </c>
      <c r="B146" t="str">
        <f ca="1">IFERROR(__xludf.DUMMYFUNCTION("""COMPUTED_VALUE"""),"Poisons, DMG")</f>
        <v>Poisons, DMG</v>
      </c>
      <c r="C146">
        <f ca="1">IFERROR(__xludf.DUMMYFUNCTION("""COMPUTED_VALUE"""),750)</f>
        <v>750</v>
      </c>
      <c r="D146">
        <f ca="1">IFERROR(__xludf.DUMMYFUNCTION("""COMPUTED_VALUE"""),1125)</f>
        <v>1125</v>
      </c>
      <c r="E146">
        <f ca="1">IFERROR(__xludf.DUMMYFUNCTION("""COMPUTED_VALUE"""),2250)</f>
        <v>2250</v>
      </c>
      <c r="F146">
        <f ca="1">IFERROR(__xludf.DUMMYFUNCTION("""COMPUTED_VALUE"""),4500)</f>
        <v>4500</v>
      </c>
      <c r="G146" t="str">
        <f ca="1">IFERROR(__xludf.DUMMYFUNCTION("""COMPUTED_VALUE"""),"Ingested")</f>
        <v>Ingested</v>
      </c>
    </row>
    <row r="147" spans="1:7" ht="12.75" x14ac:dyDescent="0.2">
      <c r="A147" t="str">
        <f ca="1">IFERROR(__xludf.DUMMYFUNCTION("""COMPUTED_VALUE"""),"Poison, oil of taggit")</f>
        <v>Poison, oil of taggit</v>
      </c>
      <c r="B147" t="str">
        <f ca="1">IFERROR(__xludf.DUMMYFUNCTION("""COMPUTED_VALUE"""),"Poisons, DMG")</f>
        <v>Poisons, DMG</v>
      </c>
      <c r="C147">
        <f ca="1">IFERROR(__xludf.DUMMYFUNCTION("""COMPUTED_VALUE"""),200)</f>
        <v>200</v>
      </c>
      <c r="D147">
        <f ca="1">IFERROR(__xludf.DUMMYFUNCTION("""COMPUTED_VALUE"""),300)</f>
        <v>300</v>
      </c>
      <c r="E147">
        <f ca="1">IFERROR(__xludf.DUMMYFUNCTION("""COMPUTED_VALUE"""),600)</f>
        <v>600</v>
      </c>
      <c r="F147">
        <f ca="1">IFERROR(__xludf.DUMMYFUNCTION("""COMPUTED_VALUE"""),1200)</f>
        <v>1200</v>
      </c>
      <c r="G147" t="str">
        <f ca="1">IFERROR(__xludf.DUMMYFUNCTION("""COMPUTED_VALUE"""),"Contact")</f>
        <v>Contact</v>
      </c>
    </row>
    <row r="148" spans="1:7" ht="12.75" x14ac:dyDescent="0.2">
      <c r="A148" t="str">
        <f ca="1">IFERROR(__xludf.DUMMYFUNCTION("""COMPUTED_VALUE"""),"Poison, pale tincture")</f>
        <v>Poison, pale tincture</v>
      </c>
      <c r="B148" t="str">
        <f ca="1">IFERROR(__xludf.DUMMYFUNCTION("""COMPUTED_VALUE"""),"Poisons, DMG")</f>
        <v>Poisons, DMG</v>
      </c>
      <c r="C148">
        <f ca="1">IFERROR(__xludf.DUMMYFUNCTION("""COMPUTED_VALUE"""),125)</f>
        <v>125</v>
      </c>
      <c r="D148">
        <f ca="1">IFERROR(__xludf.DUMMYFUNCTION("""COMPUTED_VALUE"""),187.5)</f>
        <v>187.5</v>
      </c>
      <c r="E148">
        <f ca="1">IFERROR(__xludf.DUMMYFUNCTION("""COMPUTED_VALUE"""),375)</f>
        <v>375</v>
      </c>
      <c r="F148">
        <f ca="1">IFERROR(__xludf.DUMMYFUNCTION("""COMPUTED_VALUE"""),750)</f>
        <v>750</v>
      </c>
      <c r="G148" t="str">
        <f ca="1">IFERROR(__xludf.DUMMYFUNCTION("""COMPUTED_VALUE"""),"Ingested")</f>
        <v>Ingested</v>
      </c>
    </row>
    <row r="149" spans="1:7" ht="12.75" x14ac:dyDescent="0.2">
      <c r="A149" t="str">
        <f ca="1">IFERROR(__xludf.DUMMYFUNCTION("""COMPUTED_VALUE"""),"Poison, purple worm")</f>
        <v>Poison, purple worm</v>
      </c>
      <c r="B149" t="str">
        <f ca="1">IFERROR(__xludf.DUMMYFUNCTION("""COMPUTED_VALUE"""),"Poisons, DMG")</f>
        <v>Poisons, DMG</v>
      </c>
      <c r="C149">
        <f ca="1">IFERROR(__xludf.DUMMYFUNCTION("""COMPUTED_VALUE"""),1000)</f>
        <v>1000</v>
      </c>
      <c r="D149">
        <f ca="1">IFERROR(__xludf.DUMMYFUNCTION("""COMPUTED_VALUE"""),1500)</f>
        <v>1500</v>
      </c>
      <c r="E149">
        <f ca="1">IFERROR(__xludf.DUMMYFUNCTION("""COMPUTED_VALUE"""),3000)</f>
        <v>3000</v>
      </c>
      <c r="F149">
        <f ca="1">IFERROR(__xludf.DUMMYFUNCTION("""COMPUTED_VALUE"""),6000)</f>
        <v>6000</v>
      </c>
      <c r="G149" t="str">
        <f ca="1">IFERROR(__xludf.DUMMYFUNCTION("""COMPUTED_VALUE"""),"Injury, you can use this poison to coat one slashing or piercing weapon or up to three pieces of ammunition.")</f>
        <v>Injury, you can use this poison to coat one slashing or piercing weapon or up to three pieces of ammunition.</v>
      </c>
    </row>
    <row r="150" spans="1:7" ht="12.75" x14ac:dyDescent="0.2">
      <c r="A150" t="str">
        <f ca="1">IFERROR(__xludf.DUMMYFUNCTION("""COMPUTED_VALUE"""),"Poison, serpent venom")</f>
        <v>Poison, serpent venom</v>
      </c>
      <c r="B150" t="str">
        <f ca="1">IFERROR(__xludf.DUMMYFUNCTION("""COMPUTED_VALUE"""),"Poisons, DMG")</f>
        <v>Poisons, DMG</v>
      </c>
      <c r="C150">
        <f ca="1">IFERROR(__xludf.DUMMYFUNCTION("""COMPUTED_VALUE"""),100)</f>
        <v>100</v>
      </c>
      <c r="D150">
        <f ca="1">IFERROR(__xludf.DUMMYFUNCTION("""COMPUTED_VALUE"""),150)</f>
        <v>150</v>
      </c>
      <c r="E150">
        <f ca="1">IFERROR(__xludf.DUMMYFUNCTION("""COMPUTED_VALUE"""),300)</f>
        <v>300</v>
      </c>
      <c r="F150">
        <f ca="1">IFERROR(__xludf.DUMMYFUNCTION("""COMPUTED_VALUE"""),600)</f>
        <v>600</v>
      </c>
      <c r="G150" t="str">
        <f ca="1">IFERROR(__xludf.DUMMYFUNCTION("""COMPUTED_VALUE"""),"Injury, you can use this poison to coat one slashing or piercing weapon or up to three pieces of ammunition.")</f>
        <v>Injury, you can use this poison to coat one slashing or piercing weapon or up to three pieces of ammunition.</v>
      </c>
    </row>
    <row r="151" spans="1:7" ht="12.75" x14ac:dyDescent="0.2">
      <c r="A151" t="str">
        <f ca="1">IFERROR(__xludf.DUMMYFUNCTION("""COMPUTED_VALUE"""),"Poison, torpor")</f>
        <v>Poison, torpor</v>
      </c>
      <c r="B151" t="str">
        <f ca="1">IFERROR(__xludf.DUMMYFUNCTION("""COMPUTED_VALUE"""),"Poisons, DMG")</f>
        <v>Poisons, DMG</v>
      </c>
      <c r="C151">
        <f ca="1">IFERROR(__xludf.DUMMYFUNCTION("""COMPUTED_VALUE"""),300)</f>
        <v>300</v>
      </c>
      <c r="D151">
        <f ca="1">IFERROR(__xludf.DUMMYFUNCTION("""COMPUTED_VALUE"""),450)</f>
        <v>450</v>
      </c>
      <c r="E151">
        <f ca="1">IFERROR(__xludf.DUMMYFUNCTION("""COMPUTED_VALUE"""),900)</f>
        <v>900</v>
      </c>
      <c r="F151">
        <f ca="1">IFERROR(__xludf.DUMMYFUNCTION("""COMPUTED_VALUE"""),1800)</f>
        <v>1800</v>
      </c>
      <c r="G151" t="str">
        <f ca="1">IFERROR(__xludf.DUMMYFUNCTION("""COMPUTED_VALUE"""),"Ingested")</f>
        <v>Ingested</v>
      </c>
    </row>
    <row r="152" spans="1:7" ht="12.75" x14ac:dyDescent="0.2">
      <c r="A152" t="str">
        <f ca="1">IFERROR(__xludf.DUMMYFUNCTION("""COMPUTED_VALUE"""),"Poison, truth serum")</f>
        <v>Poison, truth serum</v>
      </c>
      <c r="B152" t="str">
        <f ca="1">IFERROR(__xludf.DUMMYFUNCTION("""COMPUTED_VALUE"""),"Poisons, DMG")</f>
        <v>Poisons, DMG</v>
      </c>
      <c r="C152">
        <f ca="1">IFERROR(__xludf.DUMMYFUNCTION("""COMPUTED_VALUE"""),75)</f>
        <v>75</v>
      </c>
      <c r="D152">
        <f ca="1">IFERROR(__xludf.DUMMYFUNCTION("""COMPUTED_VALUE"""),112.5)</f>
        <v>112.5</v>
      </c>
      <c r="E152">
        <f ca="1">IFERROR(__xludf.DUMMYFUNCTION("""COMPUTED_VALUE"""),225)</f>
        <v>225</v>
      </c>
      <c r="F152">
        <f ca="1">IFERROR(__xludf.DUMMYFUNCTION("""COMPUTED_VALUE"""),450)</f>
        <v>450</v>
      </c>
      <c r="G152" t="str">
        <f ca="1">IFERROR(__xludf.DUMMYFUNCTION("""COMPUTED_VALUE"""),"Ingested")</f>
        <v>Ingested</v>
      </c>
    </row>
    <row r="153" spans="1:7" ht="12.75" x14ac:dyDescent="0.2">
      <c r="A153" t="str">
        <f ca="1">IFERROR(__xludf.DUMMYFUNCTION("""COMPUTED_VALUE"""),"Poison, wyvern")</f>
        <v>Poison, wyvern</v>
      </c>
      <c r="B153" t="str">
        <f ca="1">IFERROR(__xludf.DUMMYFUNCTION("""COMPUTED_VALUE"""),"Poisons, DMG")</f>
        <v>Poisons, DMG</v>
      </c>
      <c r="C153">
        <f ca="1">IFERROR(__xludf.DUMMYFUNCTION("""COMPUTED_VALUE"""),600)</f>
        <v>600</v>
      </c>
      <c r="D153">
        <f ca="1">IFERROR(__xludf.DUMMYFUNCTION("""COMPUTED_VALUE"""),900)</f>
        <v>900</v>
      </c>
      <c r="E153">
        <f ca="1">IFERROR(__xludf.DUMMYFUNCTION("""COMPUTED_VALUE"""),1800)</f>
        <v>1800</v>
      </c>
      <c r="F153">
        <f ca="1">IFERROR(__xludf.DUMMYFUNCTION("""COMPUTED_VALUE"""),3600)</f>
        <v>3600</v>
      </c>
      <c r="G153" t="str">
        <f ca="1">IFERROR(__xludf.DUMMYFUNCTION("""COMPUTED_VALUE"""),"Injury, you can use this poison to coat one slashing or piercing weapon or up to three pieces of ammunition.")</f>
        <v>Injury, you can use this poison to coat one slashing or piercing weapon or up to three pieces of ammunition.</v>
      </c>
    </row>
    <row r="154" spans="1:7" ht="12.75" x14ac:dyDescent="0.2">
      <c r="A154" t="str">
        <f ca="1">IFERROR(__xludf.DUMMYFUNCTION("""COMPUTED_VALUE"""),"Alchemist, day")</f>
        <v>Alchemist, day</v>
      </c>
      <c r="B154" t="str">
        <f ca="1">IFERROR(__xludf.DUMMYFUNCTION("""COMPUTED_VALUE"""),"Services")</f>
        <v>Services</v>
      </c>
      <c r="C154">
        <f ca="1">IFERROR(__xludf.DUMMYFUNCTION("""COMPUTED_VALUE"""),15)</f>
        <v>15</v>
      </c>
    </row>
    <row r="155" spans="1:7" ht="12.75" x14ac:dyDescent="0.2">
      <c r="A155" t="str">
        <f ca="1">IFERROR(__xludf.DUMMYFUNCTION("""COMPUTED_VALUE"""),"Armorer, day")</f>
        <v>Armorer, day</v>
      </c>
      <c r="B155" t="str">
        <f ca="1">IFERROR(__xludf.DUMMYFUNCTION("""COMPUTED_VALUE"""),"Services")</f>
        <v>Services</v>
      </c>
      <c r="C155">
        <f ca="1">IFERROR(__xludf.DUMMYFUNCTION("""COMPUTED_VALUE"""),1.4)</f>
        <v>1.4</v>
      </c>
      <c r="D155">
        <f ca="1">IFERROR(__xludf.DUMMYFUNCTION("""COMPUTED_VALUE"""),2.09999999999999)</f>
        <v>2.0999999999999899</v>
      </c>
    </row>
    <row r="156" spans="1:7" ht="12.75" x14ac:dyDescent="0.2">
      <c r="A156" t="str">
        <f ca="1">IFERROR(__xludf.DUMMYFUNCTION("""COMPUTED_VALUE"""),"Artificer, day")</f>
        <v>Artificer, day</v>
      </c>
      <c r="B156" t="str">
        <f ca="1">IFERROR(__xludf.DUMMYFUNCTION("""COMPUTED_VALUE"""),"Services")</f>
        <v>Services</v>
      </c>
      <c r="C156">
        <f ca="1">IFERROR(__xludf.DUMMYFUNCTION("""COMPUTED_VALUE"""),30)</f>
        <v>30</v>
      </c>
    </row>
    <row r="157" spans="1:7" ht="12.75" x14ac:dyDescent="0.2">
      <c r="A157" t="str">
        <f ca="1">IFERROR(__xludf.DUMMYFUNCTION("""COMPUTED_VALUE"""),"Doctor")</f>
        <v>Doctor</v>
      </c>
      <c r="B157" t="str">
        <f ca="1">IFERROR(__xludf.DUMMYFUNCTION("""COMPUTED_VALUE"""),"Services")</f>
        <v>Services</v>
      </c>
      <c r="C157">
        <f ca="1">IFERROR(__xludf.DUMMYFUNCTION("""COMPUTED_VALUE"""),1.8)</f>
        <v>1.8</v>
      </c>
    </row>
    <row r="158" spans="1:7" ht="12.75" x14ac:dyDescent="0.2">
      <c r="A158" t="str">
        <f ca="1">IFERROR(__xludf.DUMMYFUNCTION("""COMPUTED_VALUE"""),"Ship captain, day")</f>
        <v>Ship captain, day</v>
      </c>
      <c r="B158" t="str">
        <f ca="1">IFERROR(__xludf.DUMMYFUNCTION("""COMPUTED_VALUE"""),"Services")</f>
        <v>Services</v>
      </c>
      <c r="C158">
        <f ca="1">IFERROR(__xludf.DUMMYFUNCTION("""COMPUTED_VALUE"""),5)</f>
        <v>5</v>
      </c>
    </row>
    <row r="159" spans="1:7" ht="12.75" x14ac:dyDescent="0.2">
      <c r="A159" t="str">
        <f ca="1">IFERROR(__xludf.DUMMYFUNCTION("""COMPUTED_VALUE"""),"Ship officer, day")</f>
        <v>Ship officer, day</v>
      </c>
      <c r="B159" t="str">
        <f ca="1">IFERROR(__xludf.DUMMYFUNCTION("""COMPUTED_VALUE"""),"Services")</f>
        <v>Services</v>
      </c>
      <c r="C159">
        <f ca="1">IFERROR(__xludf.DUMMYFUNCTION("""COMPUTED_VALUE"""),2.4)</f>
        <v>2.4</v>
      </c>
    </row>
    <row r="160" spans="1:7" ht="12.75" x14ac:dyDescent="0.2">
      <c r="A160" t="str">
        <f ca="1">IFERROR(__xludf.DUMMYFUNCTION("""COMPUTED_VALUE"""),"Weaponsmith")</f>
        <v>Weaponsmith</v>
      </c>
      <c r="B160" t="str">
        <f ca="1">IFERROR(__xludf.DUMMYFUNCTION("""COMPUTED_VALUE"""),"Services")</f>
        <v>Services</v>
      </c>
      <c r="C160">
        <f ca="1">IFERROR(__xludf.DUMMYFUNCTION("""COMPUTED_VALUE"""),1.2)</f>
        <v>1.2</v>
      </c>
      <c r="D160">
        <f ca="1">IFERROR(__xludf.DUMMYFUNCTION("""COMPUTED_VALUE"""),1.79999999999999)</f>
        <v>1.7999999999999901</v>
      </c>
    </row>
    <row r="161" spans="1:6" ht="12.75" x14ac:dyDescent="0.2">
      <c r="A161" t="str">
        <f ca="1">IFERROR(__xludf.DUMMYFUNCTION("""COMPUTED_VALUE"""),"Coach cab (between towns), day")</f>
        <v>Coach cab (between towns), day</v>
      </c>
      <c r="B161" t="str">
        <f ca="1">IFERROR(__xludf.DUMMYFUNCTION("""COMPUTED_VALUE"""),"Services, PHB")</f>
        <v>Services, PHB</v>
      </c>
      <c r="C161">
        <f ca="1">IFERROR(__xludf.DUMMYFUNCTION("""COMPUTED_VALUE"""),1)</f>
        <v>1</v>
      </c>
      <c r="D161">
        <f ca="1">IFERROR(__xludf.DUMMYFUNCTION("""COMPUTED_VALUE"""),1.5)</f>
        <v>1.5</v>
      </c>
    </row>
    <row r="162" spans="1:6" ht="12.75" x14ac:dyDescent="0.2">
      <c r="A162" t="str">
        <f ca="1">IFERROR(__xludf.DUMMYFUNCTION("""COMPUTED_VALUE"""),"Coach cab (within a city)")</f>
        <v>Coach cab (within a city)</v>
      </c>
      <c r="B162" t="str">
        <f ca="1">IFERROR(__xludf.DUMMYFUNCTION("""COMPUTED_VALUE"""),"Services, PHB")</f>
        <v>Services, PHB</v>
      </c>
      <c r="C162">
        <f ca="1">IFERROR(__xludf.DUMMYFUNCTION("""COMPUTED_VALUE"""),0.1)</f>
        <v>0.1</v>
      </c>
      <c r="D162">
        <f ca="1">IFERROR(__xludf.DUMMYFUNCTION("""COMPUTED_VALUE"""),0.15)</f>
        <v>0.15</v>
      </c>
    </row>
    <row r="163" spans="1:6" ht="12.75" x14ac:dyDescent="0.2">
      <c r="A163" t="str">
        <f ca="1">IFERROR(__xludf.DUMMYFUNCTION("""COMPUTED_VALUE"""),"Hireling skilled, day")</f>
        <v>Hireling skilled, day</v>
      </c>
      <c r="B163" t="str">
        <f ca="1">IFERROR(__xludf.DUMMYFUNCTION("""COMPUTED_VALUE"""),"Services, PHB")</f>
        <v>Services, PHB</v>
      </c>
      <c r="C163">
        <f ca="1">IFERROR(__xludf.DUMMYFUNCTION("""COMPUTED_VALUE"""),1.5)</f>
        <v>1.5</v>
      </c>
      <c r="D163">
        <f ca="1">IFERROR(__xludf.DUMMYFUNCTION("""COMPUTED_VALUE"""),2.25)</f>
        <v>2.25</v>
      </c>
    </row>
    <row r="164" spans="1:6" ht="12.75" x14ac:dyDescent="0.2">
      <c r="A164" t="str">
        <f ca="1">IFERROR(__xludf.DUMMYFUNCTION("""COMPUTED_VALUE"""),"Hireling untrained, day")</f>
        <v>Hireling untrained, day</v>
      </c>
      <c r="B164" t="str">
        <f ca="1">IFERROR(__xludf.DUMMYFUNCTION("""COMPUTED_VALUE"""),"Services, PHB")</f>
        <v>Services, PHB</v>
      </c>
      <c r="C164">
        <f ca="1">IFERROR(__xludf.DUMMYFUNCTION("""COMPUTED_VALUE"""),0.7)</f>
        <v>0.7</v>
      </c>
      <c r="D164">
        <f ca="1">IFERROR(__xludf.DUMMYFUNCTION("""COMPUTED_VALUE"""),1.04999999999999)</f>
        <v>1.0499999999999901</v>
      </c>
    </row>
    <row r="165" spans="1:6" ht="12.75" x14ac:dyDescent="0.2">
      <c r="A165" t="str">
        <f ca="1">IFERROR(__xludf.DUMMYFUNCTION("""COMPUTED_VALUE"""),"Messenger, day")</f>
        <v>Messenger, day</v>
      </c>
      <c r="B165" t="str">
        <f ca="1">IFERROR(__xludf.DUMMYFUNCTION("""COMPUTED_VALUE"""),"Services, PHB")</f>
        <v>Services, PHB</v>
      </c>
      <c r="C165">
        <f ca="1">IFERROR(__xludf.DUMMYFUNCTION("""COMPUTED_VALUE"""),1)</f>
        <v>1</v>
      </c>
      <c r="D165">
        <f ca="1">IFERROR(__xludf.DUMMYFUNCTION("""COMPUTED_VALUE"""),1.5)</f>
        <v>1.5</v>
      </c>
    </row>
    <row r="166" spans="1:6" ht="12.75" x14ac:dyDescent="0.2">
      <c r="A166" t="str">
        <f ca="1">IFERROR(__xludf.DUMMYFUNCTION("""COMPUTED_VALUE"""),"Road or gate toll")</f>
        <v>Road or gate toll</v>
      </c>
      <c r="B166" t="str">
        <f ca="1">IFERROR(__xludf.DUMMYFUNCTION("""COMPUTED_VALUE"""),"Services, PHB")</f>
        <v>Services, PHB</v>
      </c>
      <c r="C166">
        <f ca="1">IFERROR(__xludf.DUMMYFUNCTION("""COMPUTED_VALUE"""),0.01)</f>
        <v>0.01</v>
      </c>
      <c r="D166">
        <f ca="1">IFERROR(__xludf.DUMMYFUNCTION("""COMPUTED_VALUE"""),0.015)</f>
        <v>1.4999999999999999E-2</v>
      </c>
    </row>
    <row r="167" spans="1:6" ht="12.75" x14ac:dyDescent="0.2">
      <c r="A167" t="str">
        <f ca="1">IFERROR(__xludf.DUMMYFUNCTION("""COMPUTED_VALUE"""),"Ship’s passage, day")</f>
        <v>Ship’s passage, day</v>
      </c>
      <c r="B167" t="str">
        <f ca="1">IFERROR(__xludf.DUMMYFUNCTION("""COMPUTED_VALUE"""),"Services, PHB")</f>
        <v>Services, PHB</v>
      </c>
      <c r="C167">
        <f ca="1">IFERROR(__xludf.DUMMYFUNCTION("""COMPUTED_VALUE"""),1.2)</f>
        <v>1.2</v>
      </c>
      <c r="D167">
        <f ca="1">IFERROR(__xludf.DUMMYFUNCTION("""COMPUTED_VALUE"""),1.79999999999999)</f>
        <v>1.7999999999999901</v>
      </c>
    </row>
    <row r="168" spans="1:6" ht="12.75" x14ac:dyDescent="0.2">
      <c r="A168" t="str">
        <f ca="1">IFERROR(__xludf.DUMMYFUNCTION("""COMPUTED_VALUE"""),"Coach, Aristocratic")</f>
        <v>Coach, Aristocratic</v>
      </c>
      <c r="B168" t="str">
        <f ca="1">IFERROR(__xludf.DUMMYFUNCTION("""COMPUTED_VALUE"""),"Tack, Harness, and Drawn Vehicles")</f>
        <v>Tack, Harness, and Drawn Vehicles</v>
      </c>
      <c r="C168">
        <f ca="1">IFERROR(__xludf.DUMMYFUNCTION("""COMPUTED_VALUE"""),1500)</f>
        <v>1500</v>
      </c>
      <c r="D168">
        <f ca="1">IFERROR(__xludf.DUMMYFUNCTION("""COMPUTED_VALUE"""),2250)</f>
        <v>2250</v>
      </c>
      <c r="E168">
        <f ca="1">IFERROR(__xludf.DUMMYFUNCTION("""COMPUTED_VALUE"""),4500)</f>
        <v>4500</v>
      </c>
      <c r="F168">
        <f ca="1">IFERROR(__xludf.DUMMYFUNCTION("""COMPUTED_VALUE"""),9000)</f>
        <v>9000</v>
      </c>
    </row>
    <row r="169" spans="1:6" ht="12.75" x14ac:dyDescent="0.2">
      <c r="A169" t="str">
        <f ca="1">IFERROR(__xludf.DUMMYFUNCTION("""COMPUTED_VALUE"""),"Bit and bridle")</f>
        <v>Bit and bridle</v>
      </c>
      <c r="B169" t="str">
        <f ca="1">IFERROR(__xludf.DUMMYFUNCTION("""COMPUTED_VALUE"""),"Tack, Harness, and Drawn Vehicles, PHB")</f>
        <v>Tack, Harness, and Drawn Vehicles, PHB</v>
      </c>
      <c r="C169">
        <f ca="1">IFERROR(__xludf.DUMMYFUNCTION("""COMPUTED_VALUE"""),0.3)</f>
        <v>0.3</v>
      </c>
      <c r="D169">
        <f ca="1">IFERROR(__xludf.DUMMYFUNCTION("""COMPUTED_VALUE"""),0.449999999999999)</f>
        <v>0.44999999999999901</v>
      </c>
      <c r="E169">
        <f ca="1">IFERROR(__xludf.DUMMYFUNCTION("""COMPUTED_VALUE"""),0.899999999999999)</f>
        <v>0.89999999999999902</v>
      </c>
      <c r="F169">
        <f ca="1">IFERROR(__xludf.DUMMYFUNCTION("""COMPUTED_VALUE"""),1.79999999999999)</f>
        <v>1.7999999999999901</v>
      </c>
    </row>
    <row r="170" spans="1:6" ht="12.75" x14ac:dyDescent="0.2">
      <c r="A170" t="str">
        <f ca="1">IFERROR(__xludf.DUMMYFUNCTION("""COMPUTED_VALUE"""),"Carriage")</f>
        <v>Carriage</v>
      </c>
      <c r="B170" t="str">
        <f ca="1">IFERROR(__xludf.DUMMYFUNCTION("""COMPUTED_VALUE"""),"Tack, Harness, and Drawn Vehicles, PHB")</f>
        <v>Tack, Harness, and Drawn Vehicles, PHB</v>
      </c>
      <c r="C170">
        <f ca="1">IFERROR(__xludf.DUMMYFUNCTION("""COMPUTED_VALUE"""),200)</f>
        <v>200</v>
      </c>
      <c r="D170">
        <f ca="1">IFERROR(__xludf.DUMMYFUNCTION("""COMPUTED_VALUE"""),300)</f>
        <v>300</v>
      </c>
      <c r="E170">
        <f ca="1">IFERROR(__xludf.DUMMYFUNCTION("""COMPUTED_VALUE"""),600)</f>
        <v>600</v>
      </c>
      <c r="F170">
        <f ca="1">IFERROR(__xludf.DUMMYFUNCTION("""COMPUTED_VALUE"""),1200)</f>
        <v>1200</v>
      </c>
    </row>
    <row r="171" spans="1:6" ht="12.75" x14ac:dyDescent="0.2">
      <c r="A171" t="str">
        <f ca="1">IFERROR(__xludf.DUMMYFUNCTION("""COMPUTED_VALUE"""),"Cart")</f>
        <v>Cart</v>
      </c>
      <c r="B171" t="str">
        <f ca="1">IFERROR(__xludf.DUMMYFUNCTION("""COMPUTED_VALUE"""),"Tack, Harness, and Drawn Vehicles, PHB")</f>
        <v>Tack, Harness, and Drawn Vehicles, PHB</v>
      </c>
      <c r="C171">
        <f ca="1">IFERROR(__xludf.DUMMYFUNCTION("""COMPUTED_VALUE"""),4)</f>
        <v>4</v>
      </c>
      <c r="D171">
        <f ca="1">IFERROR(__xludf.DUMMYFUNCTION("""COMPUTED_VALUE"""),6)</f>
        <v>6</v>
      </c>
      <c r="E171">
        <f ca="1">IFERROR(__xludf.DUMMYFUNCTION("""COMPUTED_VALUE"""),12)</f>
        <v>12</v>
      </c>
      <c r="F171">
        <f ca="1">IFERROR(__xludf.DUMMYFUNCTION("""COMPUTED_VALUE"""),24)</f>
        <v>24</v>
      </c>
    </row>
    <row r="172" spans="1:6" ht="12.75" x14ac:dyDescent="0.2">
      <c r="A172" t="str">
        <f ca="1">IFERROR(__xludf.DUMMYFUNCTION("""COMPUTED_VALUE"""),"Chariot")</f>
        <v>Chariot</v>
      </c>
      <c r="B172" t="str">
        <f ca="1">IFERROR(__xludf.DUMMYFUNCTION("""COMPUTED_VALUE"""),"Tack, Harness, and Drawn Vehicles, PHB")</f>
        <v>Tack, Harness, and Drawn Vehicles, PHB</v>
      </c>
      <c r="C172">
        <f ca="1">IFERROR(__xludf.DUMMYFUNCTION("""COMPUTED_VALUE"""),250)</f>
        <v>250</v>
      </c>
      <c r="D172">
        <f ca="1">IFERROR(__xludf.DUMMYFUNCTION("""COMPUTED_VALUE"""),375)</f>
        <v>375</v>
      </c>
      <c r="E172">
        <f ca="1">IFERROR(__xludf.DUMMYFUNCTION("""COMPUTED_VALUE"""),750)</f>
        <v>750</v>
      </c>
      <c r="F172">
        <f ca="1">IFERROR(__xludf.DUMMYFUNCTION("""COMPUTED_VALUE"""),1500)</f>
        <v>1500</v>
      </c>
    </row>
    <row r="173" spans="1:6" ht="12.75" x14ac:dyDescent="0.2">
      <c r="A173" t="str">
        <f ca="1">IFERROR(__xludf.DUMMYFUNCTION("""COMPUTED_VALUE"""),"Exotic saddle")</f>
        <v>Exotic saddle</v>
      </c>
      <c r="B173" t="str">
        <f ca="1">IFERROR(__xludf.DUMMYFUNCTION("""COMPUTED_VALUE"""),"Tack, Harness, and Drawn Vehicles, PHB")</f>
        <v>Tack, Harness, and Drawn Vehicles, PHB</v>
      </c>
      <c r="C173">
        <f ca="1">IFERROR(__xludf.DUMMYFUNCTION("""COMPUTED_VALUE"""),25)</f>
        <v>25</v>
      </c>
      <c r="D173">
        <f ca="1">IFERROR(__xludf.DUMMYFUNCTION("""COMPUTED_VALUE"""),37.5)</f>
        <v>37.5</v>
      </c>
      <c r="E173">
        <f ca="1">IFERROR(__xludf.DUMMYFUNCTION("""COMPUTED_VALUE"""),75)</f>
        <v>75</v>
      </c>
      <c r="F173">
        <f ca="1">IFERROR(__xludf.DUMMYFUNCTION("""COMPUTED_VALUE"""),150)</f>
        <v>150</v>
      </c>
    </row>
    <row r="174" spans="1:6" ht="12.75" x14ac:dyDescent="0.2">
      <c r="A174" t="str">
        <f ca="1">IFERROR(__xludf.DUMMYFUNCTION("""COMPUTED_VALUE"""),"Feed (day)")</f>
        <v>Feed (day)</v>
      </c>
      <c r="B174" t="str">
        <f ca="1">IFERROR(__xludf.DUMMYFUNCTION("""COMPUTED_VALUE"""),"Tack, Harness, and Drawn Vehicles, PHB")</f>
        <v>Tack, Harness, and Drawn Vehicles, PHB</v>
      </c>
      <c r="C174">
        <f ca="1">IFERROR(__xludf.DUMMYFUNCTION("""COMPUTED_VALUE"""),0.05)</f>
        <v>0.05</v>
      </c>
      <c r="D174">
        <f ca="1">IFERROR(__xludf.DUMMYFUNCTION("""COMPUTED_VALUE"""),0.075)</f>
        <v>7.4999999999999997E-2</v>
      </c>
      <c r="E174">
        <f ca="1">IFERROR(__xludf.DUMMYFUNCTION("""COMPUTED_VALUE"""),0.15)</f>
        <v>0.15</v>
      </c>
      <c r="F174">
        <f ca="1">IFERROR(__xludf.DUMMYFUNCTION("""COMPUTED_VALUE"""),0.3)</f>
        <v>0.3</v>
      </c>
    </row>
    <row r="175" spans="1:6" ht="12.75" x14ac:dyDescent="0.2">
      <c r="A175" t="str">
        <f ca="1">IFERROR(__xludf.DUMMYFUNCTION("""COMPUTED_VALUE"""),"Military saddle")</f>
        <v>Military saddle</v>
      </c>
      <c r="B175" t="str">
        <f ca="1">IFERROR(__xludf.DUMMYFUNCTION("""COMPUTED_VALUE"""),"Tack, Harness, and Drawn Vehicles, PHB")</f>
        <v>Tack, Harness, and Drawn Vehicles, PHB</v>
      </c>
      <c r="C175">
        <f ca="1">IFERROR(__xludf.DUMMYFUNCTION("""COMPUTED_VALUE"""),15)</f>
        <v>15</v>
      </c>
      <c r="D175">
        <f ca="1">IFERROR(__xludf.DUMMYFUNCTION("""COMPUTED_VALUE"""),22.5)</f>
        <v>22.5</v>
      </c>
      <c r="E175">
        <f ca="1">IFERROR(__xludf.DUMMYFUNCTION("""COMPUTED_VALUE"""),45)</f>
        <v>45</v>
      </c>
      <c r="F175">
        <f ca="1">IFERROR(__xludf.DUMMYFUNCTION("""COMPUTED_VALUE"""),90)</f>
        <v>90</v>
      </c>
    </row>
    <row r="176" spans="1:6" ht="12.75" x14ac:dyDescent="0.2">
      <c r="A176" t="str">
        <f ca="1">IFERROR(__xludf.DUMMYFUNCTION("""COMPUTED_VALUE"""),"Pack saddle")</f>
        <v>Pack saddle</v>
      </c>
      <c r="B176" t="str">
        <f ca="1">IFERROR(__xludf.DUMMYFUNCTION("""COMPUTED_VALUE"""),"Tack, Harness, and Drawn Vehicles, PHB")</f>
        <v>Tack, Harness, and Drawn Vehicles, PHB</v>
      </c>
      <c r="C176">
        <f ca="1">IFERROR(__xludf.DUMMYFUNCTION("""COMPUTED_VALUE"""),10)</f>
        <v>10</v>
      </c>
      <c r="D176">
        <f ca="1">IFERROR(__xludf.DUMMYFUNCTION("""COMPUTED_VALUE"""),15)</f>
        <v>15</v>
      </c>
      <c r="E176">
        <f ca="1">IFERROR(__xludf.DUMMYFUNCTION("""COMPUTED_VALUE"""),30)</f>
        <v>30</v>
      </c>
      <c r="F176">
        <f ca="1">IFERROR(__xludf.DUMMYFUNCTION("""COMPUTED_VALUE"""),60)</f>
        <v>60</v>
      </c>
    </row>
    <row r="177" spans="1:7" ht="12.75" x14ac:dyDescent="0.2">
      <c r="A177" t="str">
        <f ca="1">IFERROR(__xludf.DUMMYFUNCTION("""COMPUTED_VALUE"""),"Riding saddle")</f>
        <v>Riding saddle</v>
      </c>
      <c r="B177" t="str">
        <f ca="1">IFERROR(__xludf.DUMMYFUNCTION("""COMPUTED_VALUE"""),"Tack, Harness, and Drawn Vehicles, PHB")</f>
        <v>Tack, Harness, and Drawn Vehicles, PHB</v>
      </c>
      <c r="C177">
        <f ca="1">IFERROR(__xludf.DUMMYFUNCTION("""COMPUTED_VALUE"""),7.5)</f>
        <v>7.5</v>
      </c>
      <c r="D177">
        <f ca="1">IFERROR(__xludf.DUMMYFUNCTION("""COMPUTED_VALUE"""),11.25)</f>
        <v>11.25</v>
      </c>
      <c r="E177">
        <f ca="1">IFERROR(__xludf.DUMMYFUNCTION("""COMPUTED_VALUE"""),22.5)</f>
        <v>22.5</v>
      </c>
      <c r="F177">
        <f ca="1">IFERROR(__xludf.DUMMYFUNCTION("""COMPUTED_VALUE"""),45)</f>
        <v>45</v>
      </c>
    </row>
    <row r="178" spans="1:7" ht="12.75" x14ac:dyDescent="0.2">
      <c r="A178" t="str">
        <f ca="1">IFERROR(__xludf.DUMMYFUNCTION("""COMPUTED_VALUE"""),"Saddlebags")</f>
        <v>Saddlebags</v>
      </c>
      <c r="B178" t="str">
        <f ca="1">IFERROR(__xludf.DUMMYFUNCTION("""COMPUTED_VALUE"""),"Tack, Harness, and Drawn Vehicles, PHB")</f>
        <v>Tack, Harness, and Drawn Vehicles, PHB</v>
      </c>
      <c r="C178">
        <f ca="1">IFERROR(__xludf.DUMMYFUNCTION("""COMPUTED_VALUE"""),1)</f>
        <v>1</v>
      </c>
      <c r="D178">
        <f ca="1">IFERROR(__xludf.DUMMYFUNCTION("""COMPUTED_VALUE"""),1.5)</f>
        <v>1.5</v>
      </c>
      <c r="E178">
        <f ca="1">IFERROR(__xludf.DUMMYFUNCTION("""COMPUTED_VALUE"""),3)</f>
        <v>3</v>
      </c>
      <c r="F178">
        <f ca="1">IFERROR(__xludf.DUMMYFUNCTION("""COMPUTED_VALUE"""),6)</f>
        <v>6</v>
      </c>
    </row>
    <row r="179" spans="1:7" ht="12.75" x14ac:dyDescent="0.2">
      <c r="A179" t="str">
        <f ca="1">IFERROR(__xludf.DUMMYFUNCTION("""COMPUTED_VALUE"""),"Sled")</f>
        <v>Sled</v>
      </c>
      <c r="B179" t="str">
        <f ca="1">IFERROR(__xludf.DUMMYFUNCTION("""COMPUTED_VALUE"""),"Tack, Harness, and Drawn Vehicles, PHB")</f>
        <v>Tack, Harness, and Drawn Vehicles, PHB</v>
      </c>
      <c r="C179">
        <f ca="1">IFERROR(__xludf.DUMMYFUNCTION("""COMPUTED_VALUE"""),10)</f>
        <v>10</v>
      </c>
      <c r="D179">
        <f ca="1">IFERROR(__xludf.DUMMYFUNCTION("""COMPUTED_VALUE"""),15)</f>
        <v>15</v>
      </c>
      <c r="E179">
        <f ca="1">IFERROR(__xludf.DUMMYFUNCTION("""COMPUTED_VALUE"""),30)</f>
        <v>30</v>
      </c>
      <c r="F179">
        <f ca="1">IFERROR(__xludf.DUMMYFUNCTION("""COMPUTED_VALUE"""),60)</f>
        <v>60</v>
      </c>
    </row>
    <row r="180" spans="1:7" ht="12.75" x14ac:dyDescent="0.2">
      <c r="A180" t="str">
        <f ca="1">IFERROR(__xludf.DUMMYFUNCTION("""COMPUTED_VALUE"""),"Stabling (day)")</f>
        <v>Stabling (day)</v>
      </c>
      <c r="B180" t="str">
        <f ca="1">IFERROR(__xludf.DUMMYFUNCTION("""COMPUTED_VALUE"""),"Tack, Harness, and Drawn Vehicles, PHB")</f>
        <v>Tack, Harness, and Drawn Vehicles, PHB</v>
      </c>
      <c r="C180">
        <f ca="1">IFERROR(__xludf.DUMMYFUNCTION("""COMPUTED_VALUE"""),0.075)</f>
        <v>7.4999999999999997E-2</v>
      </c>
      <c r="D180">
        <f ca="1">IFERROR(__xludf.DUMMYFUNCTION("""COMPUTED_VALUE"""),0.09975)</f>
        <v>9.9750000000000005E-2</v>
      </c>
      <c r="G180" t="str">
        <f ca="1">IFERROR(__xludf.DUMMYFUNCTION("""COMPUTED_VALUE"""),"c")</f>
        <v>c</v>
      </c>
    </row>
    <row r="181" spans="1:7" ht="12.75" x14ac:dyDescent="0.2">
      <c r="A181" t="str">
        <f ca="1">IFERROR(__xludf.DUMMYFUNCTION("""COMPUTED_VALUE"""),"Wagon")</f>
        <v>Wagon</v>
      </c>
      <c r="B181" t="str">
        <f ca="1">IFERROR(__xludf.DUMMYFUNCTION("""COMPUTED_VALUE"""),"Tack, Harness, and Drawn Vehicles, PHB")</f>
        <v>Tack, Harness, and Drawn Vehicles, PHB</v>
      </c>
      <c r="C181">
        <f ca="1">IFERROR(__xludf.DUMMYFUNCTION("""COMPUTED_VALUE"""),120)</f>
        <v>120</v>
      </c>
      <c r="D181">
        <f ca="1">IFERROR(__xludf.DUMMYFUNCTION("""COMPUTED_VALUE"""),180)</f>
        <v>180</v>
      </c>
      <c r="E181">
        <f ca="1">IFERROR(__xludf.DUMMYFUNCTION("""COMPUTED_VALUE"""),360)</f>
        <v>360</v>
      </c>
      <c r="F181">
        <f ca="1">IFERROR(__xludf.DUMMYFUNCTION("""COMPUTED_VALUE"""),720)</f>
        <v>720</v>
      </c>
    </row>
    <row r="182" spans="1:7" ht="12.75" x14ac:dyDescent="0.2">
      <c r="A182" t="str">
        <f ca="1">IFERROR(__xludf.DUMMYFUNCTION("""COMPUTED_VALUE"""),"Alchemist's supplies")</f>
        <v>Alchemist's supplies</v>
      </c>
      <c r="B182" t="str">
        <f ca="1">IFERROR(__xludf.DUMMYFUNCTION("""COMPUTED_VALUE"""),"Tools, PHB")</f>
        <v>Tools, PHB</v>
      </c>
      <c r="C182">
        <f ca="1">IFERROR(__xludf.DUMMYFUNCTION("""COMPUTED_VALUE"""),150)</f>
        <v>150</v>
      </c>
      <c r="D182">
        <f ca="1">IFERROR(__xludf.DUMMYFUNCTION("""COMPUTED_VALUE"""),225)</f>
        <v>225</v>
      </c>
      <c r="E182">
        <f ca="1">IFERROR(__xludf.DUMMYFUNCTION("""COMPUTED_VALUE"""),450)</f>
        <v>450</v>
      </c>
      <c r="F182">
        <f ca="1">IFERROR(__xludf.DUMMYFUNCTION("""COMPUTED_VALUE"""),900)</f>
        <v>900</v>
      </c>
    </row>
    <row r="183" spans="1:7" ht="12.75" x14ac:dyDescent="0.2">
      <c r="A183" t="str">
        <f ca="1">IFERROR(__xludf.DUMMYFUNCTION("""COMPUTED_VALUE"""),"Brewer's supplies")</f>
        <v>Brewer's supplies</v>
      </c>
      <c r="B183" t="str">
        <f ca="1">IFERROR(__xludf.DUMMYFUNCTION("""COMPUTED_VALUE"""),"Tools, PHB")</f>
        <v>Tools, PHB</v>
      </c>
      <c r="C183">
        <f ca="1">IFERROR(__xludf.DUMMYFUNCTION("""COMPUTED_VALUE"""),16)</f>
        <v>16</v>
      </c>
      <c r="D183">
        <f ca="1">IFERROR(__xludf.DUMMYFUNCTION("""COMPUTED_VALUE"""),24)</f>
        <v>24</v>
      </c>
      <c r="E183">
        <f ca="1">IFERROR(__xludf.DUMMYFUNCTION("""COMPUTED_VALUE"""),48)</f>
        <v>48</v>
      </c>
      <c r="F183">
        <f ca="1">IFERROR(__xludf.DUMMYFUNCTION("""COMPUTED_VALUE"""),96)</f>
        <v>96</v>
      </c>
    </row>
    <row r="184" spans="1:7" ht="12.75" x14ac:dyDescent="0.2">
      <c r="A184" t="str">
        <f ca="1">IFERROR(__xludf.DUMMYFUNCTION("""COMPUTED_VALUE"""),"Calligrapher's supplies")</f>
        <v>Calligrapher's supplies</v>
      </c>
      <c r="B184" t="str">
        <f ca="1">IFERROR(__xludf.DUMMYFUNCTION("""COMPUTED_VALUE"""),"Tools, PHB")</f>
        <v>Tools, PHB</v>
      </c>
      <c r="C184">
        <f ca="1">IFERROR(__xludf.DUMMYFUNCTION("""COMPUTED_VALUE"""),9)</f>
        <v>9</v>
      </c>
      <c r="D184">
        <f ca="1">IFERROR(__xludf.DUMMYFUNCTION("""COMPUTED_VALUE"""),13.5)</f>
        <v>13.5</v>
      </c>
      <c r="E184">
        <f ca="1">IFERROR(__xludf.DUMMYFUNCTION("""COMPUTED_VALUE"""),27)</f>
        <v>27</v>
      </c>
      <c r="F184">
        <f ca="1">IFERROR(__xludf.DUMMYFUNCTION("""COMPUTED_VALUE"""),54)</f>
        <v>54</v>
      </c>
    </row>
    <row r="185" spans="1:7" ht="12.75" x14ac:dyDescent="0.2">
      <c r="A185" t="str">
        <f ca="1">IFERROR(__xludf.DUMMYFUNCTION("""COMPUTED_VALUE"""),"Carpenter's tools")</f>
        <v>Carpenter's tools</v>
      </c>
      <c r="B185" t="str">
        <f ca="1">IFERROR(__xludf.DUMMYFUNCTION("""COMPUTED_VALUE"""),"Tools, PHB")</f>
        <v>Tools, PHB</v>
      </c>
      <c r="C185">
        <f ca="1">IFERROR(__xludf.DUMMYFUNCTION("""COMPUTED_VALUE"""),8)</f>
        <v>8</v>
      </c>
      <c r="D185">
        <f ca="1">IFERROR(__xludf.DUMMYFUNCTION("""COMPUTED_VALUE"""),12)</f>
        <v>12</v>
      </c>
      <c r="E185">
        <f ca="1">IFERROR(__xludf.DUMMYFUNCTION("""COMPUTED_VALUE"""),24)</f>
        <v>24</v>
      </c>
      <c r="F185">
        <f ca="1">IFERROR(__xludf.DUMMYFUNCTION("""COMPUTED_VALUE"""),48)</f>
        <v>48</v>
      </c>
    </row>
    <row r="186" spans="1:7" ht="12.75" x14ac:dyDescent="0.2">
      <c r="A186" t="str">
        <f ca="1">IFERROR(__xludf.DUMMYFUNCTION("""COMPUTED_VALUE"""),"Cartographer's tools")</f>
        <v>Cartographer's tools</v>
      </c>
      <c r="B186" t="str">
        <f ca="1">IFERROR(__xludf.DUMMYFUNCTION("""COMPUTED_VALUE"""),"Tools, PHB")</f>
        <v>Tools, PHB</v>
      </c>
      <c r="C186">
        <f ca="1">IFERROR(__xludf.DUMMYFUNCTION("""COMPUTED_VALUE"""),16)</f>
        <v>16</v>
      </c>
      <c r="D186">
        <f ca="1">IFERROR(__xludf.DUMMYFUNCTION("""COMPUTED_VALUE"""),24)</f>
        <v>24</v>
      </c>
      <c r="E186">
        <f ca="1">IFERROR(__xludf.DUMMYFUNCTION("""COMPUTED_VALUE"""),48)</f>
        <v>48</v>
      </c>
      <c r="F186">
        <f ca="1">IFERROR(__xludf.DUMMYFUNCTION("""COMPUTED_VALUE"""),96)</f>
        <v>96</v>
      </c>
    </row>
    <row r="187" spans="1:7" ht="12.75" x14ac:dyDescent="0.2">
      <c r="A187" t="str">
        <f ca="1">IFERROR(__xludf.DUMMYFUNCTION("""COMPUTED_VALUE"""),"Cobbler's tools")</f>
        <v>Cobbler's tools</v>
      </c>
      <c r="B187" t="str">
        <f ca="1">IFERROR(__xludf.DUMMYFUNCTION("""COMPUTED_VALUE"""),"Tools, PHB")</f>
        <v>Tools, PHB</v>
      </c>
      <c r="C187">
        <f ca="1">IFERROR(__xludf.DUMMYFUNCTION("""COMPUTED_VALUE"""),10)</f>
        <v>10</v>
      </c>
      <c r="D187">
        <f ca="1">IFERROR(__xludf.DUMMYFUNCTION("""COMPUTED_VALUE"""),15)</f>
        <v>15</v>
      </c>
      <c r="E187">
        <f ca="1">IFERROR(__xludf.DUMMYFUNCTION("""COMPUTED_VALUE"""),30)</f>
        <v>30</v>
      </c>
      <c r="F187">
        <f ca="1">IFERROR(__xludf.DUMMYFUNCTION("""COMPUTED_VALUE"""),60)</f>
        <v>60</v>
      </c>
    </row>
    <row r="188" spans="1:7" ht="12.75" x14ac:dyDescent="0.2">
      <c r="A188" t="str">
        <f ca="1">IFERROR(__xludf.DUMMYFUNCTION("""COMPUTED_VALUE"""),"Cook's utensils")</f>
        <v>Cook's utensils</v>
      </c>
      <c r="B188" t="str">
        <f ca="1">IFERROR(__xludf.DUMMYFUNCTION("""COMPUTED_VALUE"""),"Tools, PHB")</f>
        <v>Tools, PHB</v>
      </c>
      <c r="C188">
        <f ca="1">IFERROR(__xludf.DUMMYFUNCTION("""COMPUTED_VALUE"""),12)</f>
        <v>12</v>
      </c>
      <c r="D188">
        <f ca="1">IFERROR(__xludf.DUMMYFUNCTION("""COMPUTED_VALUE"""),18)</f>
        <v>18</v>
      </c>
      <c r="E188">
        <f ca="1">IFERROR(__xludf.DUMMYFUNCTION("""COMPUTED_VALUE"""),36)</f>
        <v>36</v>
      </c>
      <c r="F188">
        <f ca="1">IFERROR(__xludf.DUMMYFUNCTION("""COMPUTED_VALUE"""),72)</f>
        <v>72</v>
      </c>
    </row>
    <row r="189" spans="1:7" ht="12.75" x14ac:dyDescent="0.2">
      <c r="A189" t="str">
        <f ca="1">IFERROR(__xludf.DUMMYFUNCTION("""COMPUTED_VALUE"""),"Disguise kit")</f>
        <v>Disguise kit</v>
      </c>
      <c r="B189" t="str">
        <f ca="1">IFERROR(__xludf.DUMMYFUNCTION("""COMPUTED_VALUE"""),"Tools, PHB")</f>
        <v>Tools, PHB</v>
      </c>
      <c r="C189">
        <f ca="1">IFERROR(__xludf.DUMMYFUNCTION("""COMPUTED_VALUE"""),25)</f>
        <v>25</v>
      </c>
      <c r="D189">
        <f ca="1">IFERROR(__xludf.DUMMYFUNCTION("""COMPUTED_VALUE"""),37.5)</f>
        <v>37.5</v>
      </c>
      <c r="E189">
        <f ca="1">IFERROR(__xludf.DUMMYFUNCTION("""COMPUTED_VALUE"""),75)</f>
        <v>75</v>
      </c>
      <c r="F189">
        <f ca="1">IFERROR(__xludf.DUMMYFUNCTION("""COMPUTED_VALUE"""),150)</f>
        <v>150</v>
      </c>
    </row>
    <row r="190" spans="1:7" ht="12.75" x14ac:dyDescent="0.2">
      <c r="A190" t="str">
        <f ca="1">IFERROR(__xludf.DUMMYFUNCTION("""COMPUTED_VALUE"""),"Forgery kit")</f>
        <v>Forgery kit</v>
      </c>
      <c r="B190" t="str">
        <f ca="1">IFERROR(__xludf.DUMMYFUNCTION("""COMPUTED_VALUE"""),"Tools, PHB")</f>
        <v>Tools, PHB</v>
      </c>
      <c r="C190">
        <f ca="1">IFERROR(__xludf.DUMMYFUNCTION("""COMPUTED_VALUE"""),12)</f>
        <v>12</v>
      </c>
      <c r="D190">
        <f ca="1">IFERROR(__xludf.DUMMYFUNCTION("""COMPUTED_VALUE"""),18)</f>
        <v>18</v>
      </c>
      <c r="E190">
        <f ca="1">IFERROR(__xludf.DUMMYFUNCTION("""COMPUTED_VALUE"""),36)</f>
        <v>36</v>
      </c>
      <c r="F190">
        <f ca="1">IFERROR(__xludf.DUMMYFUNCTION("""COMPUTED_VALUE"""),72)</f>
        <v>72</v>
      </c>
    </row>
    <row r="191" spans="1:7" ht="12.75" x14ac:dyDescent="0.2">
      <c r="A191" t="str">
        <f ca="1">IFERROR(__xludf.DUMMYFUNCTION("""COMPUTED_VALUE"""),"Glassblower's tools")</f>
        <v>Glassblower's tools</v>
      </c>
      <c r="B191" t="str">
        <f ca="1">IFERROR(__xludf.DUMMYFUNCTION("""COMPUTED_VALUE"""),"Tools, PHB")</f>
        <v>Tools, PHB</v>
      </c>
      <c r="C191">
        <f ca="1">IFERROR(__xludf.DUMMYFUNCTION("""COMPUTED_VALUE"""),12)</f>
        <v>12</v>
      </c>
      <c r="D191">
        <f ca="1">IFERROR(__xludf.DUMMYFUNCTION("""COMPUTED_VALUE"""),18)</f>
        <v>18</v>
      </c>
      <c r="E191">
        <f ca="1">IFERROR(__xludf.DUMMYFUNCTION("""COMPUTED_VALUE"""),36)</f>
        <v>36</v>
      </c>
      <c r="F191">
        <f ca="1">IFERROR(__xludf.DUMMYFUNCTION("""COMPUTED_VALUE"""),72)</f>
        <v>72</v>
      </c>
    </row>
    <row r="192" spans="1:7" ht="12.75" x14ac:dyDescent="0.2">
      <c r="A192" t="str">
        <f ca="1">IFERROR(__xludf.DUMMYFUNCTION("""COMPUTED_VALUE"""),"Herbalism kit")</f>
        <v>Herbalism kit</v>
      </c>
      <c r="B192" t="str">
        <f ca="1">IFERROR(__xludf.DUMMYFUNCTION("""COMPUTED_VALUE"""),"Tools, PHB")</f>
        <v>Tools, PHB</v>
      </c>
      <c r="C192">
        <f ca="1">IFERROR(__xludf.DUMMYFUNCTION("""COMPUTED_VALUE"""),18)</f>
        <v>18</v>
      </c>
      <c r="D192">
        <f ca="1">IFERROR(__xludf.DUMMYFUNCTION("""COMPUTED_VALUE"""),27)</f>
        <v>27</v>
      </c>
      <c r="E192">
        <f ca="1">IFERROR(__xludf.DUMMYFUNCTION("""COMPUTED_VALUE"""),54)</f>
        <v>54</v>
      </c>
      <c r="F192">
        <f ca="1">IFERROR(__xludf.DUMMYFUNCTION("""COMPUTED_VALUE"""),108)</f>
        <v>108</v>
      </c>
    </row>
    <row r="193" spans="1:7" ht="12.75" x14ac:dyDescent="0.2">
      <c r="A193" t="str">
        <f ca="1">IFERROR(__xludf.DUMMYFUNCTION("""COMPUTED_VALUE"""),"Jeweler's tools")</f>
        <v>Jeweler's tools</v>
      </c>
      <c r="B193" t="str">
        <f ca="1">IFERROR(__xludf.DUMMYFUNCTION("""COMPUTED_VALUE"""),"Tools, PHB")</f>
        <v>Tools, PHB</v>
      </c>
      <c r="C193">
        <f ca="1">IFERROR(__xludf.DUMMYFUNCTION("""COMPUTED_VALUE"""),16)</f>
        <v>16</v>
      </c>
      <c r="D193">
        <f ca="1">IFERROR(__xludf.DUMMYFUNCTION("""COMPUTED_VALUE"""),24)</f>
        <v>24</v>
      </c>
      <c r="E193">
        <f ca="1">IFERROR(__xludf.DUMMYFUNCTION("""COMPUTED_VALUE"""),48)</f>
        <v>48</v>
      </c>
      <c r="F193">
        <f ca="1">IFERROR(__xludf.DUMMYFUNCTION("""COMPUTED_VALUE"""),96)</f>
        <v>96</v>
      </c>
    </row>
    <row r="194" spans="1:7" ht="12.75" x14ac:dyDescent="0.2">
      <c r="A194" t="str">
        <f ca="1">IFERROR(__xludf.DUMMYFUNCTION("""COMPUTED_VALUE"""),"Mason's tools")</f>
        <v>Mason's tools</v>
      </c>
      <c r="B194" t="str">
        <f ca="1">IFERROR(__xludf.DUMMYFUNCTION("""COMPUTED_VALUE"""),"Tools, PHB")</f>
        <v>Tools, PHB</v>
      </c>
      <c r="C194">
        <f ca="1">IFERROR(__xludf.DUMMYFUNCTION("""COMPUTED_VALUE"""),11)</f>
        <v>11</v>
      </c>
      <c r="D194">
        <f ca="1">IFERROR(__xludf.DUMMYFUNCTION("""COMPUTED_VALUE"""),16.5)</f>
        <v>16.5</v>
      </c>
      <c r="E194">
        <f ca="1">IFERROR(__xludf.DUMMYFUNCTION("""COMPUTED_VALUE"""),33)</f>
        <v>33</v>
      </c>
      <c r="F194">
        <f ca="1">IFERROR(__xludf.DUMMYFUNCTION("""COMPUTED_VALUE"""),66)</f>
        <v>66</v>
      </c>
    </row>
    <row r="195" spans="1:7" ht="12.75" x14ac:dyDescent="0.2">
      <c r="A195" t="str">
        <f ca="1">IFERROR(__xludf.DUMMYFUNCTION("""COMPUTED_VALUE"""),"Navigator's tools")</f>
        <v>Navigator's tools</v>
      </c>
      <c r="B195" t="str">
        <f ca="1">IFERROR(__xludf.DUMMYFUNCTION("""COMPUTED_VALUE"""),"Tools, PHB")</f>
        <v>Tools, PHB</v>
      </c>
      <c r="C195">
        <f ca="1">IFERROR(__xludf.DUMMYFUNCTION("""COMPUTED_VALUE"""),50)</f>
        <v>50</v>
      </c>
      <c r="D195">
        <f ca="1">IFERROR(__xludf.DUMMYFUNCTION("""COMPUTED_VALUE"""),75)</f>
        <v>75</v>
      </c>
      <c r="E195">
        <f ca="1">IFERROR(__xludf.DUMMYFUNCTION("""COMPUTED_VALUE"""),150)</f>
        <v>150</v>
      </c>
      <c r="F195">
        <f ca="1">IFERROR(__xludf.DUMMYFUNCTION("""COMPUTED_VALUE"""),300)</f>
        <v>300</v>
      </c>
    </row>
    <row r="196" spans="1:7" ht="12.75" x14ac:dyDescent="0.2">
      <c r="A196" t="str">
        <f ca="1">IFERROR(__xludf.DUMMYFUNCTION("""COMPUTED_VALUE"""),"Painter's supplies")</f>
        <v>Painter's supplies</v>
      </c>
      <c r="B196" t="str">
        <f ca="1">IFERROR(__xludf.DUMMYFUNCTION("""COMPUTED_VALUE"""),"Tools, PHB")</f>
        <v>Tools, PHB</v>
      </c>
      <c r="C196">
        <f ca="1">IFERROR(__xludf.DUMMYFUNCTION("""COMPUTED_VALUE"""),20)</f>
        <v>20</v>
      </c>
      <c r="D196">
        <f ca="1">IFERROR(__xludf.DUMMYFUNCTION("""COMPUTED_VALUE"""),30)</f>
        <v>30</v>
      </c>
      <c r="E196">
        <f ca="1">IFERROR(__xludf.DUMMYFUNCTION("""COMPUTED_VALUE"""),60)</f>
        <v>60</v>
      </c>
      <c r="F196">
        <f ca="1">IFERROR(__xludf.DUMMYFUNCTION("""COMPUTED_VALUE"""),120)</f>
        <v>120</v>
      </c>
    </row>
    <row r="197" spans="1:7" ht="12.75" x14ac:dyDescent="0.2">
      <c r="A197" t="str">
        <f ca="1">IFERROR(__xludf.DUMMYFUNCTION("""COMPUTED_VALUE"""),"Poisoner's kit")</f>
        <v>Poisoner's kit</v>
      </c>
      <c r="B197" t="str">
        <f ca="1">IFERROR(__xludf.DUMMYFUNCTION("""COMPUTED_VALUE"""),"Tools, PHB")</f>
        <v>Tools, PHB</v>
      </c>
      <c r="C197">
        <f ca="1">IFERROR(__xludf.DUMMYFUNCTION("""COMPUTED_VALUE"""),30)</f>
        <v>30</v>
      </c>
      <c r="D197">
        <f ca="1">IFERROR(__xludf.DUMMYFUNCTION("""COMPUTED_VALUE"""),45)</f>
        <v>45</v>
      </c>
      <c r="E197">
        <f ca="1">IFERROR(__xludf.DUMMYFUNCTION("""COMPUTED_VALUE"""),90)</f>
        <v>90</v>
      </c>
      <c r="F197">
        <f ca="1">IFERROR(__xludf.DUMMYFUNCTION("""COMPUTED_VALUE"""),180)</f>
        <v>180</v>
      </c>
    </row>
    <row r="198" spans="1:7" ht="12.75" x14ac:dyDescent="0.2">
      <c r="A198" t="str">
        <f ca="1">IFERROR(__xludf.DUMMYFUNCTION("""COMPUTED_VALUE"""),"Potter's tools")</f>
        <v>Potter's tools</v>
      </c>
      <c r="B198" t="str">
        <f ca="1">IFERROR(__xludf.DUMMYFUNCTION("""COMPUTED_VALUE"""),"Tools, PHB")</f>
        <v>Tools, PHB</v>
      </c>
      <c r="C198">
        <f ca="1">IFERROR(__xludf.DUMMYFUNCTION("""COMPUTED_VALUE"""),9)</f>
        <v>9</v>
      </c>
      <c r="D198">
        <f ca="1">IFERROR(__xludf.DUMMYFUNCTION("""COMPUTED_VALUE"""),13.5)</f>
        <v>13.5</v>
      </c>
      <c r="E198">
        <f ca="1">IFERROR(__xludf.DUMMYFUNCTION("""COMPUTED_VALUE"""),27)</f>
        <v>27</v>
      </c>
      <c r="F198">
        <f ca="1">IFERROR(__xludf.DUMMYFUNCTION("""COMPUTED_VALUE"""),54)</f>
        <v>54</v>
      </c>
    </row>
    <row r="199" spans="1:7" ht="12.75" x14ac:dyDescent="0.2">
      <c r="A199" t="str">
        <f ca="1">IFERROR(__xludf.DUMMYFUNCTION("""COMPUTED_VALUE"""),"Smith's tools")</f>
        <v>Smith's tools</v>
      </c>
      <c r="B199" t="str">
        <f ca="1">IFERROR(__xludf.DUMMYFUNCTION("""COMPUTED_VALUE"""),"Tools, PHB")</f>
        <v>Tools, PHB</v>
      </c>
      <c r="C199">
        <f ca="1">IFERROR(__xludf.DUMMYFUNCTION("""COMPUTED_VALUE"""),11)</f>
        <v>11</v>
      </c>
      <c r="D199">
        <f ca="1">IFERROR(__xludf.DUMMYFUNCTION("""COMPUTED_VALUE"""),16.5)</f>
        <v>16.5</v>
      </c>
      <c r="E199">
        <f ca="1">IFERROR(__xludf.DUMMYFUNCTION("""COMPUTED_VALUE"""),33)</f>
        <v>33</v>
      </c>
      <c r="F199">
        <f ca="1">IFERROR(__xludf.DUMMYFUNCTION("""COMPUTED_VALUE"""),66)</f>
        <v>66</v>
      </c>
    </row>
    <row r="200" spans="1:7" ht="12.75" x14ac:dyDescent="0.2">
      <c r="A200" t="str">
        <f ca="1">IFERROR(__xludf.DUMMYFUNCTION("""COMPUTED_VALUE"""),"Thieves' tools")</f>
        <v>Thieves' tools</v>
      </c>
      <c r="B200" t="str">
        <f ca="1">IFERROR(__xludf.DUMMYFUNCTION("""COMPUTED_VALUE"""),"Tools, PHB")</f>
        <v>Tools, PHB</v>
      </c>
      <c r="C200">
        <f ca="1">IFERROR(__xludf.DUMMYFUNCTION("""COMPUTED_VALUE"""),5)</f>
        <v>5</v>
      </c>
      <c r="D200">
        <f ca="1">IFERROR(__xludf.DUMMYFUNCTION("""COMPUTED_VALUE"""),7.5)</f>
        <v>7.5</v>
      </c>
      <c r="E200">
        <f ca="1">IFERROR(__xludf.DUMMYFUNCTION("""COMPUTED_VALUE"""),15)</f>
        <v>15</v>
      </c>
      <c r="F200">
        <f ca="1">IFERROR(__xludf.DUMMYFUNCTION("""COMPUTED_VALUE"""),30)</f>
        <v>30</v>
      </c>
    </row>
    <row r="201" spans="1:7" ht="12.75" x14ac:dyDescent="0.2">
      <c r="A201" t="str">
        <f ca="1">IFERROR(__xludf.DUMMYFUNCTION("""COMPUTED_VALUE"""),"Tinker's tools")</f>
        <v>Tinker's tools</v>
      </c>
      <c r="B201" t="str">
        <f ca="1">IFERROR(__xludf.DUMMYFUNCTION("""COMPUTED_VALUE"""),"Tools, PHB")</f>
        <v>Tools, PHB</v>
      </c>
      <c r="C201">
        <f ca="1">IFERROR(__xludf.DUMMYFUNCTION("""COMPUTED_VALUE"""),9)</f>
        <v>9</v>
      </c>
      <c r="D201">
        <f ca="1">IFERROR(__xludf.DUMMYFUNCTION("""COMPUTED_VALUE"""),13.5)</f>
        <v>13.5</v>
      </c>
      <c r="E201">
        <f ca="1">IFERROR(__xludf.DUMMYFUNCTION("""COMPUTED_VALUE"""),27)</f>
        <v>27</v>
      </c>
      <c r="F201">
        <f ca="1">IFERROR(__xludf.DUMMYFUNCTION("""COMPUTED_VALUE"""),54)</f>
        <v>54</v>
      </c>
    </row>
    <row r="202" spans="1:7" ht="12.75" x14ac:dyDescent="0.2">
      <c r="A202" t="str">
        <f ca="1">IFERROR(__xludf.DUMMYFUNCTION("""COMPUTED_VALUE"""),"Weaver's tools")</f>
        <v>Weaver's tools</v>
      </c>
      <c r="B202" t="str">
        <f ca="1">IFERROR(__xludf.DUMMYFUNCTION("""COMPUTED_VALUE"""),"Tools, PHB")</f>
        <v>Tools, PHB</v>
      </c>
      <c r="C202">
        <f ca="1">IFERROR(__xludf.DUMMYFUNCTION("""COMPUTED_VALUE"""),8)</f>
        <v>8</v>
      </c>
      <c r="D202">
        <f ca="1">IFERROR(__xludf.DUMMYFUNCTION("""COMPUTED_VALUE"""),12)</f>
        <v>12</v>
      </c>
      <c r="E202">
        <f ca="1">IFERROR(__xludf.DUMMYFUNCTION("""COMPUTED_VALUE"""),24)</f>
        <v>24</v>
      </c>
      <c r="F202">
        <f ca="1">IFERROR(__xludf.DUMMYFUNCTION("""COMPUTED_VALUE"""),48)</f>
        <v>48</v>
      </c>
    </row>
    <row r="203" spans="1:7" ht="12.75" x14ac:dyDescent="0.2">
      <c r="A203" t="str">
        <f ca="1">IFERROR(__xludf.DUMMYFUNCTION("""COMPUTED_VALUE"""),"Woodcarver's tools")</f>
        <v>Woodcarver's tools</v>
      </c>
      <c r="B203" t="str">
        <f ca="1">IFERROR(__xludf.DUMMYFUNCTION("""COMPUTED_VALUE"""),"Tools, PHB")</f>
        <v>Tools, PHB</v>
      </c>
      <c r="C203">
        <f ca="1">IFERROR(__xludf.DUMMYFUNCTION("""COMPUTED_VALUE"""),14)</f>
        <v>14</v>
      </c>
      <c r="D203">
        <f ca="1">IFERROR(__xludf.DUMMYFUNCTION("""COMPUTED_VALUE"""),21)</f>
        <v>21</v>
      </c>
      <c r="E203">
        <f ca="1">IFERROR(__xludf.DUMMYFUNCTION("""COMPUTED_VALUE"""),42)</f>
        <v>42</v>
      </c>
      <c r="F203">
        <f ca="1">IFERROR(__xludf.DUMMYFUNCTION("""COMPUTED_VALUE"""),84)</f>
        <v>84</v>
      </c>
    </row>
    <row r="204" spans="1:7" ht="12.75" x14ac:dyDescent="0.2">
      <c r="A204" t="str">
        <f ca="1">IFERROR(__xludf.DUMMYFUNCTION("""COMPUTED_VALUE"""),"Adamantine, lb.")</f>
        <v>Adamantine, lb.</v>
      </c>
      <c r="B204" t="str">
        <f ca="1">IFERROR(__xludf.DUMMYFUNCTION("""COMPUTED_VALUE"""),"Trade good")</f>
        <v>Trade good</v>
      </c>
      <c r="C204">
        <f ca="1">IFERROR(__xludf.DUMMYFUNCTION("""COMPUTED_VALUE"""),20)</f>
        <v>20</v>
      </c>
      <c r="D204">
        <f ca="1">IFERROR(__xludf.DUMMYFUNCTION("""COMPUTED_VALUE"""),30)</f>
        <v>30</v>
      </c>
      <c r="E204">
        <f ca="1">IFERROR(__xludf.DUMMYFUNCTION("""COMPUTED_VALUE"""),60)</f>
        <v>60</v>
      </c>
      <c r="F204">
        <f ca="1">IFERROR(__xludf.DUMMYFUNCTION("""COMPUTED_VALUE"""),120)</f>
        <v>120</v>
      </c>
    </row>
    <row r="205" spans="1:7" ht="12.75" x14ac:dyDescent="0.2">
      <c r="A205" t="str">
        <f ca="1">IFERROR(__xludf.DUMMYFUNCTION("""COMPUTED_VALUE"""),"Mithral, lb.")</f>
        <v>Mithral, lb.</v>
      </c>
      <c r="B205" t="str">
        <f ca="1">IFERROR(__xludf.DUMMYFUNCTION("""COMPUTED_VALUE"""),"Trade good")</f>
        <v>Trade good</v>
      </c>
      <c r="C205">
        <f ca="1">IFERROR(__xludf.DUMMYFUNCTION("""COMPUTED_VALUE"""),40)</f>
        <v>40</v>
      </c>
      <c r="D205">
        <f ca="1">IFERROR(__xludf.DUMMYFUNCTION("""COMPUTED_VALUE"""),60)</f>
        <v>60</v>
      </c>
      <c r="E205">
        <f ca="1">IFERROR(__xludf.DUMMYFUNCTION("""COMPUTED_VALUE"""),120)</f>
        <v>120</v>
      </c>
      <c r="F205">
        <f ca="1">IFERROR(__xludf.DUMMYFUNCTION("""COMPUTED_VALUE"""),240)</f>
        <v>240</v>
      </c>
    </row>
    <row r="206" spans="1:7" ht="12.75" x14ac:dyDescent="0.2">
      <c r="A206" t="str">
        <f ca="1">IFERROR(__xludf.DUMMYFUNCTION("""COMPUTED_VALUE"""),"Rice lb.")</f>
        <v>Rice lb.</v>
      </c>
      <c r="B206" t="str">
        <f ca="1">IFERROR(__xludf.DUMMYFUNCTION("""COMPUTED_VALUE"""),"Trade good")</f>
        <v>Trade good</v>
      </c>
      <c r="C206">
        <f ca="1">IFERROR(__xludf.DUMMYFUNCTION("""COMPUTED_VALUE"""),0.012)</f>
        <v>1.2E-2</v>
      </c>
      <c r="D206">
        <f ca="1">IFERROR(__xludf.DUMMYFUNCTION("""COMPUTED_VALUE"""),0.01596)</f>
        <v>1.5959999999999998E-2</v>
      </c>
      <c r="E206">
        <f ca="1">IFERROR(__xludf.DUMMYFUNCTION("""COMPUTED_VALUE"""),0.03192)</f>
        <v>3.1919999999999997E-2</v>
      </c>
      <c r="F206">
        <f ca="1">IFERROR(__xludf.DUMMYFUNCTION("""COMPUTED_VALUE"""),0.06264)</f>
        <v>6.2640000000000001E-2</v>
      </c>
      <c r="G206" t="str">
        <f ca="1">IFERROR(__xludf.DUMMYFUNCTION("""COMPUTED_VALUE"""),"c")</f>
        <v>c</v>
      </c>
    </row>
    <row r="207" spans="1:7" ht="12.75" x14ac:dyDescent="0.2">
      <c r="A207" t="str">
        <f ca="1">IFERROR(__xludf.DUMMYFUNCTION("""COMPUTED_VALUE"""),"Silver powder, lb.")</f>
        <v>Silver powder, lb.</v>
      </c>
      <c r="B207" t="str">
        <f ca="1">IFERROR(__xludf.DUMMYFUNCTION("""COMPUTED_VALUE"""),"Trade good")</f>
        <v>Trade good</v>
      </c>
      <c r="C207">
        <f ca="1">IFERROR(__xludf.DUMMYFUNCTION("""COMPUTED_VALUE"""),2.46)</f>
        <v>2.46</v>
      </c>
      <c r="D207">
        <f ca="1">IFERROR(__xludf.DUMMYFUNCTION("""COMPUTED_VALUE"""),3.69)</f>
        <v>3.69</v>
      </c>
      <c r="E207">
        <f ca="1">IFERROR(__xludf.DUMMYFUNCTION("""COMPUTED_VALUE"""),7.38)</f>
        <v>7.38</v>
      </c>
      <c r="F207">
        <f ca="1">IFERROR(__xludf.DUMMYFUNCTION("""COMPUTED_VALUE"""),14.76)</f>
        <v>14.76</v>
      </c>
    </row>
    <row r="208" spans="1:7" ht="12.75" x14ac:dyDescent="0.2">
      <c r="A208" t="str">
        <f ca="1">IFERROR(__xludf.DUMMYFUNCTION("""COMPUTED_VALUE"""),"Canvas yd.")</f>
        <v>Canvas yd.</v>
      </c>
      <c r="B208" t="str">
        <f ca="1">IFERROR(__xludf.DUMMYFUNCTION("""COMPUTED_VALUE"""),"Trade good, PHB")</f>
        <v>Trade good, PHB</v>
      </c>
      <c r="C208">
        <f ca="1">IFERROR(__xludf.DUMMYFUNCTION("""COMPUTED_VALUE"""),0.26)</f>
        <v>0.26</v>
      </c>
      <c r="D208">
        <f ca="1">IFERROR(__xludf.DUMMYFUNCTION("""COMPUTED_VALUE"""),0.3185)</f>
        <v>0.31850000000000001</v>
      </c>
      <c r="E208">
        <f ca="1">IFERROR(__xludf.DUMMYFUNCTION("""COMPUTED_VALUE"""),0.637)</f>
        <v>0.63700000000000001</v>
      </c>
      <c r="F208">
        <f ca="1">IFERROR(__xludf.DUMMYFUNCTION("""COMPUTED_VALUE"""),1.274)</f>
        <v>1.274</v>
      </c>
      <c r="G208" t="str">
        <f ca="1">IFERROR(__xludf.DUMMYFUNCTION("""COMPUTED_VALUE"""),"vc")</f>
        <v>vc</v>
      </c>
    </row>
    <row r="209" spans="1:6" ht="12.75" x14ac:dyDescent="0.2">
      <c r="A209" t="str">
        <f ca="1">IFERROR(__xludf.DUMMYFUNCTION("""COMPUTED_VALUE"""),"Cinnamon lb.")</f>
        <v>Cinnamon lb.</v>
      </c>
      <c r="B209" t="str">
        <f ca="1">IFERROR(__xludf.DUMMYFUNCTION("""COMPUTED_VALUE"""),"Trade good, PHB")</f>
        <v>Trade good, PHB</v>
      </c>
      <c r="C209">
        <f ca="1">IFERROR(__xludf.DUMMYFUNCTION("""COMPUTED_VALUE"""),0.4)</f>
        <v>0.4</v>
      </c>
      <c r="D209">
        <f ca="1">IFERROR(__xludf.DUMMYFUNCTION("""COMPUTED_VALUE"""),0.6)</f>
        <v>0.6</v>
      </c>
      <c r="E209">
        <f ca="1">IFERROR(__xludf.DUMMYFUNCTION("""COMPUTED_VALUE"""),1.2)</f>
        <v>1.2</v>
      </c>
      <c r="F209">
        <f ca="1">IFERROR(__xludf.DUMMYFUNCTION("""COMPUTED_VALUE"""),2.4)</f>
        <v>2.4</v>
      </c>
    </row>
    <row r="210" spans="1:6" ht="12.75" x14ac:dyDescent="0.2">
      <c r="A210" t="str">
        <f ca="1">IFERROR(__xludf.DUMMYFUNCTION("""COMPUTED_VALUE"""),"Cloves lb.")</f>
        <v>Cloves lb.</v>
      </c>
      <c r="B210" t="str">
        <f ca="1">IFERROR(__xludf.DUMMYFUNCTION("""COMPUTED_VALUE"""),"Trade good, PHB")</f>
        <v>Trade good, PHB</v>
      </c>
      <c r="C210">
        <f ca="1">IFERROR(__xludf.DUMMYFUNCTION("""COMPUTED_VALUE"""),0.5)</f>
        <v>0.5</v>
      </c>
      <c r="D210">
        <f ca="1">IFERROR(__xludf.DUMMYFUNCTION("""COMPUTED_VALUE"""),0.75)</f>
        <v>0.75</v>
      </c>
      <c r="E210">
        <f ca="1">IFERROR(__xludf.DUMMYFUNCTION("""COMPUTED_VALUE"""),1.5)</f>
        <v>1.5</v>
      </c>
      <c r="F210">
        <f ca="1">IFERROR(__xludf.DUMMYFUNCTION("""COMPUTED_VALUE"""),3)</f>
        <v>3</v>
      </c>
    </row>
    <row r="211" spans="1:6" ht="12.75" x14ac:dyDescent="0.2">
      <c r="A211" t="str">
        <f ca="1">IFERROR(__xludf.DUMMYFUNCTION("""COMPUTED_VALUE"""),"Copper piece")</f>
        <v>Copper piece</v>
      </c>
      <c r="B211" t="str">
        <f ca="1">IFERROR(__xludf.DUMMYFUNCTION("""COMPUTED_VALUE"""),"Trade good, PHB")</f>
        <v>Trade good, PHB</v>
      </c>
      <c r="C211">
        <f ca="1">IFERROR(__xludf.DUMMYFUNCTION("""COMPUTED_VALUE"""),0.01)</f>
        <v>0.01</v>
      </c>
    </row>
    <row r="212" spans="1:6" ht="12.75" x14ac:dyDescent="0.2">
      <c r="A212" t="str">
        <f ca="1">IFERROR(__xludf.DUMMYFUNCTION("""COMPUTED_VALUE"""),"Flour lb.")</f>
        <v>Flour lb.</v>
      </c>
      <c r="B212" t="str">
        <f ca="1">IFERROR(__xludf.DUMMYFUNCTION("""COMPUTED_VALUE"""),"Trade good, PHB")</f>
        <v>Trade good, PHB</v>
      </c>
      <c r="C212">
        <f ca="1">IFERROR(__xludf.DUMMYFUNCTION("""COMPUTED_VALUE"""),0.05)</f>
        <v>0.05</v>
      </c>
      <c r="D212">
        <f ca="1">IFERROR(__xludf.DUMMYFUNCTION("""COMPUTED_VALUE"""),0.075)</f>
        <v>7.4999999999999997E-2</v>
      </c>
      <c r="E212">
        <f ca="1">IFERROR(__xludf.DUMMYFUNCTION("""COMPUTED_VALUE"""),0.15)</f>
        <v>0.15</v>
      </c>
      <c r="F212">
        <f ca="1">IFERROR(__xludf.DUMMYFUNCTION("""COMPUTED_VALUE"""),0.3)</f>
        <v>0.3</v>
      </c>
    </row>
    <row r="213" spans="1:6" ht="12.75" x14ac:dyDescent="0.2">
      <c r="A213" t="str">
        <f ca="1">IFERROR(__xludf.DUMMYFUNCTION("""COMPUTED_VALUE"""),"Ginger lb.")</f>
        <v>Ginger lb.</v>
      </c>
      <c r="B213" t="str">
        <f ca="1">IFERROR(__xludf.DUMMYFUNCTION("""COMPUTED_VALUE"""),"Trade good, PHB")</f>
        <v>Trade good, PHB</v>
      </c>
      <c r="C213">
        <f ca="1">IFERROR(__xludf.DUMMYFUNCTION("""COMPUTED_VALUE"""),0.15)</f>
        <v>0.15</v>
      </c>
      <c r="D213">
        <f ca="1">IFERROR(__xludf.DUMMYFUNCTION("""COMPUTED_VALUE"""),0.224999999999999)</f>
        <v>0.22499999999999901</v>
      </c>
      <c r="E213">
        <f ca="1">IFERROR(__xludf.DUMMYFUNCTION("""COMPUTED_VALUE"""),0.449999999999999)</f>
        <v>0.44999999999999901</v>
      </c>
      <c r="F213">
        <f ca="1">IFERROR(__xludf.DUMMYFUNCTION("""COMPUTED_VALUE"""),0.899999999999999)</f>
        <v>0.89999999999999902</v>
      </c>
    </row>
    <row r="214" spans="1:6" ht="12.75" x14ac:dyDescent="0.2">
      <c r="A214" t="str">
        <f ca="1">IFERROR(__xludf.DUMMYFUNCTION("""COMPUTED_VALUE"""),"Gold lb.")</f>
        <v>Gold lb.</v>
      </c>
      <c r="B214" t="str">
        <f ca="1">IFERROR(__xludf.DUMMYFUNCTION("""COMPUTED_VALUE"""),"Trade good, PHB")</f>
        <v>Trade good, PHB</v>
      </c>
      <c r="C214">
        <f ca="1">IFERROR(__xludf.DUMMYFUNCTION("""COMPUTED_VALUE"""),10.67)</f>
        <v>10.67</v>
      </c>
      <c r="D214">
        <f ca="1">IFERROR(__xludf.DUMMYFUNCTION("""COMPUTED_VALUE"""),16.005)</f>
        <v>16.004999999999999</v>
      </c>
      <c r="E214">
        <f ca="1">IFERROR(__xludf.DUMMYFUNCTION("""COMPUTED_VALUE"""),32.01)</f>
        <v>32.01</v>
      </c>
      <c r="F214">
        <f ca="1">IFERROR(__xludf.DUMMYFUNCTION("""COMPUTED_VALUE"""),64.02)</f>
        <v>64.02</v>
      </c>
    </row>
    <row r="215" spans="1:6" ht="12.75" x14ac:dyDescent="0.2">
      <c r="A215" t="str">
        <f ca="1">IFERROR(__xludf.DUMMYFUNCTION("""COMPUTED_VALUE"""),"Gold piece")</f>
        <v>Gold piece</v>
      </c>
      <c r="B215" t="str">
        <f ca="1">IFERROR(__xludf.DUMMYFUNCTION("""COMPUTED_VALUE"""),"Trade good, PHB")</f>
        <v>Trade good, PHB</v>
      </c>
      <c r="C215">
        <f ca="1">IFERROR(__xludf.DUMMYFUNCTION("""COMPUTED_VALUE"""),1)</f>
        <v>1</v>
      </c>
    </row>
    <row r="216" spans="1:6" ht="12.75" x14ac:dyDescent="0.2">
      <c r="A216" t="str">
        <f ca="1">IFERROR(__xludf.DUMMYFUNCTION("""COMPUTED_VALUE"""),"Iron lb.")</f>
        <v>Iron lb.</v>
      </c>
      <c r="B216" t="str">
        <f ca="1">IFERROR(__xludf.DUMMYFUNCTION("""COMPUTED_VALUE"""),"Trade good, PHB")</f>
        <v>Trade good, PHB</v>
      </c>
      <c r="C216">
        <f ca="1">IFERROR(__xludf.DUMMYFUNCTION("""COMPUTED_VALUE"""),0.044)</f>
        <v>4.3999999999999997E-2</v>
      </c>
      <c r="D216">
        <f ca="1">IFERROR(__xludf.DUMMYFUNCTION("""COMPUTED_VALUE"""),0.066)</f>
        <v>6.6000000000000003E-2</v>
      </c>
      <c r="E216">
        <f ca="1">IFERROR(__xludf.DUMMYFUNCTION("""COMPUTED_VALUE"""),0.132)</f>
        <v>0.13200000000000001</v>
      </c>
      <c r="F216">
        <f ca="1">IFERROR(__xludf.DUMMYFUNCTION("""COMPUTED_VALUE"""),0.264)</f>
        <v>0.26400000000000001</v>
      </c>
    </row>
    <row r="217" spans="1:6" ht="12.75" x14ac:dyDescent="0.2">
      <c r="A217" t="str">
        <f ca="1">IFERROR(__xludf.DUMMYFUNCTION("""COMPUTED_VALUE"""),"Linen yd.")</f>
        <v>Linen yd.</v>
      </c>
      <c r="B217" t="str">
        <f ca="1">IFERROR(__xludf.DUMMYFUNCTION("""COMPUTED_VALUE"""),"Trade good, PHB")</f>
        <v>Trade good, PHB</v>
      </c>
      <c r="C217">
        <f ca="1">IFERROR(__xludf.DUMMYFUNCTION("""COMPUTED_VALUE"""),0.38)</f>
        <v>0.38</v>
      </c>
      <c r="D217">
        <f ca="1">IFERROR(__xludf.DUMMYFUNCTION("""COMPUTED_VALUE"""),0.57)</f>
        <v>0.56999999999999995</v>
      </c>
      <c r="E217">
        <f ca="1">IFERROR(__xludf.DUMMYFUNCTION("""COMPUTED_VALUE"""),1.14)</f>
        <v>1.1399999999999999</v>
      </c>
      <c r="F217">
        <f ca="1">IFERROR(__xludf.DUMMYFUNCTION("""COMPUTED_VALUE"""),2.28)</f>
        <v>2.2799999999999998</v>
      </c>
    </row>
    <row r="218" spans="1:6" ht="12.75" x14ac:dyDescent="0.2">
      <c r="A218" t="str">
        <f ca="1">IFERROR(__xludf.DUMMYFUNCTION("""COMPUTED_VALUE"""),"Pepper lb.")</f>
        <v>Pepper lb.</v>
      </c>
      <c r="B218" t="str">
        <f ca="1">IFERROR(__xludf.DUMMYFUNCTION("""COMPUTED_VALUE"""),"Trade good, PHB")</f>
        <v>Trade good, PHB</v>
      </c>
      <c r="C218">
        <f ca="1">IFERROR(__xludf.DUMMYFUNCTION("""COMPUTED_VALUE"""),0.6)</f>
        <v>0.6</v>
      </c>
      <c r="D218">
        <f ca="1">IFERROR(__xludf.DUMMYFUNCTION("""COMPUTED_VALUE"""),0.899999999999999)</f>
        <v>0.89999999999999902</v>
      </c>
      <c r="E218">
        <f ca="1">IFERROR(__xludf.DUMMYFUNCTION("""COMPUTED_VALUE"""),1.79999999999999)</f>
        <v>1.7999999999999901</v>
      </c>
      <c r="F218">
        <f ca="1">IFERROR(__xludf.DUMMYFUNCTION("""COMPUTED_VALUE"""),3.59999999999999)</f>
        <v>3.5999999999999899</v>
      </c>
    </row>
    <row r="219" spans="1:6" ht="12.75" x14ac:dyDescent="0.2">
      <c r="A219" t="str">
        <f ca="1">IFERROR(__xludf.DUMMYFUNCTION("""COMPUTED_VALUE"""),"Platinum lb.")</f>
        <v>Platinum lb.</v>
      </c>
      <c r="B219" t="str">
        <f ca="1">IFERROR(__xludf.DUMMYFUNCTION("""COMPUTED_VALUE"""),"Trade good, PHB")</f>
        <v>Trade good, PHB</v>
      </c>
      <c r="C219">
        <f ca="1">IFERROR(__xludf.DUMMYFUNCTION("""COMPUTED_VALUE"""),100)</f>
        <v>100</v>
      </c>
      <c r="D219">
        <f ca="1">IFERROR(__xludf.DUMMYFUNCTION("""COMPUTED_VALUE"""),150)</f>
        <v>150</v>
      </c>
      <c r="E219">
        <f ca="1">IFERROR(__xludf.DUMMYFUNCTION("""COMPUTED_VALUE"""),300)</f>
        <v>300</v>
      </c>
      <c r="F219">
        <f ca="1">IFERROR(__xludf.DUMMYFUNCTION("""COMPUTED_VALUE"""),600)</f>
        <v>600</v>
      </c>
    </row>
    <row r="220" spans="1:6" ht="12.75" x14ac:dyDescent="0.2">
      <c r="A220" t="str">
        <f ca="1">IFERROR(__xludf.DUMMYFUNCTION("""COMPUTED_VALUE"""),"Platinum piece")</f>
        <v>Platinum piece</v>
      </c>
      <c r="B220" t="str">
        <f ca="1">IFERROR(__xludf.DUMMYFUNCTION("""COMPUTED_VALUE"""),"Trade good, PHB")</f>
        <v>Trade good, PHB</v>
      </c>
      <c r="C220">
        <f ca="1">IFERROR(__xludf.DUMMYFUNCTION("""COMPUTED_VALUE"""),10)</f>
        <v>10</v>
      </c>
    </row>
    <row r="221" spans="1:6" ht="12.75" x14ac:dyDescent="0.2">
      <c r="A221" t="str">
        <f ca="1">IFERROR(__xludf.DUMMYFUNCTION("""COMPUTED_VALUE"""),"Saffron lb.")</f>
        <v>Saffron lb.</v>
      </c>
      <c r="B221" t="str">
        <f ca="1">IFERROR(__xludf.DUMMYFUNCTION("""COMPUTED_VALUE"""),"Trade good, PHB")</f>
        <v>Trade good, PHB</v>
      </c>
      <c r="C221">
        <f ca="1">IFERROR(__xludf.DUMMYFUNCTION("""COMPUTED_VALUE"""),16)</f>
        <v>16</v>
      </c>
      <c r="D221">
        <f ca="1">IFERROR(__xludf.DUMMYFUNCTION("""COMPUTED_VALUE"""),24)</f>
        <v>24</v>
      </c>
      <c r="E221">
        <f ca="1">IFERROR(__xludf.DUMMYFUNCTION("""COMPUTED_VALUE"""),48)</f>
        <v>48</v>
      </c>
      <c r="F221">
        <f ca="1">IFERROR(__xludf.DUMMYFUNCTION("""COMPUTED_VALUE"""),96)</f>
        <v>96</v>
      </c>
    </row>
    <row r="222" spans="1:6" ht="12.75" x14ac:dyDescent="0.2">
      <c r="A222" t="str">
        <f ca="1">IFERROR(__xludf.DUMMYFUNCTION("""COMPUTED_VALUE"""),"Silk yd.")</f>
        <v>Silk yd.</v>
      </c>
      <c r="B222" t="str">
        <f ca="1">IFERROR(__xludf.DUMMYFUNCTION("""COMPUTED_VALUE"""),"Trade good, PHB")</f>
        <v>Trade good, PHB</v>
      </c>
      <c r="C222">
        <f ca="1">IFERROR(__xludf.DUMMYFUNCTION("""COMPUTED_VALUE"""),3.3)</f>
        <v>3.3</v>
      </c>
      <c r="D222">
        <f ca="1">IFERROR(__xludf.DUMMYFUNCTION("""COMPUTED_VALUE"""),4.94999999999999)</f>
        <v>4.9499999999999904</v>
      </c>
      <c r="E222">
        <f ca="1">IFERROR(__xludf.DUMMYFUNCTION("""COMPUTED_VALUE"""),9.89999999999999)</f>
        <v>9.8999999999999897</v>
      </c>
      <c r="F222">
        <f ca="1">IFERROR(__xludf.DUMMYFUNCTION("""COMPUTED_VALUE"""),19.7999999999999)</f>
        <v>19.799999999999901</v>
      </c>
    </row>
    <row r="223" spans="1:6" ht="12.75" x14ac:dyDescent="0.2">
      <c r="A223" t="str">
        <f ca="1">IFERROR(__xludf.DUMMYFUNCTION("""COMPUTED_VALUE"""),"Silver lb.")</f>
        <v>Silver lb.</v>
      </c>
      <c r="B223" t="str">
        <f ca="1">IFERROR(__xludf.DUMMYFUNCTION("""COMPUTED_VALUE"""),"Trade good, PHB")</f>
        <v>Trade good, PHB</v>
      </c>
      <c r="C223">
        <f ca="1">IFERROR(__xludf.DUMMYFUNCTION("""COMPUTED_VALUE"""),1.23)</f>
        <v>1.23</v>
      </c>
      <c r="D223">
        <f ca="1">IFERROR(__xludf.DUMMYFUNCTION("""COMPUTED_VALUE"""),1.845)</f>
        <v>1.845</v>
      </c>
      <c r="E223">
        <f ca="1">IFERROR(__xludf.DUMMYFUNCTION("""COMPUTED_VALUE"""),3.69)</f>
        <v>3.69</v>
      </c>
      <c r="F223">
        <f ca="1">IFERROR(__xludf.DUMMYFUNCTION("""COMPUTED_VALUE"""),7.38)</f>
        <v>7.38</v>
      </c>
    </row>
    <row r="224" spans="1:6" ht="12.75" x14ac:dyDescent="0.2">
      <c r="A224" t="str">
        <f ca="1">IFERROR(__xludf.DUMMYFUNCTION("""COMPUTED_VALUE"""),"Silver piece")</f>
        <v>Silver piece</v>
      </c>
      <c r="B224" t="str">
        <f ca="1">IFERROR(__xludf.DUMMYFUNCTION("""COMPUTED_VALUE"""),"Trade good, PHB")</f>
        <v>Trade good, PHB</v>
      </c>
      <c r="C224">
        <f ca="1">IFERROR(__xludf.DUMMYFUNCTION("""COMPUTED_VALUE"""),0.1)</f>
        <v>0.1</v>
      </c>
    </row>
    <row r="225" spans="1:7" ht="12.75" x14ac:dyDescent="0.2">
      <c r="A225" t="str">
        <f ca="1">IFERROR(__xludf.DUMMYFUNCTION("""COMPUTED_VALUE"""),"Wheat lb. (grain)")</f>
        <v>Wheat lb. (grain)</v>
      </c>
      <c r="B225" t="str">
        <f ca="1">IFERROR(__xludf.DUMMYFUNCTION("""COMPUTED_VALUE"""),"Trade good, PHB")</f>
        <v>Trade good, PHB</v>
      </c>
      <c r="C225">
        <f ca="1">IFERROR(__xludf.DUMMYFUNCTION("""COMPUTED_VALUE"""),0.03)</f>
        <v>0.03</v>
      </c>
      <c r="D225">
        <f ca="1">IFERROR(__xludf.DUMMYFUNCTION("""COMPUTED_VALUE"""),0.045)</f>
        <v>4.4999999999999998E-2</v>
      </c>
      <c r="E225">
        <f ca="1">IFERROR(__xludf.DUMMYFUNCTION("""COMPUTED_VALUE"""),0.09)</f>
        <v>0.09</v>
      </c>
      <c r="F225">
        <f ca="1">IFERROR(__xludf.DUMMYFUNCTION("""COMPUTED_VALUE"""),0.18)</f>
        <v>0.18</v>
      </c>
    </row>
    <row r="226" spans="1:7" ht="12.75" x14ac:dyDescent="0.2">
      <c r="A226" t="str">
        <f ca="1">IFERROR(__xludf.DUMMYFUNCTION("""COMPUTED_VALUE"""),"Mithral ammunition")</f>
        <v>Mithral ammunition</v>
      </c>
      <c r="B226" t="str">
        <f ca="1">IFERROR(__xludf.DUMMYFUNCTION("""COMPUTED_VALUE"""),"Weap")</f>
        <v>Weap</v>
      </c>
      <c r="G226" t="str">
        <f ca="1">IFERROR(__xludf.DUMMYFUNCTION("""COMPUTED_VALUE"""),"Price is four times the cost of the ammunition + 1/4th of its weight in lbs. of mithral. Does not count as magical ammunition.")</f>
        <v>Price is four times the cost of the ammunition + 1/4th of its weight in lbs. of mithral. Does not count as magical ammunition.</v>
      </c>
    </row>
    <row r="227" spans="1:7" ht="12.75" x14ac:dyDescent="0.2">
      <c r="A227" t="str">
        <f ca="1">IFERROR(__xludf.DUMMYFUNCTION("""COMPUTED_VALUE"""),"Adamantine ammunition")</f>
        <v>Adamantine ammunition</v>
      </c>
      <c r="B227" t="str">
        <f ca="1">IFERROR(__xludf.DUMMYFUNCTION("""COMPUTED_VALUE"""),"Weapons")</f>
        <v>Weapons</v>
      </c>
      <c r="G227" t="str">
        <f ca="1">IFERROR(__xludf.DUMMYFUNCTION("""COMPUTED_VALUE"""),"Price is four times the cost of the ammunition + its weight in lbs. of adamantine. Does not count as magical ammunition.")</f>
        <v>Price is four times the cost of the ammunition + its weight in lbs. of adamantine. Does not count as magical ammunition.</v>
      </c>
    </row>
    <row r="228" spans="1:7" ht="12.75" x14ac:dyDescent="0.2">
      <c r="A228" t="str">
        <f ca="1">IFERROR(__xludf.DUMMYFUNCTION("""COMPUTED_VALUE"""),"Adamantine weapon")</f>
        <v>Adamantine weapon</v>
      </c>
      <c r="B228" t="str">
        <f ca="1">IFERROR(__xludf.DUMMYFUNCTION("""COMPUTED_VALUE"""),"Weapons")</f>
        <v>Weapons</v>
      </c>
      <c r="G228" t="str">
        <f ca="1">IFERROR(__xludf.DUMMYFUNCTION("""COMPUTED_VALUE"""),"Price is four times the cost of the armor + its weight in lbs. of adamantine. Does not count as a magical weapon.")</f>
        <v>Price is four times the cost of the armor + its weight in lbs. of adamantine. Does not count as a magical weapon.</v>
      </c>
    </row>
    <row r="229" spans="1:7" ht="12.75" x14ac:dyDescent="0.2">
      <c r="A229" t="str">
        <f ca="1">IFERROR(__xludf.DUMMYFUNCTION("""COMPUTED_VALUE"""),"Mithral weapon")</f>
        <v>Mithral weapon</v>
      </c>
      <c r="B229" t="str">
        <f ca="1">IFERROR(__xludf.DUMMYFUNCTION("""COMPUTED_VALUE"""),"Weapons")</f>
        <v>Weapons</v>
      </c>
      <c r="G229" t="str">
        <f ca="1">IFERROR(__xludf.DUMMYFUNCTION("""COMPUTED_VALUE"""),"Price is four times the cost of the weapon + 1/4th of its weight in lbs. of mithral. Does not count as a magical weapon.")</f>
        <v>Price is four times the cost of the weapon + 1/4th of its weight in lbs. of mithral. Does not count as a magical weapon.</v>
      </c>
    </row>
    <row r="230" spans="1:7" ht="12.75" x14ac:dyDescent="0.2">
      <c r="A230" t="str">
        <f ca="1">IFERROR(__xludf.DUMMYFUNCTION("""COMPUTED_VALUE"""),"Silver ammunition")</f>
        <v>Silver ammunition</v>
      </c>
      <c r="B230" t="str">
        <f ca="1">IFERROR(__xludf.DUMMYFUNCTION("""COMPUTED_VALUE"""),"Weapons")</f>
        <v>Weapons</v>
      </c>
      <c r="G230" t="str">
        <f ca="1">IFERROR(__xludf.DUMMYFUNCTION("""COMPUTED_VALUE"""),"Price is two times the cost of the ammunition + its weight in lbs. of silver.")</f>
        <v>Price is two times the cost of the ammunition + its weight in lbs. of silver.</v>
      </c>
    </row>
    <row r="231" spans="1:7" ht="12.75" x14ac:dyDescent="0.2">
      <c r="A231" t="str">
        <f ca="1">IFERROR(__xludf.DUMMYFUNCTION("""COMPUTED_VALUE"""),"Silver weapon")</f>
        <v>Silver weapon</v>
      </c>
      <c r="B231" t="str">
        <f ca="1">IFERROR(__xludf.DUMMYFUNCTION("""COMPUTED_VALUE"""),"Weapons")</f>
        <v>Weapons</v>
      </c>
      <c r="G231" t="str">
        <f ca="1">IFERROR(__xludf.DUMMYFUNCTION("""COMPUTED_VALUE"""),"Price is two times the cost of the weapon + 1/2th of its weight in lbs. of silver")</f>
        <v>Price is two times the cost of the weapon + 1/2th of its weight in lbs. of silver</v>
      </c>
    </row>
    <row r="232" spans="1:7" ht="12.75" x14ac:dyDescent="0.2">
      <c r="A232" t="str">
        <f ca="1">IFERROR(__xludf.DUMMYFUNCTION("""COMPUTED_VALUE"""),"Battleaxe")</f>
        <v>Battleaxe</v>
      </c>
      <c r="B232" t="str">
        <f ca="1">IFERROR(__xludf.DUMMYFUNCTION("""COMPUTED_VALUE"""),"Weapons, PHB")</f>
        <v>Weapons, PHB</v>
      </c>
      <c r="C232">
        <f ca="1">IFERROR(__xludf.DUMMYFUNCTION("""COMPUTED_VALUE"""),9)</f>
        <v>9</v>
      </c>
      <c r="D232">
        <f ca="1">IFERROR(__xludf.DUMMYFUNCTION("""COMPUTED_VALUE"""),13.5)</f>
        <v>13.5</v>
      </c>
      <c r="E232">
        <f ca="1">IFERROR(__xludf.DUMMYFUNCTION("""COMPUTED_VALUE"""),27)</f>
        <v>27</v>
      </c>
      <c r="F232">
        <f ca="1">IFERROR(__xludf.DUMMYFUNCTION("""COMPUTED_VALUE"""),54)</f>
        <v>54</v>
      </c>
    </row>
    <row r="233" spans="1:7" ht="12.75" x14ac:dyDescent="0.2">
      <c r="A233" t="str">
        <f ca="1">IFERROR(__xludf.DUMMYFUNCTION("""COMPUTED_VALUE"""),"Blowgun")</f>
        <v>Blowgun</v>
      </c>
      <c r="B233" t="str">
        <f ca="1">IFERROR(__xludf.DUMMYFUNCTION("""COMPUTED_VALUE"""),"Weapons, PHB")</f>
        <v>Weapons, PHB</v>
      </c>
      <c r="C233">
        <f ca="1">IFERROR(__xludf.DUMMYFUNCTION("""COMPUTED_VALUE"""),0.4)</f>
        <v>0.4</v>
      </c>
      <c r="D233">
        <f ca="1">IFERROR(__xludf.DUMMYFUNCTION("""COMPUTED_VALUE"""),0.6)</f>
        <v>0.6</v>
      </c>
      <c r="E233">
        <f ca="1">IFERROR(__xludf.DUMMYFUNCTION("""COMPUTED_VALUE"""),1.2)</f>
        <v>1.2</v>
      </c>
      <c r="F233">
        <f ca="1">IFERROR(__xludf.DUMMYFUNCTION("""COMPUTED_VALUE"""),2.4)</f>
        <v>2.4</v>
      </c>
    </row>
    <row r="234" spans="1:7" ht="12.75" x14ac:dyDescent="0.2">
      <c r="A234" t="str">
        <f ca="1">IFERROR(__xludf.DUMMYFUNCTION("""COMPUTED_VALUE"""),"Club")</f>
        <v>Club</v>
      </c>
      <c r="B234" t="str">
        <f ca="1">IFERROR(__xludf.DUMMYFUNCTION("""COMPUTED_VALUE"""),"Weapons, PHB")</f>
        <v>Weapons, PHB</v>
      </c>
      <c r="C234">
        <f ca="1">IFERROR(__xludf.DUMMYFUNCTION("""COMPUTED_VALUE"""),0.5)</f>
        <v>0.5</v>
      </c>
      <c r="D234">
        <f ca="1">IFERROR(__xludf.DUMMYFUNCTION("""COMPUTED_VALUE"""),0.75)</f>
        <v>0.75</v>
      </c>
      <c r="E234">
        <f ca="1">IFERROR(__xludf.DUMMYFUNCTION("""COMPUTED_VALUE"""),1.5)</f>
        <v>1.5</v>
      </c>
      <c r="F234">
        <f ca="1">IFERROR(__xludf.DUMMYFUNCTION("""COMPUTED_VALUE"""),3)</f>
        <v>3</v>
      </c>
    </row>
    <row r="235" spans="1:7" ht="12.75" x14ac:dyDescent="0.2">
      <c r="A235" t="str">
        <f ca="1">IFERROR(__xludf.DUMMYFUNCTION("""COMPUTED_VALUE"""),"Dagger")</f>
        <v>Dagger</v>
      </c>
      <c r="B235" t="str">
        <f ca="1">IFERROR(__xludf.DUMMYFUNCTION("""COMPUTED_VALUE"""),"Weapons, PHB")</f>
        <v>Weapons, PHB</v>
      </c>
      <c r="C235">
        <f ca="1">IFERROR(__xludf.DUMMYFUNCTION("""COMPUTED_VALUE"""),1.2)</f>
        <v>1.2</v>
      </c>
      <c r="D235">
        <f ca="1">IFERROR(__xludf.DUMMYFUNCTION("""COMPUTED_VALUE"""),1.79999999999999)</f>
        <v>1.7999999999999901</v>
      </c>
      <c r="E235">
        <f ca="1">IFERROR(__xludf.DUMMYFUNCTION("""COMPUTED_VALUE"""),3.59999999999999)</f>
        <v>3.5999999999999899</v>
      </c>
      <c r="F235">
        <f ca="1">IFERROR(__xludf.DUMMYFUNCTION("""COMPUTED_VALUE"""),7.19999999999999)</f>
        <v>7.1999999999999904</v>
      </c>
    </row>
    <row r="236" spans="1:7" ht="12.75" x14ac:dyDescent="0.2">
      <c r="A236" t="str">
        <f ca="1">IFERROR(__xludf.DUMMYFUNCTION("""COMPUTED_VALUE"""),"Dart")</f>
        <v>Dart</v>
      </c>
      <c r="B236" t="str">
        <f ca="1">IFERROR(__xludf.DUMMYFUNCTION("""COMPUTED_VALUE"""),"Weapons, PHB")</f>
        <v>Weapons, PHB</v>
      </c>
      <c r="C236">
        <f ca="1">IFERROR(__xludf.DUMMYFUNCTION("""COMPUTED_VALUE"""),0.05)</f>
        <v>0.05</v>
      </c>
      <c r="D236">
        <f ca="1">IFERROR(__xludf.DUMMYFUNCTION("""COMPUTED_VALUE"""),0.075)</f>
        <v>7.4999999999999997E-2</v>
      </c>
      <c r="E236">
        <f ca="1">IFERROR(__xludf.DUMMYFUNCTION("""COMPUTED_VALUE"""),0.15)</f>
        <v>0.15</v>
      </c>
      <c r="F236">
        <f ca="1">IFERROR(__xludf.DUMMYFUNCTION("""COMPUTED_VALUE"""),0.3)</f>
        <v>0.3</v>
      </c>
    </row>
    <row r="237" spans="1:7" ht="12.75" x14ac:dyDescent="0.2">
      <c r="A237" t="str">
        <f ca="1">IFERROR(__xludf.DUMMYFUNCTION("""COMPUTED_VALUE"""),"Flail")</f>
        <v>Flail</v>
      </c>
      <c r="B237" t="str">
        <f ca="1">IFERROR(__xludf.DUMMYFUNCTION("""COMPUTED_VALUE"""),"Weapons, PHB")</f>
        <v>Weapons, PHB</v>
      </c>
      <c r="C237">
        <f ca="1">IFERROR(__xludf.DUMMYFUNCTION("""COMPUTED_VALUE"""),3.5)</f>
        <v>3.5</v>
      </c>
      <c r="D237">
        <f ca="1">IFERROR(__xludf.DUMMYFUNCTION("""COMPUTED_VALUE"""),5.25)</f>
        <v>5.25</v>
      </c>
      <c r="E237">
        <f ca="1">IFERROR(__xludf.DUMMYFUNCTION("""COMPUTED_VALUE"""),10.5)</f>
        <v>10.5</v>
      </c>
      <c r="F237">
        <f ca="1">IFERROR(__xludf.DUMMYFUNCTION("""COMPUTED_VALUE"""),21)</f>
        <v>21</v>
      </c>
    </row>
    <row r="238" spans="1:7" ht="12.75" x14ac:dyDescent="0.2">
      <c r="A238" t="str">
        <f ca="1">IFERROR(__xludf.DUMMYFUNCTION("""COMPUTED_VALUE"""),"Glaive")</f>
        <v>Glaive</v>
      </c>
      <c r="B238" t="str">
        <f ca="1">IFERROR(__xludf.DUMMYFUNCTION("""COMPUTED_VALUE"""),"Weapons, PHB")</f>
        <v>Weapons, PHB</v>
      </c>
      <c r="C238">
        <f ca="1">IFERROR(__xludf.DUMMYFUNCTION("""COMPUTED_VALUE"""),11)</f>
        <v>11</v>
      </c>
      <c r="D238">
        <f ca="1">IFERROR(__xludf.DUMMYFUNCTION("""COMPUTED_VALUE"""),16.5)</f>
        <v>16.5</v>
      </c>
      <c r="E238">
        <f ca="1">IFERROR(__xludf.DUMMYFUNCTION("""COMPUTED_VALUE"""),33)</f>
        <v>33</v>
      </c>
      <c r="F238">
        <f ca="1">IFERROR(__xludf.DUMMYFUNCTION("""COMPUTED_VALUE"""),66)</f>
        <v>66</v>
      </c>
    </row>
    <row r="239" spans="1:7" ht="12.75" x14ac:dyDescent="0.2">
      <c r="A239" t="str">
        <f ca="1">IFERROR(__xludf.DUMMYFUNCTION("""COMPUTED_VALUE"""),"Greataxe")</f>
        <v>Greataxe</v>
      </c>
      <c r="B239" t="str">
        <f ca="1">IFERROR(__xludf.DUMMYFUNCTION("""COMPUTED_VALUE"""),"Weapons, PHB")</f>
        <v>Weapons, PHB</v>
      </c>
      <c r="C239">
        <f ca="1">IFERROR(__xludf.DUMMYFUNCTION("""COMPUTED_VALUE"""),12)</f>
        <v>12</v>
      </c>
      <c r="D239">
        <f ca="1">IFERROR(__xludf.DUMMYFUNCTION("""COMPUTED_VALUE"""),18)</f>
        <v>18</v>
      </c>
      <c r="E239">
        <f ca="1">IFERROR(__xludf.DUMMYFUNCTION("""COMPUTED_VALUE"""),36)</f>
        <v>36</v>
      </c>
      <c r="F239">
        <f ca="1">IFERROR(__xludf.DUMMYFUNCTION("""COMPUTED_VALUE"""),72)</f>
        <v>72</v>
      </c>
    </row>
    <row r="240" spans="1:7" ht="12.75" x14ac:dyDescent="0.2">
      <c r="A240" t="str">
        <f ca="1">IFERROR(__xludf.DUMMYFUNCTION("""COMPUTED_VALUE"""),"Greatclub")</f>
        <v>Greatclub</v>
      </c>
      <c r="B240" t="str">
        <f ca="1">IFERROR(__xludf.DUMMYFUNCTION("""COMPUTED_VALUE"""),"Weapons, PHB")</f>
        <v>Weapons, PHB</v>
      </c>
      <c r="C240">
        <f ca="1">IFERROR(__xludf.DUMMYFUNCTION("""COMPUTED_VALUE"""),1)</f>
        <v>1</v>
      </c>
      <c r="D240">
        <f ca="1">IFERROR(__xludf.DUMMYFUNCTION("""COMPUTED_VALUE"""),1.5)</f>
        <v>1.5</v>
      </c>
      <c r="E240">
        <f ca="1">IFERROR(__xludf.DUMMYFUNCTION("""COMPUTED_VALUE"""),3)</f>
        <v>3</v>
      </c>
      <c r="F240">
        <f ca="1">IFERROR(__xludf.DUMMYFUNCTION("""COMPUTED_VALUE"""),6)</f>
        <v>6</v>
      </c>
    </row>
    <row r="241" spans="1:6" ht="12.75" x14ac:dyDescent="0.2">
      <c r="A241" t="str">
        <f ca="1">IFERROR(__xludf.DUMMYFUNCTION("""COMPUTED_VALUE"""),"Greatsword")</f>
        <v>Greatsword</v>
      </c>
      <c r="B241" t="str">
        <f ca="1">IFERROR(__xludf.DUMMYFUNCTION("""COMPUTED_VALUE"""),"Weapons, PHB")</f>
        <v>Weapons, PHB</v>
      </c>
      <c r="C241">
        <f ca="1">IFERROR(__xludf.DUMMYFUNCTION("""COMPUTED_VALUE"""),12)</f>
        <v>12</v>
      </c>
      <c r="D241">
        <f ca="1">IFERROR(__xludf.DUMMYFUNCTION("""COMPUTED_VALUE"""),18)</f>
        <v>18</v>
      </c>
      <c r="E241">
        <f ca="1">IFERROR(__xludf.DUMMYFUNCTION("""COMPUTED_VALUE"""),36)</f>
        <v>36</v>
      </c>
      <c r="F241">
        <f ca="1">IFERROR(__xludf.DUMMYFUNCTION("""COMPUTED_VALUE"""),72)</f>
        <v>72</v>
      </c>
    </row>
    <row r="242" spans="1:6" ht="12.75" x14ac:dyDescent="0.2">
      <c r="A242" t="str">
        <f ca="1">IFERROR(__xludf.DUMMYFUNCTION("""COMPUTED_VALUE"""),"Halberd")</f>
        <v>Halberd</v>
      </c>
      <c r="B242" t="str">
        <f ca="1">IFERROR(__xludf.DUMMYFUNCTION("""COMPUTED_VALUE"""),"Weapons, PHB")</f>
        <v>Weapons, PHB</v>
      </c>
      <c r="C242">
        <f ca="1">IFERROR(__xludf.DUMMYFUNCTION("""COMPUTED_VALUE"""),11)</f>
        <v>11</v>
      </c>
      <c r="D242">
        <f ca="1">IFERROR(__xludf.DUMMYFUNCTION("""COMPUTED_VALUE"""),16.5)</f>
        <v>16.5</v>
      </c>
      <c r="E242">
        <f ca="1">IFERROR(__xludf.DUMMYFUNCTION("""COMPUTED_VALUE"""),33)</f>
        <v>33</v>
      </c>
      <c r="F242">
        <f ca="1">IFERROR(__xludf.DUMMYFUNCTION("""COMPUTED_VALUE"""),66)</f>
        <v>66</v>
      </c>
    </row>
    <row r="243" spans="1:6" ht="12.75" x14ac:dyDescent="0.2">
      <c r="A243" t="str">
        <f ca="1">IFERROR(__xludf.DUMMYFUNCTION("""COMPUTED_VALUE"""),"Handaxe")</f>
        <v>Handaxe</v>
      </c>
      <c r="B243" t="str">
        <f ca="1">IFERROR(__xludf.DUMMYFUNCTION("""COMPUTED_VALUE"""),"Weapons, PHB")</f>
        <v>Weapons, PHB</v>
      </c>
      <c r="C243">
        <f ca="1">IFERROR(__xludf.DUMMYFUNCTION("""COMPUTED_VALUE"""),1.2)</f>
        <v>1.2</v>
      </c>
      <c r="D243">
        <f ca="1">IFERROR(__xludf.DUMMYFUNCTION("""COMPUTED_VALUE"""),1.79999999999999)</f>
        <v>1.7999999999999901</v>
      </c>
      <c r="E243">
        <f ca="1">IFERROR(__xludf.DUMMYFUNCTION("""COMPUTED_VALUE"""),3.59999999999999)</f>
        <v>3.5999999999999899</v>
      </c>
      <c r="F243">
        <f ca="1">IFERROR(__xludf.DUMMYFUNCTION("""COMPUTED_VALUE"""),7.19999999999999)</f>
        <v>7.1999999999999904</v>
      </c>
    </row>
    <row r="244" spans="1:6" ht="12.75" x14ac:dyDescent="0.2">
      <c r="A244" t="str">
        <f ca="1">IFERROR(__xludf.DUMMYFUNCTION("""COMPUTED_VALUE"""),"Javelin")</f>
        <v>Javelin</v>
      </c>
      <c r="B244" t="str">
        <f ca="1">IFERROR(__xludf.DUMMYFUNCTION("""COMPUTED_VALUE"""),"Weapons, PHB")</f>
        <v>Weapons, PHB</v>
      </c>
      <c r="C244">
        <f ca="1">IFERROR(__xludf.DUMMYFUNCTION("""COMPUTED_VALUE"""),2)</f>
        <v>2</v>
      </c>
      <c r="D244">
        <f ca="1">IFERROR(__xludf.DUMMYFUNCTION("""COMPUTED_VALUE"""),3)</f>
        <v>3</v>
      </c>
      <c r="E244">
        <f ca="1">IFERROR(__xludf.DUMMYFUNCTION("""COMPUTED_VALUE"""),6)</f>
        <v>6</v>
      </c>
      <c r="F244">
        <f ca="1">IFERROR(__xludf.DUMMYFUNCTION("""COMPUTED_VALUE"""),12)</f>
        <v>12</v>
      </c>
    </row>
    <row r="245" spans="1:6" ht="12.75" x14ac:dyDescent="0.2">
      <c r="A245" t="str">
        <f ca="1">IFERROR(__xludf.DUMMYFUNCTION("""COMPUTED_VALUE"""),"Lance")</f>
        <v>Lance</v>
      </c>
      <c r="B245" t="str">
        <f ca="1">IFERROR(__xludf.DUMMYFUNCTION("""COMPUTED_VALUE"""),"Weapons, PHB")</f>
        <v>Weapons, PHB</v>
      </c>
      <c r="C245">
        <f ca="1">IFERROR(__xludf.DUMMYFUNCTION("""COMPUTED_VALUE"""),6)</f>
        <v>6</v>
      </c>
      <c r="D245">
        <f ca="1">IFERROR(__xludf.DUMMYFUNCTION("""COMPUTED_VALUE"""),9)</f>
        <v>9</v>
      </c>
      <c r="E245">
        <f ca="1">IFERROR(__xludf.DUMMYFUNCTION("""COMPUTED_VALUE"""),18)</f>
        <v>18</v>
      </c>
      <c r="F245">
        <f ca="1">IFERROR(__xludf.DUMMYFUNCTION("""COMPUTED_VALUE"""),36)</f>
        <v>36</v>
      </c>
    </row>
    <row r="246" spans="1:6" ht="12.75" x14ac:dyDescent="0.2">
      <c r="A246" t="str">
        <f ca="1">IFERROR(__xludf.DUMMYFUNCTION("""COMPUTED_VALUE"""),"Light hammer")</f>
        <v>Light hammer</v>
      </c>
      <c r="B246" t="str">
        <f ca="1">IFERROR(__xludf.DUMMYFUNCTION("""COMPUTED_VALUE"""),"Weapons, PHB")</f>
        <v>Weapons, PHB</v>
      </c>
      <c r="C246">
        <f ca="1">IFERROR(__xludf.DUMMYFUNCTION("""COMPUTED_VALUE"""),0.5)</f>
        <v>0.5</v>
      </c>
      <c r="D246">
        <f ca="1">IFERROR(__xludf.DUMMYFUNCTION("""COMPUTED_VALUE"""),0.75)</f>
        <v>0.75</v>
      </c>
      <c r="E246">
        <f ca="1">IFERROR(__xludf.DUMMYFUNCTION("""COMPUTED_VALUE"""),1.5)</f>
        <v>1.5</v>
      </c>
      <c r="F246">
        <f ca="1">IFERROR(__xludf.DUMMYFUNCTION("""COMPUTED_VALUE"""),3)</f>
        <v>3</v>
      </c>
    </row>
    <row r="247" spans="1:6" ht="12.75" x14ac:dyDescent="0.2">
      <c r="A247" t="str">
        <f ca="1">IFERROR(__xludf.DUMMYFUNCTION("""COMPUTED_VALUE"""),"Longbow")</f>
        <v>Longbow</v>
      </c>
      <c r="B247" t="str">
        <f ca="1">IFERROR(__xludf.DUMMYFUNCTION("""COMPUTED_VALUE"""),"Weapons, PHB")</f>
        <v>Weapons, PHB</v>
      </c>
      <c r="C247">
        <f ca="1">IFERROR(__xludf.DUMMYFUNCTION("""COMPUTED_VALUE"""),6)</f>
        <v>6</v>
      </c>
      <c r="D247">
        <f ca="1">IFERROR(__xludf.DUMMYFUNCTION("""COMPUTED_VALUE"""),9)</f>
        <v>9</v>
      </c>
      <c r="E247">
        <f ca="1">IFERROR(__xludf.DUMMYFUNCTION("""COMPUTED_VALUE"""),18)</f>
        <v>18</v>
      </c>
      <c r="F247">
        <f ca="1">IFERROR(__xludf.DUMMYFUNCTION("""COMPUTED_VALUE"""),36)</f>
        <v>36</v>
      </c>
    </row>
    <row r="248" spans="1:6" ht="12.75" x14ac:dyDescent="0.2">
      <c r="A248" t="str">
        <f ca="1">IFERROR(__xludf.DUMMYFUNCTION("""COMPUTED_VALUE"""),"Longsword")</f>
        <v>Longsword</v>
      </c>
      <c r="B248" t="str">
        <f ca="1">IFERROR(__xludf.DUMMYFUNCTION("""COMPUTED_VALUE"""),"Weapons, PHB")</f>
        <v>Weapons, PHB</v>
      </c>
      <c r="C248">
        <f ca="1">IFERROR(__xludf.DUMMYFUNCTION("""COMPUTED_VALUE"""),7.5)</f>
        <v>7.5</v>
      </c>
      <c r="D248">
        <f ca="1">IFERROR(__xludf.DUMMYFUNCTION("""COMPUTED_VALUE"""),11.25)</f>
        <v>11.25</v>
      </c>
      <c r="E248">
        <f ca="1">IFERROR(__xludf.DUMMYFUNCTION("""COMPUTED_VALUE"""),22.5)</f>
        <v>22.5</v>
      </c>
      <c r="F248">
        <f ca="1">IFERROR(__xludf.DUMMYFUNCTION("""COMPUTED_VALUE"""),45)</f>
        <v>45</v>
      </c>
    </row>
    <row r="249" spans="1:6" ht="12.75" x14ac:dyDescent="0.2">
      <c r="A249" t="str">
        <f ca="1">IFERROR(__xludf.DUMMYFUNCTION("""COMPUTED_VALUE"""),"Mace")</f>
        <v>Mace</v>
      </c>
      <c r="B249" t="str">
        <f ca="1">IFERROR(__xludf.DUMMYFUNCTION("""COMPUTED_VALUE"""),"Weapons, PHB")</f>
        <v>Weapons, PHB</v>
      </c>
      <c r="C249">
        <f ca="1">IFERROR(__xludf.DUMMYFUNCTION("""COMPUTED_VALUE"""),2)</f>
        <v>2</v>
      </c>
      <c r="D249">
        <f ca="1">IFERROR(__xludf.DUMMYFUNCTION("""COMPUTED_VALUE"""),3)</f>
        <v>3</v>
      </c>
      <c r="E249">
        <f ca="1">IFERROR(__xludf.DUMMYFUNCTION("""COMPUTED_VALUE"""),6)</f>
        <v>6</v>
      </c>
      <c r="F249">
        <f ca="1">IFERROR(__xludf.DUMMYFUNCTION("""COMPUTED_VALUE"""),12)</f>
        <v>12</v>
      </c>
    </row>
    <row r="250" spans="1:6" ht="12.75" x14ac:dyDescent="0.2">
      <c r="A250" t="str">
        <f ca="1">IFERROR(__xludf.DUMMYFUNCTION("""COMPUTED_VALUE"""),"Maul")</f>
        <v>Maul</v>
      </c>
      <c r="B250" t="str">
        <f ca="1">IFERROR(__xludf.DUMMYFUNCTION("""COMPUTED_VALUE"""),"Weapons, PHB")</f>
        <v>Weapons, PHB</v>
      </c>
      <c r="C250">
        <f ca="1">IFERROR(__xludf.DUMMYFUNCTION("""COMPUTED_VALUE"""),4)</f>
        <v>4</v>
      </c>
      <c r="D250">
        <f ca="1">IFERROR(__xludf.DUMMYFUNCTION("""COMPUTED_VALUE"""),6)</f>
        <v>6</v>
      </c>
      <c r="E250">
        <f ca="1">IFERROR(__xludf.DUMMYFUNCTION("""COMPUTED_VALUE"""),12)</f>
        <v>12</v>
      </c>
      <c r="F250">
        <f ca="1">IFERROR(__xludf.DUMMYFUNCTION("""COMPUTED_VALUE"""),24)</f>
        <v>24</v>
      </c>
    </row>
    <row r="251" spans="1:6" ht="12.75" x14ac:dyDescent="0.2">
      <c r="A251" t="str">
        <f ca="1">IFERROR(__xludf.DUMMYFUNCTION("""COMPUTED_VALUE"""),"Morningstar")</f>
        <v>Morningstar</v>
      </c>
      <c r="B251" t="str">
        <f ca="1">IFERROR(__xludf.DUMMYFUNCTION("""COMPUTED_VALUE"""),"Weapons, PHB")</f>
        <v>Weapons, PHB</v>
      </c>
      <c r="C251">
        <f ca="1">IFERROR(__xludf.DUMMYFUNCTION("""COMPUTED_VALUE"""),3)</f>
        <v>3</v>
      </c>
      <c r="D251">
        <f ca="1">IFERROR(__xludf.DUMMYFUNCTION("""COMPUTED_VALUE"""),4.5)</f>
        <v>4.5</v>
      </c>
      <c r="E251">
        <f ca="1">IFERROR(__xludf.DUMMYFUNCTION("""COMPUTED_VALUE"""),9)</f>
        <v>9</v>
      </c>
      <c r="F251">
        <f ca="1">IFERROR(__xludf.DUMMYFUNCTION("""COMPUTED_VALUE"""),18)</f>
        <v>18</v>
      </c>
    </row>
    <row r="252" spans="1:6" ht="12.75" x14ac:dyDescent="0.2">
      <c r="A252" t="str">
        <f ca="1">IFERROR(__xludf.DUMMYFUNCTION("""COMPUTED_VALUE"""),"Net")</f>
        <v>Net</v>
      </c>
      <c r="B252" t="str">
        <f ca="1">IFERROR(__xludf.DUMMYFUNCTION("""COMPUTED_VALUE"""),"Weapons, PHB")</f>
        <v>Weapons, PHB</v>
      </c>
      <c r="C252">
        <f ca="1">IFERROR(__xludf.DUMMYFUNCTION("""COMPUTED_VALUE"""),0.3)</f>
        <v>0.3</v>
      </c>
      <c r="D252">
        <f ca="1">IFERROR(__xludf.DUMMYFUNCTION("""COMPUTED_VALUE"""),0.449999999999999)</f>
        <v>0.44999999999999901</v>
      </c>
      <c r="E252">
        <f ca="1">IFERROR(__xludf.DUMMYFUNCTION("""COMPUTED_VALUE"""),0.899999999999999)</f>
        <v>0.89999999999999902</v>
      </c>
      <c r="F252">
        <f ca="1">IFERROR(__xludf.DUMMYFUNCTION("""COMPUTED_VALUE"""),1.79999999999999)</f>
        <v>1.7999999999999901</v>
      </c>
    </row>
    <row r="253" spans="1:6" ht="12.75" x14ac:dyDescent="0.2">
      <c r="A253" t="str">
        <f ca="1">IFERROR(__xludf.DUMMYFUNCTION("""COMPUTED_VALUE"""),"Pike")</f>
        <v>Pike</v>
      </c>
      <c r="B253" t="str">
        <f ca="1">IFERROR(__xludf.DUMMYFUNCTION("""COMPUTED_VALUE"""),"Weapons, PHB")</f>
        <v>Weapons, PHB</v>
      </c>
      <c r="C253">
        <f ca="1">IFERROR(__xludf.DUMMYFUNCTION("""COMPUTED_VALUE"""),3)</f>
        <v>3</v>
      </c>
      <c r="D253">
        <f ca="1">IFERROR(__xludf.DUMMYFUNCTION("""COMPUTED_VALUE"""),4.5)</f>
        <v>4.5</v>
      </c>
      <c r="E253">
        <f ca="1">IFERROR(__xludf.DUMMYFUNCTION("""COMPUTED_VALUE"""),9)</f>
        <v>9</v>
      </c>
      <c r="F253">
        <f ca="1">IFERROR(__xludf.DUMMYFUNCTION("""COMPUTED_VALUE"""),18)</f>
        <v>18</v>
      </c>
    </row>
    <row r="254" spans="1:6" ht="12.75" x14ac:dyDescent="0.2">
      <c r="A254" t="str">
        <f ca="1">IFERROR(__xludf.DUMMYFUNCTION("""COMPUTED_VALUE"""),"Quarterstaff")</f>
        <v>Quarterstaff</v>
      </c>
      <c r="B254" t="str">
        <f ca="1">IFERROR(__xludf.DUMMYFUNCTION("""COMPUTED_VALUE"""),"Weapons, PHB")</f>
        <v>Weapons, PHB</v>
      </c>
      <c r="C254">
        <f ca="1">IFERROR(__xludf.DUMMYFUNCTION("""COMPUTED_VALUE"""),0.8)</f>
        <v>0.8</v>
      </c>
      <c r="D254">
        <f ca="1">IFERROR(__xludf.DUMMYFUNCTION("""COMPUTED_VALUE"""),1.2)</f>
        <v>1.2</v>
      </c>
      <c r="E254">
        <f ca="1">IFERROR(__xludf.DUMMYFUNCTION("""COMPUTED_VALUE"""),2.4)</f>
        <v>2.4</v>
      </c>
      <c r="F254">
        <f ca="1">IFERROR(__xludf.DUMMYFUNCTION("""COMPUTED_VALUE"""),4.8)</f>
        <v>4.8</v>
      </c>
    </row>
    <row r="255" spans="1:6" ht="12.75" x14ac:dyDescent="0.2">
      <c r="A255" t="str">
        <f ca="1">IFERROR(__xludf.DUMMYFUNCTION("""COMPUTED_VALUE"""),"Rapier")</f>
        <v>Rapier</v>
      </c>
      <c r="B255" t="str">
        <f ca="1">IFERROR(__xludf.DUMMYFUNCTION("""COMPUTED_VALUE"""),"Weapons, PHB")</f>
        <v>Weapons, PHB</v>
      </c>
      <c r="C255">
        <f ca="1">IFERROR(__xludf.DUMMYFUNCTION("""COMPUTED_VALUE"""),7.5)</f>
        <v>7.5</v>
      </c>
      <c r="D255">
        <f ca="1">IFERROR(__xludf.DUMMYFUNCTION("""COMPUTED_VALUE"""),11.25)</f>
        <v>11.25</v>
      </c>
      <c r="E255">
        <f ca="1">IFERROR(__xludf.DUMMYFUNCTION("""COMPUTED_VALUE"""),22.5)</f>
        <v>22.5</v>
      </c>
      <c r="F255">
        <f ca="1">IFERROR(__xludf.DUMMYFUNCTION("""COMPUTED_VALUE"""),45)</f>
        <v>45</v>
      </c>
    </row>
    <row r="256" spans="1:6" ht="12.75" x14ac:dyDescent="0.2">
      <c r="A256" t="str">
        <f ca="1">IFERROR(__xludf.DUMMYFUNCTION("""COMPUTED_VALUE"""),"Scimitar")</f>
        <v>Scimitar</v>
      </c>
      <c r="B256" t="str">
        <f ca="1">IFERROR(__xludf.DUMMYFUNCTION("""COMPUTED_VALUE"""),"Weapons, PHB")</f>
        <v>Weapons, PHB</v>
      </c>
      <c r="C256">
        <f ca="1">IFERROR(__xludf.DUMMYFUNCTION("""COMPUTED_VALUE"""),7.5)</f>
        <v>7.5</v>
      </c>
      <c r="D256">
        <f ca="1">IFERROR(__xludf.DUMMYFUNCTION("""COMPUTED_VALUE"""),11.25)</f>
        <v>11.25</v>
      </c>
      <c r="E256">
        <f ca="1">IFERROR(__xludf.DUMMYFUNCTION("""COMPUTED_VALUE"""),22.5)</f>
        <v>22.5</v>
      </c>
      <c r="F256">
        <f ca="1">IFERROR(__xludf.DUMMYFUNCTION("""COMPUTED_VALUE"""),45)</f>
        <v>45</v>
      </c>
    </row>
    <row r="257" spans="1:6" ht="12.75" x14ac:dyDescent="0.2">
      <c r="A257" t="str">
        <f ca="1">IFERROR(__xludf.DUMMYFUNCTION("""COMPUTED_VALUE"""),"Shortbow")</f>
        <v>Shortbow</v>
      </c>
      <c r="B257" t="str">
        <f ca="1">IFERROR(__xludf.DUMMYFUNCTION("""COMPUTED_VALUE"""),"Weapons, PHB")</f>
        <v>Weapons, PHB</v>
      </c>
      <c r="C257">
        <f ca="1">IFERROR(__xludf.DUMMYFUNCTION("""COMPUTED_VALUE"""),3)</f>
        <v>3</v>
      </c>
      <c r="D257">
        <f ca="1">IFERROR(__xludf.DUMMYFUNCTION("""COMPUTED_VALUE"""),4.5)</f>
        <v>4.5</v>
      </c>
      <c r="E257">
        <f ca="1">IFERROR(__xludf.DUMMYFUNCTION("""COMPUTED_VALUE"""),9)</f>
        <v>9</v>
      </c>
      <c r="F257">
        <f ca="1">IFERROR(__xludf.DUMMYFUNCTION("""COMPUTED_VALUE"""),18)</f>
        <v>18</v>
      </c>
    </row>
    <row r="258" spans="1:6" ht="12.75" x14ac:dyDescent="0.2">
      <c r="A258" t="str">
        <f ca="1">IFERROR(__xludf.DUMMYFUNCTION("""COMPUTED_VALUE"""),"Shortsword")</f>
        <v>Shortsword</v>
      </c>
      <c r="B258" t="str">
        <f ca="1">IFERROR(__xludf.DUMMYFUNCTION("""COMPUTED_VALUE"""),"Weapons, PHB")</f>
        <v>Weapons, PHB</v>
      </c>
      <c r="C258">
        <f ca="1">IFERROR(__xludf.DUMMYFUNCTION("""COMPUTED_VALUE"""),4)</f>
        <v>4</v>
      </c>
      <c r="D258">
        <f ca="1">IFERROR(__xludf.DUMMYFUNCTION("""COMPUTED_VALUE"""),6)</f>
        <v>6</v>
      </c>
      <c r="E258">
        <f ca="1">IFERROR(__xludf.DUMMYFUNCTION("""COMPUTED_VALUE"""),12)</f>
        <v>12</v>
      </c>
      <c r="F258">
        <f ca="1">IFERROR(__xludf.DUMMYFUNCTION("""COMPUTED_VALUE"""),24)</f>
        <v>24</v>
      </c>
    </row>
    <row r="259" spans="1:6" ht="12.75" x14ac:dyDescent="0.2">
      <c r="A259" t="str">
        <f ca="1">IFERROR(__xludf.DUMMYFUNCTION("""COMPUTED_VALUE"""),"Sickle")</f>
        <v>Sickle</v>
      </c>
      <c r="B259" t="str">
        <f ca="1">IFERROR(__xludf.DUMMYFUNCTION("""COMPUTED_VALUE"""),"Weapons, PHB")</f>
        <v>Weapons, PHB</v>
      </c>
      <c r="C259">
        <f ca="1">IFERROR(__xludf.DUMMYFUNCTION("""COMPUTED_VALUE"""),0.9)</f>
        <v>0.9</v>
      </c>
      <c r="D259">
        <f ca="1">IFERROR(__xludf.DUMMYFUNCTION("""COMPUTED_VALUE"""),1.35)</f>
        <v>1.35</v>
      </c>
      <c r="E259">
        <f ca="1">IFERROR(__xludf.DUMMYFUNCTION("""COMPUTED_VALUE"""),2.7)</f>
        <v>2.7</v>
      </c>
      <c r="F259">
        <f ca="1">IFERROR(__xludf.DUMMYFUNCTION("""COMPUTED_VALUE"""),5.4)</f>
        <v>5.4</v>
      </c>
    </row>
    <row r="260" spans="1:6" ht="12.75" x14ac:dyDescent="0.2">
      <c r="A260" t="str">
        <f ca="1">IFERROR(__xludf.DUMMYFUNCTION("""COMPUTED_VALUE"""),"Sling")</f>
        <v>Sling</v>
      </c>
      <c r="B260" t="str">
        <f ca="1">IFERROR(__xludf.DUMMYFUNCTION("""COMPUTED_VALUE"""),"Weapons, PHB")</f>
        <v>Weapons, PHB</v>
      </c>
      <c r="C260">
        <f ca="1">IFERROR(__xludf.DUMMYFUNCTION("""COMPUTED_VALUE"""),0.2)</f>
        <v>0.2</v>
      </c>
      <c r="D260">
        <f ca="1">IFERROR(__xludf.DUMMYFUNCTION("""COMPUTED_VALUE"""),0.3)</f>
        <v>0.3</v>
      </c>
      <c r="E260">
        <f ca="1">IFERROR(__xludf.DUMMYFUNCTION("""COMPUTED_VALUE"""),0.6)</f>
        <v>0.6</v>
      </c>
      <c r="F260">
        <f ca="1">IFERROR(__xludf.DUMMYFUNCTION("""COMPUTED_VALUE"""),1.2)</f>
        <v>1.2</v>
      </c>
    </row>
    <row r="261" spans="1:6" ht="12.75" x14ac:dyDescent="0.2">
      <c r="A261" t="str">
        <f ca="1">IFERROR(__xludf.DUMMYFUNCTION("""COMPUTED_VALUE"""),"Spear")</f>
        <v>Spear</v>
      </c>
      <c r="B261" t="str">
        <f ca="1">IFERROR(__xludf.DUMMYFUNCTION("""COMPUTED_VALUE"""),"Weapons, PHB")</f>
        <v>Weapons, PHB</v>
      </c>
      <c r="C261">
        <f ca="1">IFERROR(__xludf.DUMMYFUNCTION("""COMPUTED_VALUE"""),2)</f>
        <v>2</v>
      </c>
      <c r="D261">
        <f ca="1">IFERROR(__xludf.DUMMYFUNCTION("""COMPUTED_VALUE"""),3)</f>
        <v>3</v>
      </c>
      <c r="E261">
        <f ca="1">IFERROR(__xludf.DUMMYFUNCTION("""COMPUTED_VALUE"""),6)</f>
        <v>6</v>
      </c>
      <c r="F261">
        <f ca="1">IFERROR(__xludf.DUMMYFUNCTION("""COMPUTED_VALUE"""),12)</f>
        <v>12</v>
      </c>
    </row>
    <row r="262" spans="1:6" ht="12.75" x14ac:dyDescent="0.2">
      <c r="A262" t="str">
        <f ca="1">IFERROR(__xludf.DUMMYFUNCTION("""COMPUTED_VALUE"""),"Trident")</f>
        <v>Trident</v>
      </c>
      <c r="B262" t="str">
        <f ca="1">IFERROR(__xludf.DUMMYFUNCTION("""COMPUTED_VALUE"""),"Weapons, PHB")</f>
        <v>Weapons, PHB</v>
      </c>
      <c r="C262">
        <f ca="1">IFERROR(__xludf.DUMMYFUNCTION("""COMPUTED_VALUE"""),11)</f>
        <v>11</v>
      </c>
      <c r="D262">
        <f ca="1">IFERROR(__xludf.DUMMYFUNCTION("""COMPUTED_VALUE"""),16.5)</f>
        <v>16.5</v>
      </c>
      <c r="E262">
        <f ca="1">IFERROR(__xludf.DUMMYFUNCTION("""COMPUTED_VALUE"""),33)</f>
        <v>33</v>
      </c>
      <c r="F262">
        <f ca="1">IFERROR(__xludf.DUMMYFUNCTION("""COMPUTED_VALUE"""),66)</f>
        <v>66</v>
      </c>
    </row>
    <row r="263" spans="1:6" ht="12.75" x14ac:dyDescent="0.2">
      <c r="A263" t="str">
        <f ca="1">IFERROR(__xludf.DUMMYFUNCTION("""COMPUTED_VALUE"""),"War pick")</f>
        <v>War pick</v>
      </c>
      <c r="B263" t="str">
        <f ca="1">IFERROR(__xludf.DUMMYFUNCTION("""COMPUTED_VALUE"""),"Weapons, PHB")</f>
        <v>Weapons, PHB</v>
      </c>
      <c r="C263">
        <f ca="1">IFERROR(__xludf.DUMMYFUNCTION("""COMPUTED_VALUE"""),2)</f>
        <v>2</v>
      </c>
      <c r="D263">
        <f ca="1">IFERROR(__xludf.DUMMYFUNCTION("""COMPUTED_VALUE"""),3)</f>
        <v>3</v>
      </c>
      <c r="E263">
        <f ca="1">IFERROR(__xludf.DUMMYFUNCTION("""COMPUTED_VALUE"""),6)</f>
        <v>6</v>
      </c>
      <c r="F263">
        <f ca="1">IFERROR(__xludf.DUMMYFUNCTION("""COMPUTED_VALUE"""),12)</f>
        <v>12</v>
      </c>
    </row>
    <row r="264" spans="1:6" ht="12.75" x14ac:dyDescent="0.2">
      <c r="A264" t="str">
        <f ca="1">IFERROR(__xludf.DUMMYFUNCTION("""COMPUTED_VALUE"""),"Warhammer")</f>
        <v>Warhammer</v>
      </c>
      <c r="B264" t="str">
        <f ca="1">IFERROR(__xludf.DUMMYFUNCTION("""COMPUTED_VALUE"""),"Weapons, PHB")</f>
        <v>Weapons, PHB</v>
      </c>
      <c r="C264">
        <f ca="1">IFERROR(__xludf.DUMMYFUNCTION("""COMPUTED_VALUE"""),1)</f>
        <v>1</v>
      </c>
      <c r="D264">
        <f ca="1">IFERROR(__xludf.DUMMYFUNCTION("""COMPUTED_VALUE"""),1.5)</f>
        <v>1.5</v>
      </c>
      <c r="E264">
        <f ca="1">IFERROR(__xludf.DUMMYFUNCTION("""COMPUTED_VALUE"""),3)</f>
        <v>3</v>
      </c>
      <c r="F264">
        <f ca="1">IFERROR(__xludf.DUMMYFUNCTION("""COMPUTED_VALUE"""),6)</f>
        <v>6</v>
      </c>
    </row>
    <row r="265" spans="1:6" ht="12.75" x14ac:dyDescent="0.2">
      <c r="A265" t="str">
        <f ca="1">IFERROR(__xludf.DUMMYFUNCTION("""COMPUTED_VALUE"""),"Whip")</f>
        <v>Whip</v>
      </c>
      <c r="B265" t="str">
        <f ca="1">IFERROR(__xludf.DUMMYFUNCTION("""COMPUTED_VALUE"""),"Weapons, PHB")</f>
        <v>Weapons, PHB</v>
      </c>
      <c r="C265">
        <f ca="1">IFERROR(__xludf.DUMMYFUNCTION("""COMPUTED_VALUE"""),1)</f>
        <v>1</v>
      </c>
      <c r="D265">
        <f ca="1">IFERROR(__xludf.DUMMYFUNCTION("""COMPUTED_VALUE"""),1.5)</f>
        <v>1.5</v>
      </c>
      <c r="E265">
        <f ca="1">IFERROR(__xludf.DUMMYFUNCTION("""COMPUTED_VALUE"""),3)</f>
        <v>3</v>
      </c>
      <c r="F265">
        <f ca="1">IFERROR(__xludf.DUMMYFUNCTION("""COMPUTED_VALUE"""),6)</f>
        <v>6</v>
      </c>
    </row>
    <row r="266" spans="1:6" ht="12.75" x14ac:dyDescent="0.2"/>
    <row r="267" spans="1:6" ht="12.75" x14ac:dyDescent="0.2"/>
    <row r="268" spans="1:6" ht="12.75" x14ac:dyDescent="0.2"/>
    <row r="269" spans="1:6" ht="12.75" x14ac:dyDescent="0.2"/>
    <row r="270" spans="1:6" ht="12.75" x14ac:dyDescent="0.2"/>
    <row r="271" spans="1:6" ht="12.75" x14ac:dyDescent="0.2"/>
    <row r="272" spans="1:6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spans="1:1" ht="12.75" x14ac:dyDescent="0.2"/>
    <row r="322" spans="1:1" ht="12.75" x14ac:dyDescent="0.2"/>
    <row r="323" spans="1:1" ht="12.75" x14ac:dyDescent="0.2"/>
    <row r="324" spans="1:1" ht="12.75" x14ac:dyDescent="0.2"/>
    <row r="325" spans="1:1" ht="12.75" x14ac:dyDescent="0.2"/>
    <row r="326" spans="1:1" ht="12.75" x14ac:dyDescent="0.2"/>
    <row r="327" spans="1:1" ht="12.75" x14ac:dyDescent="0.2"/>
    <row r="328" spans="1:1" ht="12.75" x14ac:dyDescent="0.2"/>
    <row r="329" spans="1:1" ht="12.75" x14ac:dyDescent="0.2"/>
    <row r="330" spans="1:1" ht="12.75" x14ac:dyDescent="0.2"/>
    <row r="331" spans="1:1" ht="12.75" x14ac:dyDescent="0.2"/>
    <row r="332" spans="1:1" ht="12.75" x14ac:dyDescent="0.2"/>
    <row r="333" spans="1:1" ht="12.75" x14ac:dyDescent="0.2"/>
    <row r="334" spans="1:1" ht="12.75" x14ac:dyDescent="0.2"/>
    <row r="335" spans="1:1" ht="12.75" x14ac:dyDescent="0.2"/>
    <row r="336" spans="1:1" ht="12.75" x14ac:dyDescent="0.2"/>
    <row r="337" spans="1:1" ht="12.75" x14ac:dyDescent="0.2"/>
    <row r="338" spans="1:1" ht="12.75" x14ac:dyDescent="0.2"/>
    <row r="339" spans="1:1" ht="12.75" x14ac:dyDescent="0.2"/>
    <row r="340" spans="1:1" ht="12.75" x14ac:dyDescent="0.2"/>
    <row r="341" spans="1:1" ht="12.75" x14ac:dyDescent="0.2"/>
    <row r="342" spans="1:1" ht="12.75" x14ac:dyDescent="0.2"/>
    <row r="343" spans="1:1" ht="12.75" x14ac:dyDescent="0.2"/>
    <row r="344" spans="1:1" ht="12.75" x14ac:dyDescent="0.2"/>
    <row r="345" spans="1:1" ht="12.75" x14ac:dyDescent="0.2"/>
    <row r="346" spans="1:1" ht="12.75" x14ac:dyDescent="0.2"/>
    <row r="347" spans="1:1" ht="12.75" x14ac:dyDescent="0.2"/>
    <row r="348" spans="1:1" ht="12.75" x14ac:dyDescent="0.2"/>
    <row r="349" spans="1:1" ht="12.75" x14ac:dyDescent="0.2"/>
    <row r="350" spans="1:1" ht="12.75" x14ac:dyDescent="0.2"/>
    <row r="351" spans="1:1" ht="12.75" x14ac:dyDescent="0.2"/>
    <row r="352" spans="1:1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Smaller Things</vt:lpstr>
      <vt:lpstr>Bigger Things</vt:lpstr>
      <vt:lpstr>Items in Arrant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2023-06-04T01:26:38Z</dcterms:created>
  <dcterms:modified xsi:type="dcterms:W3CDTF">2023-06-04T01:26:38Z</dcterms:modified>
</cp:coreProperties>
</file>