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alant\DESKTOP\"/>
    </mc:Choice>
  </mc:AlternateContent>
  <xr:revisionPtr revIDLastSave="0" documentId="13_ncr:1_{A394DB5B-624F-46C9-B158-FBC7EE40C9B7}" xr6:coauthVersionLast="47" xr6:coauthVersionMax="47" xr10:uidLastSave="{00000000-0000-0000-0000-000000000000}"/>
  <bookViews>
    <workbookView xWindow="-108" yWindow="-108" windowWidth="23256" windowHeight="12456" xr2:uid="{35E2F0D5-95E1-4D9A-8D92-41A7E7BD10AE}"/>
  </bookViews>
  <sheets>
    <sheet name="Sheet3" sheetId="3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6" i="3" l="1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35" i="3"/>
  <c r="O35" i="3"/>
  <c r="P35" i="3"/>
  <c r="Q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35" i="3"/>
  <c r="J49" i="3"/>
  <c r="J48" i="3"/>
  <c r="J47" i="3"/>
  <c r="J46" i="3"/>
  <c r="J45" i="3"/>
  <c r="J44" i="3"/>
  <c r="J43" i="3"/>
  <c r="J42" i="3"/>
  <c r="J41" i="3"/>
  <c r="J40" i="3"/>
  <c r="J39" i="3"/>
  <c r="J38" i="3"/>
  <c r="J37" i="3"/>
  <c r="J36" i="3"/>
  <c r="J35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C32" i="3"/>
  <c r="C31" i="3"/>
  <c r="C30" i="3"/>
  <c r="K11" i="3"/>
  <c r="C4" i="3" s="1"/>
  <c r="D35" i="3" l="1"/>
  <c r="K35" i="3"/>
  <c r="C5" i="3"/>
  <c r="D36" i="3" s="1"/>
  <c r="K36" i="3" l="1"/>
  <c r="C6" i="3"/>
  <c r="D37" i="3" s="1"/>
  <c r="K37" i="3" l="1"/>
  <c r="C7" i="3"/>
  <c r="D38" i="3" s="1"/>
  <c r="K38" i="3" l="1"/>
  <c r="C8" i="3"/>
  <c r="D39" i="3" s="1"/>
  <c r="K39" i="3" l="1"/>
  <c r="C9" i="3"/>
  <c r="D40" i="3" s="1"/>
  <c r="K40" i="3" l="1"/>
  <c r="C10" i="3"/>
  <c r="D41" i="3" s="1"/>
  <c r="K41" i="3" l="1"/>
  <c r="C11" i="3"/>
  <c r="D42" i="3" s="1"/>
  <c r="K42" i="3" l="1"/>
  <c r="C12" i="3"/>
  <c r="D43" i="3" s="1"/>
  <c r="K43" i="3" l="1"/>
  <c r="C13" i="3"/>
  <c r="D44" i="3" s="1"/>
  <c r="K44" i="3" l="1"/>
  <c r="C14" i="3"/>
  <c r="D45" i="3" s="1"/>
  <c r="K45" i="3" l="1"/>
  <c r="C15" i="3"/>
  <c r="D46" i="3" s="1"/>
  <c r="K46" i="3" l="1"/>
  <c r="C16" i="3"/>
  <c r="D47" i="3" s="1"/>
  <c r="K47" i="3" l="1"/>
  <c r="C17" i="3"/>
  <c r="D48" i="3" s="1"/>
  <c r="K48" i="3" l="1"/>
  <c r="C18" i="3"/>
  <c r="D49" i="3" s="1"/>
  <c r="L23" i="3" s="1"/>
  <c r="K49" i="3" l="1"/>
  <c r="C19" i="3"/>
  <c r="C20" i="3" s="1"/>
  <c r="C21" i="3" s="1"/>
  <c r="C22" i="3" s="1"/>
  <c r="C23" i="3" s="1"/>
  <c r="J7" i="3" l="1"/>
  <c r="K7" i="3" s="1"/>
  <c r="J15" i="3" l="1"/>
  <c r="J17" i="3" l="1"/>
  <c r="E4" i="3" s="1"/>
  <c r="E5" i="3" s="1"/>
  <c r="E6" i="3" s="1"/>
  <c r="E7" i="3" s="1"/>
  <c r="E8" i="3" s="1"/>
  <c r="E9" i="3" s="1"/>
  <c r="E10" i="3" s="1"/>
  <c r="E11" i="3" s="1"/>
  <c r="E12" i="3" s="1"/>
  <c r="E13" i="3" s="1"/>
  <c r="E14" i="3" s="1"/>
  <c r="J19" i="3"/>
  <c r="D4" i="3" s="1"/>
  <c r="D5" i="3" s="1"/>
  <c r="D6" i="3" s="1"/>
  <c r="D7" i="3" s="1"/>
  <c r="D8" i="3" s="1"/>
  <c r="F27" i="3" l="1"/>
  <c r="E27" i="3" s="1"/>
  <c r="D27" i="3"/>
  <c r="C27" i="3" s="1"/>
  <c r="F28" i="3" l="1"/>
  <c r="E28" i="3" s="1"/>
  <c r="D3" i="3"/>
  <c r="D28" i="3"/>
  <c r="C28" i="3" s="1"/>
  <c r="D26" i="3" l="1"/>
  <c r="C26" i="3" s="1"/>
  <c r="D29" i="3"/>
  <c r="C29" i="3" s="1"/>
  <c r="F29" i="3"/>
  <c r="E29" i="3" s="1"/>
  <c r="F30" i="3" l="1"/>
  <c r="E30" i="3" s="1"/>
  <c r="F31" i="3" l="1"/>
  <c r="E31" i="3" s="1"/>
  <c r="F32" i="3" l="1"/>
  <c r="E32" i="3" s="1"/>
  <c r="E3" i="3"/>
  <c r="F26" i="3" l="1"/>
  <c r="E26" i="3" s="1"/>
  <c r="J23" i="3" s="1"/>
  <c r="K23" i="3" l="1"/>
  <c r="J27" i="3" s="1"/>
  <c r="C44" i="3" l="1"/>
  <c r="K27" i="3"/>
  <c r="C40" i="3"/>
  <c r="C42" i="3"/>
  <c r="C35" i="3"/>
  <c r="C48" i="3"/>
  <c r="C36" i="3"/>
  <c r="C45" i="3"/>
  <c r="K25" i="3"/>
  <c r="C37" i="3"/>
  <c r="C47" i="3"/>
  <c r="C39" i="3"/>
  <c r="C38" i="3"/>
  <c r="C46" i="3"/>
  <c r="C41" i="3"/>
  <c r="C49" i="3"/>
  <c r="C43" i="3"/>
  <c r="L25" i="3" l="1"/>
  <c r="L31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Bailey Jarisch</author>
  </authors>
  <commentList>
    <comment ref="Q28" authorId="0" shapeId="0" xr:uid="{036724B6-C069-4062-9D9F-11842127F19B}">
      <text>
        <r>
          <rPr>
            <sz val="12"/>
            <color indexed="81"/>
            <rFont val="Tahoma"/>
            <family val="2"/>
          </rPr>
          <t>Player gets 1 common consumable per level between level 1-5, no common items.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R28" authorId="0" shapeId="0" xr:uid="{94FD0F5B-D93D-44F6-BEBB-FE35586E00C1}">
      <text>
        <r>
          <rPr>
            <b/>
            <sz val="16"/>
            <color indexed="81"/>
            <rFont val="Tahoma"/>
            <family val="2"/>
          </rPr>
          <t>Header</t>
        </r>
      </text>
    </comment>
    <comment ref="Q29" authorId="0" shapeId="0" xr:uid="{8165824C-F3A2-4FA7-B9F0-7580A283945D}">
      <text>
        <r>
          <rPr>
            <b/>
            <sz val="9"/>
            <color indexed="81"/>
            <rFont val="Tahoma"/>
            <family val="2"/>
          </rPr>
          <t>Player gets 1 uncommon consumable per level between level 6-10, 1 uncommon item at level 1 and 6.</t>
        </r>
      </text>
    </comment>
    <comment ref="R29" authorId="0" shapeId="0" xr:uid="{CC5BB067-644F-40AF-A20D-8F1ADD35B2E0}">
      <text>
        <r>
          <rPr>
            <b/>
            <sz val="16"/>
            <color indexed="81"/>
            <rFont val="Tahoma"/>
            <family val="2"/>
          </rPr>
          <t>Out put cell meaning that there was some formula going in but not out.</t>
        </r>
      </text>
    </comment>
    <comment ref="Q30" authorId="0" shapeId="0" xr:uid="{78563535-09B0-458A-B373-B2ED27142633}">
      <text>
        <r>
          <rPr>
            <b/>
            <sz val="9"/>
            <color indexed="81"/>
            <rFont val="Tahoma"/>
            <family val="2"/>
          </rPr>
          <t>Player gets 1 rare consumable per level between level 11-15, 1 rare item at level 8 and 11.</t>
        </r>
      </text>
    </comment>
    <comment ref="R30" authorId="0" shapeId="0" xr:uid="{32D3BA4B-CBD4-4ED4-B25A-95C90A9B261C}">
      <text>
        <r>
          <rPr>
            <b/>
            <sz val="16"/>
            <color indexed="81"/>
            <rFont val="Tahoma"/>
            <family val="2"/>
          </rPr>
          <t>Input cell meaning that there is some formula going out, typically makes up the differennt changeable variables of the calculator.</t>
        </r>
      </text>
    </comment>
    <comment ref="Q31" authorId="0" shapeId="0" xr:uid="{0D2D83CA-7987-4EB3-B4B8-8926F762916E}">
      <text>
        <r>
          <rPr>
            <b/>
            <sz val="9"/>
            <color indexed="81"/>
            <rFont val="Tahoma"/>
            <family val="2"/>
          </rPr>
          <t>Player gets 1 very rare consumable per level between level 16-19, 1 rare item at level 14.</t>
        </r>
      </text>
    </comment>
    <comment ref="R31" authorId="0" shapeId="0" xr:uid="{A9F89062-BE2F-4E1E-967E-F895E26D293C}">
      <text>
        <r>
          <rPr>
            <b/>
            <sz val="16"/>
            <color indexed="81"/>
            <rFont val="Tahoma"/>
            <family val="2"/>
          </rPr>
          <t>Calculation cell having both an input and an output. Not ment to be altered for risk of breacking muiltiple other things.</t>
        </r>
      </text>
    </comment>
    <comment ref="Q32" authorId="0" shapeId="0" xr:uid="{0FF60CAE-AF3D-4FE0-860C-F4E321F609AB}">
      <text>
        <r>
          <rPr>
            <b/>
            <sz val="9"/>
            <color indexed="81"/>
            <rFont val="Tahoma"/>
            <family val="2"/>
          </rPr>
          <t xml:space="preserve">Player gets 1 legendary consumable and item at level 20.
</t>
        </r>
      </text>
    </comment>
    <comment ref="R32" authorId="0" shapeId="0" xr:uid="{F7764607-DC19-4288-93C1-1898A910E7AA}">
      <text>
        <r>
          <rPr>
            <b/>
            <sz val="16"/>
            <color indexed="81"/>
            <rFont val="Tahoma"/>
            <family val="2"/>
          </rPr>
          <t>Notation/constant variable cells are used to convay standalon information, as well as variables that are being used as constants for other cells.</t>
        </r>
      </text>
    </comment>
  </commentList>
</comments>
</file>

<file path=xl/sharedStrings.xml><?xml version="1.0" encoding="utf-8"?>
<sst xmlns="http://schemas.openxmlformats.org/spreadsheetml/2006/main" count="173" uniqueCount="139">
  <si>
    <t>Military Population</t>
  </si>
  <si>
    <t>Civilan Population</t>
  </si>
  <si>
    <t>Level</t>
  </si>
  <si>
    <t>Conditions</t>
  </si>
  <si>
    <t>Modest 1Gp/Day</t>
  </si>
  <si>
    <t>Wealthy 4Gp/Day</t>
  </si>
  <si>
    <t>Aristocratic 10Gp/Day</t>
  </si>
  <si>
    <t>Pop</t>
  </si>
  <si>
    <t>Low Hero</t>
  </si>
  <si>
    <t>High Hero</t>
  </si>
  <si>
    <t>High Soldier</t>
  </si>
  <si>
    <t>Low Soldier</t>
  </si>
  <si>
    <t>High Warrior</t>
  </si>
  <si>
    <t>Low Warrior</t>
  </si>
  <si>
    <t>Fighter</t>
  </si>
  <si>
    <t>High Commoner</t>
  </si>
  <si>
    <t>Mid Commoner</t>
  </si>
  <si>
    <t>Low Commoner</t>
  </si>
  <si>
    <t>Low Knight</t>
  </si>
  <si>
    <t>High Knight</t>
  </si>
  <si>
    <t>Mid Hero</t>
  </si>
  <si>
    <t>Hero</t>
  </si>
  <si>
    <t>Demi God</t>
  </si>
  <si>
    <t>Legendary Hero</t>
  </si>
  <si>
    <t>Mythic Hero</t>
  </si>
  <si>
    <t>Demon Lord</t>
  </si>
  <si>
    <t>Lord Hero</t>
  </si>
  <si>
    <t>King Hero</t>
  </si>
  <si>
    <t>Villager</t>
  </si>
  <si>
    <t>Rank</t>
  </si>
  <si>
    <t>Comfortable 2Gp/Day</t>
  </si>
  <si>
    <t>Expected Living</t>
  </si>
  <si>
    <t>State Budget</t>
  </si>
  <si>
    <t>Training/Maintnence Rate</t>
  </si>
  <si>
    <t>Military Budget</t>
  </si>
  <si>
    <t>Military expendature</t>
  </si>
  <si>
    <t>Free Military Bidget After other expenses</t>
  </si>
  <si>
    <t>independent</t>
  </si>
  <si>
    <t>Warlord</t>
  </si>
  <si>
    <t>National weapon</t>
  </si>
  <si>
    <t>Military leaders</t>
  </si>
  <si>
    <t>Commanders</t>
  </si>
  <si>
    <t>Task force</t>
  </si>
  <si>
    <t>Fortres commanders</t>
  </si>
  <si>
    <t>patrol heros</t>
  </si>
  <si>
    <t>introductory hero</t>
  </si>
  <si>
    <t>knight commanders</t>
  </si>
  <si>
    <t>Knight officers</t>
  </si>
  <si>
    <t>knights</t>
  </si>
  <si>
    <t>officers</t>
  </si>
  <si>
    <t>Rank and file soldier</t>
  </si>
  <si>
    <t>captians</t>
  </si>
  <si>
    <t>experienced soldiers</t>
  </si>
  <si>
    <t>% of pop in military</t>
  </si>
  <si>
    <t>Military position</t>
  </si>
  <si>
    <t>Mercernary</t>
  </si>
  <si>
    <t>Adventurer</t>
  </si>
  <si>
    <t>Veterin Adventure</t>
  </si>
  <si>
    <t>Trainie</t>
  </si>
  <si>
    <t>Up &amp; comer</t>
  </si>
  <si>
    <t>Profesional</t>
  </si>
  <si>
    <t>expert</t>
  </si>
  <si>
    <t>Civilian profesions</t>
  </si>
  <si>
    <t>Citezen</t>
  </si>
  <si>
    <t>apprentice</t>
  </si>
  <si>
    <t>worker</t>
  </si>
  <si>
    <t>Intermediat worker</t>
  </si>
  <si>
    <t>Senior expert</t>
  </si>
  <si>
    <t>Executive expert</t>
  </si>
  <si>
    <t>Accepted Hero</t>
  </si>
  <si>
    <t>Local Hero</t>
  </si>
  <si>
    <t>Noble</t>
  </si>
  <si>
    <t>Tax rate in % of Daily</t>
  </si>
  <si>
    <t>Self Reliant .05Gp/Day</t>
  </si>
  <si>
    <t>Squalid .1Gp/Day</t>
  </si>
  <si>
    <t>Poor .2Gp/Day</t>
  </si>
  <si>
    <t>% of military Budget in use</t>
  </si>
  <si>
    <t>Rate of savings</t>
  </si>
  <si>
    <t>Expected wage</t>
  </si>
  <si>
    <t>Initial equipment cost</t>
  </si>
  <si>
    <t>Initial Military Population</t>
  </si>
  <si>
    <t>Common</t>
  </si>
  <si>
    <t>uncommon</t>
  </si>
  <si>
    <t>rare</t>
  </si>
  <si>
    <t>very rare</t>
  </si>
  <si>
    <t>legendary</t>
  </si>
  <si>
    <t>Military Level</t>
  </si>
  <si>
    <t>Cost per/day in Gp</t>
  </si>
  <si>
    <t>Urban Taxes</t>
  </si>
  <si>
    <t>Rural Taxes</t>
  </si>
  <si>
    <t>Rural Calc</t>
  </si>
  <si>
    <t>Urban Calc</t>
  </si>
  <si>
    <t># of (C)</t>
  </si>
  <si>
    <t># of (UC)</t>
  </si>
  <si>
    <t># of (VR)</t>
  </si>
  <si>
    <t>Item Rarity</t>
  </si>
  <si>
    <t>Item Price</t>
  </si>
  <si>
    <t>Military Modual</t>
  </si>
  <si>
    <t>Economy Modual</t>
  </si>
  <si>
    <t>Tools</t>
  </si>
  <si>
    <t>Civilian Modual</t>
  </si>
  <si>
    <t>Rural Populations</t>
  </si>
  <si>
    <t>Urban Populations</t>
  </si>
  <si>
    <t>Military Populations</t>
  </si>
  <si>
    <t>Years to fully invest in soldiers</t>
  </si>
  <si>
    <t>Investiment in soldiers</t>
  </si>
  <si>
    <t>% of State taxes that go to Military</t>
  </si>
  <si>
    <t>Country Free military Budget Comparison</t>
  </si>
  <si>
    <t>State Taxes in Gp</t>
  </si>
  <si>
    <t>Population Based on Global Pop</t>
  </si>
  <si>
    <t>Moves to City --&gt;</t>
  </si>
  <si>
    <t>Doesn’t Occure</t>
  </si>
  <si>
    <t>%  of military Budget</t>
  </si>
  <si>
    <t>% of Global Population (optional)</t>
  </si>
  <si>
    <t>Item rate for soldier by comparison to PC</t>
  </si>
  <si>
    <t># of (C) item Per Soldeir</t>
  </si>
  <si>
    <t># of (UC) items per soldier</t>
  </si>
  <si>
    <t># of (R) items persoldier</t>
  </si>
  <si>
    <t># of (VR) items per Soldier</t>
  </si>
  <si>
    <t># of (L) items per solder</t>
  </si>
  <si>
    <t xml:space="preserve"># of (R) </t>
  </si>
  <si>
    <t xml:space="preserve"># of (L) </t>
  </si>
  <si>
    <t>Item rarity</t>
  </si>
  <si>
    <t>Item rate for Pc</t>
  </si>
  <si>
    <t>5 C, 0  P.</t>
  </si>
  <si>
    <t>5 C, 2  P.</t>
  </si>
  <si>
    <t>0 C, 1 P.</t>
  </si>
  <si>
    <t>0 C, 0 P.</t>
  </si>
  <si>
    <t>Constant Variable Inputs and information</t>
  </si>
  <si>
    <t>Growth Rate For Rural  Civilians in %</t>
  </si>
  <si>
    <t>Growth Rate For Urpan Civilians in %</t>
  </si>
  <si>
    <t>Initial Military attraction in %</t>
  </si>
  <si>
    <t>Growth rate fro military in %</t>
  </si>
  <si>
    <t>Barrack's Population Calculator</t>
  </si>
  <si>
    <t>By a bored Nerd</t>
  </si>
  <si>
    <t>Key</t>
  </si>
  <si>
    <t>Example</t>
  </si>
  <si>
    <t>This calculator is ment to help me construct and imagin a fictional world or given country for my campain and story, feel free to use this and modify this as you see fit. Have fun. And good luck understanding my insanity:)</t>
  </si>
  <si>
    <t>Total 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</si>
</sst>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indexed="81"/>
      <name val="Tahoma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b/>
      <sz val="12"/>
      <color rgb="FF3F3F76"/>
      <name val="Calibri"/>
      <family val="2"/>
      <scheme val="minor"/>
    </font>
    <font>
      <b/>
      <sz val="12"/>
      <color rgb="FF006100"/>
      <name val="Calibri"/>
      <family val="2"/>
      <scheme val="minor"/>
    </font>
    <font>
      <b/>
      <sz val="16"/>
      <color indexed="81"/>
      <name val="Tahoma"/>
      <family val="2"/>
    </font>
    <font>
      <b/>
      <sz val="13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1"/>
        <bgColor indexed="64"/>
      </patternFill>
    </fill>
    <fill>
      <patternFill patternType="solid">
        <fgColor theme="3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 tint="0.499984740745262"/>
      </bottom>
      <diagonal/>
    </border>
    <border>
      <left style="double">
        <color rgb="FF3F3F3F"/>
      </left>
      <right style="double">
        <color rgb="FF3F3F3F"/>
      </right>
      <top/>
      <bottom/>
      <diagonal/>
    </border>
    <border>
      <left style="double">
        <color rgb="FF3F3F3F"/>
      </left>
      <right/>
      <top/>
      <bottom/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/>
      <bottom style="double">
        <color rgb="FF3F3F3F"/>
      </bottom>
      <diagonal/>
    </border>
    <border>
      <left/>
      <right/>
      <top/>
      <bottom style="double">
        <color rgb="FF3F3F3F"/>
      </bottom>
      <diagonal/>
    </border>
    <border>
      <left style="thin">
        <color rgb="FF7F7F7F"/>
      </left>
      <right/>
      <top/>
      <bottom/>
      <diagonal/>
    </border>
  </borders>
  <cellStyleXfs count="7">
    <xf numFmtId="0" fontId="0" fillId="0" borderId="0"/>
    <xf numFmtId="0" fontId="2" fillId="2" borderId="1" applyNumberFormat="0" applyAlignment="0" applyProtection="0"/>
    <xf numFmtId="0" fontId="3" fillId="3" borderId="2" applyNumberFormat="0" applyAlignment="0" applyProtection="0"/>
    <xf numFmtId="0" fontId="4" fillId="3" borderId="1" applyNumberFormat="0" applyAlignment="0" applyProtection="0"/>
    <xf numFmtId="0" fontId="5" fillId="4" borderId="3" applyNumberFormat="0" applyAlignment="0" applyProtection="0"/>
    <xf numFmtId="0" fontId="1" fillId="5" borderId="4" applyNumberFormat="0" applyFont="0" applyAlignment="0" applyProtection="0"/>
    <xf numFmtId="0" fontId="6" fillId="0" borderId="5" applyNumberFormat="0" applyFill="0" applyAlignment="0" applyProtection="0"/>
  </cellStyleXfs>
  <cellXfs count="48">
    <xf numFmtId="0" fontId="0" fillId="0" borderId="0" xfId="0"/>
    <xf numFmtId="0" fontId="0" fillId="6" borderId="0" xfId="0" applyFill="1"/>
    <xf numFmtId="0" fontId="5" fillId="4" borderId="3" xfId="4" applyAlignment="1">
      <alignment horizontal="center" vertical="center"/>
    </xf>
    <xf numFmtId="2" fontId="4" fillId="3" borderId="1" xfId="3" applyNumberFormat="1" applyAlignment="1">
      <alignment horizontal="center" vertical="center"/>
    </xf>
    <xf numFmtId="2" fontId="3" fillId="3" borderId="2" xfId="2" applyNumberFormat="1" applyAlignment="1">
      <alignment horizontal="center" vertical="center"/>
    </xf>
    <xf numFmtId="2" fontId="2" fillId="2" borderId="1" xfId="1" applyNumberFormat="1" applyAlignment="1">
      <alignment horizontal="center" vertical="center"/>
    </xf>
    <xf numFmtId="0" fontId="11" fillId="4" borderId="3" xfId="4" applyFont="1" applyAlignment="1">
      <alignment horizontal="center" vertical="center"/>
    </xf>
    <xf numFmtId="2" fontId="14" fillId="3" borderId="1" xfId="3" applyNumberFormat="1" applyFont="1" applyAlignment="1">
      <alignment horizontal="center" vertical="center"/>
    </xf>
    <xf numFmtId="2" fontId="13" fillId="3" borderId="2" xfId="2" applyNumberFormat="1" applyFont="1" applyAlignment="1">
      <alignment horizontal="center" vertical="center"/>
    </xf>
    <xf numFmtId="0" fontId="11" fillId="4" borderId="8" xfId="4" applyFont="1" applyBorder="1" applyAlignment="1">
      <alignment horizontal="center" vertical="center"/>
    </xf>
    <xf numFmtId="2" fontId="15" fillId="2" borderId="1" xfId="1" applyNumberFormat="1" applyFont="1" applyAlignment="1">
      <alignment horizontal="center" vertical="center"/>
    </xf>
    <xf numFmtId="0" fontId="12" fillId="6" borderId="0" xfId="0" applyFont="1" applyFill="1" applyAlignment="1">
      <alignment horizontal="center" vertical="center"/>
    </xf>
    <xf numFmtId="0" fontId="12" fillId="7" borderId="0" xfId="0" applyFont="1" applyFill="1" applyAlignment="1">
      <alignment horizontal="center" vertical="center"/>
    </xf>
    <xf numFmtId="0" fontId="12" fillId="6" borderId="12" xfId="0" applyFont="1" applyFill="1" applyBorder="1" applyAlignment="1">
      <alignment horizontal="center" vertical="center"/>
    </xf>
    <xf numFmtId="2" fontId="12" fillId="5" borderId="4" xfId="5" applyNumberFormat="1" applyFont="1" applyAlignment="1">
      <alignment horizontal="center" vertical="center"/>
    </xf>
    <xf numFmtId="2" fontId="12" fillId="6" borderId="0" xfId="0" applyNumberFormat="1" applyFont="1" applyFill="1" applyAlignment="1">
      <alignment horizontal="center" vertical="center"/>
    </xf>
    <xf numFmtId="1" fontId="12" fillId="5" borderId="4" xfId="5" applyNumberFormat="1" applyFont="1" applyAlignment="1">
      <alignment horizontal="center" vertical="center"/>
    </xf>
    <xf numFmtId="1" fontId="12" fillId="6" borderId="0" xfId="0" applyNumberFormat="1" applyFont="1" applyFill="1" applyAlignment="1">
      <alignment horizontal="center" vertical="center"/>
    </xf>
    <xf numFmtId="1" fontId="11" fillId="4" borderId="3" xfId="4" applyNumberFormat="1" applyFont="1" applyAlignment="1">
      <alignment horizontal="center" vertical="center"/>
    </xf>
    <xf numFmtId="1" fontId="11" fillId="4" borderId="6" xfId="4" applyNumberFormat="1" applyFont="1" applyBorder="1" applyAlignment="1">
      <alignment horizontal="center" vertical="center"/>
    </xf>
    <xf numFmtId="2" fontId="12" fillId="7" borderId="0" xfId="0" applyNumberFormat="1" applyFont="1" applyFill="1" applyAlignment="1">
      <alignment horizontal="center" vertical="center"/>
    </xf>
    <xf numFmtId="2" fontId="15" fillId="5" borderId="4" xfId="5" applyNumberFormat="1" applyFont="1" applyAlignment="1">
      <alignment horizontal="center" vertical="center"/>
    </xf>
    <xf numFmtId="2" fontId="5" fillId="4" borderId="3" xfId="4" applyNumberFormat="1" applyAlignment="1">
      <alignment horizontal="center" vertical="center"/>
    </xf>
    <xf numFmtId="0" fontId="16" fillId="5" borderId="4" xfId="5" applyFont="1" applyAlignment="1">
      <alignment horizontal="center" vertical="center"/>
    </xf>
    <xf numFmtId="2" fontId="7" fillId="5" borderId="4" xfId="5" applyNumberFormat="1" applyFont="1" applyAlignment="1">
      <alignment horizontal="center" vertical="center"/>
    </xf>
    <xf numFmtId="4" fontId="4" fillId="3" borderId="1" xfId="3" applyNumberFormat="1" applyAlignment="1">
      <alignment horizontal="center" vertical="center"/>
    </xf>
    <xf numFmtId="4" fontId="14" fillId="3" borderId="1" xfId="3" applyNumberFormat="1" applyFont="1" applyAlignment="1">
      <alignment horizontal="center" vertical="center"/>
    </xf>
    <xf numFmtId="4" fontId="3" fillId="3" borderId="2" xfId="2" applyNumberFormat="1" applyAlignment="1">
      <alignment horizontal="center" vertical="center"/>
    </xf>
    <xf numFmtId="4" fontId="13" fillId="3" borderId="2" xfId="2" applyNumberFormat="1" applyFont="1" applyAlignment="1">
      <alignment horizontal="center" vertical="center"/>
    </xf>
    <xf numFmtId="4" fontId="12" fillId="5" borderId="4" xfId="5" applyNumberFormat="1" applyFont="1" applyAlignment="1">
      <alignment horizontal="center" vertical="center"/>
    </xf>
    <xf numFmtId="2" fontId="3" fillId="3" borderId="2" xfId="2" applyNumberFormat="1" applyAlignment="1">
      <alignment horizontal="center" vertical="center"/>
    </xf>
    <xf numFmtId="0" fontId="5" fillId="4" borderId="3" xfId="4" applyAlignment="1">
      <alignment horizontal="center" vertical="center"/>
    </xf>
    <xf numFmtId="2" fontId="11" fillId="4" borderId="11" xfId="4" applyNumberFormat="1" applyFont="1" applyBorder="1" applyAlignment="1">
      <alignment horizontal="center" vertical="center"/>
    </xf>
    <xf numFmtId="2" fontId="11" fillId="4" borderId="12" xfId="4" applyNumberFormat="1" applyFont="1" applyBorder="1" applyAlignment="1">
      <alignment horizontal="center" vertical="center"/>
    </xf>
    <xf numFmtId="2" fontId="11" fillId="4" borderId="8" xfId="4" applyNumberFormat="1" applyFont="1" applyBorder="1" applyAlignment="1">
      <alignment horizontal="center" vertical="center"/>
    </xf>
    <xf numFmtId="2" fontId="11" fillId="4" borderId="10" xfId="4" applyNumberFormat="1" applyFont="1" applyBorder="1" applyAlignment="1">
      <alignment horizontal="center" vertical="center"/>
    </xf>
    <xf numFmtId="2" fontId="11" fillId="4" borderId="9" xfId="4" applyNumberFormat="1" applyFont="1" applyBorder="1" applyAlignment="1">
      <alignment horizontal="center" vertical="center"/>
    </xf>
    <xf numFmtId="0" fontId="11" fillId="4" borderId="8" xfId="4" applyFont="1" applyBorder="1" applyAlignment="1">
      <alignment horizontal="center" vertical="center"/>
    </xf>
    <xf numFmtId="0" fontId="11" fillId="4" borderId="10" xfId="4" applyFont="1" applyBorder="1" applyAlignment="1">
      <alignment horizontal="center" vertical="center"/>
    </xf>
    <xf numFmtId="0" fontId="11" fillId="4" borderId="9" xfId="4" applyFont="1" applyBorder="1" applyAlignment="1">
      <alignment horizontal="center" vertical="center"/>
    </xf>
    <xf numFmtId="0" fontId="11" fillId="4" borderId="7" xfId="4" applyFont="1" applyBorder="1" applyAlignment="1">
      <alignment horizontal="center" vertical="center"/>
    </xf>
    <xf numFmtId="0" fontId="11" fillId="4" borderId="0" xfId="4" applyFont="1" applyBorder="1" applyAlignment="1">
      <alignment horizontal="center" vertical="center"/>
    </xf>
    <xf numFmtId="2" fontId="15" fillId="2" borderId="13" xfId="1" applyNumberFormat="1" applyFont="1" applyBorder="1" applyAlignment="1">
      <alignment horizontal="center" vertical="center"/>
    </xf>
    <xf numFmtId="2" fontId="15" fillId="2" borderId="0" xfId="1" applyNumberFormat="1" applyFont="1" applyBorder="1" applyAlignment="1">
      <alignment horizontal="center" vertical="center"/>
    </xf>
    <xf numFmtId="2" fontId="11" fillId="4" borderId="7" xfId="4" applyNumberFormat="1" applyFont="1" applyBorder="1" applyAlignment="1">
      <alignment horizontal="center" vertical="center"/>
    </xf>
    <xf numFmtId="2" fontId="11" fillId="4" borderId="0" xfId="4" applyNumberFormat="1" applyFont="1" applyBorder="1" applyAlignment="1">
      <alignment horizontal="center" vertical="center"/>
    </xf>
    <xf numFmtId="0" fontId="18" fillId="7" borderId="5" xfId="6" applyFont="1" applyFill="1" applyAlignment="1">
      <alignment horizontal="center" vertical="center" wrapText="1"/>
    </xf>
    <xf numFmtId="0" fontId="18" fillId="7" borderId="5" xfId="6" applyFont="1" applyFill="1" applyAlignment="1">
      <alignment horizontal="center" vertical="center"/>
    </xf>
  </cellXfs>
  <cellStyles count="7">
    <cellStyle name="Ввід" xfId="1" builtinId="20"/>
    <cellStyle name="Заголовок 2" xfId="6" builtinId="17"/>
    <cellStyle name="Звичайний" xfId="0" builtinId="0"/>
    <cellStyle name="Контрольна клітинка" xfId="4" builtinId="23"/>
    <cellStyle name="Обчислення" xfId="3" builtinId="22"/>
    <cellStyle name="Примітка" xfId="5" builtinId="10"/>
    <cellStyle name="Результат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Офіс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760BB-B6B9-4EAA-9B0F-D3670E207FC7}">
  <sheetPr>
    <pageSetUpPr autoPageBreaks="0"/>
  </sheetPr>
  <dimension ref="A1:S50"/>
  <sheetViews>
    <sheetView tabSelected="1" topLeftCell="M43" zoomScale="130" zoomScaleNormal="130" workbookViewId="0">
      <selection activeCell="N10" sqref="N10:R10"/>
    </sheetView>
  </sheetViews>
  <sheetFormatPr defaultColWidth="5.6640625" defaultRowHeight="14.4" x14ac:dyDescent="0.3"/>
  <cols>
    <col min="1" max="1" width="3.33203125" customWidth="1"/>
    <col min="2" max="2" width="33" customWidth="1"/>
    <col min="3" max="3" width="29.44140625" bestFit="1" customWidth="1"/>
    <col min="4" max="5" width="27" bestFit="1" customWidth="1"/>
    <col min="6" max="6" width="23.44140625" bestFit="1" customWidth="1"/>
    <col min="7" max="7" width="30.109375" bestFit="1" customWidth="1"/>
    <col min="8" max="8" width="37.33203125" bestFit="1" customWidth="1"/>
    <col min="9" max="9" width="3.33203125" customWidth="1"/>
    <col min="10" max="10" width="45.44140625" bestFit="1" customWidth="1"/>
    <col min="11" max="11" width="48.33203125" bestFit="1" customWidth="1"/>
    <col min="12" max="12" width="54.109375" bestFit="1" customWidth="1"/>
    <col min="13" max="13" width="3.33203125" customWidth="1"/>
    <col min="14" max="14" width="35.109375" bestFit="1" customWidth="1"/>
    <col min="15" max="15" width="32.6640625" bestFit="1" customWidth="1"/>
    <col min="16" max="16" width="35.44140625" bestFit="1" customWidth="1"/>
    <col min="17" max="17" width="32.33203125" bestFit="1" customWidth="1"/>
    <col min="18" max="18" width="12" bestFit="1" customWidth="1"/>
    <col min="19" max="19" width="3.33203125" customWidth="1"/>
  </cols>
  <sheetData>
    <row r="1" spans="1:19" ht="15" customHeight="1" thickBot="1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ht="15" customHeight="1" thickTop="1" thickBot="1" x14ac:dyDescent="0.35">
      <c r="A2" s="1"/>
      <c r="B2" s="6" t="s">
        <v>2</v>
      </c>
      <c r="C2" s="6" t="s">
        <v>103</v>
      </c>
      <c r="D2" s="6" t="s">
        <v>101</v>
      </c>
      <c r="E2" s="6" t="s">
        <v>102</v>
      </c>
      <c r="F2" s="6" t="s">
        <v>29</v>
      </c>
      <c r="G2" s="6" t="s">
        <v>54</v>
      </c>
      <c r="H2" s="6" t="s">
        <v>62</v>
      </c>
      <c r="I2" s="11"/>
      <c r="J2" s="40" t="s">
        <v>138</v>
      </c>
      <c r="K2" s="41"/>
      <c r="L2" s="41"/>
      <c r="M2" s="11"/>
      <c r="N2" s="47" t="s">
        <v>133</v>
      </c>
      <c r="O2" s="47"/>
      <c r="P2" s="47"/>
      <c r="Q2" s="47"/>
      <c r="R2" s="47"/>
      <c r="S2" s="1"/>
    </row>
    <row r="3" spans="1:19" ht="15" customHeight="1" thickTop="1" thickBot="1" x14ac:dyDescent="0.35">
      <c r="A3" s="1"/>
      <c r="B3" s="16">
        <v>0</v>
      </c>
      <c r="C3" s="27">
        <v>0</v>
      </c>
      <c r="D3" s="27">
        <f>J19-SUM(D4:D8)</f>
        <v>428849.70715092565</v>
      </c>
      <c r="E3" s="27">
        <f>J17-SUM(E4:E14)</f>
        <v>130.34189550299197</v>
      </c>
      <c r="F3" s="23" t="s">
        <v>28</v>
      </c>
      <c r="G3" s="23" t="s">
        <v>59</v>
      </c>
      <c r="H3" s="23" t="s">
        <v>28</v>
      </c>
      <c r="I3" s="11"/>
      <c r="J3" s="42">
        <v>1300000</v>
      </c>
      <c r="K3" s="43"/>
      <c r="L3" s="43"/>
      <c r="M3" s="11"/>
      <c r="N3" s="47"/>
      <c r="O3" s="47"/>
      <c r="P3" s="47"/>
      <c r="Q3" s="47"/>
      <c r="R3" s="47"/>
      <c r="S3" s="1"/>
    </row>
    <row r="4" spans="1:19" ht="15" customHeight="1" thickTop="1" thickBot="1" x14ac:dyDescent="0.35">
      <c r="A4" s="1"/>
      <c r="B4" s="16">
        <v>1</v>
      </c>
      <c r="C4" s="27">
        <f>(K11*J9)/100</f>
        <v>77350</v>
      </c>
      <c r="D4" s="27">
        <f>(J19*K19)/100</f>
        <v>277823.14868674712</v>
      </c>
      <c r="E4" s="27">
        <f>(J17*K17)/100</f>
        <v>133470.10099511134</v>
      </c>
      <c r="F4" s="23" t="s">
        <v>17</v>
      </c>
      <c r="G4" s="23" t="s">
        <v>55</v>
      </c>
      <c r="H4" s="23" t="s">
        <v>63</v>
      </c>
      <c r="I4" s="11"/>
      <c r="J4" s="15"/>
      <c r="K4" s="15"/>
      <c r="L4" s="15"/>
      <c r="M4" s="11"/>
      <c r="N4" s="47" t="s">
        <v>134</v>
      </c>
      <c r="O4" s="47"/>
      <c r="P4" s="47"/>
      <c r="Q4" s="47"/>
      <c r="R4" s="47"/>
      <c r="S4" s="1"/>
    </row>
    <row r="5" spans="1:19" ht="15" customHeight="1" thickTop="1" thickBot="1" x14ac:dyDescent="0.35">
      <c r="A5" s="1"/>
      <c r="B5" s="16">
        <v>2</v>
      </c>
      <c r="C5" s="27">
        <f>(C4*J9)/100</f>
        <v>46023.25</v>
      </c>
      <c r="D5" s="27">
        <f>(D4*$K$19)/100</f>
        <v>91681.639066626565</v>
      </c>
      <c r="E5" s="27">
        <f t="shared" ref="E5:E14" si="0">(E4*$K$17)/100</f>
        <v>66735.050497555669</v>
      </c>
      <c r="F5" s="23" t="s">
        <v>16</v>
      </c>
      <c r="G5" s="23" t="s">
        <v>56</v>
      </c>
      <c r="H5" s="23" t="s">
        <v>64</v>
      </c>
      <c r="I5" s="11"/>
      <c r="J5" s="32" t="s">
        <v>97</v>
      </c>
      <c r="K5" s="33"/>
      <c r="L5" s="33"/>
      <c r="M5" s="11"/>
      <c r="N5" s="47"/>
      <c r="O5" s="47"/>
      <c r="P5" s="47"/>
      <c r="Q5" s="47"/>
      <c r="R5" s="47"/>
      <c r="S5" s="1"/>
    </row>
    <row r="6" spans="1:19" ht="15" customHeight="1" thickTop="1" thickBot="1" x14ac:dyDescent="0.35">
      <c r="A6" s="1"/>
      <c r="B6" s="16">
        <v>3</v>
      </c>
      <c r="C6" s="27">
        <f>(C5*J9)/100</f>
        <v>27383.833750000002</v>
      </c>
      <c r="D6" s="27">
        <f>(D5*$K$19)/100</f>
        <v>30254.940891986767</v>
      </c>
      <c r="E6" s="27">
        <f t="shared" si="0"/>
        <v>33367.525248777834</v>
      </c>
      <c r="F6" s="23" t="s">
        <v>15</v>
      </c>
      <c r="G6" s="23" t="s">
        <v>57</v>
      </c>
      <c r="H6" s="23" t="s">
        <v>65</v>
      </c>
      <c r="I6" s="11"/>
      <c r="J6" s="22" t="s">
        <v>0</v>
      </c>
      <c r="K6" s="22" t="s">
        <v>53</v>
      </c>
      <c r="L6" s="20"/>
      <c r="M6" s="11"/>
      <c r="N6" s="46" t="s">
        <v>137</v>
      </c>
      <c r="O6" s="46"/>
      <c r="P6" s="46"/>
      <c r="Q6" s="46"/>
      <c r="R6" s="46"/>
      <c r="S6" s="1"/>
    </row>
    <row r="7" spans="1:19" ht="15" customHeight="1" thickTop="1" thickBot="1" x14ac:dyDescent="0.35">
      <c r="A7" s="1"/>
      <c r="B7" s="16">
        <v>4</v>
      </c>
      <c r="C7" s="27">
        <f>(C6*J9)/100</f>
        <v>16293.38108125</v>
      </c>
      <c r="D7" s="27">
        <f>(D6*$K$19)/100</f>
        <v>9984.1304943556333</v>
      </c>
      <c r="E7" s="27">
        <f t="shared" si="0"/>
        <v>16683.762624388917</v>
      </c>
      <c r="F7" s="23" t="s">
        <v>14</v>
      </c>
      <c r="G7" s="23" t="s">
        <v>58</v>
      </c>
      <c r="H7" s="23" t="s">
        <v>66</v>
      </c>
      <c r="I7" s="11"/>
      <c r="J7" s="26">
        <f>SUM(C4:C23)</f>
        <v>191171.46865599815</v>
      </c>
      <c r="K7" s="8">
        <f>(J7/J3)*100</f>
        <v>14.705497588922933</v>
      </c>
      <c r="L7" s="20"/>
      <c r="M7" s="11"/>
      <c r="N7" s="46"/>
      <c r="O7" s="46"/>
      <c r="P7" s="46"/>
      <c r="Q7" s="46"/>
      <c r="R7" s="46"/>
      <c r="S7" s="1"/>
    </row>
    <row r="8" spans="1:19" ht="15" customHeight="1" thickTop="1" thickBot="1" x14ac:dyDescent="0.35">
      <c r="A8" s="1"/>
      <c r="B8" s="16">
        <v>5</v>
      </c>
      <c r="C8" s="27">
        <f>(C7*J9)/100</f>
        <v>9694.5617433437492</v>
      </c>
      <c r="D8" s="27">
        <f>(D7*$K$19)/100</f>
        <v>3294.763063137359</v>
      </c>
      <c r="E8" s="27">
        <f t="shared" si="0"/>
        <v>8341.8813121944586</v>
      </c>
      <c r="F8" s="23" t="s">
        <v>13</v>
      </c>
      <c r="G8" s="23" t="s">
        <v>50</v>
      </c>
      <c r="H8" s="23" t="s">
        <v>60</v>
      </c>
      <c r="I8" s="11"/>
      <c r="J8" s="22" t="s">
        <v>132</v>
      </c>
      <c r="K8" s="20"/>
      <c r="L8" s="20"/>
      <c r="M8" s="11"/>
      <c r="N8" s="46"/>
      <c r="O8" s="46"/>
      <c r="P8" s="46"/>
      <c r="Q8" s="46"/>
      <c r="R8" s="46"/>
      <c r="S8" s="1"/>
    </row>
    <row r="9" spans="1:19" ht="15" customHeight="1" thickTop="1" thickBot="1" x14ac:dyDescent="0.35">
      <c r="A9" s="1"/>
      <c r="B9" s="16">
        <v>6</v>
      </c>
      <c r="C9" s="27">
        <f>(C8*J9)/100</f>
        <v>5768.2642372895316</v>
      </c>
      <c r="D9" s="4" t="s">
        <v>110</v>
      </c>
      <c r="E9" s="27">
        <f t="shared" si="0"/>
        <v>4170.9406560972293</v>
      </c>
      <c r="F9" s="23" t="s">
        <v>12</v>
      </c>
      <c r="G9" s="23" t="s">
        <v>52</v>
      </c>
      <c r="H9" s="23" t="s">
        <v>61</v>
      </c>
      <c r="I9" s="11"/>
      <c r="J9" s="10">
        <v>59.5</v>
      </c>
      <c r="K9" s="20"/>
      <c r="L9" s="20"/>
      <c r="M9" s="11"/>
      <c r="N9" s="13"/>
      <c r="O9" s="13"/>
      <c r="P9" s="13"/>
      <c r="Q9" s="13"/>
      <c r="R9" s="13"/>
      <c r="S9" s="1"/>
    </row>
    <row r="10" spans="1:19" ht="15" customHeight="1" thickTop="1" thickBot="1" x14ac:dyDescent="0.35">
      <c r="A10" s="1"/>
      <c r="B10" s="16">
        <v>7</v>
      </c>
      <c r="C10" s="27">
        <f>(C9*J9)/100</f>
        <v>3432.1172211872708</v>
      </c>
      <c r="D10" s="4" t="s">
        <v>110</v>
      </c>
      <c r="E10" s="27">
        <f t="shared" si="0"/>
        <v>2085.4703280486146</v>
      </c>
      <c r="F10" s="23" t="s">
        <v>11</v>
      </c>
      <c r="G10" s="23" t="s">
        <v>51</v>
      </c>
      <c r="H10" s="23" t="s">
        <v>67</v>
      </c>
      <c r="I10" s="11"/>
      <c r="J10" s="22" t="s">
        <v>131</v>
      </c>
      <c r="K10" s="22" t="s">
        <v>80</v>
      </c>
      <c r="L10" s="20"/>
      <c r="M10" s="11"/>
      <c r="N10" s="37" t="s">
        <v>128</v>
      </c>
      <c r="O10" s="38"/>
      <c r="P10" s="38"/>
      <c r="Q10" s="38"/>
      <c r="R10" s="39"/>
      <c r="S10" s="1"/>
    </row>
    <row r="11" spans="1:19" ht="15" customHeight="1" thickTop="1" thickBot="1" x14ac:dyDescent="0.35">
      <c r="A11" s="1"/>
      <c r="B11" s="16">
        <v>8</v>
      </c>
      <c r="C11" s="27">
        <f>(C10*J9)/100</f>
        <v>2042.1097466064261</v>
      </c>
      <c r="D11" s="4" t="s">
        <v>110</v>
      </c>
      <c r="E11" s="27">
        <f t="shared" si="0"/>
        <v>1042.7351640243073</v>
      </c>
      <c r="F11" s="23" t="s">
        <v>10</v>
      </c>
      <c r="G11" s="23" t="s">
        <v>49</v>
      </c>
      <c r="H11" s="23" t="s">
        <v>68</v>
      </c>
      <c r="I11" s="11"/>
      <c r="J11" s="10">
        <v>10</v>
      </c>
      <c r="K11" s="26">
        <f>J3*(J11/100)</f>
        <v>130000</v>
      </c>
      <c r="L11" s="20"/>
      <c r="M11" s="11"/>
      <c r="N11" s="2" t="s">
        <v>92</v>
      </c>
      <c r="O11" s="2" t="s">
        <v>93</v>
      </c>
      <c r="P11" s="2" t="s">
        <v>120</v>
      </c>
      <c r="Q11" s="2" t="s">
        <v>94</v>
      </c>
      <c r="R11" s="2" t="s">
        <v>121</v>
      </c>
      <c r="S11" s="1"/>
    </row>
    <row r="12" spans="1:19" ht="15" customHeight="1" thickTop="1" x14ac:dyDescent="0.3">
      <c r="A12" s="1"/>
      <c r="B12" s="16">
        <v>9</v>
      </c>
      <c r="C12" s="27">
        <f>(C11*J9)/100</f>
        <v>1215.0552992308235</v>
      </c>
      <c r="D12" s="4" t="s">
        <v>110</v>
      </c>
      <c r="E12" s="27">
        <f t="shared" si="0"/>
        <v>521.36758201215366</v>
      </c>
      <c r="F12" s="23" t="s">
        <v>18</v>
      </c>
      <c r="G12" s="23" t="s">
        <v>48</v>
      </c>
      <c r="H12" s="23" t="s">
        <v>71</v>
      </c>
      <c r="I12" s="11"/>
      <c r="J12" s="15"/>
      <c r="K12" s="15"/>
      <c r="L12" s="15"/>
      <c r="M12" s="11"/>
      <c r="N12" s="21">
        <v>0.5</v>
      </c>
      <c r="O12" s="21">
        <v>1</v>
      </c>
      <c r="P12" s="21">
        <v>0</v>
      </c>
      <c r="Q12" s="21">
        <v>0</v>
      </c>
      <c r="R12" s="21">
        <v>0</v>
      </c>
      <c r="S12" s="1"/>
    </row>
    <row r="13" spans="1:19" ht="15" customHeight="1" thickBot="1" x14ac:dyDescent="0.35">
      <c r="A13" s="1"/>
      <c r="B13" s="16">
        <v>10</v>
      </c>
      <c r="C13" s="27">
        <f>(C12*J9)/100</f>
        <v>722.95790304234004</v>
      </c>
      <c r="D13" s="4" t="s">
        <v>110</v>
      </c>
      <c r="E13" s="27">
        <f t="shared" si="0"/>
        <v>260.68379100607683</v>
      </c>
      <c r="F13" s="23" t="s">
        <v>19</v>
      </c>
      <c r="G13" s="23" t="s">
        <v>47</v>
      </c>
      <c r="H13" s="23" t="s">
        <v>70</v>
      </c>
      <c r="I13" s="11"/>
      <c r="J13" s="44" t="s">
        <v>100</v>
      </c>
      <c r="K13" s="45"/>
      <c r="L13" s="45"/>
      <c r="M13" s="11"/>
      <c r="N13" s="21">
        <v>1</v>
      </c>
      <c r="O13" s="21">
        <v>1</v>
      </c>
      <c r="P13" s="21">
        <v>0</v>
      </c>
      <c r="Q13" s="21">
        <v>0</v>
      </c>
      <c r="R13" s="21">
        <v>0</v>
      </c>
      <c r="S13" s="1"/>
    </row>
    <row r="14" spans="1:19" ht="15" customHeight="1" thickTop="1" thickBot="1" x14ac:dyDescent="0.35">
      <c r="A14" s="1"/>
      <c r="B14" s="16">
        <v>11</v>
      </c>
      <c r="C14" s="27">
        <f>(C13*J9)/100</f>
        <v>430.1599523101923</v>
      </c>
      <c r="D14" s="4" t="s">
        <v>110</v>
      </c>
      <c r="E14" s="27">
        <f t="shared" si="0"/>
        <v>130.34189550303842</v>
      </c>
      <c r="F14" s="23" t="s">
        <v>8</v>
      </c>
      <c r="G14" s="23" t="s">
        <v>46</v>
      </c>
      <c r="H14" s="23" t="s">
        <v>69</v>
      </c>
      <c r="I14" s="11"/>
      <c r="J14" s="22" t="s">
        <v>1</v>
      </c>
      <c r="K14" s="20"/>
      <c r="L14" s="20"/>
      <c r="M14" s="11"/>
      <c r="N14" s="21">
        <v>1.5</v>
      </c>
      <c r="O14" s="21">
        <v>1</v>
      </c>
      <c r="P14" s="21">
        <v>0</v>
      </c>
      <c r="Q14" s="21">
        <v>0</v>
      </c>
      <c r="R14" s="21">
        <v>0</v>
      </c>
      <c r="S14" s="1"/>
    </row>
    <row r="15" spans="1:19" ht="15" customHeight="1" thickTop="1" thickBot="1" x14ac:dyDescent="0.35">
      <c r="A15" s="1"/>
      <c r="B15" s="16">
        <v>12</v>
      </c>
      <c r="C15" s="27">
        <f>(C14*J9)/100</f>
        <v>255.94517162456444</v>
      </c>
      <c r="D15" s="4" t="s">
        <v>111</v>
      </c>
      <c r="E15" s="4" t="s">
        <v>111</v>
      </c>
      <c r="F15" s="23" t="s">
        <v>20</v>
      </c>
      <c r="G15" s="23" t="s">
        <v>45</v>
      </c>
      <c r="H15" s="12"/>
      <c r="I15" s="11"/>
      <c r="J15" s="26">
        <f>J3-J7</f>
        <v>1108828.5313440019</v>
      </c>
      <c r="K15" s="20"/>
      <c r="L15" s="20"/>
      <c r="M15" s="11"/>
      <c r="N15" s="21">
        <v>2</v>
      </c>
      <c r="O15" s="21">
        <v>1</v>
      </c>
      <c r="P15" s="21">
        <v>0</v>
      </c>
      <c r="Q15" s="21">
        <v>0</v>
      </c>
      <c r="R15" s="21">
        <v>0</v>
      </c>
      <c r="S15" s="1"/>
    </row>
    <row r="16" spans="1:19" ht="15" customHeight="1" thickTop="1" thickBot="1" x14ac:dyDescent="0.35">
      <c r="A16" s="1"/>
      <c r="B16" s="16">
        <v>13</v>
      </c>
      <c r="C16" s="27">
        <f>(C15*90)/100</f>
        <v>230.350654462108</v>
      </c>
      <c r="D16" s="4" t="s">
        <v>111</v>
      </c>
      <c r="E16" s="4" t="s">
        <v>111</v>
      </c>
      <c r="F16" s="23" t="s">
        <v>21</v>
      </c>
      <c r="G16" s="23" t="s">
        <v>44</v>
      </c>
      <c r="H16" s="12"/>
      <c r="I16" s="11"/>
      <c r="J16" s="22" t="s">
        <v>91</v>
      </c>
      <c r="K16" s="22" t="s">
        <v>130</v>
      </c>
      <c r="L16" s="20"/>
      <c r="M16" s="11"/>
      <c r="N16" s="21">
        <v>2.5</v>
      </c>
      <c r="O16" s="21">
        <v>1</v>
      </c>
      <c r="P16" s="21">
        <v>0</v>
      </c>
      <c r="Q16" s="21">
        <v>0</v>
      </c>
      <c r="R16" s="21">
        <v>0</v>
      </c>
      <c r="S16" s="1"/>
    </row>
    <row r="17" spans="1:19" ht="15" customHeight="1" thickTop="1" thickBot="1" x14ac:dyDescent="0.35">
      <c r="A17" s="1"/>
      <c r="B17" s="16">
        <v>14</v>
      </c>
      <c r="C17" s="27">
        <f>(C16*J9)/100</f>
        <v>137.05863940495428</v>
      </c>
      <c r="D17" s="4" t="s">
        <v>111</v>
      </c>
      <c r="E17" s="4" t="s">
        <v>111</v>
      </c>
      <c r="F17" s="23" t="s">
        <v>9</v>
      </c>
      <c r="G17" s="23" t="s">
        <v>42</v>
      </c>
      <c r="H17" s="12"/>
      <c r="I17" s="11"/>
      <c r="J17" s="26">
        <f>J15*(1.3/5.4)</f>
        <v>266940.20199022267</v>
      </c>
      <c r="K17" s="10">
        <v>50</v>
      </c>
      <c r="L17" s="20"/>
      <c r="M17" s="11"/>
      <c r="N17" s="21">
        <v>2.5</v>
      </c>
      <c r="O17" s="21">
        <v>2.5</v>
      </c>
      <c r="P17" s="21">
        <v>0</v>
      </c>
      <c r="Q17" s="21">
        <v>0</v>
      </c>
      <c r="R17" s="21">
        <v>0</v>
      </c>
      <c r="S17" s="1"/>
    </row>
    <row r="18" spans="1:19" ht="15" customHeight="1" thickTop="1" thickBot="1" x14ac:dyDescent="0.35">
      <c r="A18" s="1"/>
      <c r="B18" s="16">
        <v>15</v>
      </c>
      <c r="C18" s="27">
        <f>(C17*J9)/100</f>
        <v>81.549890445947796</v>
      </c>
      <c r="D18" s="4" t="s">
        <v>111</v>
      </c>
      <c r="E18" s="4" t="s">
        <v>111</v>
      </c>
      <c r="F18" s="23" t="s">
        <v>26</v>
      </c>
      <c r="G18" s="23" t="s">
        <v>41</v>
      </c>
      <c r="H18" s="12"/>
      <c r="I18" s="11"/>
      <c r="J18" s="22" t="s">
        <v>90</v>
      </c>
      <c r="K18" s="22" t="s">
        <v>129</v>
      </c>
      <c r="L18" s="20"/>
      <c r="M18" s="11"/>
      <c r="N18" s="21">
        <v>2.5</v>
      </c>
      <c r="O18" s="21">
        <v>3</v>
      </c>
      <c r="P18" s="21">
        <v>0</v>
      </c>
      <c r="Q18" s="21">
        <v>0</v>
      </c>
      <c r="R18" s="21">
        <v>0</v>
      </c>
      <c r="S18" s="1"/>
    </row>
    <row r="19" spans="1:19" ht="15" customHeight="1" thickTop="1" x14ac:dyDescent="0.3">
      <c r="A19" s="1"/>
      <c r="B19" s="16">
        <v>16</v>
      </c>
      <c r="C19" s="27">
        <f>(C18*J9)/100</f>
        <v>48.522184815338939</v>
      </c>
      <c r="D19" s="4" t="s">
        <v>111</v>
      </c>
      <c r="E19" s="4" t="s">
        <v>111</v>
      </c>
      <c r="F19" s="23" t="s">
        <v>27</v>
      </c>
      <c r="G19" s="23" t="s">
        <v>43</v>
      </c>
      <c r="H19" s="12"/>
      <c r="I19" s="11"/>
      <c r="J19" s="26">
        <f>J15*(4.1/5.4)</f>
        <v>841888.32935377909</v>
      </c>
      <c r="K19" s="10">
        <v>33</v>
      </c>
      <c r="L19" s="20"/>
      <c r="M19" s="11"/>
      <c r="N19" s="21">
        <v>2.5</v>
      </c>
      <c r="O19" s="21">
        <v>3.5</v>
      </c>
      <c r="P19" s="21">
        <v>1</v>
      </c>
      <c r="Q19" s="21">
        <v>0</v>
      </c>
      <c r="R19" s="21">
        <v>0</v>
      </c>
      <c r="S19" s="1"/>
    </row>
    <row r="20" spans="1:19" ht="15" customHeight="1" x14ac:dyDescent="0.3">
      <c r="A20" s="1"/>
      <c r="B20" s="16">
        <v>17</v>
      </c>
      <c r="C20" s="27">
        <f>(C19*J9)/100</f>
        <v>28.870699965126668</v>
      </c>
      <c r="D20" s="4" t="s">
        <v>111</v>
      </c>
      <c r="E20" s="4" t="s">
        <v>111</v>
      </c>
      <c r="F20" s="23" t="s">
        <v>24</v>
      </c>
      <c r="G20" s="23" t="s">
        <v>40</v>
      </c>
      <c r="H20" s="12"/>
      <c r="I20" s="11"/>
      <c r="J20" s="15"/>
      <c r="K20" s="15"/>
      <c r="L20" s="15"/>
      <c r="M20" s="11"/>
      <c r="N20" s="21">
        <v>2.5</v>
      </c>
      <c r="O20" s="21">
        <v>4</v>
      </c>
      <c r="P20" s="21">
        <v>1</v>
      </c>
      <c r="Q20" s="21">
        <v>0</v>
      </c>
      <c r="R20" s="21">
        <v>0</v>
      </c>
      <c r="S20" s="1"/>
    </row>
    <row r="21" spans="1:19" ht="15" customHeight="1" thickBot="1" x14ac:dyDescent="0.35">
      <c r="A21" s="1"/>
      <c r="B21" s="16">
        <v>18</v>
      </c>
      <c r="C21" s="27">
        <f>(C20*J9)/100</f>
        <v>17.178066479250369</v>
      </c>
      <c r="D21" s="4" t="s">
        <v>111</v>
      </c>
      <c r="E21" s="4" t="s">
        <v>111</v>
      </c>
      <c r="F21" s="23" t="s">
        <v>23</v>
      </c>
      <c r="G21" s="23" t="s">
        <v>39</v>
      </c>
      <c r="H21" s="12"/>
      <c r="I21" s="11"/>
      <c r="J21" s="32" t="s">
        <v>98</v>
      </c>
      <c r="K21" s="33"/>
      <c r="L21" s="33"/>
      <c r="M21" s="11"/>
      <c r="N21" s="21">
        <v>2.5</v>
      </c>
      <c r="O21" s="21">
        <v>4.5</v>
      </c>
      <c r="P21" s="21">
        <v>1</v>
      </c>
      <c r="Q21" s="21">
        <v>0</v>
      </c>
      <c r="R21" s="21">
        <v>0</v>
      </c>
      <c r="S21" s="1"/>
    </row>
    <row r="22" spans="1:19" ht="15" customHeight="1" thickTop="1" thickBot="1" x14ac:dyDescent="0.35">
      <c r="A22" s="1"/>
      <c r="B22" s="16">
        <v>19</v>
      </c>
      <c r="C22" s="27">
        <f>(C21*J9)/100</f>
        <v>10.22094955515397</v>
      </c>
      <c r="D22" s="4" t="s">
        <v>111</v>
      </c>
      <c r="E22" s="4" t="s">
        <v>111</v>
      </c>
      <c r="F22" s="23" t="s">
        <v>25</v>
      </c>
      <c r="G22" s="23" t="s">
        <v>38</v>
      </c>
      <c r="H22" s="12"/>
      <c r="I22" s="11"/>
      <c r="J22" s="22" t="s">
        <v>108</v>
      </c>
      <c r="K22" s="22" t="s">
        <v>34</v>
      </c>
      <c r="L22" s="22" t="s">
        <v>35</v>
      </c>
      <c r="M22" s="11"/>
      <c r="N22" s="21">
        <v>2.5</v>
      </c>
      <c r="O22" s="21">
        <v>4.5</v>
      </c>
      <c r="P22" s="21">
        <v>2.5</v>
      </c>
      <c r="Q22" s="21">
        <v>0</v>
      </c>
      <c r="R22" s="21">
        <v>0</v>
      </c>
      <c r="S22" s="1"/>
    </row>
    <row r="23" spans="1:19" ht="15" customHeight="1" thickTop="1" thickBot="1" x14ac:dyDescent="0.35">
      <c r="A23" s="1"/>
      <c r="B23" s="16">
        <v>20</v>
      </c>
      <c r="C23" s="27">
        <f>(C22*J9)/100</f>
        <v>6.0814649853166118</v>
      </c>
      <c r="D23" s="4" t="s">
        <v>111</v>
      </c>
      <c r="E23" s="4" t="s">
        <v>111</v>
      </c>
      <c r="F23" s="23" t="s">
        <v>22</v>
      </c>
      <c r="G23" s="23" t="s">
        <v>37</v>
      </c>
      <c r="H23" s="12"/>
      <c r="I23" s="11"/>
      <c r="J23" s="26">
        <f>((SUM(C26:C32)+SUM(E26:E32))*365)</f>
        <v>494601378.89412445</v>
      </c>
      <c r="K23" s="26">
        <f>(J23)*(J25/100)</f>
        <v>247300689.44706222</v>
      </c>
      <c r="L23" s="26">
        <f>SUM(D35:D49)*365</f>
        <v>141103881.43933952</v>
      </c>
      <c r="M23" s="11"/>
      <c r="N23" s="21">
        <v>2.5</v>
      </c>
      <c r="O23" s="21">
        <v>4.5</v>
      </c>
      <c r="P23" s="21">
        <v>3</v>
      </c>
      <c r="Q23" s="21">
        <v>0</v>
      </c>
      <c r="R23" s="21">
        <v>0</v>
      </c>
      <c r="S23" s="1"/>
    </row>
    <row r="24" spans="1:19" ht="15" customHeight="1" thickTop="1" thickBot="1" x14ac:dyDescent="0.35">
      <c r="A24" s="1"/>
      <c r="B24" s="17"/>
      <c r="C24" s="11"/>
      <c r="D24" s="11"/>
      <c r="E24" s="11"/>
      <c r="F24" s="11"/>
      <c r="G24" s="11"/>
      <c r="H24" s="11"/>
      <c r="I24" s="11"/>
      <c r="J24" s="22" t="s">
        <v>106</v>
      </c>
      <c r="K24" s="22" t="s">
        <v>76</v>
      </c>
      <c r="L24" s="22" t="s">
        <v>36</v>
      </c>
      <c r="M24" s="11"/>
      <c r="N24" s="21">
        <v>2.5</v>
      </c>
      <c r="O24" s="21">
        <v>4.5</v>
      </c>
      <c r="P24" s="21">
        <v>3.5</v>
      </c>
      <c r="Q24" s="21">
        <v>0</v>
      </c>
      <c r="R24" s="21">
        <v>0</v>
      </c>
      <c r="S24" s="1"/>
    </row>
    <row r="25" spans="1:19" ht="15" customHeight="1" thickTop="1" thickBot="1" x14ac:dyDescent="0.35">
      <c r="A25" s="1"/>
      <c r="B25" s="18" t="s">
        <v>3</v>
      </c>
      <c r="C25" s="6" t="s">
        <v>89</v>
      </c>
      <c r="D25" s="6" t="s">
        <v>7</v>
      </c>
      <c r="E25" s="6" t="s">
        <v>88</v>
      </c>
      <c r="F25" s="6" t="s">
        <v>7</v>
      </c>
      <c r="G25" s="6" t="s">
        <v>72</v>
      </c>
      <c r="H25" s="12"/>
      <c r="I25" s="11"/>
      <c r="J25" s="10">
        <v>50</v>
      </c>
      <c r="K25" s="7">
        <f>(L23/K23)*100</f>
        <v>57.057617491820437</v>
      </c>
      <c r="L25" s="28">
        <f>(K23-L23)/2</f>
        <v>53098404.003861353</v>
      </c>
      <c r="M25" s="11"/>
      <c r="N25" s="21">
        <v>2.5</v>
      </c>
      <c r="O25" s="21">
        <v>4.5</v>
      </c>
      <c r="P25" s="21">
        <v>4</v>
      </c>
      <c r="Q25" s="21">
        <v>1</v>
      </c>
      <c r="R25" s="21">
        <v>0</v>
      </c>
      <c r="S25" s="1"/>
    </row>
    <row r="26" spans="1:19" ht="15" customHeight="1" thickTop="1" thickBot="1" x14ac:dyDescent="0.35">
      <c r="A26" s="1"/>
      <c r="B26" s="18" t="s">
        <v>73</v>
      </c>
      <c r="C26" s="25">
        <f>D26*(0.05*(G26/100))</f>
        <v>4288.4970715092577</v>
      </c>
      <c r="D26" s="25">
        <f>D3</f>
        <v>428849.70715092565</v>
      </c>
      <c r="E26" s="25">
        <f>F26*(0.05/3)</f>
        <v>2.172364925049866</v>
      </c>
      <c r="F26" s="25">
        <f>E3</f>
        <v>130.34189550299197</v>
      </c>
      <c r="G26" s="10">
        <v>20</v>
      </c>
      <c r="H26" s="12"/>
      <c r="I26" s="11"/>
      <c r="J26" s="22" t="s">
        <v>32</v>
      </c>
      <c r="K26" s="22" t="s">
        <v>104</v>
      </c>
      <c r="L26" s="22" t="s">
        <v>114</v>
      </c>
      <c r="M26" s="11"/>
      <c r="N26" s="21">
        <v>2.5</v>
      </c>
      <c r="O26" s="21">
        <v>4.5</v>
      </c>
      <c r="P26" s="21">
        <v>4.5</v>
      </c>
      <c r="Q26" s="21">
        <v>1</v>
      </c>
      <c r="R26" s="21">
        <v>0</v>
      </c>
      <c r="S26" s="1"/>
    </row>
    <row r="27" spans="1:19" ht="15" customHeight="1" thickTop="1" thickBot="1" x14ac:dyDescent="0.35">
      <c r="A27" s="1"/>
      <c r="B27" s="18" t="s">
        <v>74</v>
      </c>
      <c r="C27" s="25">
        <f t="shared" ref="C27:C31" si="1">D27*(10*(G27/100))</f>
        <v>833469.44606024143</v>
      </c>
      <c r="D27" s="25">
        <f>D4</f>
        <v>277823.14868674712</v>
      </c>
      <c r="E27" s="25">
        <f>F27*(0.1*(G27/100))</f>
        <v>4004.1030298533401</v>
      </c>
      <c r="F27" s="25">
        <f>E4</f>
        <v>133470.10099511134</v>
      </c>
      <c r="G27" s="10">
        <v>30</v>
      </c>
      <c r="H27" s="12"/>
      <c r="I27" s="11"/>
      <c r="J27" s="26">
        <f>(J23-K23)</f>
        <v>247300689.44706222</v>
      </c>
      <c r="K27" s="8">
        <f>SUM(K35:K49)/(K23-L23)</f>
        <v>1.708228188156266</v>
      </c>
      <c r="L27" s="10">
        <v>1</v>
      </c>
      <c r="M27" s="11"/>
      <c r="N27" s="22" t="s">
        <v>95</v>
      </c>
      <c r="O27" s="22" t="s">
        <v>96</v>
      </c>
      <c r="P27" s="22" t="s">
        <v>122</v>
      </c>
      <c r="Q27" s="22" t="s">
        <v>123</v>
      </c>
      <c r="R27" s="22" t="s">
        <v>135</v>
      </c>
      <c r="S27" s="1"/>
    </row>
    <row r="28" spans="1:19" ht="15" customHeight="1" thickTop="1" thickBot="1" x14ac:dyDescent="0.35">
      <c r="A28" s="1"/>
      <c r="B28" s="18" t="s">
        <v>75</v>
      </c>
      <c r="C28" s="25">
        <f t="shared" si="1"/>
        <v>426778.02985514665</v>
      </c>
      <c r="D28" s="25">
        <f>D5+D6</f>
        <v>121936.57995861334</v>
      </c>
      <c r="E28" s="25">
        <f>F28*(0.2*(G28/100))</f>
        <v>7007.1803022433442</v>
      </c>
      <c r="F28" s="25">
        <f>E5+E6</f>
        <v>100102.5757463335</v>
      </c>
      <c r="G28" s="10">
        <v>35</v>
      </c>
      <c r="H28" s="12"/>
      <c r="I28" s="11"/>
      <c r="J28" s="15"/>
      <c r="K28" s="15"/>
      <c r="L28" s="15"/>
      <c r="M28" s="11"/>
      <c r="N28" s="22" t="s">
        <v>81</v>
      </c>
      <c r="O28" s="29">
        <v>100</v>
      </c>
      <c r="P28" s="22" t="s">
        <v>81</v>
      </c>
      <c r="Q28" s="14" t="s">
        <v>124</v>
      </c>
      <c r="R28" s="22" t="s">
        <v>136</v>
      </c>
      <c r="S28" s="1"/>
    </row>
    <row r="29" spans="1:19" ht="15" customHeight="1" thickTop="1" thickBot="1" x14ac:dyDescent="0.35">
      <c r="A29" s="1"/>
      <c r="B29" s="18" t="s">
        <v>4</v>
      </c>
      <c r="C29" s="25">
        <f t="shared" si="1"/>
        <v>53115.574229971971</v>
      </c>
      <c r="D29" s="25">
        <f>D7+D8</f>
        <v>13278.893557492993</v>
      </c>
      <c r="E29" s="25">
        <f>F29*(1*(G29/100))</f>
        <v>10010.257574633351</v>
      </c>
      <c r="F29" s="25">
        <f>E7+E8</f>
        <v>25025.643936583376</v>
      </c>
      <c r="G29" s="10">
        <v>40</v>
      </c>
      <c r="H29" s="12"/>
      <c r="I29" s="11"/>
      <c r="J29" s="34" t="s">
        <v>99</v>
      </c>
      <c r="K29" s="35"/>
      <c r="L29" s="36"/>
      <c r="M29" s="11"/>
      <c r="N29" s="22" t="s">
        <v>82</v>
      </c>
      <c r="O29" s="29">
        <v>500</v>
      </c>
      <c r="P29" s="22" t="s">
        <v>82</v>
      </c>
      <c r="Q29" s="14" t="s">
        <v>125</v>
      </c>
      <c r="R29" s="4" t="s">
        <v>136</v>
      </c>
      <c r="S29" s="1"/>
    </row>
    <row r="30" spans="1:19" ht="15" customHeight="1" thickTop="1" thickBot="1" x14ac:dyDescent="0.35">
      <c r="A30" s="1"/>
      <c r="B30" s="18" t="s">
        <v>30</v>
      </c>
      <c r="C30" s="25">
        <f t="shared" si="1"/>
        <v>0</v>
      </c>
      <c r="D30" s="25">
        <v>0</v>
      </c>
      <c r="E30" s="25">
        <f>F30*(2*(G30/100))</f>
        <v>3753.8465904875065</v>
      </c>
      <c r="F30" s="25">
        <f>E9</f>
        <v>4170.9406560972293</v>
      </c>
      <c r="G30" s="10">
        <v>45</v>
      </c>
      <c r="H30" s="12"/>
      <c r="I30" s="11"/>
      <c r="J30" s="22" t="s">
        <v>109</v>
      </c>
      <c r="K30" s="22" t="s">
        <v>113</v>
      </c>
      <c r="L30" s="22" t="s">
        <v>107</v>
      </c>
      <c r="M30" s="11"/>
      <c r="N30" s="22" t="s">
        <v>83</v>
      </c>
      <c r="O30" s="29">
        <v>5000</v>
      </c>
      <c r="P30" s="22" t="s">
        <v>83</v>
      </c>
      <c r="Q30" s="14" t="s">
        <v>125</v>
      </c>
      <c r="R30" s="5" t="s">
        <v>136</v>
      </c>
      <c r="S30" s="1"/>
    </row>
    <row r="31" spans="1:19" ht="15" customHeight="1" thickTop="1" thickBot="1" x14ac:dyDescent="0.35">
      <c r="A31" s="1"/>
      <c r="B31" s="18" t="s">
        <v>5</v>
      </c>
      <c r="C31" s="25">
        <f t="shared" si="1"/>
        <v>0</v>
      </c>
      <c r="D31" s="25">
        <v>0</v>
      </c>
      <c r="E31" s="25">
        <f>F31*(4*(G31/100))</f>
        <v>6256.4109841458439</v>
      </c>
      <c r="F31" s="25">
        <f>E11+E10</f>
        <v>3128.205492072922</v>
      </c>
      <c r="G31" s="10">
        <v>50</v>
      </c>
      <c r="H31" s="12"/>
      <c r="I31" s="11"/>
      <c r="J31" s="7"/>
      <c r="K31" s="10"/>
      <c r="L31" s="8" t="e">
        <f>L25/#REF!</f>
        <v>#REF!</v>
      </c>
      <c r="M31" s="11"/>
      <c r="N31" s="22" t="s">
        <v>84</v>
      </c>
      <c r="O31" s="29">
        <v>50000</v>
      </c>
      <c r="P31" s="22" t="s">
        <v>84</v>
      </c>
      <c r="Q31" s="14" t="s">
        <v>126</v>
      </c>
      <c r="R31" s="3" t="s">
        <v>136</v>
      </c>
      <c r="S31" s="1"/>
    </row>
    <row r="32" spans="1:19" ht="15" customHeight="1" thickTop="1" thickBot="1" x14ac:dyDescent="0.35">
      <c r="A32" s="1"/>
      <c r="B32" s="18" t="s">
        <v>6</v>
      </c>
      <c r="C32" s="25">
        <f>D32*(10*(G32/100))</f>
        <v>0</v>
      </c>
      <c r="D32" s="25">
        <v>0</v>
      </c>
      <c r="E32" s="25">
        <f>F32*(10*(G32/100))</f>
        <v>6386.7528796488823</v>
      </c>
      <c r="F32" s="25">
        <f>E14+E13+E12</f>
        <v>912.39326852126896</v>
      </c>
      <c r="G32" s="10">
        <v>70</v>
      </c>
      <c r="H32" s="12"/>
      <c r="I32" s="11"/>
      <c r="J32" s="20"/>
      <c r="K32" s="20"/>
      <c r="L32" s="20"/>
      <c r="M32" s="11"/>
      <c r="N32" s="22" t="s">
        <v>85</v>
      </c>
      <c r="O32" s="29">
        <v>250000</v>
      </c>
      <c r="P32" s="22" t="s">
        <v>85</v>
      </c>
      <c r="Q32" s="14" t="s">
        <v>127</v>
      </c>
      <c r="R32" s="24" t="s">
        <v>136</v>
      </c>
      <c r="S32" s="1"/>
    </row>
    <row r="33" spans="1:19" ht="15" customHeight="1" thickTop="1" thickBot="1" x14ac:dyDescent="0.35">
      <c r="A33" s="1"/>
      <c r="B33" s="17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"/>
    </row>
    <row r="34" spans="1:19" ht="15" customHeight="1" thickTop="1" thickBot="1" x14ac:dyDescent="0.35">
      <c r="A34" s="1"/>
      <c r="B34" s="19" t="s">
        <v>86</v>
      </c>
      <c r="C34" s="6" t="s">
        <v>112</v>
      </c>
      <c r="D34" s="9" t="s">
        <v>87</v>
      </c>
      <c r="E34" s="6" t="s">
        <v>31</v>
      </c>
      <c r="F34" s="6" t="s">
        <v>77</v>
      </c>
      <c r="G34" s="6" t="s">
        <v>78</v>
      </c>
      <c r="H34" s="6" t="s">
        <v>33</v>
      </c>
      <c r="I34" s="11"/>
      <c r="J34" s="2" t="s">
        <v>79</v>
      </c>
      <c r="K34" s="2" t="s">
        <v>105</v>
      </c>
      <c r="L34" s="31" t="s">
        <v>115</v>
      </c>
      <c r="M34" s="31"/>
      <c r="N34" s="2" t="s">
        <v>116</v>
      </c>
      <c r="O34" s="2" t="s">
        <v>117</v>
      </c>
      <c r="P34" s="2" t="s">
        <v>118</v>
      </c>
      <c r="Q34" s="2" t="s">
        <v>119</v>
      </c>
      <c r="R34" s="12"/>
      <c r="S34" s="1"/>
    </row>
    <row r="35" spans="1:19" ht="15" customHeight="1" thickTop="1" x14ac:dyDescent="0.3">
      <c r="A35" s="1"/>
      <c r="B35" s="16">
        <v>1</v>
      </c>
      <c r="C35" s="8">
        <f>((D35*365)/K23)*100</f>
        <v>3.4249095782699266</v>
      </c>
      <c r="D35" s="26">
        <f t="shared" ref="D35:D49" si="2">(G35*C4)+(C4*H35)</f>
        <v>23205</v>
      </c>
      <c r="E35" s="10">
        <v>0.2</v>
      </c>
      <c r="F35" s="10">
        <v>1</v>
      </c>
      <c r="G35" s="7">
        <f>F35*E35</f>
        <v>0.2</v>
      </c>
      <c r="H35" s="10">
        <v>0.1</v>
      </c>
      <c r="I35" s="11"/>
      <c r="J35" s="25">
        <f>(N12*O28+O12*O29+P12*O30+Q12*O31+R12*O32)*L27</f>
        <v>550</v>
      </c>
      <c r="K35" s="25">
        <f t="shared" ref="K35:K49" si="3">J35*C4</f>
        <v>42542500</v>
      </c>
      <c r="L35" s="30">
        <f t="shared" ref="L35:L49" si="4">(N12)*$L$27</f>
        <v>0.5</v>
      </c>
      <c r="M35" s="30"/>
      <c r="N35" s="4">
        <f t="shared" ref="N35:Q49" si="5">(O12)*$L$27</f>
        <v>1</v>
      </c>
      <c r="O35" s="4">
        <f t="shared" si="5"/>
        <v>0</v>
      </c>
      <c r="P35" s="4">
        <f t="shared" si="5"/>
        <v>0</v>
      </c>
      <c r="Q35" s="4">
        <f t="shared" si="5"/>
        <v>0</v>
      </c>
      <c r="R35" s="12"/>
      <c r="S35" s="1"/>
    </row>
    <row r="36" spans="1:19" ht="15" customHeight="1" x14ac:dyDescent="0.3">
      <c r="A36" s="1"/>
      <c r="B36" s="16">
        <v>2</v>
      </c>
      <c r="C36" s="8">
        <f>((D36*365)/K23)*100</f>
        <v>2.9208770520012024</v>
      </c>
      <c r="D36" s="26">
        <f t="shared" si="2"/>
        <v>19789.997500000001</v>
      </c>
      <c r="E36" s="10">
        <v>0.3</v>
      </c>
      <c r="F36" s="10">
        <v>1.1000000000000001</v>
      </c>
      <c r="G36" s="7">
        <f t="shared" ref="G36:G49" si="6">F36*E36</f>
        <v>0.33</v>
      </c>
      <c r="H36" s="10">
        <v>0.1</v>
      </c>
      <c r="I36" s="11"/>
      <c r="J36" s="25">
        <f>(N13*O28+O13*O29+P13*O30+Q13*O31+R13*O32)*L27</f>
        <v>600</v>
      </c>
      <c r="K36" s="25">
        <f t="shared" si="3"/>
        <v>27613950</v>
      </c>
      <c r="L36" s="30">
        <f t="shared" si="4"/>
        <v>1</v>
      </c>
      <c r="M36" s="30"/>
      <c r="N36" s="4">
        <f t="shared" si="5"/>
        <v>1</v>
      </c>
      <c r="O36" s="4">
        <f t="shared" si="5"/>
        <v>0</v>
      </c>
      <c r="P36" s="4">
        <f t="shared" si="5"/>
        <v>0</v>
      </c>
      <c r="Q36" s="4">
        <f t="shared" si="5"/>
        <v>0</v>
      </c>
      <c r="R36" s="12"/>
      <c r="S36" s="1"/>
    </row>
    <row r="37" spans="1:19" ht="15" customHeight="1" x14ac:dyDescent="0.3">
      <c r="A37" s="1"/>
      <c r="B37" s="16">
        <v>3</v>
      </c>
      <c r="C37" s="8">
        <f>((D37*365)/K23)*100</f>
        <v>6.8708538095330614</v>
      </c>
      <c r="D37" s="26">
        <f t="shared" si="2"/>
        <v>46552.517375000003</v>
      </c>
      <c r="E37" s="10">
        <v>1</v>
      </c>
      <c r="F37" s="10">
        <v>1.2</v>
      </c>
      <c r="G37" s="7">
        <f t="shared" si="6"/>
        <v>1.2</v>
      </c>
      <c r="H37" s="10">
        <v>0.5</v>
      </c>
      <c r="I37" s="11"/>
      <c r="J37" s="25">
        <f>(N14*O28+O14*O29+P14*O30+Q14*O31+R14*O32)*L27</f>
        <v>650</v>
      </c>
      <c r="K37" s="25">
        <f t="shared" si="3"/>
        <v>17799491.9375</v>
      </c>
      <c r="L37" s="30">
        <f t="shared" si="4"/>
        <v>1.5</v>
      </c>
      <c r="M37" s="30"/>
      <c r="N37" s="4">
        <f t="shared" si="5"/>
        <v>1</v>
      </c>
      <c r="O37" s="4">
        <f t="shared" si="5"/>
        <v>0</v>
      </c>
      <c r="P37" s="4">
        <f t="shared" si="5"/>
        <v>0</v>
      </c>
      <c r="Q37" s="4">
        <f t="shared" si="5"/>
        <v>0</v>
      </c>
      <c r="R37" s="12"/>
      <c r="S37" s="1"/>
    </row>
    <row r="38" spans="1:19" ht="15" customHeight="1" x14ac:dyDescent="0.3">
      <c r="A38" s="1"/>
      <c r="B38" s="16">
        <v>4</v>
      </c>
      <c r="C38" s="8">
        <f>((D38*365)/K23)*100</f>
        <v>5.2665094450070917</v>
      </c>
      <c r="D38" s="26">
        <f t="shared" si="2"/>
        <v>35682.504567937503</v>
      </c>
      <c r="E38" s="10">
        <v>1.3</v>
      </c>
      <c r="F38" s="10">
        <v>1.3</v>
      </c>
      <c r="G38" s="7">
        <f t="shared" si="6"/>
        <v>1.6900000000000002</v>
      </c>
      <c r="H38" s="10">
        <v>0.5</v>
      </c>
      <c r="I38" s="11"/>
      <c r="J38" s="25">
        <f>(N15*O28+O15*O29+P15*O30+Q15*O31+R15*O32)*L27</f>
        <v>700</v>
      </c>
      <c r="K38" s="25">
        <f t="shared" si="3"/>
        <v>11405366.756874999</v>
      </c>
      <c r="L38" s="30">
        <f t="shared" si="4"/>
        <v>2</v>
      </c>
      <c r="M38" s="30"/>
      <c r="N38" s="4">
        <f t="shared" si="5"/>
        <v>1</v>
      </c>
      <c r="O38" s="4">
        <f t="shared" si="5"/>
        <v>0</v>
      </c>
      <c r="P38" s="4">
        <f t="shared" si="5"/>
        <v>0</v>
      </c>
      <c r="Q38" s="4">
        <f t="shared" si="5"/>
        <v>0</v>
      </c>
      <c r="R38" s="12"/>
      <c r="S38" s="1"/>
    </row>
    <row r="39" spans="1:19" ht="15" customHeight="1" x14ac:dyDescent="0.3">
      <c r="A39" s="1"/>
      <c r="B39" s="16">
        <v>5</v>
      </c>
      <c r="C39" s="8">
        <f>((D39*365)/K23)*100</f>
        <v>5.4372501621739868</v>
      </c>
      <c r="D39" s="26">
        <f t="shared" si="2"/>
        <v>36839.334624706244</v>
      </c>
      <c r="E39" s="10">
        <v>2</v>
      </c>
      <c r="F39" s="10">
        <v>1.4</v>
      </c>
      <c r="G39" s="7">
        <f t="shared" si="6"/>
        <v>2.8</v>
      </c>
      <c r="H39" s="10">
        <v>1</v>
      </c>
      <c r="I39" s="11"/>
      <c r="J39" s="25">
        <f>(N16*O28+O16*O29+P16*O30+Q16*O31+R16*O32)*L27</f>
        <v>750</v>
      </c>
      <c r="K39" s="25">
        <f t="shared" si="3"/>
        <v>7270921.307507812</v>
      </c>
      <c r="L39" s="30">
        <f t="shared" si="4"/>
        <v>2.5</v>
      </c>
      <c r="M39" s="30"/>
      <c r="N39" s="4">
        <f t="shared" si="5"/>
        <v>1</v>
      </c>
      <c r="O39" s="4">
        <f t="shared" si="5"/>
        <v>0</v>
      </c>
      <c r="P39" s="4">
        <f t="shared" si="5"/>
        <v>0</v>
      </c>
      <c r="Q39" s="4">
        <f t="shared" si="5"/>
        <v>0</v>
      </c>
      <c r="R39" s="12"/>
      <c r="S39" s="1"/>
    </row>
    <row r="40" spans="1:19" ht="15" customHeight="1" x14ac:dyDescent="0.3">
      <c r="A40" s="1"/>
      <c r="B40" s="16">
        <v>6</v>
      </c>
      <c r="C40" s="8">
        <f>((D40*365)/K23)*100</f>
        <v>4.0439548081169034</v>
      </c>
      <c r="D40" s="26">
        <f t="shared" si="2"/>
        <v>27399.255127125274</v>
      </c>
      <c r="E40" s="10">
        <v>2.5</v>
      </c>
      <c r="F40" s="10">
        <v>1.5</v>
      </c>
      <c r="G40" s="7">
        <f t="shared" si="6"/>
        <v>3.75</v>
      </c>
      <c r="H40" s="10">
        <v>1</v>
      </c>
      <c r="I40" s="11"/>
      <c r="J40" s="25">
        <f>(N17*O28+O17*O29+P17*O30+Q17*O31+R17*O32)*L27</f>
        <v>1500</v>
      </c>
      <c r="K40" s="25">
        <f t="shared" si="3"/>
        <v>8652396.3559342977</v>
      </c>
      <c r="L40" s="30">
        <f t="shared" si="4"/>
        <v>2.5</v>
      </c>
      <c r="M40" s="30"/>
      <c r="N40" s="4">
        <f t="shared" si="5"/>
        <v>2.5</v>
      </c>
      <c r="O40" s="4">
        <f t="shared" si="5"/>
        <v>0</v>
      </c>
      <c r="P40" s="4">
        <f t="shared" si="5"/>
        <v>0</v>
      </c>
      <c r="Q40" s="4">
        <f t="shared" si="5"/>
        <v>0</v>
      </c>
      <c r="R40" s="12"/>
      <c r="S40" s="1"/>
    </row>
    <row r="41" spans="1:19" ht="15" customHeight="1" x14ac:dyDescent="0.3">
      <c r="A41" s="1"/>
      <c r="B41" s="16">
        <v>7</v>
      </c>
      <c r="C41" s="8">
        <f>((D41*365)/K23)*100</f>
        <v>4.2550918170459546</v>
      </c>
      <c r="D41" s="26">
        <f t="shared" si="2"/>
        <v>28829.784657973076</v>
      </c>
      <c r="E41" s="10">
        <v>4</v>
      </c>
      <c r="F41" s="10">
        <v>1.6</v>
      </c>
      <c r="G41" s="7">
        <f t="shared" si="6"/>
        <v>6.4</v>
      </c>
      <c r="H41" s="10">
        <v>2</v>
      </c>
      <c r="I41" s="11"/>
      <c r="J41" s="25">
        <f>(N18*O28+O18*O29+P18*O30+Q18*O31+R18*O32)*L27</f>
        <v>1750</v>
      </c>
      <c r="K41" s="25">
        <f t="shared" si="3"/>
        <v>6006205.1370777236</v>
      </c>
      <c r="L41" s="30">
        <f t="shared" si="4"/>
        <v>2.5</v>
      </c>
      <c r="M41" s="30"/>
      <c r="N41" s="4">
        <f t="shared" si="5"/>
        <v>3</v>
      </c>
      <c r="O41" s="4">
        <f t="shared" si="5"/>
        <v>0</v>
      </c>
      <c r="P41" s="4">
        <f t="shared" si="5"/>
        <v>0</v>
      </c>
      <c r="Q41" s="4">
        <f t="shared" si="5"/>
        <v>0</v>
      </c>
      <c r="R41" s="12"/>
      <c r="S41" s="1"/>
    </row>
    <row r="42" spans="1:19" ht="15" customHeight="1" x14ac:dyDescent="0.3">
      <c r="A42" s="1"/>
      <c r="B42" s="16">
        <v>8</v>
      </c>
      <c r="C42" s="8">
        <f>((D42*365)/K23)*100</f>
        <v>3.1647245389279282</v>
      </c>
      <c r="D42" s="26">
        <f t="shared" si="2"/>
        <v>21442.152339367472</v>
      </c>
      <c r="E42" s="10">
        <v>5</v>
      </c>
      <c r="F42" s="10">
        <v>1.7</v>
      </c>
      <c r="G42" s="7">
        <f t="shared" si="6"/>
        <v>8.5</v>
      </c>
      <c r="H42" s="10">
        <v>2</v>
      </c>
      <c r="I42" s="11"/>
      <c r="J42" s="25">
        <f>(N19*O28+O19*O29+P19*O30+Q19*O31+R19*O32)*L27</f>
        <v>7000</v>
      </c>
      <c r="K42" s="25">
        <f t="shared" si="3"/>
        <v>14294768.226244982</v>
      </c>
      <c r="L42" s="30">
        <f t="shared" si="4"/>
        <v>2.5</v>
      </c>
      <c r="M42" s="30"/>
      <c r="N42" s="4">
        <f t="shared" si="5"/>
        <v>3.5</v>
      </c>
      <c r="O42" s="4">
        <f t="shared" si="5"/>
        <v>1</v>
      </c>
      <c r="P42" s="4">
        <f t="shared" si="5"/>
        <v>0</v>
      </c>
      <c r="Q42" s="4">
        <f t="shared" si="5"/>
        <v>0</v>
      </c>
      <c r="R42" s="12"/>
      <c r="S42" s="1"/>
    </row>
    <row r="43" spans="1:19" ht="15" customHeight="1" x14ac:dyDescent="0.3">
      <c r="A43" s="1"/>
      <c r="B43" s="16">
        <v>9</v>
      </c>
      <c r="C43" s="8">
        <f>((D43*365)/K23)*100</f>
        <v>4.1246909824027336</v>
      </c>
      <c r="D43" s="26">
        <f t="shared" si="2"/>
        <v>27946.271882308942</v>
      </c>
      <c r="E43" s="10">
        <v>10</v>
      </c>
      <c r="F43" s="10">
        <v>1.8</v>
      </c>
      <c r="G43" s="7">
        <f t="shared" si="6"/>
        <v>18</v>
      </c>
      <c r="H43" s="10">
        <v>5</v>
      </c>
      <c r="I43" s="11"/>
      <c r="J43" s="25">
        <f>(N20*O28+O20*O29+P20*O30+Q20*O31+R20*O32)*L27</f>
        <v>7250</v>
      </c>
      <c r="K43" s="25">
        <f t="shared" si="3"/>
        <v>8809150.9194234703</v>
      </c>
      <c r="L43" s="30">
        <f t="shared" si="4"/>
        <v>2.5</v>
      </c>
      <c r="M43" s="30"/>
      <c r="N43" s="4">
        <f t="shared" si="5"/>
        <v>4</v>
      </c>
      <c r="O43" s="4">
        <f t="shared" si="5"/>
        <v>1</v>
      </c>
      <c r="P43" s="4">
        <f t="shared" si="5"/>
        <v>0</v>
      </c>
      <c r="Q43" s="4">
        <f t="shared" si="5"/>
        <v>0</v>
      </c>
      <c r="R43" s="12"/>
      <c r="S43" s="1"/>
    </row>
    <row r="44" spans="1:19" ht="15" customHeight="1" x14ac:dyDescent="0.3">
      <c r="A44" s="1"/>
      <c r="B44" s="16">
        <v>10</v>
      </c>
      <c r="C44" s="8">
        <f>((D44*365)/K23)*100</f>
        <v>3.5745827394235867</v>
      </c>
      <c r="D44" s="26">
        <f t="shared" si="2"/>
        <v>24219.089751918393</v>
      </c>
      <c r="E44" s="10">
        <v>15</v>
      </c>
      <c r="F44" s="10">
        <v>1.9</v>
      </c>
      <c r="G44" s="7">
        <f t="shared" si="6"/>
        <v>28.5</v>
      </c>
      <c r="H44" s="10">
        <v>5</v>
      </c>
      <c r="I44" s="11"/>
      <c r="J44" s="25">
        <f>(N21*O28+O21*O29+P21*O30+Q21*O31+R21*O32)*L27</f>
        <v>7500</v>
      </c>
      <c r="K44" s="25">
        <f t="shared" si="3"/>
        <v>5422184.2728175502</v>
      </c>
      <c r="L44" s="30">
        <f t="shared" si="4"/>
        <v>2.5</v>
      </c>
      <c r="M44" s="30"/>
      <c r="N44" s="4">
        <f t="shared" si="5"/>
        <v>4.5</v>
      </c>
      <c r="O44" s="4">
        <f t="shared" si="5"/>
        <v>1</v>
      </c>
      <c r="P44" s="4">
        <f t="shared" si="5"/>
        <v>0</v>
      </c>
      <c r="Q44" s="4">
        <f t="shared" si="5"/>
        <v>0</v>
      </c>
      <c r="R44" s="12"/>
      <c r="S44" s="1"/>
    </row>
    <row r="45" spans="1:19" ht="15" customHeight="1" x14ac:dyDescent="0.3">
      <c r="A45" s="1"/>
      <c r="B45" s="16">
        <v>11</v>
      </c>
      <c r="C45" s="8">
        <f>((D45*365)/K23)*100</f>
        <v>3.8093314566394643</v>
      </c>
      <c r="D45" s="26">
        <f t="shared" si="2"/>
        <v>25809.597138611542</v>
      </c>
      <c r="E45" s="10">
        <v>20</v>
      </c>
      <c r="F45" s="10">
        <v>2</v>
      </c>
      <c r="G45" s="7">
        <f t="shared" si="6"/>
        <v>40</v>
      </c>
      <c r="H45" s="10">
        <v>20</v>
      </c>
      <c r="I45" s="11"/>
      <c r="J45" s="25">
        <f>(N22*O28+O22*O29+P22*O30+Q22*O31+R22*O32)*L27</f>
        <v>15000</v>
      </c>
      <c r="K45" s="25">
        <f t="shared" si="3"/>
        <v>6452399.2846528841</v>
      </c>
      <c r="L45" s="30">
        <f t="shared" si="4"/>
        <v>2.5</v>
      </c>
      <c r="M45" s="30"/>
      <c r="N45" s="4">
        <f t="shared" si="5"/>
        <v>4.5</v>
      </c>
      <c r="O45" s="4">
        <f t="shared" si="5"/>
        <v>2.5</v>
      </c>
      <c r="P45" s="4">
        <f t="shared" si="5"/>
        <v>0</v>
      </c>
      <c r="Q45" s="4">
        <f t="shared" si="5"/>
        <v>0</v>
      </c>
      <c r="R45" s="12"/>
      <c r="S45" s="1"/>
    </row>
    <row r="46" spans="1:19" ht="15" customHeight="1" x14ac:dyDescent="0.3">
      <c r="A46" s="1"/>
      <c r="B46" s="16">
        <v>12</v>
      </c>
      <c r="C46" s="8">
        <f>((D46*365)/K23)*100</f>
        <v>2.9276299465714546</v>
      </c>
      <c r="D46" s="26">
        <f t="shared" si="2"/>
        <v>19835.750800903745</v>
      </c>
      <c r="E46" s="10">
        <v>25</v>
      </c>
      <c r="F46" s="10">
        <v>2.1</v>
      </c>
      <c r="G46" s="7">
        <f t="shared" si="6"/>
        <v>52.5</v>
      </c>
      <c r="H46" s="10">
        <v>25</v>
      </c>
      <c r="I46" s="11"/>
      <c r="J46" s="25">
        <f>(N23*O28+O23*O29+P23*O30+Q23*O31+R23*O32)*L27</f>
        <v>17500</v>
      </c>
      <c r="K46" s="25">
        <f t="shared" si="3"/>
        <v>4479040.5034298776</v>
      </c>
      <c r="L46" s="30">
        <f t="shared" si="4"/>
        <v>2.5</v>
      </c>
      <c r="M46" s="30"/>
      <c r="N46" s="4">
        <f t="shared" si="5"/>
        <v>4.5</v>
      </c>
      <c r="O46" s="4">
        <f t="shared" si="5"/>
        <v>3</v>
      </c>
      <c r="P46" s="4">
        <f t="shared" si="5"/>
        <v>0</v>
      </c>
      <c r="Q46" s="4">
        <f t="shared" si="5"/>
        <v>0</v>
      </c>
      <c r="R46" s="12"/>
      <c r="S46" s="1"/>
    </row>
    <row r="47" spans="1:19" ht="15" customHeight="1" x14ac:dyDescent="0.3">
      <c r="A47" s="1"/>
      <c r="B47" s="16">
        <v>13</v>
      </c>
      <c r="C47" s="8">
        <f>((D47*365)/K23)*100</f>
        <v>3.2638351920486928</v>
      </c>
      <c r="D47" s="26">
        <f t="shared" si="2"/>
        <v>22113.662828362365</v>
      </c>
      <c r="E47" s="10">
        <v>30</v>
      </c>
      <c r="F47" s="10">
        <v>2.2000000000000002</v>
      </c>
      <c r="G47" s="7">
        <f t="shared" si="6"/>
        <v>66</v>
      </c>
      <c r="H47" s="10">
        <v>30</v>
      </c>
      <c r="I47" s="11"/>
      <c r="J47" s="25">
        <f>(N24*O28+O24*O29+P24*O30+Q24*O31+R24*O32)*L27</f>
        <v>20000</v>
      </c>
      <c r="K47" s="25">
        <f t="shared" si="3"/>
        <v>4607013.0892421603</v>
      </c>
      <c r="L47" s="30">
        <f t="shared" si="4"/>
        <v>2.5</v>
      </c>
      <c r="M47" s="30"/>
      <c r="N47" s="4">
        <f t="shared" si="5"/>
        <v>4.5</v>
      </c>
      <c r="O47" s="4">
        <f t="shared" si="5"/>
        <v>3.5</v>
      </c>
      <c r="P47" s="4">
        <f t="shared" si="5"/>
        <v>0</v>
      </c>
      <c r="Q47" s="4">
        <f t="shared" si="5"/>
        <v>0</v>
      </c>
      <c r="R47" s="12"/>
      <c r="S47" s="1"/>
    </row>
    <row r="48" spans="1:19" ht="15" customHeight="1" x14ac:dyDescent="0.3">
      <c r="A48" s="1"/>
      <c r="B48" s="16">
        <v>14</v>
      </c>
      <c r="C48" s="8">
        <f>((D48*365)/K23)*100</f>
        <v>2.3364470206829822</v>
      </c>
      <c r="D48" s="26">
        <f t="shared" si="2"/>
        <v>15830.272851272219</v>
      </c>
      <c r="E48" s="10">
        <v>35</v>
      </c>
      <c r="F48" s="10">
        <v>2.2999999999999998</v>
      </c>
      <c r="G48" s="7">
        <f t="shared" si="6"/>
        <v>80.5</v>
      </c>
      <c r="H48" s="10">
        <v>35</v>
      </c>
      <c r="I48" s="11"/>
      <c r="J48" s="25">
        <f>(N25*O28+O25*O29+P25*O30+Q25*O31+R25*O32)*L27</f>
        <v>72500</v>
      </c>
      <c r="K48" s="25">
        <f t="shared" si="3"/>
        <v>9936751.3568591848</v>
      </c>
      <c r="L48" s="30">
        <f t="shared" si="4"/>
        <v>2.5</v>
      </c>
      <c r="M48" s="30"/>
      <c r="N48" s="4">
        <f t="shared" si="5"/>
        <v>4.5</v>
      </c>
      <c r="O48" s="4">
        <f t="shared" si="5"/>
        <v>4</v>
      </c>
      <c r="P48" s="4">
        <f t="shared" si="5"/>
        <v>1</v>
      </c>
      <c r="Q48" s="4">
        <f t="shared" si="5"/>
        <v>0</v>
      </c>
      <c r="R48" s="12"/>
      <c r="S48" s="1"/>
    </row>
    <row r="49" spans="1:19" ht="15" customHeight="1" x14ac:dyDescent="0.3">
      <c r="A49" s="1"/>
      <c r="B49" s="16">
        <v>15</v>
      </c>
      <c r="C49" s="8">
        <f>((D49*365)/K23)*100</f>
        <v>1.6369289429754712</v>
      </c>
      <c r="D49" s="26">
        <f t="shared" si="2"/>
        <v>11090.7851006489</v>
      </c>
      <c r="E49" s="10">
        <v>40</v>
      </c>
      <c r="F49" s="10">
        <v>2.4</v>
      </c>
      <c r="G49" s="7">
        <f t="shared" si="6"/>
        <v>96</v>
      </c>
      <c r="H49" s="10">
        <v>40</v>
      </c>
      <c r="I49" s="11"/>
      <c r="J49" s="25">
        <f>(N26*O28+O26*O29+P26*O30+Q26*O31+R26*O32)*L27</f>
        <v>75000</v>
      </c>
      <c r="K49" s="25">
        <f t="shared" si="3"/>
        <v>6116241.7834460847</v>
      </c>
      <c r="L49" s="30">
        <f t="shared" si="4"/>
        <v>2.5</v>
      </c>
      <c r="M49" s="30"/>
      <c r="N49" s="4">
        <f t="shared" si="5"/>
        <v>4.5</v>
      </c>
      <c r="O49" s="4">
        <f t="shared" si="5"/>
        <v>4.5</v>
      </c>
      <c r="P49" s="4">
        <f t="shared" si="5"/>
        <v>1</v>
      </c>
      <c r="Q49" s="4">
        <f t="shared" si="5"/>
        <v>0</v>
      </c>
      <c r="R49" s="12"/>
      <c r="S49" s="1"/>
    </row>
    <row r="50" spans="1:19" ht="15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</row>
  </sheetData>
  <mergeCells count="26">
    <mergeCell ref="N10:R10"/>
    <mergeCell ref="J2:L2"/>
    <mergeCell ref="J3:L3"/>
    <mergeCell ref="J5:L5"/>
    <mergeCell ref="J13:L13"/>
    <mergeCell ref="N6:R8"/>
    <mergeCell ref="N2:R3"/>
    <mergeCell ref="N4:R5"/>
    <mergeCell ref="J21:L21"/>
    <mergeCell ref="J29:L29"/>
    <mergeCell ref="L44:M44"/>
    <mergeCell ref="L45:M45"/>
    <mergeCell ref="L46:M46"/>
    <mergeCell ref="L47:M47"/>
    <mergeCell ref="L48:M48"/>
    <mergeCell ref="L49:M49"/>
    <mergeCell ref="L34:M34"/>
    <mergeCell ref="L35:M35"/>
    <mergeCell ref="L40:M40"/>
    <mergeCell ref="L41:M41"/>
    <mergeCell ref="L42:M42"/>
    <mergeCell ref="L43:M43"/>
    <mergeCell ref="L36:M36"/>
    <mergeCell ref="L37:M37"/>
    <mergeCell ref="L38:M38"/>
    <mergeCell ref="L39:M39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Bailey Jarisch</dc:creator>
  <cp:lastModifiedBy>Antonio</cp:lastModifiedBy>
  <dcterms:created xsi:type="dcterms:W3CDTF">2021-04-14T23:30:03Z</dcterms:created>
  <dcterms:modified xsi:type="dcterms:W3CDTF">2023-06-09T03:17:53Z</dcterms:modified>
</cp:coreProperties>
</file>