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ingdom" sheetId="1" r:id="rId3"/>
    <sheet state="visible" name="Capital" sheetId="2" r:id="rId4"/>
    <sheet state="visible" name="Capital Map" sheetId="3" r:id="rId5"/>
    <sheet state="visible" name="Turn" sheetId="4" r:id="rId6"/>
    <sheet state="visible" name="City #" sheetId="5" r:id="rId7"/>
    <sheet state="visible" name="City # Map" sheetId="6" r:id="rId8"/>
    <sheet state="visible" name="Example Map" sheetId="7" r:id="rId9"/>
    <sheet state="visible" name="Multi-District Map" sheetId="8" r:id="rId10"/>
    <sheet state="visible" name="Calendar" sheetId="9" r:id="rId11"/>
    <sheet state="visible" name="Data" sheetId="10" r:id="rId12"/>
  </sheets>
  <definedNames>
    <definedName name="IMP">Data!$A$2:$T$75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37">
      <text>
        <t xml:space="preserve">Assuming party speed of 30 feet. See Exploration Time (1 Hex). Treat Cavern as Mountain and Jungle as Marsh for exploration time. Do not adjust the speed for Water hexes</t>
      </text>
    </comment>
    <comment authorId="0" ref="C37">
      <text>
        <t xml:space="preserve">Time and cost to prepare a hex for a settlement.</t>
      </text>
    </comment>
    <comment authorId="0" ref="D37">
      <text>
        <t xml:space="preserve">Farm: Adjacent to water or 2 farm hexes.
Road: Double cost on river hexes for bridges.</t>
      </text>
    </comment>
  </commentList>
</comments>
</file>

<file path=xl/sharedStrings.xml><?xml version="1.0" encoding="utf-8"?>
<sst xmlns="http://schemas.openxmlformats.org/spreadsheetml/2006/main" count="648" uniqueCount="412">
  <si>
    <t>Kingdom of Template</t>
  </si>
  <si>
    <t>Alignment</t>
  </si>
  <si>
    <t>N</t>
  </si>
  <si>
    <t>Size</t>
  </si>
  <si>
    <t>Control DC</t>
  </si>
  <si>
    <t>Population</t>
  </si>
  <si>
    <t>Total =</t>
  </si>
  <si>
    <t>+ Events</t>
  </si>
  <si>
    <t>+ Alignment</t>
  </si>
  <si>
    <t xml:space="preserve">+ Improvements </t>
  </si>
  <si>
    <t>+ Leadership</t>
  </si>
  <si>
    <t>+ Laws</t>
  </si>
  <si>
    <t>- Unrest</t>
  </si>
  <si>
    <t>-Vacancies</t>
  </si>
  <si>
    <t>+ Other</t>
  </si>
  <si>
    <t>Edicts</t>
  </si>
  <si>
    <t>Leadership</t>
  </si>
  <si>
    <t>Promotion Law:</t>
  </si>
  <si>
    <t>None</t>
  </si>
  <si>
    <t>Capital</t>
  </si>
  <si>
    <t>Name</t>
  </si>
  <si>
    <t>Stat</t>
  </si>
  <si>
    <t>Bonus</t>
  </si>
  <si>
    <t>Benefit</t>
  </si>
  <si>
    <t>Vacancy</t>
  </si>
  <si>
    <t>Cathedral</t>
  </si>
  <si>
    <t>No</t>
  </si>
  <si>
    <t>Override</t>
  </si>
  <si>
    <t>Hill</t>
  </si>
  <si>
    <t>Discounts</t>
  </si>
  <si>
    <t>Districts</t>
  </si>
  <si>
    <t>F
o
r
e
s
t</t>
  </si>
  <si>
    <t>Baron</t>
  </si>
  <si>
    <t>Cha</t>
  </si>
  <si>
    <t>W
a
t
e
r</t>
  </si>
  <si>
    <t>Economy</t>
  </si>
  <si>
    <t>+4 Unrest/Upkeep Phase</t>
  </si>
  <si>
    <t>+ Stability</t>
  </si>
  <si>
    <t>Water</t>
  </si>
  <si>
    <t>--Manual Entry--</t>
  </si>
  <si>
    <t>+ Consumption</t>
  </si>
  <si>
    <t>Buy Limit</t>
  </si>
  <si>
    <t>Councilor</t>
  </si>
  <si>
    <t>Wis/Cha</t>
  </si>
  <si>
    <t>Loyalty</t>
  </si>
  <si>
    <t>Taxation Law:</t>
  </si>
  <si>
    <t>General</t>
  </si>
  <si>
    <t>Str/Cha</t>
  </si>
  <si>
    <t>Stability</t>
  </si>
  <si>
    <t>-4 Loyalty</t>
  </si>
  <si>
    <t>Waterfront</t>
  </si>
  <si>
    <t>Grand Diplomat</t>
  </si>
  <si>
    <t>Int/Cha</t>
  </si>
  <si>
    <t>-2 Stability, No Diplo/Explore</t>
  </si>
  <si>
    <t>+ Economy</t>
  </si>
  <si>
    <t>Sell Limit</t>
  </si>
  <si>
    <t>High Priest</t>
  </si>
  <si>
    <t>-2 Stability &amp; Loyalty, +1 Unrest/Upkeep</t>
  </si>
  <si>
    <t>- Loyalty</t>
  </si>
  <si>
    <t>Magister</t>
  </si>
  <si>
    <t>-4 Economy</t>
  </si>
  <si>
    <t>Holiday Law:</t>
  </si>
  <si>
    <t>&gt;None</t>
  </si>
  <si>
    <t>Phase 1 Upkeep</t>
  </si>
  <si>
    <t>Marshal</t>
  </si>
  <si>
    <t>Dex/Wis</t>
  </si>
  <si>
    <t>+ Loyalty</t>
  </si>
  <si>
    <t>Step 1</t>
  </si>
  <si>
    <t>Stability Check</t>
  </si>
  <si>
    <t>Success</t>
  </si>
  <si>
    <t>-1 Unrest (or +1BP if unrest is 0)</t>
  </si>
  <si>
    <t>Fail by &lt; 4</t>
  </si>
  <si>
    <t>+1 Unrest</t>
  </si>
  <si>
    <t>Fail by &gt;= 5</t>
  </si>
  <si>
    <t>+1d4 Unrest</t>
  </si>
  <si>
    <t>Step 2</t>
  </si>
  <si>
    <t>Pay Consumption</t>
  </si>
  <si>
    <t>Not enough BP</t>
  </si>
  <si>
    <t>+2 Unrest</t>
  </si>
  <si>
    <t>Step 3</t>
  </si>
  <si>
    <t>Make Magic Items</t>
  </si>
  <si>
    <t>See cities</t>
  </si>
  <si>
    <t>Royal Enforcer</t>
  </si>
  <si>
    <t>Step 4</t>
  </si>
  <si>
    <t>Str/Dex</t>
  </si>
  <si>
    <t>Modify Unrest</t>
  </si>
  <si>
    <t>Each negative stat</t>
  </si>
  <si>
    <t>Unrest &gt;= 11</t>
  </si>
  <si>
    <t>Lose 1 Hex (Leader's Choice)</t>
  </si>
  <si>
    <t>Unrest &gt;= 20</t>
  </si>
  <si>
    <t>Anarchy</t>
  </si>
  <si>
    <t>Optional</t>
  </si>
  <si>
    <t>Loyalty Check</t>
  </si>
  <si>
    <t>-1 Unrest</t>
  </si>
  <si>
    <t>Failure</t>
  </si>
  <si>
    <t>-1 Loyalty Permanently</t>
  </si>
  <si>
    <t>Spellcasting Level</t>
  </si>
  <si>
    <t>Phase 2 Edicts</t>
  </si>
  <si>
    <t>Spymaster</t>
  </si>
  <si>
    <t>Dex/Int</t>
  </si>
  <si>
    <t>Assign Leadership</t>
  </si>
  <si>
    <t>Claim Hexes</t>
  </si>
  <si>
    <t>-4 Stability, +1 Unrest/Upkeep</t>
  </si>
  <si>
    <t>-1BP, +1 Size</t>
  </si>
  <si>
    <t>Abandon Hexes</t>
  </si>
  <si>
    <t>Abandon Hex</t>
  </si>
  <si>
    <t>+1 Unrest, -1 Size</t>
  </si>
  <si>
    <t>Abandon City</t>
  </si>
  <si>
    <t>+4 Unrest, -1 Size</t>
  </si>
  <si>
    <t>Treasurer</t>
  </si>
  <si>
    <t>Build Improvements</t>
  </si>
  <si>
    <t>Int/Wis</t>
  </si>
  <si>
    <t>See Table</t>
  </si>
  <si>
    <t>Step 5</t>
  </si>
  <si>
    <t>Create/Improve City</t>
  </si>
  <si>
    <t>-4 Economy, No Tax</t>
  </si>
  <si>
    <t>Kingdom Size</t>
  </si>
  <si>
    <t>Unrest</t>
  </si>
  <si>
    <t>New Settlements</t>
  </si>
  <si>
    <t>Warden</t>
  </si>
  <si>
    <t>Str/Con</t>
  </si>
  <si>
    <t>-2 Stability &amp; Loyalty</t>
  </si>
  <si>
    <t>Current</t>
  </si>
  <si>
    <t>New Buildings</t>
  </si>
  <si>
    <t>Improvements / Hex Claims</t>
  </si>
  <si>
    <t>Event</t>
  </si>
  <si>
    <t>Reserve</t>
  </si>
  <si>
    <t>Guard</t>
  </si>
  <si>
    <t>01—10</t>
  </si>
  <si>
    <t>Benefits</t>
  </si>
  <si>
    <t>2 / 1</t>
  </si>
  <si>
    <t>11—25</t>
  </si>
  <si>
    <t>Improvements</t>
  </si>
  <si>
    <t>3 / 2</t>
  </si>
  <si>
    <t>#</t>
  </si>
  <si>
    <t>26—50</t>
  </si>
  <si>
    <t>Cost Per</t>
  </si>
  <si>
    <t>5 / 3</t>
  </si>
  <si>
    <t>Lots</t>
  </si>
  <si>
    <t>51—100</t>
  </si>
  <si>
    <t>7 / 4</t>
  </si>
  <si>
    <t>101—200</t>
  </si>
  <si>
    <t>9 / 8</t>
  </si>
  <si>
    <t>Defense</t>
  </si>
  <si>
    <t>201+</t>
  </si>
  <si>
    <t>B/S Limit</t>
  </si>
  <si>
    <t>Discount</t>
  </si>
  <si>
    <t>Magic Items</t>
  </si>
  <si>
    <t>Consumption</t>
  </si>
  <si>
    <t>No limit</t>
  </si>
  <si>
    <t>12 / 12</t>
  </si>
  <si>
    <t>Terrain</t>
  </si>
  <si>
    <t>Exploration Time</t>
  </si>
  <si>
    <t>Castle (Per S)</t>
  </si>
  <si>
    <t>Cities / Towns</t>
  </si>
  <si>
    <t>Prep Time / Cost</t>
  </si>
  <si>
    <t>Farm / Road Cost</t>
  </si>
  <si>
    <t>Cavern</t>
  </si>
  <si>
    <t>3 days</t>
  </si>
  <si>
    <t>3 months / 8 BP</t>
  </si>
  <si>
    <t>— / 4 BP</t>
  </si>
  <si>
    <t>+ Size</t>
  </si>
  <si>
    <t>Coastline</t>
  </si>
  <si>
    <t>As adjacent hex</t>
  </si>
  <si>
    <t>Desert</t>
  </si>
  <si>
    <t>2 days</t>
  </si>
  <si>
    <t>1 month / 4 BP</t>
  </si>
  <si>
    <t>8 BP / 4 BP</t>
  </si>
  <si>
    <t>Forest</t>
  </si>
  <si>
    <t>2 months / 4 BP</t>
  </si>
  <si>
    <t>— / 2BP</t>
  </si>
  <si>
    <t>Hills</t>
  </si>
  <si>
    <t>1 day</t>
  </si>
  <si>
    <t>1 month / 2 BP</t>
  </si>
  <si>
    <t>4 BP / 3 BP</t>
  </si>
  <si>
    <t>Jungle</t>
  </si>
  <si>
    <t>4 months / 12 BP</t>
  </si>
  <si>
    <t>Marsh</t>
  </si>
  <si>
    <t>Mountains</t>
  </si>
  <si>
    <t>Plains</t>
  </si>
  <si>
    <t>Immediate / 1 BP</t>
  </si>
  <si>
    <t>2 BP / 1 BP</t>
  </si>
  <si>
    <t>—</t>
  </si>
  <si>
    <t>Step 6</t>
  </si>
  <si>
    <t>Create Armies</t>
  </si>
  <si>
    <t>Step 7</t>
  </si>
  <si>
    <t>Adjust Edict Laws</t>
  </si>
  <si>
    <t>Phase 3 Income</t>
  </si>
  <si>
    <t>Withdrawal Gold</t>
  </si>
  <si>
    <t>BP =&gt; Gold</t>
  </si>
  <si>
    <t>-1BP &amp; +1 Unrest per 2000gp</t>
  </si>
  <si>
    <t>Deposit Gold</t>
  </si>
  <si>
    <t>Gold =&gt; BP</t>
  </si>
  <si>
    <t>+1BP per 4000gp</t>
  </si>
  <si>
    <t>Deposit Items</t>
  </si>
  <si>
    <t>Item =&gt; BP</t>
  </si>
  <si>
    <t>+1BP per 8000gp Base Value</t>
  </si>
  <si>
    <t>Optional 1</t>
  </si>
  <si>
    <t>Buy Magic Item</t>
  </si>
  <si>
    <t>Pay value</t>
  </si>
  <si>
    <t>Item moves to PC</t>
  </si>
  <si>
    <t>Optional 2</t>
  </si>
  <si>
    <t>Economy Check</t>
  </si>
  <si>
    <t>Item recycled</t>
  </si>
  <si>
    <t>Fail</t>
  </si>
  <si>
    <t>Nothing</t>
  </si>
  <si>
    <t>&gt;1 check / city</t>
  </si>
  <si>
    <t>-1 Economy Permanently</t>
  </si>
  <si>
    <t>Optional 3</t>
  </si>
  <si>
    <t>Buy for kingdom</t>
  </si>
  <si>
    <t>1BP = 2000gp</t>
  </si>
  <si>
    <t>Item must be used for kingdom</t>
  </si>
  <si>
    <t>Taxes: Econ Check</t>
  </si>
  <si>
    <t>+BP = (Result / 3) + Other BP Gained</t>
  </si>
  <si>
    <t>+BP = Other BP Gained</t>
  </si>
  <si>
    <t>Phase 4 Events</t>
  </si>
  <si>
    <t>+ Improvments</t>
  </si>
  <si>
    <t>Roll d% for event</t>
  </si>
  <si>
    <t>No event last month</t>
  </si>
  <si>
    <t>75% chance of new event</t>
  </si>
  <si>
    <t>Event last month</t>
  </si>
  <si>
    <t>25% chance of new event</t>
  </si>
  <si>
    <t>City #</t>
  </si>
  <si>
    <t>+ Armies</t>
  </si>
  <si>
    <t>Total</t>
  </si>
  <si>
    <t>Treasury</t>
  </si>
  <si>
    <t>Ongoing Events</t>
  </si>
  <si>
    <t>Other</t>
  </si>
  <si>
    <t>Income</t>
  </si>
  <si>
    <t># of Cities</t>
  </si>
  <si>
    <t>City Pop.</t>
  </si>
  <si>
    <t>Terrain (Hexes)</t>
  </si>
  <si>
    <t>Consump</t>
  </si>
  <si>
    <t>City Hex</t>
  </si>
  <si>
    <t>Normal Non-City Hex</t>
  </si>
  <si>
    <t>Lair (Empty)</t>
  </si>
  <si>
    <t>Lair (Fort/Tower)</t>
  </si>
  <si>
    <t>Landmark (No Road)</t>
  </si>
  <si>
    <t>Landmark (Road/HW)</t>
  </si>
  <si>
    <t>Resource (Untapped)</t>
  </si>
  <si>
    <t>Resource (Mine)</t>
  </si>
  <si>
    <t>Resource (Quarry)</t>
  </si>
  <si>
    <t>Resource (Sawmill)</t>
  </si>
  <si>
    <t>Resource (Farm/Fish)</t>
  </si>
  <si>
    <t>Total:</t>
  </si>
  <si>
    <t>Aqueduct</t>
  </si>
  <si>
    <t>Farm</t>
  </si>
  <si>
    <t>Fishery (4 BP)</t>
  </si>
  <si>
    <t>Fort (24 BP)</t>
  </si>
  <si>
    <t>Highway</t>
  </si>
  <si>
    <t>Mine (6 BP)</t>
  </si>
  <si>
    <t>Quarry (6 BP)</t>
  </si>
  <si>
    <t>Road</t>
  </si>
  <si>
    <t>Sawmill (3 BP)</t>
  </si>
  <si>
    <t>Watchtower (12 BP)</t>
  </si>
  <si>
    <t>River</t>
  </si>
  <si>
    <t>Foundry Bonuses</t>
  </si>
  <si>
    <t>Stockyard Bonuses</t>
  </si>
  <si>
    <t>2x lots</t>
  </si>
  <si>
    <t>To be built</t>
  </si>
  <si>
    <t>4x lots eg. castle</t>
  </si>
  <si>
    <t>Gate</t>
  </si>
  <si>
    <t>Month</t>
  </si>
  <si>
    <t>Holiday</t>
  </si>
  <si>
    <t>Kingdom Upgrades</t>
  </si>
  <si>
    <t>Events</t>
  </si>
  <si>
    <t>Pharast (March)</t>
  </si>
  <si>
    <t>Gozran (April)</t>
  </si>
  <si>
    <t>Desnus (may)</t>
  </si>
  <si>
    <t>Sarenith (June)</t>
  </si>
  <si>
    <t>Erastus (July)</t>
  </si>
  <si>
    <t>Arodus (Aug)</t>
  </si>
  <si>
    <t>Rova (Sept)</t>
  </si>
  <si>
    <t>Lamashan (Oct)</t>
  </si>
  <si>
    <t>Neth (Nov)</t>
  </si>
  <si>
    <t>Kuthona (Dec)</t>
  </si>
  <si>
    <t>Abadus (Jan)</t>
  </si>
  <si>
    <t>Kalestril (Feb)</t>
  </si>
  <si>
    <t>1 yr!</t>
  </si>
  <si>
    <t>2 years!</t>
  </si>
  <si>
    <t>Cost</t>
  </si>
  <si>
    <t>Base Value</t>
  </si>
  <si>
    <t>Magic Item</t>
  </si>
  <si>
    <t>Upgrade From</t>
  </si>
  <si>
    <t>Upgrade To</t>
  </si>
  <si>
    <t>Corruption</t>
  </si>
  <si>
    <t>Crime</t>
  </si>
  <si>
    <t>Law</t>
  </si>
  <si>
    <t>Lore</t>
  </si>
  <si>
    <t>Society</t>
  </si>
  <si>
    <t>Productivity</t>
  </si>
  <si>
    <t>Fame</t>
  </si>
  <si>
    <t>Academy</t>
  </si>
  <si>
    <t>Caster's Tower, Library, Magic Shop</t>
  </si>
  <si>
    <t>3 minor scrolls or wondrous items, 2 medium scrolls or wondrous items</t>
  </si>
  <si>
    <t>Library</t>
  </si>
  <si>
    <t>University</t>
  </si>
  <si>
    <t>Alchemist (1H)</t>
  </si>
  <si>
    <t>year 3</t>
  </si>
  <si>
    <t>1 minor potion or wondrous item</t>
  </si>
  <si>
    <t>Arena (Per S)</t>
  </si>
  <si>
    <t>Brothel, Garrison, Inn, Stable</t>
  </si>
  <si>
    <t>Theater</t>
  </si>
  <si>
    <t>Bank</t>
  </si>
  <si>
    <t>Bardic College</t>
  </si>
  <si>
    <t>Library, Museum, Theater</t>
  </si>
  <si>
    <t>2 minor scrolls or wondrous items</t>
  </si>
  <si>
    <t>Barracks</t>
  </si>
  <si>
    <t>Garrison</t>
  </si>
  <si>
    <t>Black Market (2H)</t>
  </si>
  <si>
    <t>Brothel</t>
  </si>
  <si>
    <t>2 minor items, 1 medium item, 1 major item</t>
  </si>
  <si>
    <t>Brewery</t>
  </si>
  <si>
    <t>Bridge</t>
  </si>
  <si>
    <t>Bureau</t>
  </si>
  <si>
    <t>Caster's Tower</t>
  </si>
  <si>
    <t>3 minor items, 2 medium items</t>
  </si>
  <si>
    <t>Noble Villa, Town Hall</t>
  </si>
  <si>
    <t>Cathedral (Per S)</t>
  </si>
  <si>
    <t>Academy, Temple</t>
  </si>
  <si>
    <t>3 minor potions or wondrous items, 2 medium potions or wondrous items</t>
  </si>
  <si>
    <t>Cistern (X)</t>
  </si>
  <si>
    <t>City Wall (L)</t>
  </si>
  <si>
    <t>Dance Hall (1H)</t>
  </si>
  <si>
    <t>Dump (No H, M, NV)</t>
  </si>
  <si>
    <t>Everflowing Spring (X)</t>
  </si>
  <si>
    <t>Exotic Artisan (1H)</t>
  </si>
  <si>
    <t>1 minor ring, wand, or wondrous item</t>
  </si>
  <si>
    <t>Foreign Quarter</t>
  </si>
  <si>
    <t>Foundry (W)</t>
  </si>
  <si>
    <t>Smithy</t>
  </si>
  <si>
    <t>City Wall, Granary, Jail</t>
  </si>
  <si>
    <t>Granary</t>
  </si>
  <si>
    <t>Graveyard</t>
  </si>
  <si>
    <t>Guildhall</t>
  </si>
  <si>
    <t>Pier, Stable, Trade Shop</t>
  </si>
  <si>
    <t>Trade Shop</t>
  </si>
  <si>
    <t>Herbalist (1H)</t>
  </si>
  <si>
    <t>Hospital</t>
  </si>
  <si>
    <t>House</t>
  </si>
  <si>
    <t>Tenement</t>
  </si>
  <si>
    <t>Inn (1H)</t>
  </si>
  <si>
    <t>Jail</t>
  </si>
  <si>
    <t>Luxury Store (1H)</t>
  </si>
  <si>
    <t>2 minor rings, wands, or wondrous items</t>
  </si>
  <si>
    <t>Shop</t>
  </si>
  <si>
    <t>Magic Shop</t>
  </si>
  <si>
    <t>Magic Shop (2H)</t>
  </si>
  <si>
    <t>4 minor wondrous items, 2 medium wondrous items, 1 major wondrous item</t>
  </si>
  <si>
    <t>Luxury Store</t>
  </si>
  <si>
    <t>Magical Academy</t>
  </si>
  <si>
    <t>3 minor potions, scrolls, or wondrous items; 1 medium potion, scroll, or wondrous item</t>
  </si>
  <si>
    <t>Magical Streetlamps (X)</t>
  </si>
  <si>
    <t>Mansion</t>
  </si>
  <si>
    <t>Noble Villa</t>
  </si>
  <si>
    <t>Market (2H)</t>
  </si>
  <si>
    <t>Black Market, Inn, Shop</t>
  </si>
  <si>
    <t>2 minor wondrous items</t>
  </si>
  <si>
    <t>Menagerie</t>
  </si>
  <si>
    <t>Military Academy (Per S)</t>
  </si>
  <si>
    <t>1 minor armor, shield, or weapon; 1 medium armor, shield, or weapon</t>
  </si>
  <si>
    <t>Mill (W)</t>
  </si>
  <si>
    <t>Mint</t>
  </si>
  <si>
    <t>Moat (L)</t>
  </si>
  <si>
    <t>Monastery</t>
  </si>
  <si>
    <t>Monument</t>
  </si>
  <si>
    <t>Museum</t>
  </si>
  <si>
    <t>Exotic Artisan, Luxury Store, Mansion</t>
  </si>
  <si>
    <t>Observatory</t>
  </si>
  <si>
    <t>1 minor scroll or wondrous item</t>
  </si>
  <si>
    <t>Orphanage</t>
  </si>
  <si>
    <t>Palace</t>
  </si>
  <si>
    <t>Mansion, Mint, Noble Villa</t>
  </si>
  <si>
    <t>Park</t>
  </si>
  <si>
    <t>Paved Streets (Per D)</t>
  </si>
  <si>
    <t>Pier (W)</t>
  </si>
  <si>
    <t>Sewer System (Per D)</t>
  </si>
  <si>
    <t>Cistern, Dump</t>
  </si>
  <si>
    <t>Shop (1H, M)</t>
  </si>
  <si>
    <t>Luxury Store, Market</t>
  </si>
  <si>
    <t>Shrine</t>
  </si>
  <si>
    <t>1 minor potion, scroll, or wondrous item</t>
  </si>
  <si>
    <t>Temple</t>
  </si>
  <si>
    <t>Stable (1H, M, NV)</t>
  </si>
  <si>
    <t>Stockyard</t>
  </si>
  <si>
    <t>Stable, Tannery</t>
  </si>
  <si>
    <t>Tannery (No H,M,NV,T)</t>
  </si>
  <si>
    <t>Tavern (1H or M)</t>
  </si>
  <si>
    <t>Graveyard, Monument, Shrine</t>
  </si>
  <si>
    <t>2 minor items</t>
  </si>
  <si>
    <t>Brothel, Exotic Artisan, Inn, Park, Tavern</t>
  </si>
  <si>
    <t>Arena</t>
  </si>
  <si>
    <t>Town Hall</t>
  </si>
  <si>
    <t>Barracks, Cistern, Dump, Jail, Watchtower</t>
  </si>
  <si>
    <t>Trade Shop (1H)</t>
  </si>
  <si>
    <t>Academy, Bardic College, Library, Magical Academy, Military Academy, Museum</t>
  </si>
  <si>
    <t>4 minor scrolls or wondrous items, 2 medium scrolls or wondrous items </t>
  </si>
  <si>
    <t>Watchtower</t>
  </si>
  <si>
    <t>Watergate</t>
  </si>
  <si>
    <t>Waterfront (W) (Per S)</t>
  </si>
  <si>
    <t>Black Market, Guildhall, Market, Pire</t>
  </si>
  <si>
    <t>2 minor wondrous items, 1 medium wondrous item, 1 major wondrous item</t>
  </si>
  <si>
    <t>Pier</t>
  </si>
  <si>
    <t>Waterway</t>
  </si>
  <si>
    <t>End of Buildings List</t>
  </si>
  <si>
    <t>Buy (g)</t>
  </si>
  <si>
    <t>Sell (g)</t>
  </si>
  <si>
    <t>Spell (lvl)</t>
  </si>
  <si>
    <t>Month Created</t>
  </si>
  <si>
    <t>Type</t>
  </si>
  <si>
    <t>Quality</t>
  </si>
  <si>
    <t>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</si>
</sst>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color rgb="FFFFFFFF"/>
    </font>
    <font>
      <b/>
      <sz val="10.0"/>
      <color rgb="FF000000"/>
    </font>
    <font/>
    <font>
      <sz val="10.0"/>
      <color rgb="FF000000"/>
    </font>
    <font>
      <sz val="10.0"/>
      <color rgb="FFFFFFFF"/>
    </font>
    <font>
      <b/>
      <sz val="10.0"/>
    </font>
    <font>
      <b/>
      <sz val="12.0"/>
      <color rgb="FF000000"/>
    </font>
    <font>
      <i/>
      <sz val="10.0"/>
      <color rgb="FF000000"/>
    </font>
    <font>
      <sz val="10.0"/>
      <color rgb="FF0000FF"/>
    </font>
    <font>
      <b/>
      <sz val="12.0"/>
      <color rgb="FFD9D9D9"/>
    </font>
    <font>
      <b/>
      <sz val="12.0"/>
    </font>
    <font>
      <sz val="11.0"/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E06666"/>
        <bgColor rgb="FFE06666"/>
      </patternFill>
    </fill>
  </fills>
  <borders count="1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3" fontId="3" numFmtId="0" xfId="0" applyAlignment="1" applyFill="1" applyFont="1">
      <alignment wrapText="1"/>
    </xf>
    <xf borderId="0" fillId="4" fontId="4" numFmtId="0" xfId="0" applyAlignment="1" applyFill="1" applyFont="1">
      <alignment/>
    </xf>
    <xf borderId="0" fillId="3" fontId="3" numFmtId="0" xfId="0" applyAlignment="1" applyFont="1">
      <alignment wrapText="1"/>
    </xf>
    <xf borderId="0" fillId="2" fontId="1" numFmtId="0" xfId="0" applyAlignment="1" applyFont="1">
      <alignment/>
    </xf>
    <xf borderId="0" fillId="2" fontId="5" numFmtId="0" xfId="0" applyAlignment="1" applyFont="1">
      <alignment/>
    </xf>
    <xf borderId="0" fillId="2" fontId="1" numFmtId="0" xfId="0" applyAlignment="1" applyFont="1">
      <alignment/>
    </xf>
    <xf borderId="0" fillId="4" fontId="4" numFmtId="0" xfId="0" applyAlignment="1" applyFont="1">
      <alignment horizontal="right"/>
    </xf>
    <xf borderId="0" fillId="3" fontId="4" numFmtId="0" xfId="0" applyAlignment="1" applyFont="1">
      <alignment/>
    </xf>
    <xf borderId="1" fillId="0" fontId="3" numFmtId="0" xfId="0" applyAlignment="1" applyBorder="1" applyFont="1">
      <alignment wrapText="1"/>
    </xf>
    <xf borderId="2" fillId="2" fontId="1" numFmtId="0" xfId="0" applyAlignment="1" applyBorder="1" applyFont="1">
      <alignment horizontal="center"/>
    </xf>
    <xf borderId="3" fillId="0" fontId="3" numFmtId="0" xfId="0" applyAlignment="1" applyBorder="1" applyFont="1">
      <alignment wrapText="1"/>
    </xf>
    <xf borderId="4" fillId="0" fontId="3" numFmtId="0" xfId="0" applyAlignment="1" applyBorder="1" applyFont="1">
      <alignment horizontal="center" wrapText="1"/>
    </xf>
    <xf borderId="0" fillId="2" fontId="1" numFmtId="0" xfId="0" applyAlignment="1" applyFont="1">
      <alignment horizontal="center"/>
    </xf>
    <xf borderId="5" fillId="0" fontId="2" numFmtId="0" xfId="0" applyAlignment="1" applyBorder="1" applyFont="1">
      <alignment/>
    </xf>
    <xf borderId="6" fillId="3" fontId="3" numFmtId="0" xfId="0" applyAlignment="1" applyBorder="1" applyFont="1">
      <alignment wrapText="1"/>
    </xf>
    <xf borderId="0" fillId="0" fontId="6" numFmtId="0" xfId="0" applyAlignment="1" applyFont="1">
      <alignment wrapText="1"/>
    </xf>
    <xf borderId="4" fillId="0" fontId="3" numFmtId="0" xfId="0" applyAlignment="1" applyBorder="1" applyFont="1">
      <alignment wrapText="1"/>
    </xf>
    <xf borderId="0" fillId="0" fontId="3" numFmtId="0" xfId="0" applyAlignment="1" applyFont="1">
      <alignment/>
    </xf>
    <xf borderId="0" fillId="5" fontId="6" numFmtId="0" xfId="0" applyAlignment="1" applyFill="1" applyFont="1">
      <alignment horizontal="center" vertical="center" wrapText="1"/>
    </xf>
    <xf borderId="7" fillId="3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1" fillId="6" fontId="6" numFmtId="0" xfId="0" applyAlignment="1" applyBorder="1" applyFill="1" applyFont="1">
      <alignment horizontal="center" vertical="center" wrapText="1"/>
    </xf>
    <xf borderId="0" fillId="0" fontId="3" numFmtId="0" xfId="0" applyAlignment="1" applyFont="1">
      <alignment/>
    </xf>
    <xf borderId="0" fillId="7" fontId="3" numFmtId="0" xfId="0" applyAlignment="1" applyFill="1" applyFont="1">
      <alignment wrapText="1"/>
    </xf>
    <xf borderId="7" fillId="5" fontId="6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wrapText="1"/>
    </xf>
    <xf borderId="5" fillId="0" fontId="7" numFmtId="0" xfId="0" applyAlignment="1" applyBorder="1" applyFont="1">
      <alignment horizontal="center" vertical="center" wrapText="1"/>
    </xf>
    <xf borderId="0" fillId="0" fontId="8" numFmtId="0" xfId="0" applyAlignment="1" applyFont="1">
      <alignment/>
    </xf>
    <xf borderId="6" fillId="0" fontId="7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0" fillId="3" fontId="4" numFmtId="0" xfId="0" applyAlignment="1" applyFont="1">
      <alignment/>
    </xf>
    <xf borderId="4" fillId="7" fontId="6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wrapText="1"/>
    </xf>
    <xf borderId="4" fillId="0" fontId="4" numFmtId="0" xfId="0" applyAlignment="1" applyBorder="1" applyFont="1">
      <alignment/>
    </xf>
    <xf borderId="8" fillId="0" fontId="7" numFmtId="0" xfId="0" applyAlignment="1" applyBorder="1" applyFont="1">
      <alignment horizontal="center" vertical="center" wrapText="1"/>
    </xf>
    <xf borderId="9" fillId="0" fontId="7" numFmtId="0" xfId="0" applyAlignment="1" applyBorder="1" applyFont="1">
      <alignment horizontal="center" vertical="center" wrapText="1"/>
    </xf>
    <xf borderId="0" fillId="4" fontId="3" numFmtId="0" xfId="0" applyAlignment="1" applyFont="1">
      <alignment wrapText="1"/>
    </xf>
    <xf borderId="7" fillId="4" fontId="4" numFmtId="0" xfId="0" applyAlignment="1" applyBorder="1" applyFont="1">
      <alignment/>
    </xf>
    <xf borderId="0" fillId="0" fontId="8" numFmtId="0" xfId="0" applyAlignment="1" applyFont="1">
      <alignment/>
    </xf>
    <xf borderId="0" fillId="3" fontId="3" numFmtId="0" xfId="0" applyAlignment="1" applyFont="1">
      <alignment horizontal="left" vertical="top" wrapText="1"/>
    </xf>
    <xf borderId="10" fillId="7" fontId="6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10" fillId="0" fontId="3" numFmtId="0" xfId="0" applyAlignment="1" applyBorder="1" applyFont="1">
      <alignment wrapText="1"/>
    </xf>
    <xf borderId="8" fillId="0" fontId="4" numFmtId="0" xfId="0" applyAlignment="1" applyBorder="1" applyFont="1">
      <alignment/>
    </xf>
    <xf borderId="9" fillId="4" fontId="4" numFmtId="0" xfId="0" applyAlignment="1" applyBorder="1" applyFont="1">
      <alignment/>
    </xf>
    <xf borderId="6" fillId="3" fontId="3" numFmtId="0" xfId="0" applyAlignment="1" applyBorder="1" applyFont="1">
      <alignment horizontal="left" wrapText="1"/>
    </xf>
    <xf borderId="0" fillId="2" fontId="5" numFmtId="0" xfId="0" applyAlignment="1" applyFont="1">
      <alignment horizontal="center" wrapText="1"/>
    </xf>
    <xf borderId="0" fillId="8" fontId="3" numFmtId="0" xfId="0" applyAlignment="1" applyFill="1" applyFont="1">
      <alignment wrapText="1"/>
    </xf>
    <xf borderId="0" fillId="8" fontId="3" numFmtId="0" xfId="0" applyAlignment="1" applyFont="1">
      <alignment/>
    </xf>
    <xf borderId="0" fillId="8" fontId="3" numFmtId="0" xfId="0" applyAlignment="1" applyFont="1">
      <alignment/>
    </xf>
    <xf borderId="0" fillId="9" fontId="3" numFmtId="0" xfId="0" applyAlignment="1" applyFill="1" applyFont="1">
      <alignment wrapText="1"/>
    </xf>
    <xf borderId="0" fillId="8" fontId="3" numFmtId="0" xfId="0" applyAlignment="1" applyFont="1">
      <alignment wrapText="1"/>
    </xf>
    <xf borderId="0" fillId="0" fontId="3" numFmtId="0" xfId="0" applyAlignment="1" applyFont="1">
      <alignment horizontal="right" wrapText="1"/>
    </xf>
    <xf borderId="6" fillId="0" fontId="3" numFmtId="0" xfId="0" applyAlignment="1" applyBorder="1" applyFont="1">
      <alignment wrapText="1"/>
    </xf>
    <xf borderId="5" fillId="8" fontId="6" numFmtId="0" xfId="0" applyAlignment="1" applyBorder="1" applyFont="1">
      <alignment horizontal="center" wrapText="1"/>
    </xf>
    <xf borderId="7" fillId="2" fontId="5" numFmtId="0" xfId="0" applyAlignment="1" applyBorder="1" applyFont="1">
      <alignment wrapText="1"/>
    </xf>
    <xf borderId="10" fillId="8" fontId="6" numFmtId="0" xfId="0" applyAlignment="1" applyBorder="1" applyFont="1">
      <alignment horizontal="center" wrapText="1"/>
    </xf>
    <xf borderId="6" fillId="8" fontId="6" numFmtId="0" xfId="0" applyAlignment="1" applyBorder="1" applyFont="1">
      <alignment horizontal="center" wrapText="1"/>
    </xf>
    <xf borderId="4" fillId="0" fontId="6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7" fillId="0" fontId="3" numFmtId="0" xfId="0" applyAlignment="1" applyBorder="1" applyFont="1">
      <alignment horizontal="center" wrapText="1"/>
    </xf>
    <xf borderId="8" fillId="0" fontId="6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center" wrapText="1"/>
    </xf>
    <xf borderId="9" fillId="0" fontId="3" numFmtId="0" xfId="0" applyAlignment="1" applyBorder="1" applyFont="1">
      <alignment horizontal="center" wrapText="1"/>
    </xf>
    <xf borderId="11" fillId="0" fontId="3" numFmtId="0" xfId="0" applyAlignment="1" applyBorder="1" applyFont="1">
      <alignment wrapText="1"/>
    </xf>
    <xf borderId="0" fillId="0" fontId="1" numFmtId="0" xfId="0" applyAlignment="1" applyFont="1">
      <alignment/>
    </xf>
    <xf borderId="0" fillId="8" fontId="3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0" fillId="4" fontId="4" numFmtId="3" xfId="0" applyAlignment="1" applyFont="1" applyNumberFormat="1">
      <alignment/>
    </xf>
    <xf borderId="0" fillId="8" fontId="3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0" fillId="9" fontId="3" numFmtId="0" xfId="0" applyAlignment="1" applyFont="1">
      <alignment horizontal="left" wrapText="1"/>
    </xf>
    <xf borderId="0" fillId="0" fontId="4" numFmtId="0" xfId="0" applyAlignment="1" applyFont="1">
      <alignment/>
    </xf>
    <xf borderId="0" fillId="2" fontId="1" numFmtId="0" xfId="0" applyAlignment="1" applyFont="1">
      <alignment wrapText="1"/>
    </xf>
    <xf borderId="0" fillId="2" fontId="1" numFmtId="0" xfId="0" applyAlignment="1" applyFont="1">
      <alignment wrapText="1"/>
    </xf>
    <xf borderId="1" fillId="0" fontId="4" numFmtId="0" xfId="0" applyAlignment="1" applyBorder="1" applyFont="1">
      <alignment/>
    </xf>
    <xf borderId="1" fillId="3" fontId="4" numFmtId="0" xfId="0" applyAlignment="1" applyBorder="1" applyFont="1">
      <alignment/>
    </xf>
    <xf borderId="10" fillId="0" fontId="4" numFmtId="0" xfId="0" applyAlignment="1" applyBorder="1" applyFont="1">
      <alignment/>
    </xf>
    <xf borderId="10" fillId="3" fontId="4" numFmtId="0" xfId="0" applyAlignment="1" applyBorder="1" applyFont="1">
      <alignment/>
    </xf>
    <xf borderId="0" fillId="4" fontId="4" numFmtId="3" xfId="0" applyAlignment="1" applyFont="1" applyNumberFormat="1">
      <alignment wrapText="1"/>
    </xf>
    <xf borderId="0" fillId="4" fontId="4" numFmtId="0" xfId="0" applyAlignment="1" applyFont="1">
      <alignment/>
    </xf>
    <xf borderId="0" fillId="4" fontId="3" numFmtId="0" xfId="0" applyAlignment="1" applyFont="1">
      <alignment wrapText="1"/>
    </xf>
    <xf borderId="0" fillId="0" fontId="9" numFmtId="0" xfId="0" applyAlignment="1" applyFont="1">
      <alignment wrapText="1"/>
    </xf>
    <xf borderId="5" fillId="0" fontId="10" numFmtId="0" xfId="0" applyAlignment="1" applyBorder="1" applyFont="1">
      <alignment horizontal="center" vertical="center" wrapText="1"/>
    </xf>
    <xf borderId="6" fillId="0" fontId="11" numFmtId="0" xfId="0" applyAlignment="1" applyBorder="1" applyFont="1">
      <alignment horizontal="center" vertical="center" wrapText="1"/>
    </xf>
    <xf borderId="5" fillId="0" fontId="11" numFmtId="0" xfId="0" applyAlignment="1" applyBorder="1" applyFont="1">
      <alignment horizontal="center" vertical="center" wrapText="1"/>
    </xf>
    <xf borderId="6" fillId="0" fontId="10" numFmtId="0" xfId="0" applyAlignment="1" applyBorder="1" applyFont="1">
      <alignment horizontal="center" vertical="center" wrapText="1"/>
    </xf>
    <xf borderId="8" fillId="0" fontId="10" numFmtId="0" xfId="0" applyAlignment="1" applyBorder="1" applyFont="1">
      <alignment horizontal="center" vertical="center" wrapText="1"/>
    </xf>
    <xf borderId="9" fillId="0" fontId="11" numFmtId="0" xfId="0" applyAlignment="1" applyBorder="1" applyFont="1">
      <alignment horizontal="center" vertical="center" wrapText="1"/>
    </xf>
    <xf borderId="8" fillId="0" fontId="11" numFmtId="0" xfId="0" applyAlignment="1" applyBorder="1" applyFont="1">
      <alignment horizontal="center" vertical="center" wrapText="1"/>
    </xf>
    <xf borderId="9" fillId="0" fontId="10" numFmtId="0" xfId="0" applyAlignment="1" applyBorder="1" applyFont="1">
      <alignment horizontal="center" vertical="center" wrapText="1"/>
    </xf>
    <xf borderId="5" fillId="0" fontId="7" numFmtId="0" xfId="0" applyAlignment="1" applyBorder="1" applyFont="1">
      <alignment horizontal="center" vertical="center" wrapText="1"/>
    </xf>
    <xf borderId="6" fillId="0" fontId="10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wrapText="1"/>
    </xf>
    <xf borderId="9" fillId="0" fontId="3" numFmtId="0" xfId="0" applyAlignment="1" applyBorder="1" applyFont="1">
      <alignment wrapText="1"/>
    </xf>
    <xf borderId="0" fillId="6" fontId="3" numFmtId="0" xfId="0" applyAlignment="1" applyFont="1">
      <alignment horizontal="center" vertical="center" wrapText="1"/>
    </xf>
    <xf borderId="1" fillId="6" fontId="3" numFmtId="0" xfId="0" applyAlignment="1" applyBorder="1" applyFont="1">
      <alignment horizontal="center" vertical="center" wrapText="1"/>
    </xf>
    <xf borderId="0" fillId="2" fontId="1" numFmtId="0" xfId="0" applyAlignment="1" applyFont="1">
      <alignment wrapText="1"/>
    </xf>
    <xf borderId="12" fillId="5" fontId="6" numFmtId="0" xfId="0" applyAlignment="1" applyBorder="1" applyFont="1">
      <alignment horizontal="center" vertical="center" wrapText="1"/>
    </xf>
    <xf borderId="0" fillId="2" fontId="1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13" fillId="7" fontId="6" numFmtId="0" xfId="0" applyAlignment="1" applyBorder="1" applyFont="1">
      <alignment horizontal="center" vertical="center" wrapText="1"/>
    </xf>
    <xf borderId="12" fillId="0" fontId="3" numFmtId="0" xfId="0" applyAlignment="1" applyBorder="1" applyFont="1">
      <alignment wrapText="1"/>
    </xf>
    <xf borderId="0" fillId="5" fontId="3" numFmtId="0" xfId="0" applyAlignment="1" applyFont="1">
      <alignment horizontal="center" vertical="center" wrapText="1"/>
    </xf>
    <xf borderId="11" fillId="5" fontId="6" numFmtId="0" xfId="0" applyAlignment="1" applyBorder="1" applyFont="1">
      <alignment horizontal="center" vertical="center" wrapText="1"/>
    </xf>
    <xf borderId="11" fillId="6" fontId="6" numFmtId="0" xfId="0" applyAlignment="1" applyBorder="1" applyFont="1">
      <alignment horizontal="center" vertical="center" wrapText="1"/>
    </xf>
    <xf borderId="1" fillId="7" fontId="3" numFmtId="0" xfId="0" applyAlignment="1" applyBorder="1" applyFont="1">
      <alignment horizontal="center" vertical="center" wrapText="1"/>
    </xf>
    <xf borderId="0" fillId="2" fontId="5" numFmtId="0" xfId="0" applyAlignment="1" applyFont="1">
      <alignment wrapText="1"/>
    </xf>
    <xf borderId="0" fillId="7" fontId="3" numFmtId="0" xfId="0" applyAlignment="1" applyFont="1">
      <alignment horizontal="center" vertical="center" wrapText="1"/>
    </xf>
    <xf borderId="11" fillId="7" fontId="6" numFmtId="0" xfId="0" applyAlignment="1" applyBorder="1" applyFont="1">
      <alignment horizontal="center" vertical="center" wrapText="1"/>
    </xf>
    <xf borderId="0" fillId="0" fontId="3" numFmtId="4" xfId="0" applyAlignment="1" applyFont="1" applyNumberFormat="1">
      <alignment wrapText="1"/>
    </xf>
    <xf borderId="0" fillId="0" fontId="3" numFmtId="10" xfId="0" applyAlignment="1" applyFont="1" applyNumberFormat="1">
      <alignment wrapText="1"/>
    </xf>
    <xf borderId="0" fillId="0" fontId="3" numFmtId="10" xfId="0" applyAlignment="1" applyFont="1" applyNumberFormat="1">
      <alignment wrapText="1"/>
    </xf>
    <xf borderId="0" fillId="2" fontId="5" numFmtId="0" xfId="0" applyAlignment="1" applyFont="1">
      <alignment/>
    </xf>
    <xf borderId="0" fillId="0" fontId="3" numFmtId="3" xfId="0" applyAlignment="1" applyFont="1" applyNumberFormat="1">
      <alignment wrapText="1"/>
    </xf>
    <xf borderId="0" fillId="0" fontId="12" numFmtId="0" xfId="0" applyAlignment="1" applyFont="1">
      <alignment/>
    </xf>
    <xf borderId="0" fillId="0" fontId="6" numFmtId="0" xfId="0" applyAlignment="1" applyFont="1">
      <alignment wrapText="1"/>
    </xf>
  </cellXfs>
  <cellStyles count="1">
    <cellStyle xfId="0" name="Normal" builtinId="0"/>
  </cellStyles>
  <dxfs count="2">
    <dxf>
      <font>
        <color rgb="FF38761D"/>
      </font>
      <fill>
        <patternFill patternType="none"/>
      </fill>
      <alignment wrapText="1"/>
      <border>
        <left/>
        <right/>
        <top/>
        <bottom/>
      </border>
    </dxf>
    <dxf>
      <font>
        <color rgb="FF990000"/>
      </font>
      <fill>
        <patternFill patternType="none"/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0.xml"/><Relationship Id="rId11" Type="http://schemas.openxmlformats.org/officeDocument/2006/relationships/worksheet" Target="worksheets/sheet7.xml"/><Relationship Id="rId10" Type="http://schemas.openxmlformats.org/officeDocument/2006/relationships/worksheet" Target="worksheets/sheet6.xml"/><Relationship Id="rId12" Type="http://schemas.openxmlformats.org/officeDocument/2006/relationships/worksheet" Target="worksheets/sheet8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9.xml"/><Relationship Id="rId8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71"/>
    <col customWidth="1" min="2" max="7" width="10.14"/>
    <col customWidth="1" min="8" max="8" width="2.71"/>
  </cols>
  <sheetData>
    <row r="1" ht="13.5" customHeight="1">
      <c r="A1" s="22"/>
      <c r="B1" s="25" t="s">
        <v>28</v>
      </c>
      <c r="C1" s="12"/>
      <c r="D1" s="12"/>
      <c r="E1" s="12"/>
      <c r="F1" s="12"/>
      <c r="G1" s="12"/>
      <c r="H1" s="27"/>
    </row>
    <row r="2" ht="52.5" customHeight="1">
      <c r="A2" s="28" t="s">
        <v>31</v>
      </c>
      <c r="B2" s="30"/>
      <c r="C2" s="32"/>
      <c r="D2" s="30"/>
      <c r="E2" s="32"/>
      <c r="F2" s="30"/>
      <c r="G2" s="32"/>
      <c r="H2" s="35" t="s">
        <v>34</v>
      </c>
    </row>
    <row r="3" ht="52.5" customHeight="1">
      <c r="A3" s="36"/>
      <c r="B3" s="38"/>
      <c r="C3" s="39"/>
      <c r="D3" s="38"/>
      <c r="E3" s="39"/>
      <c r="F3" s="38"/>
      <c r="G3" s="39"/>
      <c r="H3" s="29"/>
    </row>
    <row r="4" ht="52.5" customHeight="1">
      <c r="A4" s="36"/>
      <c r="B4" s="30"/>
      <c r="C4" s="32"/>
      <c r="D4" s="30"/>
      <c r="E4" s="32"/>
      <c r="F4" s="30"/>
      <c r="G4" s="32"/>
      <c r="H4" s="29"/>
    </row>
    <row r="5" ht="52.5" customHeight="1">
      <c r="A5" s="36"/>
      <c r="B5" s="38"/>
      <c r="C5" s="39"/>
      <c r="D5" s="38"/>
      <c r="E5" s="39"/>
      <c r="F5" s="38"/>
      <c r="G5" s="39"/>
      <c r="H5" s="29"/>
    </row>
    <row r="6" ht="52.5" customHeight="1">
      <c r="A6" s="36"/>
      <c r="B6" s="30"/>
      <c r="C6" s="32"/>
      <c r="D6" s="30"/>
      <c r="E6" s="32"/>
      <c r="F6" s="30"/>
      <c r="G6" s="32"/>
      <c r="H6" s="29"/>
    </row>
    <row r="7" ht="52.5" customHeight="1">
      <c r="A7" s="36"/>
      <c r="B7" s="38"/>
      <c r="C7" s="39"/>
      <c r="D7" s="38"/>
      <c r="E7" s="39"/>
      <c r="F7" s="38"/>
      <c r="G7" s="39"/>
      <c r="H7" s="29"/>
    </row>
    <row r="8" ht="13.5" customHeight="1">
      <c r="A8" s="27"/>
      <c r="B8" s="44" t="s">
        <v>38</v>
      </c>
      <c r="C8" s="46"/>
      <c r="D8" s="46"/>
      <c r="E8" s="46"/>
      <c r="F8" s="46"/>
      <c r="G8" s="46"/>
      <c r="H8" s="27"/>
    </row>
  </sheetData>
  <mergeCells count="4">
    <mergeCell ref="B1:G1"/>
    <mergeCell ref="A2:A7"/>
    <mergeCell ref="H2:H7"/>
    <mergeCell ref="B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86"/>
    <col customWidth="1" min="2" max="2" width="3.57"/>
    <col customWidth="1" min="3" max="3" width="9.57"/>
    <col customWidth="1" min="4" max="4" width="8.71"/>
    <col customWidth="1" min="5" max="5" width="10.14"/>
    <col customWidth="1" min="6" max="6" width="8.71"/>
    <col customWidth="1" min="7" max="7" width="9.57"/>
    <col customWidth="1" min="8" max="8" width="9.43"/>
    <col customWidth="1" min="9" max="9" width="7.86"/>
    <col customWidth="1" min="10" max="10" width="10.0"/>
    <col customWidth="1" min="11" max="11" width="17.29"/>
    <col customWidth="1" min="12" max="12" width="24.14"/>
  </cols>
  <sheetData>
    <row r="1">
      <c r="A1" s="16" t="s">
        <v>19</v>
      </c>
    </row>
    <row r="2">
      <c r="A2" s="21"/>
      <c r="D2" s="24" t="s">
        <v>27</v>
      </c>
      <c r="E2" s="24" t="s">
        <v>29</v>
      </c>
    </row>
    <row r="3">
      <c r="A3" s="26" t="s">
        <v>30</v>
      </c>
      <c r="C3" s="40" t="str">
        <f>IF(D3&gt;(D37/36),D3,ROUNDUP(IF(D37=0,1,D37/36)))</f>
        <v>1</v>
      </c>
      <c r="D3" s="6"/>
      <c r="E3" s="43" t="s">
        <v>39</v>
      </c>
    </row>
    <row r="4">
      <c r="A4" s="33" t="s">
        <v>5</v>
      </c>
      <c r="C4" s="5" t="str">
        <f>IF(D4&gt;=D37*250,D4,D37*250)</f>
        <v>1000</v>
      </c>
      <c r="D4" s="6"/>
    </row>
    <row r="5">
      <c r="A5" s="33" t="s">
        <v>41</v>
      </c>
      <c r="C5" s="5" t="str">
        <f>J37+IF(C4&lt;250,500,IF((AND(250&lt;=C4,C4&lt;2000)),1000,IF(AND(2000&lt;=C4,C4&lt;5000),2000,IF(AND(5000&lt;=C4,C4&lt;10000),4000,IF(AND(10000&lt;=C4,C4&lt;25000),8000,IF(25000&lt;=C4,16000,0))))))</f>
        <v>1000</v>
      </c>
    </row>
    <row r="6">
      <c r="A6" s="33" t="s">
        <v>55</v>
      </c>
      <c r="C6" s="5" t="str">
        <f>J37+IF(C4&lt;=250,2500,IF((AND(250&lt;=C4,C4&lt;2000)),5000,IF(AND(2000&lt;=C4,C4&lt;5000),10000,IF(AND(5000&lt;=C4,C4&lt;10000),25000,IF(AND(10000&lt;=C4,C4&lt;25000),50000,IF(25000&lt;=C4,100000,0))))))</f>
        <v>5000</v>
      </c>
    </row>
    <row r="7">
      <c r="A7" s="33" t="s">
        <v>96</v>
      </c>
      <c r="C7" s="5" t="str">
        <f>IF(C4&lt;=250,3,IF((AND(250&lt;=C4,C4&lt;2000)),4,IF(AND(2000&lt;=C4,C4&lt;5000),5,IF(AND(5000&lt;=C4,C4&lt;10000),6,IF(AND(10000&lt;=C4,C4&lt;25000),7,IF(25000&lt;=C4,8,0))))))</f>
        <v>4</v>
      </c>
    </row>
    <row r="8" ht="5.25" customHeight="1"/>
    <row r="9">
      <c r="A9" s="16" t="s">
        <v>129</v>
      </c>
    </row>
    <row r="10">
      <c r="A10" s="3" t="s">
        <v>132</v>
      </c>
      <c r="B10" s="3" t="s">
        <v>134</v>
      </c>
      <c r="C10" s="3" t="s">
        <v>136</v>
      </c>
      <c r="D10" s="3" t="s">
        <v>138</v>
      </c>
      <c r="E10" s="3" t="s">
        <v>35</v>
      </c>
      <c r="F10" s="3" t="s">
        <v>44</v>
      </c>
      <c r="G10" s="3" t="s">
        <v>48</v>
      </c>
      <c r="H10" s="3" t="s">
        <v>143</v>
      </c>
      <c r="I10" s="3" t="s">
        <v>117</v>
      </c>
      <c r="J10" s="19" t="s">
        <v>145</v>
      </c>
      <c r="K10" s="19" t="s">
        <v>146</v>
      </c>
      <c r="L10" s="19" t="s">
        <v>147</v>
      </c>
    </row>
    <row r="11">
      <c r="A11" s="34" t="s">
        <v>153</v>
      </c>
      <c r="B11" s="34">
        <v>1.0</v>
      </c>
      <c r="C11" s="72" t="str">
        <f>IF(ISTEXT($A11),VLOOKUP($A11,IMP,2),)</f>
        <v>54</v>
      </c>
      <c r="D11" s="72" t="str">
        <f>IF(ISTEXT($A11),VLOOKUP($A11,IMP,3)*$B11,)</f>
        <v>4</v>
      </c>
      <c r="E11" s="72" t="str">
        <f>IF(ISTEXT($A11),VLOOKUP($A11,IMP,4)*$B11,)</f>
        <v>2</v>
      </c>
      <c r="F11" s="72" t="str">
        <f>IF(ISTEXT($A11),VLOOKUP($A11,IMP,5)*$B11,)</f>
        <v>2</v>
      </c>
      <c r="G11" s="72" t="str">
        <f>IF(ISTEXT($A11),VLOOKUP($A11,IMP,6)*$B11,)</f>
        <v>2</v>
      </c>
      <c r="H11" s="72" t="str">
        <f>IF(ISTEXT($A11),VLOOKUP($A11,IMP,7)*$B11,)</f>
        <v>8</v>
      </c>
      <c r="I11" s="72" t="str">
        <f>IF(ISTEXT($A11),VLOOKUP($A11,IMP,8)*$B11,)</f>
        <v>-4</v>
      </c>
      <c r="J11" s="72" t="str">
        <f>IF(ISTEXT($A11),VLOOKUP($A11,IMP,9)*$B11,)</f>
        <v>0</v>
      </c>
      <c r="K11" s="83" t="str">
        <f>IF(ISTEXT($A11),TO_TEXT(VLOOKUP($A11,IMP,10)),)</f>
        <v>Noble Villa, Town Hall</v>
      </c>
      <c r="L11" s="83" t="str">
        <f>IF(ISTEXT($A11),TO_TEXT(VLOOKUP($A11,IMP,11)),)</f>
        <v/>
      </c>
    </row>
    <row r="12">
      <c r="A12" s="11"/>
      <c r="B12" s="11"/>
      <c r="C12" s="72" t="str">
        <f>IF(ISTEXT($A12),VLOOKUP($A12,IMP,2),)</f>
        <v/>
      </c>
      <c r="D12" s="72" t="str">
        <f>IF(ISTEXT($A12),VLOOKUP($A12,IMP,3)*$B12,)</f>
        <v/>
      </c>
      <c r="E12" s="72" t="str">
        <f>IF(ISTEXT($A12),VLOOKUP($A12,IMP,4)*$B12,)</f>
        <v/>
      </c>
      <c r="F12" s="72" t="str">
        <f>IF(ISTEXT($A12),VLOOKUP($A12,IMP,5)*$B12,)</f>
        <v/>
      </c>
      <c r="G12" s="72" t="str">
        <f>IF(ISTEXT($A12),VLOOKUP($A12,IMP,6)*$B12,)</f>
        <v/>
      </c>
      <c r="H12" s="72" t="str">
        <f>IF(ISTEXT($A12),VLOOKUP($A12,IMP,7)*$B12,)</f>
        <v/>
      </c>
      <c r="I12" s="72" t="str">
        <f>IF(ISTEXT($A12),VLOOKUP($A12,IMP,8)*$B12,)</f>
        <v/>
      </c>
      <c r="J12" s="72" t="str">
        <f>IF(ISTEXT($A12),VLOOKUP($A12,IMP,9)*$B12,)</f>
        <v/>
      </c>
      <c r="K12" s="83" t="str">
        <f>IF(ISTEXT($A12),TO_TEXT(VLOOKUP($A12,IMP,10)),)</f>
        <v/>
      </c>
      <c r="L12" s="83" t="str">
        <f>IF(ISTEXT($A12),TO_TEXT(VLOOKUP($A12,IMP,11)),)</f>
        <v/>
      </c>
    </row>
    <row r="13">
      <c r="A13" s="11"/>
      <c r="B13" s="11"/>
      <c r="C13" s="72" t="str">
        <f>IF(ISTEXT($A13),VLOOKUP($A13,IMP,2),)</f>
        <v/>
      </c>
      <c r="D13" s="72" t="str">
        <f>IF(ISTEXT($A13),VLOOKUP($A13,IMP,3)*$B13,)</f>
        <v/>
      </c>
      <c r="E13" s="72" t="str">
        <f>IF(ISTEXT($A13),VLOOKUP($A13,IMP,4)*$B13,)</f>
        <v/>
      </c>
      <c r="F13" s="72" t="str">
        <f>IF(ISTEXT($A13),VLOOKUP($A13,IMP,5)*$B13,)</f>
        <v/>
      </c>
      <c r="G13" s="72" t="str">
        <f>IF(ISTEXT($A13),VLOOKUP($A13,IMP,6)*$B13,)</f>
        <v/>
      </c>
      <c r="H13" s="72" t="str">
        <f>IF(ISTEXT($A13),VLOOKUP($A13,IMP,7)*$B13,)</f>
        <v/>
      </c>
      <c r="I13" s="72" t="str">
        <f>IF(ISTEXT($A13),VLOOKUP($A13,IMP,8)*$B13,)</f>
        <v/>
      </c>
      <c r="J13" s="72" t="str">
        <f>IF(ISTEXT($A13),VLOOKUP($A13,IMP,9)*$B13,)</f>
        <v/>
      </c>
      <c r="K13" s="83" t="str">
        <f>IF(ISTEXT($A13),TO_TEXT(VLOOKUP($A13,IMP,10)),)</f>
        <v/>
      </c>
      <c r="L13" s="83" t="str">
        <f>IF(ISTEXT($A13),TO_TEXT(VLOOKUP($A13,IMP,11)),)</f>
        <v/>
      </c>
    </row>
    <row r="14">
      <c r="A14" s="11"/>
      <c r="B14" s="11"/>
      <c r="C14" s="72" t="str">
        <f>IF(ISTEXT($A14),VLOOKUP($A14,IMP,2),)</f>
        <v/>
      </c>
      <c r="D14" s="72" t="str">
        <f>IF(ISTEXT($A14),VLOOKUP($A14,IMP,3)*$B14,)</f>
        <v/>
      </c>
      <c r="E14" s="72" t="str">
        <f>IF(ISTEXT($A14),VLOOKUP($A14,IMP,4)*$B14,)</f>
        <v/>
      </c>
      <c r="F14" s="72" t="str">
        <f>IF(ISTEXT($A14),VLOOKUP($A14,IMP,5)*$B14,)</f>
        <v/>
      </c>
      <c r="G14" s="72" t="str">
        <f>IF(ISTEXT($A14),VLOOKUP($A14,IMP,6)*$B14,)</f>
        <v/>
      </c>
      <c r="H14" s="72" t="str">
        <f>IF(ISTEXT($A14),VLOOKUP($A14,IMP,7)*$B14,)</f>
        <v/>
      </c>
      <c r="I14" s="72" t="str">
        <f>IF(ISTEXT($A14),VLOOKUP($A14,IMP,8)*$B14,)</f>
        <v/>
      </c>
      <c r="J14" s="72" t="str">
        <f>IF(ISTEXT($A14),VLOOKUP($A14,IMP,9)*$B14,)</f>
        <v/>
      </c>
      <c r="K14" s="83" t="str">
        <f>IF(ISTEXT($A14),TO_TEXT(VLOOKUP($A14,IMP,10)),)</f>
        <v/>
      </c>
      <c r="L14" s="83" t="str">
        <f>IF(ISTEXT($A14),TO_TEXT(VLOOKUP($A14,IMP,11)),)</f>
        <v/>
      </c>
    </row>
    <row r="15">
      <c r="A15" s="11"/>
      <c r="B15" s="11"/>
      <c r="C15" s="72" t="str">
        <f>IF(ISTEXT($A15),VLOOKUP($A15,IMP,2),)</f>
        <v/>
      </c>
      <c r="D15" s="72" t="str">
        <f>IF(ISTEXT($A15),VLOOKUP($A15,IMP,3)*$B15,)</f>
        <v/>
      </c>
      <c r="E15" s="72" t="str">
        <f>IF(ISTEXT($A15),VLOOKUP($A15,IMP,4)*$B15,)</f>
        <v/>
      </c>
      <c r="F15" s="72" t="str">
        <f>IF(ISTEXT($A15),VLOOKUP($A15,IMP,5)*$B15,)</f>
        <v/>
      </c>
      <c r="G15" s="72" t="str">
        <f>IF(ISTEXT($A15),VLOOKUP($A15,IMP,6)*$B15,)</f>
        <v/>
      </c>
      <c r="H15" s="72" t="str">
        <f>IF(ISTEXT($A15),VLOOKUP($A15,IMP,7)*$B15,)</f>
        <v/>
      </c>
      <c r="I15" s="72" t="str">
        <f>IF(ISTEXT($A15),VLOOKUP($A15,IMP,8)*$B15,)</f>
        <v/>
      </c>
      <c r="J15" s="72" t="str">
        <f>IF(ISTEXT($A15),VLOOKUP($A15,IMP,9)*$B15,)</f>
        <v/>
      </c>
      <c r="K15" s="83" t="str">
        <f>IF(ISTEXT($A15),TO_TEXT(VLOOKUP($A15,IMP,10)),)</f>
        <v/>
      </c>
      <c r="L15" s="83" t="str">
        <f>IF(ISTEXT($A15),TO_TEXT(VLOOKUP($A15,IMP,11)),)</f>
        <v/>
      </c>
    </row>
    <row r="16">
      <c r="A16" s="11"/>
      <c r="B16" s="11"/>
      <c r="C16" s="72" t="str">
        <f>IF(ISTEXT($A16),VLOOKUP($A16,IMP,2),)</f>
        <v/>
      </c>
      <c r="D16" s="72" t="str">
        <f>IF(ISTEXT($A16),VLOOKUP($A16,IMP,3)*$B16,)</f>
        <v/>
      </c>
      <c r="E16" s="72" t="str">
        <f>IF(ISTEXT($A16),VLOOKUP($A16,IMP,4)*$B16,)</f>
        <v/>
      </c>
      <c r="F16" s="72" t="str">
        <f>IF(ISTEXT($A16),VLOOKUP($A16,IMP,5)*$B16,)</f>
        <v/>
      </c>
      <c r="G16" s="72" t="str">
        <f>IF(ISTEXT($A16),VLOOKUP($A16,IMP,6)*$B16,)</f>
        <v/>
      </c>
      <c r="H16" s="72" t="str">
        <f>IF(ISTEXT($A16),VLOOKUP($A16,IMP,7)*$B16,)</f>
        <v/>
      </c>
      <c r="I16" s="72" t="str">
        <f>IF(ISTEXT($A16),VLOOKUP($A16,IMP,8)*$B16,)</f>
        <v/>
      </c>
      <c r="J16" s="72" t="str">
        <f>IF(ISTEXT($A16),VLOOKUP($A16,IMP,9)*$B16,)</f>
        <v/>
      </c>
      <c r="K16" s="83" t="str">
        <f>IF(ISTEXT($A16),TO_TEXT(VLOOKUP($A16,IMP,10)),)</f>
        <v/>
      </c>
      <c r="L16" s="83" t="str">
        <f>IF(ISTEXT($A16),TO_TEXT(VLOOKUP($A16,IMP,11)),)</f>
        <v/>
      </c>
    </row>
    <row r="17">
      <c r="A17" s="11"/>
      <c r="B17" s="11"/>
      <c r="C17" s="72" t="str">
        <f>IF(ISTEXT($A17),VLOOKUP($A17,IMP,2),)</f>
        <v/>
      </c>
      <c r="D17" s="72" t="str">
        <f>IF(ISTEXT($A17),VLOOKUP($A17,IMP,3)*$B17,)</f>
        <v/>
      </c>
      <c r="E17" s="72" t="str">
        <f>IF(ISTEXT($A17),VLOOKUP($A17,IMP,4)*$B17,)</f>
        <v/>
      </c>
      <c r="F17" s="72" t="str">
        <f>IF(ISTEXT($A17),VLOOKUP($A17,IMP,5)*$B17,)</f>
        <v/>
      </c>
      <c r="G17" s="72" t="str">
        <f>IF(ISTEXT($A17),VLOOKUP($A17,IMP,6)*$B17,)</f>
        <v/>
      </c>
      <c r="H17" s="72" t="str">
        <f>IF(ISTEXT($A17),VLOOKUP($A17,IMP,7)*$B17,)</f>
        <v/>
      </c>
      <c r="I17" s="72" t="str">
        <f>IF(ISTEXT($A17),VLOOKUP($A17,IMP,8)*$B17,)</f>
        <v/>
      </c>
      <c r="J17" s="72" t="str">
        <f>IF(ISTEXT($A17),VLOOKUP($A17,IMP,9)*$B17,)</f>
        <v/>
      </c>
      <c r="K17" s="83" t="str">
        <f>IF(ISTEXT($A17),TO_TEXT(VLOOKUP($A17,IMP,10)),)</f>
        <v/>
      </c>
      <c r="L17" s="83" t="str">
        <f>IF(ISTEXT($A17),TO_TEXT(VLOOKUP($A17,IMP,11)),)</f>
        <v/>
      </c>
    </row>
    <row r="18">
      <c r="A18" s="11"/>
      <c r="B18" s="11"/>
      <c r="C18" s="72" t="str">
        <f>IF(ISTEXT($A18),VLOOKUP($A18,IMP,2),)</f>
        <v/>
      </c>
      <c r="D18" s="72" t="str">
        <f>IF(ISTEXT($A18),VLOOKUP($A18,IMP,3)*$B18,)</f>
        <v/>
      </c>
      <c r="E18" s="72" t="str">
        <f>IF(ISTEXT($A18),VLOOKUP($A18,IMP,4)*$B18,)</f>
        <v/>
      </c>
      <c r="F18" s="72" t="str">
        <f>IF(ISTEXT($A18),VLOOKUP($A18,IMP,5)*$B18,)</f>
        <v/>
      </c>
      <c r="G18" s="72" t="str">
        <f>IF(ISTEXT($A18),VLOOKUP($A18,IMP,6)*$B18,)</f>
        <v/>
      </c>
      <c r="H18" s="72" t="str">
        <f>IF(ISTEXT($A18),VLOOKUP($A18,IMP,7)*$B18,)</f>
        <v/>
      </c>
      <c r="I18" s="72" t="str">
        <f>IF(ISTEXT($A18),VLOOKUP($A18,IMP,8)*$B18,)</f>
        <v/>
      </c>
      <c r="J18" s="72" t="str">
        <f>IF(ISTEXT($A18),VLOOKUP($A18,IMP,9)*$B18,)</f>
        <v/>
      </c>
      <c r="K18" s="83" t="str">
        <f>IF(ISTEXT($A18),TO_TEXT(VLOOKUP($A18,IMP,10)),)</f>
        <v/>
      </c>
      <c r="L18" s="83" t="str">
        <f>IF(ISTEXT($A18),TO_TEXT(VLOOKUP($A18,IMP,11)),)</f>
        <v/>
      </c>
    </row>
    <row r="19">
      <c r="A19" s="11"/>
      <c r="B19" s="11"/>
      <c r="C19" s="72" t="str">
        <f>IF(ISTEXT($A19),VLOOKUP($A19,IMP,2),)</f>
        <v/>
      </c>
      <c r="D19" s="72" t="str">
        <f>IF(ISTEXT($A19),VLOOKUP($A19,IMP,3)*$B19,)</f>
        <v/>
      </c>
      <c r="E19" s="72" t="str">
        <f>IF(ISTEXT($A19),VLOOKUP($A19,IMP,4)*$B19,)</f>
        <v/>
      </c>
      <c r="F19" s="72" t="str">
        <f>IF(ISTEXT($A19),VLOOKUP($A19,IMP,5)*$B19,)</f>
        <v/>
      </c>
      <c r="G19" s="72" t="str">
        <f>IF(ISTEXT($A19),VLOOKUP($A19,IMP,6)*$B19,)</f>
        <v/>
      </c>
      <c r="H19" s="72" t="str">
        <f>IF(ISTEXT($A19),VLOOKUP($A19,IMP,7)*$B19,)</f>
        <v/>
      </c>
      <c r="I19" s="72" t="str">
        <f>IF(ISTEXT($A19),VLOOKUP($A19,IMP,8)*$B19,)</f>
        <v/>
      </c>
      <c r="J19" s="72" t="str">
        <f>IF(ISTEXT($A19),VLOOKUP($A19,IMP,9)*$B19,)</f>
        <v/>
      </c>
      <c r="K19" s="83" t="str">
        <f>IF(ISTEXT($A19),TO_TEXT(VLOOKUP($A19,IMP,10)),)</f>
        <v/>
      </c>
      <c r="L19" s="83" t="str">
        <f>IF(ISTEXT($A19),TO_TEXT(VLOOKUP($A19,IMP,11)),)</f>
        <v/>
      </c>
    </row>
    <row r="20">
      <c r="A20" s="11"/>
      <c r="B20" s="11"/>
      <c r="C20" s="72" t="str">
        <f>IF(ISTEXT($A20),VLOOKUP($A20,IMP,2),)</f>
        <v/>
      </c>
      <c r="D20" s="72" t="str">
        <f>IF(ISTEXT($A20),VLOOKUP($A20,IMP,3)*$B20,)</f>
        <v/>
      </c>
      <c r="E20" s="72" t="str">
        <f>IF(ISTEXT($A20),VLOOKUP($A20,IMP,4)*$B20,)</f>
        <v/>
      </c>
      <c r="F20" s="72" t="str">
        <f>IF(ISTEXT($A20),VLOOKUP($A20,IMP,5)*$B20,)</f>
        <v/>
      </c>
      <c r="G20" s="72" t="str">
        <f>IF(ISTEXT($A20),VLOOKUP($A20,IMP,6)*$B20,)</f>
        <v/>
      </c>
      <c r="H20" s="72" t="str">
        <f>IF(ISTEXT($A20),VLOOKUP($A20,IMP,7)*$B20,)</f>
        <v/>
      </c>
      <c r="I20" s="72" t="str">
        <f>IF(ISTEXT($A20),VLOOKUP($A20,IMP,8)*$B20,)</f>
        <v/>
      </c>
      <c r="J20" s="72" t="str">
        <f>IF(ISTEXT($A20),VLOOKUP($A20,IMP,9)*$B20,)</f>
        <v/>
      </c>
      <c r="K20" s="83" t="str">
        <f>IF(ISTEXT($A20),TO_TEXT(VLOOKUP($A20,IMP,10)),)</f>
        <v/>
      </c>
      <c r="L20" s="83" t="str">
        <f>IF(ISTEXT($A20),TO_TEXT(VLOOKUP($A20,IMP,11)),)</f>
        <v/>
      </c>
    </row>
    <row r="21">
      <c r="A21" s="11"/>
      <c r="B21" s="11"/>
      <c r="C21" s="72" t="str">
        <f>IF(ISTEXT($A21),VLOOKUP($A21,IMP,2),)</f>
        <v/>
      </c>
      <c r="D21" s="72" t="str">
        <f>IF(ISTEXT($A21),VLOOKUP($A21,IMP,3)*$B21,)</f>
        <v/>
      </c>
      <c r="E21" s="72" t="str">
        <f>IF(ISTEXT($A21),VLOOKUP($A21,IMP,4)*$B21,)</f>
        <v/>
      </c>
      <c r="F21" s="72" t="str">
        <f>IF(ISTEXT($A21),VLOOKUP($A21,IMP,5)*$B21,)</f>
        <v/>
      </c>
      <c r="G21" s="72" t="str">
        <f>IF(ISTEXT($A21),VLOOKUP($A21,IMP,6)*$B21,)</f>
        <v/>
      </c>
      <c r="H21" s="72" t="str">
        <f>IF(ISTEXT($A21),VLOOKUP($A21,IMP,7)*$B21,)</f>
        <v/>
      </c>
      <c r="I21" s="72" t="str">
        <f>IF(ISTEXT($A21),VLOOKUP($A21,IMP,8)*$B21,)</f>
        <v/>
      </c>
      <c r="J21" s="72" t="str">
        <f>IF(ISTEXT($A21),VLOOKUP($A21,IMP,9)*$B21,)</f>
        <v/>
      </c>
      <c r="K21" s="83" t="str">
        <f>IF(ISTEXT($A21),TO_TEXT(VLOOKUP($A21,IMP,10)),)</f>
        <v/>
      </c>
      <c r="L21" s="83" t="str">
        <f>IF(ISTEXT($A21),TO_TEXT(VLOOKUP($A21,IMP,11)),)</f>
        <v/>
      </c>
    </row>
    <row r="22">
      <c r="A22" s="11"/>
      <c r="B22" s="11"/>
      <c r="C22" s="72" t="str">
        <f>IF(ISTEXT($A22),VLOOKUP($A22,IMP,2),)</f>
        <v/>
      </c>
      <c r="D22" s="72" t="str">
        <f>IF(ISTEXT($A22),VLOOKUP($A22,IMP,3)*$B22,)</f>
        <v/>
      </c>
      <c r="E22" s="72" t="str">
        <f>IF(ISTEXT($A22),VLOOKUP($A22,IMP,4)*$B22,)</f>
        <v/>
      </c>
      <c r="F22" s="72" t="str">
        <f>IF(ISTEXT($A22),VLOOKUP($A22,IMP,5)*$B22,)</f>
        <v/>
      </c>
      <c r="G22" s="72" t="str">
        <f>IF(ISTEXT($A22),VLOOKUP($A22,IMP,6)*$B22,)</f>
        <v/>
      </c>
      <c r="H22" s="72" t="str">
        <f>IF(ISTEXT($A22),VLOOKUP($A22,IMP,7)*$B22,)</f>
        <v/>
      </c>
      <c r="I22" s="72" t="str">
        <f>IF(ISTEXT($A22),VLOOKUP($A22,IMP,8)*$B22,)</f>
        <v/>
      </c>
      <c r="J22" s="72" t="str">
        <f>IF(ISTEXT($A22),VLOOKUP($A22,IMP,9)*$B22,)</f>
        <v/>
      </c>
      <c r="K22" s="83" t="str">
        <f>IF(ISTEXT($A22),TO_TEXT(VLOOKUP($A22,IMP,10)),)</f>
        <v/>
      </c>
      <c r="L22" s="83" t="str">
        <f>IF(ISTEXT($A22),TO_TEXT(VLOOKUP($A22,IMP,11)),)</f>
        <v/>
      </c>
    </row>
    <row r="23">
      <c r="A23" s="11"/>
      <c r="B23" s="11"/>
      <c r="C23" s="72" t="str">
        <f>IF(ISTEXT($A23),VLOOKUP($A23,IMP,2),)</f>
        <v/>
      </c>
      <c r="D23" s="72" t="str">
        <f>IF(ISTEXT($A23),VLOOKUP($A23,IMP,3)*$B23,)</f>
        <v/>
      </c>
      <c r="E23" s="72" t="str">
        <f>IF(ISTEXT($A23),VLOOKUP($A23,IMP,4)*$B23,)</f>
        <v/>
      </c>
      <c r="F23" s="72" t="str">
        <f>IF(ISTEXT($A23),VLOOKUP($A23,IMP,5)*$B23,)</f>
        <v/>
      </c>
      <c r="G23" s="72" t="str">
        <f>IF(ISTEXT($A23),VLOOKUP($A23,IMP,6)*$B23,)</f>
        <v/>
      </c>
      <c r="H23" s="72" t="str">
        <f>IF(ISTEXT($A23),VLOOKUP($A23,IMP,7)*$B23,)</f>
        <v/>
      </c>
      <c r="I23" s="72" t="str">
        <f>IF(ISTEXT($A23),VLOOKUP($A23,IMP,8)*$B23,)</f>
        <v/>
      </c>
      <c r="J23" s="72" t="str">
        <f>IF(ISTEXT($A23),VLOOKUP($A23,IMP,9)*$B23,)</f>
        <v/>
      </c>
      <c r="K23" s="83" t="str">
        <f>IF(ISTEXT($A23),TO_TEXT(VLOOKUP($A23,IMP,10)),)</f>
        <v/>
      </c>
      <c r="L23" s="83" t="str">
        <f>IF(ISTEXT($A23),TO_TEXT(VLOOKUP($A23,IMP,11)),)</f>
        <v/>
      </c>
    </row>
    <row r="24">
      <c r="A24" s="11"/>
      <c r="B24" s="11"/>
      <c r="C24" s="72" t="str">
        <f>IF(ISTEXT($A24),VLOOKUP($A24,IMP,2),)</f>
        <v/>
      </c>
      <c r="D24" s="72" t="str">
        <f>IF(ISTEXT($A24),VLOOKUP($A24,IMP,3)*$B24,)</f>
        <v/>
      </c>
      <c r="E24" s="72" t="str">
        <f>IF(ISTEXT($A24),VLOOKUP($A24,IMP,4)*$B24,)</f>
        <v/>
      </c>
      <c r="F24" s="72" t="str">
        <f>IF(ISTEXT($A24),VLOOKUP($A24,IMP,5)*$B24,)</f>
        <v/>
      </c>
      <c r="G24" s="72" t="str">
        <f>IF(ISTEXT($A24),VLOOKUP($A24,IMP,6)*$B24,)</f>
        <v/>
      </c>
      <c r="H24" s="72" t="str">
        <f>IF(ISTEXT($A24),VLOOKUP($A24,IMP,7)*$B24,)</f>
        <v/>
      </c>
      <c r="I24" s="72" t="str">
        <f>IF(ISTEXT($A24),VLOOKUP($A24,IMP,8)*$B24,)</f>
        <v/>
      </c>
      <c r="J24" s="72" t="str">
        <f>IF(ISTEXT($A24),VLOOKUP($A24,IMP,9)*$B24,)</f>
        <v/>
      </c>
      <c r="K24" s="83" t="str">
        <f>IF(ISTEXT($A24),TO_TEXT(VLOOKUP($A24,IMP,10)),)</f>
        <v/>
      </c>
      <c r="L24" s="83" t="str">
        <f>IF(ISTEXT($A24),TO_TEXT(VLOOKUP($A24,IMP,11)),)</f>
        <v/>
      </c>
    </row>
    <row r="25">
      <c r="A25" s="11"/>
      <c r="B25" s="11"/>
      <c r="C25" s="72" t="str">
        <f>IF(ISTEXT($A25),VLOOKUP($A25,IMP,2),)</f>
        <v/>
      </c>
      <c r="D25" s="72" t="str">
        <f>IF(ISTEXT($A25),VLOOKUP($A25,IMP,3)*$B25,)</f>
        <v/>
      </c>
      <c r="E25" s="72" t="str">
        <f>IF(ISTEXT($A25),VLOOKUP($A25,IMP,4)*$B25,)</f>
        <v/>
      </c>
      <c r="F25" s="72" t="str">
        <f>IF(ISTEXT($A25),VLOOKUP($A25,IMP,5)*$B25,)</f>
        <v/>
      </c>
      <c r="G25" s="72" t="str">
        <f>IF(ISTEXT($A25),VLOOKUP($A25,IMP,6)*$B25,)</f>
        <v/>
      </c>
      <c r="H25" s="72" t="str">
        <f>IF(ISTEXT($A25),VLOOKUP($A25,IMP,7)*$B25,)</f>
        <v/>
      </c>
      <c r="I25" s="72" t="str">
        <f>IF(ISTEXT($A25),VLOOKUP($A25,IMP,8)*$B25,)</f>
        <v/>
      </c>
      <c r="J25" s="72" t="str">
        <f>IF(ISTEXT($A25),VLOOKUP($A25,IMP,9)*$B25,)</f>
        <v/>
      </c>
      <c r="K25" s="83" t="str">
        <f>IF(ISTEXT($A25),TO_TEXT(VLOOKUP($A25,IMP,10)),)</f>
        <v/>
      </c>
      <c r="L25" s="83" t="str">
        <f>IF(ISTEXT($A25),TO_TEXT(VLOOKUP($A25,IMP,11)),)</f>
        <v/>
      </c>
    </row>
    <row r="26">
      <c r="A26" s="11"/>
      <c r="B26" s="11"/>
      <c r="C26" s="72" t="str">
        <f>IF(ISTEXT($A26),VLOOKUP($A26,IMP,2),)</f>
        <v/>
      </c>
      <c r="D26" s="72" t="str">
        <f>IF(ISTEXT($A26),VLOOKUP($A26,IMP,3)*$B26,)</f>
        <v/>
      </c>
      <c r="E26" s="72" t="str">
        <f>IF(ISTEXT($A26),VLOOKUP($A26,IMP,4)*$B26,)</f>
        <v/>
      </c>
      <c r="F26" s="72" t="str">
        <f>IF(ISTEXT($A26),VLOOKUP($A26,IMP,5)*$B26,)</f>
        <v/>
      </c>
      <c r="G26" s="72" t="str">
        <f>IF(ISTEXT($A26),VLOOKUP($A26,IMP,6)*$B26,)</f>
        <v/>
      </c>
      <c r="H26" s="72" t="str">
        <f>IF(ISTEXT($A26),VLOOKUP($A26,IMP,7)*$B26,)</f>
        <v/>
      </c>
      <c r="I26" s="72" t="str">
        <f>IF(ISTEXT($A26),VLOOKUP($A26,IMP,8)*$B26,)</f>
        <v/>
      </c>
      <c r="J26" s="72" t="str">
        <f>IF(ISTEXT($A26),VLOOKUP($A26,IMP,9)*$B26,)</f>
        <v/>
      </c>
      <c r="K26" s="83" t="str">
        <f>IF(ISTEXT($A26),TO_TEXT(VLOOKUP($A26,IMP,10)),)</f>
        <v/>
      </c>
      <c r="L26" s="83" t="str">
        <f>IF(ISTEXT($A26),TO_TEXT(VLOOKUP($A26,IMP,11)),)</f>
        <v/>
      </c>
    </row>
    <row r="27">
      <c r="A27" s="11"/>
      <c r="B27" s="11"/>
      <c r="C27" s="72" t="str">
        <f>IF(ISTEXT($A27),VLOOKUP($A27,IMP,2),)</f>
        <v/>
      </c>
      <c r="D27" s="72" t="str">
        <f>IF(ISTEXT($A27),VLOOKUP($A27,IMP,3)*$B27,)</f>
        <v/>
      </c>
      <c r="E27" s="72" t="str">
        <f>IF(ISTEXT($A27),VLOOKUP($A27,IMP,4)*$B27,)</f>
        <v/>
      </c>
      <c r="F27" s="72" t="str">
        <f>IF(ISTEXT($A27),VLOOKUP($A27,IMP,5)*$B27,)</f>
        <v/>
      </c>
      <c r="G27" s="72" t="str">
        <f>IF(ISTEXT($A27),VLOOKUP($A27,IMP,6)*$B27,)</f>
        <v/>
      </c>
      <c r="H27" s="72" t="str">
        <f>IF(ISTEXT($A27),VLOOKUP($A27,IMP,7)*$B27,)</f>
        <v/>
      </c>
      <c r="I27" s="72" t="str">
        <f>IF(ISTEXT($A27),VLOOKUP($A27,IMP,8)*$B27,)</f>
        <v/>
      </c>
      <c r="J27" s="72" t="str">
        <f>IF(ISTEXT($A27),VLOOKUP($A27,IMP,9)*$B27,)</f>
        <v/>
      </c>
      <c r="K27" s="83" t="str">
        <f>IF(ISTEXT($A27),TO_TEXT(VLOOKUP($A27,IMP,10)),)</f>
        <v/>
      </c>
      <c r="L27" s="83" t="str">
        <f>IF(ISTEXT($A27),TO_TEXT(VLOOKUP($A27,IMP,11)),)</f>
        <v/>
      </c>
    </row>
    <row r="28">
      <c r="A28" s="11"/>
      <c r="B28" s="11"/>
      <c r="C28" s="72" t="str">
        <f>IF(ISTEXT($A28),VLOOKUP($A28,IMP,2),)</f>
        <v/>
      </c>
      <c r="D28" s="72" t="str">
        <f>IF(ISTEXT($A28),VLOOKUP($A28,IMP,3)*$B28,)</f>
        <v/>
      </c>
      <c r="E28" s="72" t="str">
        <f>IF(ISTEXT($A28),VLOOKUP($A28,IMP,4)*$B28,)</f>
        <v/>
      </c>
      <c r="F28" s="72" t="str">
        <f>IF(ISTEXT($A28),VLOOKUP($A28,IMP,5)*$B28,)</f>
        <v/>
      </c>
      <c r="G28" s="72" t="str">
        <f>IF(ISTEXT($A28),VLOOKUP($A28,IMP,6)*$B28,)</f>
        <v/>
      </c>
      <c r="H28" s="72" t="str">
        <f>IF(ISTEXT($A28),VLOOKUP($A28,IMP,7)*$B28,)</f>
        <v/>
      </c>
      <c r="I28" s="72" t="str">
        <f>IF(ISTEXT($A28),VLOOKUP($A28,IMP,8)*$B28,)</f>
        <v/>
      </c>
      <c r="J28" s="72" t="str">
        <f>IF(ISTEXT($A28),VLOOKUP($A28,IMP,9)*$B28,)</f>
        <v/>
      </c>
      <c r="K28" s="83" t="str">
        <f>IF(ISTEXT($A28),TO_TEXT(VLOOKUP($A28,IMP,10)),)</f>
        <v/>
      </c>
      <c r="L28" s="83" t="str">
        <f>IF(ISTEXT($A28),TO_TEXT(VLOOKUP($A28,IMP,11)),)</f>
        <v/>
      </c>
    </row>
    <row r="29">
      <c r="A29" s="11"/>
      <c r="B29" s="11"/>
      <c r="C29" s="72" t="str">
        <f>IF(ISTEXT($A29),VLOOKUP($A29,IMP,2),)</f>
        <v/>
      </c>
      <c r="D29" s="72" t="str">
        <f>IF(ISTEXT($A29),VLOOKUP($A29,IMP,3)*$B29,)</f>
        <v/>
      </c>
      <c r="E29" s="72" t="str">
        <f>IF(ISTEXT($A29),VLOOKUP($A29,IMP,4)*$B29,)</f>
        <v/>
      </c>
      <c r="F29" s="72" t="str">
        <f>IF(ISTEXT($A29),VLOOKUP($A29,IMP,5)*$B29,)</f>
        <v/>
      </c>
      <c r="G29" s="72" t="str">
        <f>IF(ISTEXT($A29),VLOOKUP($A29,IMP,6)*$B29,)</f>
        <v/>
      </c>
      <c r="H29" s="72" t="str">
        <f>IF(ISTEXT($A29),VLOOKUP($A29,IMP,7)*$B29,)</f>
        <v/>
      </c>
      <c r="I29" s="72" t="str">
        <f>IF(ISTEXT($A29),VLOOKUP($A29,IMP,8)*$B29,)</f>
        <v/>
      </c>
      <c r="J29" s="72" t="str">
        <f>IF(ISTEXT($A29),VLOOKUP($A29,IMP,9)*$B29,)</f>
        <v/>
      </c>
      <c r="K29" s="83" t="str">
        <f>IF(ISTEXT($A29),TO_TEXT(VLOOKUP($A29,IMP,10)),)</f>
        <v/>
      </c>
      <c r="L29" s="83" t="str">
        <f>IF(ISTEXT($A29),TO_TEXT(VLOOKUP($A29,IMP,11)),)</f>
        <v/>
      </c>
    </row>
    <row r="30">
      <c r="A30" s="11"/>
      <c r="B30" s="11"/>
      <c r="C30" s="72" t="str">
        <f>IF(ISTEXT($A30),VLOOKUP($A30,IMP,2),)</f>
        <v/>
      </c>
      <c r="D30" s="72" t="str">
        <f>IF(ISTEXT($A30),VLOOKUP($A30,IMP,3)*$B30,)</f>
        <v/>
      </c>
      <c r="E30" s="72" t="str">
        <f>IF(ISTEXT($A30),VLOOKUP($A30,IMP,4)*$B30,)</f>
        <v/>
      </c>
      <c r="F30" s="72" t="str">
        <f>IF(ISTEXT($A30),VLOOKUP($A30,IMP,5)*$B30,)</f>
        <v/>
      </c>
      <c r="G30" s="72" t="str">
        <f>IF(ISTEXT($A30),VLOOKUP($A30,IMP,6)*$B30,)</f>
        <v/>
      </c>
      <c r="H30" s="72" t="str">
        <f>IF(ISTEXT($A30),VLOOKUP($A30,IMP,7)*$B30,)</f>
        <v/>
      </c>
      <c r="I30" s="72" t="str">
        <f>IF(ISTEXT($A30),VLOOKUP($A30,IMP,8)*$B30,)</f>
        <v/>
      </c>
      <c r="J30" s="72" t="str">
        <f>IF(ISTEXT($A30),VLOOKUP($A30,IMP,9)*$B30,)</f>
        <v/>
      </c>
      <c r="K30" s="83" t="str">
        <f>IF(ISTEXT($A30),TO_TEXT(VLOOKUP($A30,IMP,10)),)</f>
        <v/>
      </c>
      <c r="L30" s="83" t="str">
        <f>IF(ISTEXT($A30),TO_TEXT(VLOOKUP($A30,IMP,11)),)</f>
        <v/>
      </c>
    </row>
    <row r="31">
      <c r="A31" s="11"/>
      <c r="B31" s="11"/>
      <c r="C31" s="72" t="str">
        <f>IF(ISTEXT($A31),VLOOKUP($A31,IMP,2),)</f>
        <v/>
      </c>
      <c r="D31" s="72" t="str">
        <f>IF(ISTEXT($A31),VLOOKUP($A31,IMP,3)*$B31,)</f>
        <v/>
      </c>
      <c r="E31" s="72" t="str">
        <f>IF(ISTEXT($A31),VLOOKUP($A31,IMP,4)*$B31,)</f>
        <v/>
      </c>
      <c r="F31" s="72" t="str">
        <f>IF(ISTEXT($A31),VLOOKUP($A31,IMP,5)*$B31,)</f>
        <v/>
      </c>
      <c r="G31" s="72" t="str">
        <f>IF(ISTEXT($A31),VLOOKUP($A31,IMP,6)*$B31,)</f>
        <v/>
      </c>
      <c r="H31" s="72" t="str">
        <f>IF(ISTEXT($A31),VLOOKUP($A31,IMP,7)*$B31,)</f>
        <v/>
      </c>
      <c r="I31" s="72" t="str">
        <f>IF(ISTEXT($A31),VLOOKUP($A31,IMP,8)*$B31,)</f>
        <v/>
      </c>
      <c r="J31" s="72" t="str">
        <f>IF(ISTEXT($A31),VLOOKUP($A31,IMP,9)*$B31,)</f>
        <v/>
      </c>
      <c r="K31" s="83" t="str">
        <f>IF(ISTEXT($A31),TO_TEXT(VLOOKUP($A31,IMP,10)),)</f>
        <v/>
      </c>
      <c r="L31" s="83" t="str">
        <f>IF(ISTEXT($A31),TO_TEXT(VLOOKUP($A31,IMP,11)),)</f>
        <v/>
      </c>
    </row>
    <row r="32">
      <c r="A32" s="11"/>
      <c r="B32" s="11"/>
      <c r="C32" s="72" t="str">
        <f>IF(ISTEXT($A32),VLOOKUP($A32,IMP,2),)</f>
        <v/>
      </c>
      <c r="D32" s="72" t="str">
        <f>IF(ISTEXT($A32),VLOOKUP($A32,IMP,3)*$B32,)</f>
        <v/>
      </c>
      <c r="E32" s="72" t="str">
        <f>IF(ISTEXT($A32),VLOOKUP($A32,IMP,4)*$B32,)</f>
        <v/>
      </c>
      <c r="F32" s="72" t="str">
        <f>IF(ISTEXT($A32),VLOOKUP($A32,IMP,5)*$B32,)</f>
        <v/>
      </c>
      <c r="G32" s="72" t="str">
        <f>IF(ISTEXT($A32),VLOOKUP($A32,IMP,6)*$B32,)</f>
        <v/>
      </c>
      <c r="H32" s="72" t="str">
        <f>IF(ISTEXT($A32),VLOOKUP($A32,IMP,7)*$B32,)</f>
        <v/>
      </c>
      <c r="I32" s="72" t="str">
        <f>IF(ISTEXT($A32),VLOOKUP($A32,IMP,8)*$B32,)</f>
        <v/>
      </c>
      <c r="J32" s="72" t="str">
        <f>IF(ISTEXT($A32),VLOOKUP($A32,IMP,9)*$B32,)</f>
        <v/>
      </c>
      <c r="K32" s="83" t="str">
        <f>IF(ISTEXT($A32),TO_TEXT(VLOOKUP($A32,IMP,10)),)</f>
        <v/>
      </c>
      <c r="L32" s="83" t="str">
        <f>IF(ISTEXT($A32),TO_TEXT(VLOOKUP($A32,IMP,11)),)</f>
        <v/>
      </c>
    </row>
    <row r="33">
      <c r="A33" s="11"/>
      <c r="B33" s="11"/>
      <c r="C33" s="72" t="str">
        <f>IF(ISTEXT($A33),VLOOKUP($A33,IMP,2),)</f>
        <v/>
      </c>
      <c r="D33" s="72" t="str">
        <f>IF(ISTEXT($A33),VLOOKUP($A33,IMP,3)*$B33,)</f>
        <v/>
      </c>
      <c r="E33" s="72" t="str">
        <f>IF(ISTEXT($A33),VLOOKUP($A33,IMP,4)*$B33,)</f>
        <v/>
      </c>
      <c r="F33" s="72" t="str">
        <f>IF(ISTEXT($A33),VLOOKUP($A33,IMP,5)*$B33,)</f>
        <v/>
      </c>
      <c r="G33" s="72" t="str">
        <f>IF(ISTEXT($A33),VLOOKUP($A33,IMP,6)*$B33,)</f>
        <v/>
      </c>
      <c r="H33" s="72" t="str">
        <f>IF(ISTEXT($A33),VLOOKUP($A33,IMP,7)*$B33,)</f>
        <v/>
      </c>
      <c r="I33" s="72" t="str">
        <f>IF(ISTEXT($A33),VLOOKUP($A33,IMP,8)*$B33,)</f>
        <v/>
      </c>
      <c r="J33" s="72" t="str">
        <f>IF(ISTEXT($A33),VLOOKUP($A33,IMP,9)*$B33,)</f>
        <v/>
      </c>
      <c r="K33" s="83" t="str">
        <f>IF(ISTEXT($A33),TO_TEXT(VLOOKUP($A33,IMP,10)),)</f>
        <v/>
      </c>
      <c r="L33" s="83" t="str">
        <f>IF(ISTEXT($A33),TO_TEXT(VLOOKUP($A33,IMP,11)),)</f>
        <v/>
      </c>
    </row>
    <row r="34">
      <c r="A34" s="11"/>
      <c r="B34" s="11"/>
      <c r="C34" s="72" t="str">
        <f>IF(ISTEXT($A34),VLOOKUP($A34,IMP,2),)</f>
        <v/>
      </c>
      <c r="D34" s="72" t="str">
        <f>IF(ISTEXT($A34),VLOOKUP($A34,IMP,3)*$B34,)</f>
        <v/>
      </c>
      <c r="E34" s="72" t="str">
        <f>IF(ISTEXT($A34),VLOOKUP($A34,IMP,4)*$B34,)</f>
        <v/>
      </c>
      <c r="F34" s="72" t="str">
        <f>IF(ISTEXT($A34),VLOOKUP($A34,IMP,5)*$B34,)</f>
        <v/>
      </c>
      <c r="G34" s="72" t="str">
        <f>IF(ISTEXT($A34),VLOOKUP($A34,IMP,6)*$B34,)</f>
        <v/>
      </c>
      <c r="H34" s="72" t="str">
        <f>IF(ISTEXT($A34),VLOOKUP($A34,IMP,7)*$B34,)</f>
        <v/>
      </c>
      <c r="I34" s="72" t="str">
        <f>IF(ISTEXT($A34),VLOOKUP($A34,IMP,8)*$B34,)</f>
        <v/>
      </c>
      <c r="J34" s="72" t="str">
        <f>IF(ISTEXT($A34),VLOOKUP($A34,IMP,9)*$B34,)</f>
        <v/>
      </c>
      <c r="K34" s="83" t="str">
        <f>IF(ISTEXT($A34),TO_TEXT(VLOOKUP($A34,IMP,10)),)</f>
        <v/>
      </c>
      <c r="L34" s="83" t="str">
        <f>IF(ISTEXT($A34),TO_TEXT(VLOOKUP($A34,IMP,11)),)</f>
        <v/>
      </c>
    </row>
    <row r="35">
      <c r="A35" s="11"/>
      <c r="B35" s="11"/>
      <c r="C35" s="72" t="str">
        <f>IF(ISTEXT($A35),VLOOKUP($A35,IMP,2),)</f>
        <v/>
      </c>
      <c r="D35" s="72" t="str">
        <f>IF(ISTEXT($A35),VLOOKUP($A35,IMP,3)*$B35,)</f>
        <v/>
      </c>
      <c r="E35" s="72" t="str">
        <f>IF(ISTEXT($A35),VLOOKUP($A35,IMP,4)*$B35,)</f>
        <v/>
      </c>
      <c r="F35" s="72" t="str">
        <f>IF(ISTEXT($A35),VLOOKUP($A35,IMP,5)*$B35,)</f>
        <v/>
      </c>
      <c r="G35" s="72" t="str">
        <f>IF(ISTEXT($A35),VLOOKUP($A35,IMP,6)*$B35,)</f>
        <v/>
      </c>
      <c r="H35" s="72" t="str">
        <f>IF(ISTEXT($A35),VLOOKUP($A35,IMP,7)*$B35,)</f>
        <v/>
      </c>
      <c r="I35" s="72" t="str">
        <f>IF(ISTEXT($A35),VLOOKUP($A35,IMP,8)*$B35,)</f>
        <v/>
      </c>
      <c r="J35" s="72" t="str">
        <f>IF(ISTEXT($A35),VLOOKUP($A35,IMP,9)*$B35,)</f>
        <v/>
      </c>
      <c r="K35" s="83" t="str">
        <f>IF(ISTEXT($A35),TO_TEXT(VLOOKUP($A35,IMP,10)),)</f>
        <v/>
      </c>
      <c r="L35" s="83" t="str">
        <f>IF(ISTEXT($A35),TO_TEXT(VLOOKUP($A35,IMP,11)),)</f>
        <v/>
      </c>
    </row>
    <row r="36">
      <c r="A36" s="11"/>
      <c r="B36" s="11"/>
      <c r="C36" s="72" t="str">
        <f>IF(ISTEXT($A36),VLOOKUP($A36,IMP,2),)</f>
        <v/>
      </c>
      <c r="D36" s="72" t="str">
        <f>IF(ISTEXT($A36),VLOOKUP($A36,IMP,3)*$B36,)</f>
        <v/>
      </c>
      <c r="E36" s="72" t="str">
        <f>IF(ISTEXT($A36),VLOOKUP($A36,IMP,4)*$B36,)</f>
        <v/>
      </c>
      <c r="F36" s="72" t="str">
        <f>IF(ISTEXT($A36),VLOOKUP($A36,IMP,5)*$B36,)</f>
        <v/>
      </c>
      <c r="G36" s="72" t="str">
        <f>IF(ISTEXT($A36),VLOOKUP($A36,IMP,6)*$B36,)</f>
        <v/>
      </c>
      <c r="H36" s="72" t="str">
        <f>IF(ISTEXT($A36),VLOOKUP($A36,IMP,7)*$B36,)</f>
        <v/>
      </c>
      <c r="I36" s="72" t="str">
        <f>IF(ISTEXT($A36),VLOOKUP($A36,IMP,8)*$B36,)</f>
        <v/>
      </c>
      <c r="J36" s="72" t="str">
        <f>IF(ISTEXT($A36),VLOOKUP($A36,IMP,9)*$B36,)</f>
        <v/>
      </c>
      <c r="K36" s="83" t="str">
        <f>IF(ISTEXT($A36),TO_TEXT(VLOOKUP($A36,IMP,10)),)</f>
        <v/>
      </c>
      <c r="L36" s="83" t="str">
        <f>IF(ISTEXT($A36),TO_TEXT(VLOOKUP($A36,IMP,11)),)</f>
        <v/>
      </c>
    </row>
    <row r="37">
      <c r="A37" s="3" t="s">
        <v>224</v>
      </c>
      <c r="B37" s="45"/>
      <c r="C37" s="45"/>
      <c r="D37" s="5" t="str">
        <f t="shared" ref="D37:H37" si="1">SUM(D11:D36)</f>
        <v>4</v>
      </c>
      <c r="E37" s="5" t="str">
        <f t="shared" si="1"/>
        <v>2</v>
      </c>
      <c r="F37" s="5" t="str">
        <f t="shared" si="1"/>
        <v>2</v>
      </c>
      <c r="G37" s="5" t="str">
        <f t="shared" si="1"/>
        <v>2</v>
      </c>
      <c r="H37" s="5" t="str">
        <f t="shared" si="1"/>
        <v>8</v>
      </c>
      <c r="I37" s="84"/>
      <c r="J37" s="5" t="str">
        <f>SUM(J11:J36)</f>
        <v>0</v>
      </c>
    </row>
    <row r="38" ht="5.25" customHeight="1"/>
    <row r="39">
      <c r="A39" s="16" t="s">
        <v>147</v>
      </c>
    </row>
    <row r="40">
      <c r="A40" s="19" t="s">
        <v>408</v>
      </c>
      <c r="B40" s="19" t="s">
        <v>409</v>
      </c>
      <c r="E40" s="19" t="s">
        <v>410</v>
      </c>
      <c r="F40" s="19" t="s">
        <v>411</v>
      </c>
      <c r="L40" s="121"/>
    </row>
    <row r="41">
      <c r="A41" s="6"/>
      <c r="B41" s="6"/>
      <c r="E41" s="6"/>
      <c r="F41" s="6"/>
    </row>
    <row r="42">
      <c r="A42" s="6"/>
      <c r="B42" s="6"/>
      <c r="E42" s="6"/>
      <c r="F42" s="6"/>
    </row>
    <row r="43">
      <c r="A43" s="6"/>
      <c r="B43" s="6"/>
      <c r="E43" s="6"/>
      <c r="F43" s="6"/>
    </row>
    <row r="44">
      <c r="A44" s="6"/>
      <c r="B44" s="6"/>
      <c r="E44" s="6"/>
      <c r="F44" s="6"/>
    </row>
    <row r="45">
      <c r="A45" s="6"/>
      <c r="B45" s="6"/>
      <c r="E45" s="6"/>
      <c r="F45" s="6"/>
    </row>
    <row r="46">
      <c r="A46" s="6"/>
      <c r="B46" s="6"/>
      <c r="E46" s="6"/>
      <c r="F46" s="6"/>
    </row>
    <row r="47">
      <c r="A47" s="6"/>
      <c r="B47" s="6"/>
      <c r="E47" s="6"/>
      <c r="F47" s="6"/>
    </row>
    <row r="48">
      <c r="A48" s="6"/>
      <c r="B48" s="6"/>
      <c r="E48" s="6"/>
      <c r="F48" s="6"/>
    </row>
    <row r="49">
      <c r="A49" s="6"/>
      <c r="B49" s="6"/>
      <c r="E49" s="6"/>
      <c r="F49" s="6"/>
    </row>
    <row r="50">
      <c r="A50" s="6"/>
      <c r="B50" s="6"/>
      <c r="E50" s="6"/>
      <c r="F50" s="6"/>
    </row>
    <row r="51">
      <c r="A51" s="6"/>
      <c r="B51" s="6"/>
      <c r="E51" s="6"/>
      <c r="F51" s="6"/>
    </row>
    <row r="52">
      <c r="A52" s="6"/>
      <c r="B52" s="6"/>
      <c r="E52" s="6"/>
      <c r="F52" s="6"/>
    </row>
    <row r="53">
      <c r="A53" s="6"/>
      <c r="B53" s="6"/>
      <c r="E53" s="6"/>
      <c r="F53" s="6"/>
    </row>
    <row r="54">
      <c r="A54" s="6"/>
      <c r="B54" s="6"/>
      <c r="E54" s="6"/>
      <c r="F54" s="6"/>
    </row>
    <row r="55">
      <c r="A55" s="6"/>
      <c r="B55" s="6"/>
      <c r="E55" s="6"/>
      <c r="F55" s="6"/>
    </row>
    <row r="56">
      <c r="A56" s="6"/>
      <c r="B56" s="6"/>
      <c r="E56" s="6"/>
      <c r="F56" s="6"/>
    </row>
    <row r="57">
      <c r="A57" s="6"/>
      <c r="B57" s="6"/>
      <c r="E57" s="6"/>
      <c r="F57" s="6"/>
    </row>
    <row r="58">
      <c r="A58" s="6"/>
      <c r="B58" s="6"/>
      <c r="E58" s="6"/>
      <c r="F58" s="6"/>
    </row>
    <row r="59">
      <c r="A59" s="6"/>
      <c r="B59" s="6"/>
      <c r="E59" s="6"/>
      <c r="F59" s="6"/>
    </row>
    <row r="60">
      <c r="A60" s="6"/>
      <c r="B60" s="6"/>
      <c r="E60" s="6"/>
      <c r="F60" s="6"/>
    </row>
    <row r="61">
      <c r="A61" s="6"/>
      <c r="B61" s="6"/>
      <c r="E61" s="6"/>
      <c r="F61" s="6"/>
    </row>
    <row r="62">
      <c r="A62" s="6"/>
      <c r="B62" s="6"/>
      <c r="E62" s="6"/>
      <c r="F62" s="6"/>
    </row>
    <row r="63">
      <c r="A63" s="6"/>
      <c r="B63" s="6"/>
      <c r="E63" s="6"/>
      <c r="F63" s="6"/>
    </row>
    <row r="64">
      <c r="A64" s="6"/>
      <c r="B64" s="6"/>
      <c r="E64" s="6"/>
      <c r="F64" s="6"/>
    </row>
    <row r="65">
      <c r="A65" s="6"/>
      <c r="B65" s="6"/>
      <c r="E65" s="6"/>
      <c r="F65" s="6"/>
    </row>
    <row r="66">
      <c r="A66" s="6"/>
      <c r="B66" s="6"/>
      <c r="E66" s="6"/>
      <c r="F66" s="6"/>
    </row>
    <row r="67">
      <c r="A67" s="6"/>
      <c r="B67" s="6"/>
      <c r="E67" s="6"/>
      <c r="F67" s="6"/>
    </row>
    <row r="68">
      <c r="A68" s="6"/>
      <c r="B68" s="6"/>
      <c r="E68" s="6"/>
      <c r="F68" s="6"/>
    </row>
    <row r="69">
      <c r="A69" s="6"/>
      <c r="B69" s="6"/>
      <c r="E69" s="6"/>
      <c r="F69" s="6"/>
    </row>
    <row r="70">
      <c r="A70" s="6"/>
      <c r="B70" s="6"/>
      <c r="E70" s="6"/>
      <c r="F70" s="6"/>
    </row>
  </sheetData>
  <mergeCells count="66">
    <mergeCell ref="F63:K63"/>
    <mergeCell ref="F64:K64"/>
    <mergeCell ref="F61:K61"/>
    <mergeCell ref="F62:K62"/>
    <mergeCell ref="F56:K56"/>
    <mergeCell ref="F57:K57"/>
    <mergeCell ref="F58:K58"/>
    <mergeCell ref="F59:K59"/>
    <mergeCell ref="F60:K60"/>
    <mergeCell ref="F55:K55"/>
    <mergeCell ref="F65:K65"/>
    <mergeCell ref="B62:D62"/>
    <mergeCell ref="B63:D63"/>
    <mergeCell ref="B64:D64"/>
    <mergeCell ref="B65:D65"/>
    <mergeCell ref="B56:D56"/>
    <mergeCell ref="B57:D57"/>
    <mergeCell ref="B55:D55"/>
    <mergeCell ref="B59:D59"/>
    <mergeCell ref="B60:D60"/>
    <mergeCell ref="B66:D66"/>
    <mergeCell ref="B67:D67"/>
    <mergeCell ref="B68:D68"/>
    <mergeCell ref="B61:D61"/>
    <mergeCell ref="B58:D58"/>
    <mergeCell ref="F47:K47"/>
    <mergeCell ref="F48:K48"/>
    <mergeCell ref="F49:K49"/>
    <mergeCell ref="F50:K50"/>
    <mergeCell ref="F42:K42"/>
    <mergeCell ref="F43:K43"/>
    <mergeCell ref="F44:K44"/>
    <mergeCell ref="B42:D42"/>
    <mergeCell ref="B43:D43"/>
    <mergeCell ref="F45:K45"/>
    <mergeCell ref="F46:K46"/>
    <mergeCell ref="B44:D44"/>
    <mergeCell ref="B45:D45"/>
    <mergeCell ref="B46:D46"/>
    <mergeCell ref="B47:D47"/>
    <mergeCell ref="A39:K39"/>
    <mergeCell ref="F66:K66"/>
    <mergeCell ref="F67:K67"/>
    <mergeCell ref="F68:K68"/>
    <mergeCell ref="F69:K69"/>
    <mergeCell ref="F70:K70"/>
    <mergeCell ref="B69:D69"/>
    <mergeCell ref="B70:D70"/>
    <mergeCell ref="A1:I1"/>
    <mergeCell ref="E3:I6"/>
    <mergeCell ref="A9:L9"/>
    <mergeCell ref="B54:D54"/>
    <mergeCell ref="B51:D51"/>
    <mergeCell ref="B52:D52"/>
    <mergeCell ref="B53:D53"/>
    <mergeCell ref="B48:D48"/>
    <mergeCell ref="B49:D49"/>
    <mergeCell ref="B50:D50"/>
    <mergeCell ref="F51:K51"/>
    <mergeCell ref="F52:K52"/>
    <mergeCell ref="F53:K53"/>
    <mergeCell ref="F54:K54"/>
    <mergeCell ref="B40:D40"/>
    <mergeCell ref="F40:K40"/>
    <mergeCell ref="F41:K41"/>
    <mergeCell ref="B41:D41"/>
  </mergeCells>
  <dataValidations>
    <dataValidation type="list" allowBlank="1" sqref="B41:B70">
      <formula1>"Armour/Shield/Weapon,Item,Potion/Scroll/Wondrous,Potion/Wondrous,Ring/Wand/Wondrous,Wondrous"</formula1>
    </dataValidation>
    <dataValidation type="list" allowBlank="1" sqref="A11:A36">
      <formula1>Data!$A$2:$A$71</formula1>
    </dataValidation>
    <dataValidation type="list" allowBlank="1" sqref="E41:E70">
      <formula1>"Minor,Medium,Major"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19.29"/>
    <col customWidth="1" min="3" max="3" width="18.43"/>
    <col customWidth="1" min="4" max="4" width="33.29"/>
  </cols>
  <sheetData>
    <row r="1">
      <c r="A1" s="50" t="s">
        <v>63</v>
      </c>
    </row>
    <row r="2">
      <c r="A2" s="51" t="s">
        <v>67</v>
      </c>
      <c r="B2" s="51" t="s">
        <v>68</v>
      </c>
      <c r="C2" s="51" t="s">
        <v>69</v>
      </c>
      <c r="D2" s="52" t="s">
        <v>70</v>
      </c>
    </row>
    <row r="3">
      <c r="C3" s="24" t="s">
        <v>71</v>
      </c>
      <c r="D3" s="24" t="s">
        <v>72</v>
      </c>
    </row>
    <row r="4">
      <c r="C4" s="24" t="s">
        <v>73</v>
      </c>
      <c r="D4" s="24" t="s">
        <v>74</v>
      </c>
    </row>
    <row r="5" ht="3.75" customHeight="1"/>
    <row r="6">
      <c r="A6" s="51" t="s">
        <v>75</v>
      </c>
      <c r="B6" s="51" t="s">
        <v>76</v>
      </c>
      <c r="C6" s="51" t="s">
        <v>77</v>
      </c>
      <c r="D6" s="52" t="s">
        <v>78</v>
      </c>
    </row>
    <row r="7" ht="3.75" customHeight="1"/>
    <row r="8">
      <c r="A8" s="51" t="s">
        <v>79</v>
      </c>
      <c r="B8" s="51" t="s">
        <v>80</v>
      </c>
      <c r="C8" s="51" t="s">
        <v>81</v>
      </c>
      <c r="D8" s="53"/>
    </row>
    <row r="9" ht="3.75" customHeight="1"/>
    <row r="10">
      <c r="A10" s="51" t="s">
        <v>83</v>
      </c>
      <c r="B10" s="51" t="s">
        <v>85</v>
      </c>
      <c r="C10" s="51" t="s">
        <v>86</v>
      </c>
      <c r="D10" s="51" t="s">
        <v>72</v>
      </c>
    </row>
    <row r="11">
      <c r="C11" s="24" t="s">
        <v>87</v>
      </c>
      <c r="D11" s="24" t="s">
        <v>88</v>
      </c>
    </row>
    <row r="12">
      <c r="C12" s="24" t="s">
        <v>89</v>
      </c>
      <c r="D12" s="24" t="s">
        <v>90</v>
      </c>
    </row>
    <row r="13" ht="3.75" customHeight="1"/>
    <row r="14">
      <c r="A14" s="51" t="s">
        <v>91</v>
      </c>
      <c r="B14" s="51" t="s">
        <v>92</v>
      </c>
      <c r="C14" s="51" t="s">
        <v>69</v>
      </c>
      <c r="D14" s="51" t="s">
        <v>93</v>
      </c>
    </row>
    <row r="15">
      <c r="C15" s="54" t="s">
        <v>94</v>
      </c>
      <c r="D15" s="54" t="s">
        <v>95</v>
      </c>
    </row>
    <row r="16" ht="3.75" customHeight="1"/>
    <row r="17">
      <c r="A17" s="50" t="s">
        <v>97</v>
      </c>
    </row>
    <row r="18">
      <c r="A18" s="51" t="s">
        <v>67</v>
      </c>
      <c r="B18" s="51" t="s">
        <v>100</v>
      </c>
      <c r="C18" s="55"/>
      <c r="D18" s="55"/>
    </row>
    <row r="19" ht="3.75" customHeight="1">
      <c r="C19" s="56"/>
    </row>
    <row r="20">
      <c r="A20" s="51" t="s">
        <v>75</v>
      </c>
      <c r="B20" s="51" t="s">
        <v>101</v>
      </c>
      <c r="C20" s="55"/>
      <c r="D20" s="51" t="s">
        <v>103</v>
      </c>
    </row>
    <row r="21" ht="3.75" customHeight="1"/>
    <row r="22">
      <c r="A22" s="51" t="s">
        <v>79</v>
      </c>
      <c r="B22" s="51" t="s">
        <v>104</v>
      </c>
      <c r="C22" s="51" t="s">
        <v>105</v>
      </c>
      <c r="D22" s="51" t="s">
        <v>106</v>
      </c>
    </row>
    <row r="23">
      <c r="C23" s="24" t="s">
        <v>107</v>
      </c>
      <c r="D23" s="24" t="s">
        <v>108</v>
      </c>
    </row>
    <row r="24" ht="3.75" customHeight="1"/>
    <row r="25">
      <c r="A25" s="51" t="s">
        <v>83</v>
      </c>
      <c r="B25" s="51" t="s">
        <v>110</v>
      </c>
      <c r="C25" s="51" t="s">
        <v>112</v>
      </c>
      <c r="D25" s="55"/>
    </row>
    <row r="26" ht="3.75" customHeight="1"/>
    <row r="27">
      <c r="A27" s="51" t="s">
        <v>113</v>
      </c>
      <c r="B27" s="51" t="s">
        <v>114</v>
      </c>
      <c r="C27" s="51" t="s">
        <v>112</v>
      </c>
      <c r="D27" s="55"/>
    </row>
    <row r="28" ht="3.75" customHeight="1">
      <c r="A28" s="12"/>
      <c r="B28" s="12"/>
      <c r="C28" s="12"/>
      <c r="D28" s="12"/>
    </row>
    <row r="29">
      <c r="A29" s="58" t="s">
        <v>116</v>
      </c>
      <c r="B29" s="60" t="s">
        <v>118</v>
      </c>
      <c r="C29" s="60" t="s">
        <v>123</v>
      </c>
      <c r="D29" s="61" t="s">
        <v>124</v>
      </c>
    </row>
    <row r="30">
      <c r="A30" s="62" t="s">
        <v>128</v>
      </c>
      <c r="B30" s="63">
        <v>1.0</v>
      </c>
      <c r="C30" s="63">
        <v>1.0</v>
      </c>
      <c r="D30" s="64" t="s">
        <v>130</v>
      </c>
    </row>
    <row r="31">
      <c r="A31" s="62" t="s">
        <v>131</v>
      </c>
      <c r="B31" s="63">
        <v>1.0</v>
      </c>
      <c r="C31" s="63">
        <v>2.0</v>
      </c>
      <c r="D31" s="64" t="s">
        <v>133</v>
      </c>
    </row>
    <row r="32">
      <c r="A32" s="62" t="s">
        <v>135</v>
      </c>
      <c r="B32" s="63">
        <v>1.0</v>
      </c>
      <c r="C32" s="63">
        <v>5.0</v>
      </c>
      <c r="D32" s="64" t="s">
        <v>137</v>
      </c>
    </row>
    <row r="33">
      <c r="A33" s="62" t="s">
        <v>139</v>
      </c>
      <c r="B33" s="63">
        <v>2.0</v>
      </c>
      <c r="C33" s="63">
        <v>10.0</v>
      </c>
      <c r="D33" s="64" t="s">
        <v>140</v>
      </c>
    </row>
    <row r="34">
      <c r="A34" s="62" t="s">
        <v>141</v>
      </c>
      <c r="B34" s="63">
        <v>3.0</v>
      </c>
      <c r="C34" s="63">
        <v>20.0</v>
      </c>
      <c r="D34" s="64" t="s">
        <v>142</v>
      </c>
    </row>
    <row r="35">
      <c r="A35" s="65" t="s">
        <v>144</v>
      </c>
      <c r="B35" s="66">
        <v>4.0</v>
      </c>
      <c r="C35" s="66" t="s">
        <v>149</v>
      </c>
      <c r="D35" s="67" t="s">
        <v>150</v>
      </c>
    </row>
    <row r="36" ht="3.75" customHeight="1">
      <c r="A36" s="68"/>
      <c r="B36" s="68"/>
      <c r="C36" s="68"/>
      <c r="D36" s="68"/>
    </row>
    <row r="37">
      <c r="A37" s="58" t="s">
        <v>151</v>
      </c>
      <c r="B37" s="60" t="s">
        <v>152</v>
      </c>
      <c r="C37" s="60" t="s">
        <v>155</v>
      </c>
      <c r="D37" s="61" t="s">
        <v>156</v>
      </c>
    </row>
    <row r="38">
      <c r="A38" s="62" t="s">
        <v>157</v>
      </c>
      <c r="B38" s="63" t="s">
        <v>158</v>
      </c>
      <c r="C38" s="63" t="s">
        <v>159</v>
      </c>
      <c r="D38" s="64" t="s">
        <v>160</v>
      </c>
    </row>
    <row r="39">
      <c r="A39" s="62" t="s">
        <v>162</v>
      </c>
      <c r="B39" s="63" t="s">
        <v>163</v>
      </c>
      <c r="C39" s="63" t="s">
        <v>163</v>
      </c>
      <c r="D39" s="64" t="s">
        <v>163</v>
      </c>
    </row>
    <row r="40">
      <c r="A40" s="62" t="s">
        <v>164</v>
      </c>
      <c r="B40" s="63" t="s">
        <v>165</v>
      </c>
      <c r="C40" s="63" t="s">
        <v>166</v>
      </c>
      <c r="D40" s="64" t="s">
        <v>167</v>
      </c>
    </row>
    <row r="41">
      <c r="A41" s="62" t="s">
        <v>168</v>
      </c>
      <c r="B41" s="63" t="s">
        <v>165</v>
      </c>
      <c r="C41" s="63" t="s">
        <v>169</v>
      </c>
      <c r="D41" s="64" t="s">
        <v>170</v>
      </c>
    </row>
    <row r="42">
      <c r="A42" s="62" t="s">
        <v>171</v>
      </c>
      <c r="B42" s="63" t="s">
        <v>172</v>
      </c>
      <c r="C42" s="63" t="s">
        <v>173</v>
      </c>
      <c r="D42" s="64" t="s">
        <v>174</v>
      </c>
    </row>
    <row r="43">
      <c r="A43" s="62" t="s">
        <v>175</v>
      </c>
      <c r="B43" s="63" t="s">
        <v>165</v>
      </c>
      <c r="C43" s="63" t="s">
        <v>176</v>
      </c>
      <c r="D43" s="64" t="s">
        <v>160</v>
      </c>
    </row>
    <row r="44">
      <c r="A44" s="62" t="s">
        <v>177</v>
      </c>
      <c r="B44" s="63" t="s">
        <v>158</v>
      </c>
      <c r="C44" s="63" t="s">
        <v>159</v>
      </c>
      <c r="D44" s="64" t="s">
        <v>160</v>
      </c>
    </row>
    <row r="45">
      <c r="A45" s="62" t="s">
        <v>178</v>
      </c>
      <c r="B45" s="63" t="s">
        <v>158</v>
      </c>
      <c r="C45" s="63" t="s">
        <v>176</v>
      </c>
      <c r="D45" s="64" t="s">
        <v>160</v>
      </c>
    </row>
    <row r="46">
      <c r="A46" s="62" t="s">
        <v>179</v>
      </c>
      <c r="B46" s="63" t="s">
        <v>172</v>
      </c>
      <c r="C46" s="63" t="s">
        <v>180</v>
      </c>
      <c r="D46" s="64" t="s">
        <v>181</v>
      </c>
    </row>
    <row r="47">
      <c r="A47" s="65" t="s">
        <v>38</v>
      </c>
      <c r="B47" s="66" t="s">
        <v>165</v>
      </c>
      <c r="C47" s="66" t="s">
        <v>182</v>
      </c>
      <c r="D47" s="67" t="s">
        <v>182</v>
      </c>
    </row>
    <row r="48" ht="3.75" customHeight="1">
      <c r="A48" s="46"/>
      <c r="B48" s="46"/>
      <c r="C48" s="46"/>
      <c r="D48" s="46"/>
    </row>
    <row r="49">
      <c r="A49" s="51" t="s">
        <v>183</v>
      </c>
      <c r="B49" s="51" t="s">
        <v>184</v>
      </c>
      <c r="C49" s="55"/>
      <c r="D49" s="55"/>
    </row>
    <row r="50" ht="3.75" customHeight="1"/>
    <row r="51">
      <c r="A51" s="51" t="s">
        <v>185</v>
      </c>
      <c r="B51" s="51" t="s">
        <v>186</v>
      </c>
      <c r="C51" s="55"/>
      <c r="D51" s="55"/>
    </row>
    <row r="52" ht="3.75" customHeight="1"/>
    <row r="53">
      <c r="A53" s="50" t="s">
        <v>187</v>
      </c>
    </row>
    <row r="54">
      <c r="A54" s="70" t="s">
        <v>67</v>
      </c>
      <c r="B54" s="70" t="s">
        <v>188</v>
      </c>
      <c r="C54" s="70" t="s">
        <v>189</v>
      </c>
      <c r="D54" s="70" t="s">
        <v>190</v>
      </c>
    </row>
    <row r="55" ht="3.75" customHeight="1">
      <c r="A55" s="71"/>
      <c r="B55" s="71"/>
      <c r="C55" s="71"/>
      <c r="D55" s="71"/>
    </row>
    <row r="56">
      <c r="A56" s="70" t="s">
        <v>75</v>
      </c>
      <c r="B56" s="70" t="s">
        <v>191</v>
      </c>
      <c r="C56" s="70" t="s">
        <v>192</v>
      </c>
      <c r="D56" s="70" t="s">
        <v>193</v>
      </c>
    </row>
    <row r="57" ht="3.75" customHeight="1">
      <c r="A57" s="71"/>
      <c r="B57" s="71"/>
      <c r="C57" s="71"/>
      <c r="D57" s="71"/>
    </row>
    <row r="58">
      <c r="A58" s="73" t="s">
        <v>79</v>
      </c>
      <c r="B58" s="70" t="s">
        <v>194</v>
      </c>
      <c r="C58" s="70" t="s">
        <v>195</v>
      </c>
      <c r="D58" s="70" t="s">
        <v>196</v>
      </c>
    </row>
    <row r="59" ht="3.75" customHeight="1">
      <c r="A59" s="71"/>
      <c r="B59" s="71"/>
      <c r="C59" s="71"/>
      <c r="D59" s="71"/>
    </row>
    <row r="60">
      <c r="A60" s="70" t="s">
        <v>197</v>
      </c>
      <c r="B60" s="70" t="s">
        <v>198</v>
      </c>
      <c r="C60" s="70" t="s">
        <v>199</v>
      </c>
      <c r="D60" s="70" t="s">
        <v>200</v>
      </c>
    </row>
    <row r="61" ht="3.75" customHeight="1">
      <c r="A61" s="71"/>
      <c r="C61" s="71"/>
      <c r="D61" s="71"/>
    </row>
    <row r="62">
      <c r="A62" s="70" t="s">
        <v>201</v>
      </c>
      <c r="B62" s="70" t="s">
        <v>202</v>
      </c>
      <c r="C62" s="70" t="s">
        <v>69</v>
      </c>
      <c r="D62" s="70" t="s">
        <v>203</v>
      </c>
    </row>
    <row r="63">
      <c r="A63" s="71"/>
      <c r="B63" s="71"/>
      <c r="C63" s="74" t="s">
        <v>204</v>
      </c>
      <c r="D63" s="74" t="s">
        <v>205</v>
      </c>
    </row>
    <row r="64">
      <c r="A64" s="71"/>
      <c r="B64" s="71"/>
      <c r="C64" s="75" t="s">
        <v>206</v>
      </c>
      <c r="D64" s="75" t="s">
        <v>207</v>
      </c>
    </row>
    <row r="65" ht="3.75" customHeight="1">
      <c r="A65" s="71"/>
      <c r="B65" s="71"/>
      <c r="C65" s="71"/>
      <c r="D65" s="71"/>
    </row>
    <row r="66">
      <c r="A66" s="70" t="s">
        <v>208</v>
      </c>
      <c r="B66" s="70" t="s">
        <v>209</v>
      </c>
      <c r="C66" s="70" t="s">
        <v>210</v>
      </c>
      <c r="D66" s="70" t="s">
        <v>211</v>
      </c>
    </row>
    <row r="67" ht="3.75" customHeight="1">
      <c r="A67" s="71"/>
      <c r="B67" s="71"/>
      <c r="C67" s="71"/>
      <c r="D67" s="71"/>
    </row>
    <row r="68">
      <c r="A68" s="70" t="s">
        <v>83</v>
      </c>
      <c r="B68" s="70" t="s">
        <v>212</v>
      </c>
      <c r="C68" s="70" t="s">
        <v>69</v>
      </c>
      <c r="D68" s="70" t="s">
        <v>213</v>
      </c>
    </row>
    <row r="69">
      <c r="A69" s="71"/>
      <c r="B69" s="71"/>
      <c r="C69" s="74" t="s">
        <v>204</v>
      </c>
      <c r="D69" s="74" t="s">
        <v>214</v>
      </c>
    </row>
    <row r="70" ht="3.75" customHeight="1">
      <c r="A70" s="71"/>
      <c r="B70" s="71"/>
      <c r="C70" s="71"/>
      <c r="D70" s="71"/>
    </row>
    <row r="71">
      <c r="A71" s="50" t="s">
        <v>215</v>
      </c>
    </row>
    <row r="72">
      <c r="A72" s="70" t="s">
        <v>67</v>
      </c>
      <c r="B72" s="70" t="s">
        <v>217</v>
      </c>
      <c r="C72" s="70" t="s">
        <v>218</v>
      </c>
      <c r="D72" s="70" t="s">
        <v>219</v>
      </c>
    </row>
    <row r="73">
      <c r="A73" s="71"/>
      <c r="B73" s="71"/>
      <c r="C73" s="74" t="s">
        <v>220</v>
      </c>
      <c r="D73" s="74" t="s">
        <v>221</v>
      </c>
    </row>
    <row r="74" ht="3.75" customHeight="1">
      <c r="A74" s="71"/>
      <c r="B74" s="71"/>
      <c r="C74" s="71"/>
      <c r="D74" s="71"/>
    </row>
  </sheetData>
  <mergeCells count="4">
    <mergeCell ref="A1:D1"/>
    <mergeCell ref="A17:D17"/>
    <mergeCell ref="A53:D53"/>
    <mergeCell ref="A71:D71"/>
  </mergeCells>
  <conditionalFormatting sqref="C22:C24">
    <cfRule type="cellIs" dxfId="0" priority="1" operator="greaterThan">
      <formula>-1</formula>
    </cfRule>
  </conditionalFormatting>
  <conditionalFormatting sqref="C22:C24">
    <cfRule type="cellIs" dxfId="1" priority="2" operator="lessThan">
      <formula>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57"/>
    <col customWidth="1" min="2" max="2" width="10.71"/>
    <col customWidth="1" min="3" max="3" width="9.57"/>
    <col customWidth="1" min="4" max="5" width="14.29"/>
    <col customWidth="1" min="6" max="6" width="11.86"/>
    <col customWidth="1" min="7" max="7" width="10.14"/>
    <col customWidth="1" min="8" max="8" width="11.57"/>
    <col customWidth="1" min="9" max="9" width="10.57"/>
    <col customWidth="1" min="10" max="10" width="14.86"/>
  </cols>
  <sheetData>
    <row r="1">
      <c r="A1" s="1" t="s">
        <v>0</v>
      </c>
    </row>
    <row r="2">
      <c r="A2" s="2"/>
      <c r="B2" s="3" t="s">
        <v>1</v>
      </c>
      <c r="C2" s="4" t="s">
        <v>2</v>
      </c>
      <c r="D2" s="3" t="s">
        <v>3</v>
      </c>
      <c r="E2" s="5" t="str">
        <f>B54</f>
        <v>2</v>
      </c>
      <c r="F2" s="3" t="s">
        <v>4</v>
      </c>
      <c r="G2" s="5" t="str">
        <f>20+E2+J38+H2</f>
        <v>24</v>
      </c>
      <c r="H2" s="6"/>
      <c r="I2" s="3" t="s">
        <v>5</v>
      </c>
      <c r="J2" s="5" t="str">
        <f>I38+(E2-F39)*250</f>
        <v>1000</v>
      </c>
    </row>
    <row r="3" ht="3.75" customHeight="1"/>
    <row r="4">
      <c r="B4" s="7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</row>
    <row r="5">
      <c r="A5" s="9" t="str">
        <f>"Economy (" &amp;TEXT.LEGACY(IF(($G$2-B5)&gt;1,($G$2-B5-1)*5,5),1) &amp; "%)"</f>
        <v>Economy (165%)</v>
      </c>
      <c r="B5" s="10" t="str">
        <f t="shared" ref="B5:B7" si="1">SUM(C5:G5)-H5-I5+J5</f>
        <v>-10</v>
      </c>
      <c r="C5" s="11"/>
      <c r="D5" s="5" t="str">
        <f>IF(LEFT(C2,1)="L",2,0)+IF(RIGHT(C2,1)="E",2,0)</f>
        <v>0</v>
      </c>
      <c r="E5" s="5" t="str">
        <f>E38+C54+C72</f>
        <v>2</v>
      </c>
      <c r="F5" s="5" t="str">
        <f>SUM(G17,G18,G21)+IF(OR(H11="Economy",H11="E/L", H11="E/S", H11="E/L/S"),G11, 0)+IF(H20="Economy",G20, 0)</f>
        <v>0</v>
      </c>
      <c r="G5" s="5" t="str">
        <f>SUM(B16)</f>
        <v>0</v>
      </c>
      <c r="H5" s="5" t="str">
        <f t="shared" ref="H5:H7" si="2">IF($B$22&gt;0,$B$22,0)</f>
        <v>0</v>
      </c>
      <c r="I5" s="5" t="str">
        <f>IF(ISTEXT(E17),0,4)+IF(ISTEXT(E18),0,4)+IF(ISTEXT(E21),0,4)</f>
        <v>12</v>
      </c>
      <c r="J5" s="11"/>
    </row>
    <row r="6">
      <c r="A6" s="9" t="str">
        <f>"Loyalty (" &amp;TEXT.LEGACY(IF(($G$2-B6)&gt;1,($G$2-B6-1)*5,5),1) &amp; "%)"</f>
        <v>Loyalty (145%)</v>
      </c>
      <c r="B6" s="10" t="str">
        <f t="shared" si="1"/>
        <v>-6</v>
      </c>
      <c r="C6" s="11"/>
      <c r="D6" s="5" t="str">
        <f>IF(LEFT(C2,1)="C",2,0)+IF(RIGHT(C2,1)="G",2,0)</f>
        <v>0</v>
      </c>
      <c r="E6" s="5" t="str">
        <f>F38+D54+D72</f>
        <v>2</v>
      </c>
      <c r="F6" s="5" t="str">
        <f>SUM(G13,G19,G22)+IF(OR(H11="Loyalty", H11="E/L", H11="L/S", H11="E/L/S"),G11, 0)+IF(H20="Loyalty",G20, 0)</f>
        <v>0</v>
      </c>
      <c r="G6" s="5" t="str">
        <f>SUM(B17,B19)</f>
        <v>0</v>
      </c>
      <c r="H6" s="5" t="str">
        <f t="shared" si="2"/>
        <v>0</v>
      </c>
      <c r="I6" s="5" t="str">
        <f>IF(ISTEXT(E14),0,4)+IF(ISTEXT(E16),0,2)+IF(ISTEXT(E22),0,2)</f>
        <v>8</v>
      </c>
      <c r="J6" s="11"/>
    </row>
    <row r="7">
      <c r="A7" s="9" t="str">
        <f>"Stability (" &amp;TEXT.LEGACY(IF(($G$2-B7)&gt;1,($G$2-B7-1)*5,5),1) &amp; "%)"</f>
        <v>Stability (110%)</v>
      </c>
      <c r="B7" s="10" t="str">
        <f t="shared" si="1"/>
        <v>1</v>
      </c>
      <c r="C7" s="11"/>
      <c r="D7" s="5" t="str">
        <f>IF(LEFT(C2,1)="N",2,0)+IF(RIGHT(C2,1)="N",2,0)</f>
        <v>4</v>
      </c>
      <c r="E7" s="5" t="str">
        <f>G38+E54+E72</f>
        <v>2</v>
      </c>
      <c r="F7" s="5" t="str">
        <f>SUM(G14,G15,G16)+IF(OR(H11="Stability", H11="E/S", H11="L/S", H11="E/L/S"),G11, 0)+IF(H20="Stability",G20, 0)</f>
        <v>0</v>
      </c>
      <c r="G7" s="5" t="str">
        <f>SUM(B12)</f>
        <v>-1</v>
      </c>
      <c r="H7" s="5" t="str">
        <f t="shared" si="2"/>
        <v>0</v>
      </c>
      <c r="I7" s="5" t="str">
        <f>IF(ISTEXT(E15),0,2)+IF(ISTEXT(E22),0,2)</f>
        <v>4</v>
      </c>
      <c r="J7" s="11"/>
    </row>
    <row r="8" ht="3.75" customHeight="1">
      <c r="A8" s="12"/>
      <c r="B8" s="12"/>
    </row>
    <row r="9">
      <c r="A9" s="13" t="s">
        <v>15</v>
      </c>
      <c r="B9" s="14"/>
      <c r="C9" s="15"/>
      <c r="D9" s="16" t="s">
        <v>16</v>
      </c>
    </row>
    <row r="10">
      <c r="A10" s="17" t="s">
        <v>17</v>
      </c>
      <c r="B10" s="18" t="s">
        <v>18</v>
      </c>
      <c r="C10" s="15"/>
      <c r="E10" s="3" t="s">
        <v>20</v>
      </c>
      <c r="F10" s="3" t="s">
        <v>21</v>
      </c>
      <c r="G10" s="3" t="s">
        <v>22</v>
      </c>
      <c r="H10" s="19" t="s">
        <v>23</v>
      </c>
      <c r="I10" s="19" t="s">
        <v>24</v>
      </c>
    </row>
    <row r="11">
      <c r="A11" s="20" t="s">
        <v>25</v>
      </c>
      <c r="B11" s="23" t="s">
        <v>26</v>
      </c>
      <c r="C11" s="29"/>
      <c r="D11" s="31" t="s">
        <v>32</v>
      </c>
      <c r="E11" s="11"/>
      <c r="F11" s="33" t="s">
        <v>33</v>
      </c>
      <c r="G11" s="11"/>
      <c r="H11" s="34" t="s">
        <v>35</v>
      </c>
      <c r="I11" s="24" t="s">
        <v>36</v>
      </c>
    </row>
    <row r="12">
      <c r="A12" s="37" t="s">
        <v>37</v>
      </c>
      <c r="B12" s="41" t="str">
        <f>IF(B10="None", -1, IF(B10="Token", 1, IF(B10="Standard", 2, IF(B10="Aggressive", 3, IF(B10="Expansionist", 4, 0)))))</f>
        <v>-1</v>
      </c>
      <c r="C12" s="29"/>
      <c r="D12" s="42"/>
      <c r="E12" s="11"/>
      <c r="F12" s="45"/>
      <c r="G12" s="11"/>
      <c r="H12" s="45"/>
      <c r="I12" s="24" t="s">
        <v>18</v>
      </c>
    </row>
    <row r="13">
      <c r="A13" s="47" t="s">
        <v>40</v>
      </c>
      <c r="B13" s="48" t="str">
        <f>ROUNDUP(IF(B10="None", 0, IF(B10="Token", 1, IF(B10="Standard", 2, IF(B10="Aggressive", 4, IF(B10="Expansionist", 8, 0))))) / IF(B11="Yes",2,1))</f>
        <v>0</v>
      </c>
      <c r="C13" s="29"/>
      <c r="D13" s="31" t="s">
        <v>42</v>
      </c>
      <c r="E13" s="11"/>
      <c r="F13" s="33" t="s">
        <v>43</v>
      </c>
      <c r="G13" s="11"/>
      <c r="H13" s="33" t="s">
        <v>44</v>
      </c>
      <c r="I13" s="24" t="s">
        <v>18</v>
      </c>
    </row>
    <row r="14">
      <c r="A14" s="17" t="s">
        <v>45</v>
      </c>
      <c r="B14" s="18" t="s">
        <v>18</v>
      </c>
      <c r="C14" s="29"/>
      <c r="D14" s="31" t="s">
        <v>46</v>
      </c>
      <c r="E14" s="11"/>
      <c r="F14" s="33" t="s">
        <v>47</v>
      </c>
      <c r="G14" s="11"/>
      <c r="H14" s="33" t="s">
        <v>48</v>
      </c>
      <c r="I14" s="24" t="s">
        <v>49</v>
      </c>
    </row>
    <row r="15">
      <c r="A15" s="20" t="s">
        <v>50</v>
      </c>
      <c r="B15" s="23" t="s">
        <v>26</v>
      </c>
      <c r="C15" s="29"/>
      <c r="D15" s="31" t="s">
        <v>51</v>
      </c>
      <c r="E15" s="11"/>
      <c r="F15" s="33" t="s">
        <v>52</v>
      </c>
      <c r="G15" s="11"/>
      <c r="H15" s="33" t="s">
        <v>48</v>
      </c>
      <c r="I15" s="26" t="s">
        <v>53</v>
      </c>
    </row>
    <row r="16">
      <c r="A16" s="37" t="s">
        <v>54</v>
      </c>
      <c r="B16" s="41" t="str">
        <f>IF(B14="None", 0, IF(B14="Light", 1, IF(B14="Normal", 2, IF(B14="Heavy", 3, IF(B14="Overwhelming", 4, 0)))))</f>
        <v>0</v>
      </c>
      <c r="C16" s="29"/>
      <c r="D16" s="31" t="s">
        <v>56</v>
      </c>
      <c r="E16" s="11"/>
      <c r="F16" s="33" t="s">
        <v>43</v>
      </c>
      <c r="G16" s="11"/>
      <c r="H16" s="33" t="s">
        <v>48</v>
      </c>
      <c r="I16" s="26" t="s">
        <v>57</v>
      </c>
    </row>
    <row r="17">
      <c r="A17" s="47" t="s">
        <v>58</v>
      </c>
      <c r="B17" s="48" t="str">
        <f>ROUNDUP(IF(B14="None", 1, IF(B14="Light", -1, IF(B14="Normal", -2, IF(B14="Heavy", -4, IF(B14="Overwhelming", -8, 0))))) / IF(B15="Yes",2,1))</f>
        <v>1</v>
      </c>
      <c r="C17" s="29"/>
      <c r="D17" s="31" t="s">
        <v>59</v>
      </c>
      <c r="E17" s="11"/>
      <c r="F17" s="33" t="s">
        <v>52</v>
      </c>
      <c r="G17" s="11"/>
      <c r="H17" s="33" t="s">
        <v>35</v>
      </c>
      <c r="I17" s="24" t="s">
        <v>60</v>
      </c>
    </row>
    <row r="18">
      <c r="A18" s="17" t="s">
        <v>61</v>
      </c>
      <c r="B18" s="49" t="s">
        <v>62</v>
      </c>
      <c r="C18" s="29"/>
      <c r="D18" s="31" t="s">
        <v>64</v>
      </c>
      <c r="E18" s="11"/>
      <c r="F18" s="33" t="s">
        <v>65</v>
      </c>
      <c r="G18" s="11"/>
      <c r="H18" s="33" t="s">
        <v>35</v>
      </c>
      <c r="I18" s="24" t="s">
        <v>60</v>
      </c>
    </row>
    <row r="19">
      <c r="A19" s="37" t="s">
        <v>66</v>
      </c>
      <c r="B19" s="41" t="str">
        <f>IF(B18="&gt;None", -1, IF(B18=1, 1, IF(B18=6, 2, IF(B18=12, 3, IF(B18=24, 4, 0)))))</f>
        <v>-1</v>
      </c>
      <c r="C19" s="29"/>
      <c r="D19" s="31" t="s">
        <v>82</v>
      </c>
      <c r="E19" s="11"/>
      <c r="F19" s="33" t="s">
        <v>84</v>
      </c>
      <c r="G19" s="11"/>
      <c r="H19" s="33" t="s">
        <v>44</v>
      </c>
      <c r="I19" s="24" t="s">
        <v>18</v>
      </c>
    </row>
    <row r="20">
      <c r="A20" s="47" t="s">
        <v>40</v>
      </c>
      <c r="B20" s="48" t="str">
        <f>IF(B18="&gt;None", 0, IF(B18=1, 1, IF(B18=6, 2, IF(B18=12, 4, IF(B18=24, 8, 0)))))</f>
        <v>0</v>
      </c>
      <c r="C20" s="29"/>
      <c r="D20" s="31" t="s">
        <v>98</v>
      </c>
      <c r="E20" s="11"/>
      <c r="F20" s="33" t="s">
        <v>99</v>
      </c>
      <c r="G20" s="11"/>
      <c r="H20" s="34" t="s">
        <v>35</v>
      </c>
      <c r="I20" s="26" t="s">
        <v>102</v>
      </c>
    </row>
    <row r="21">
      <c r="A21" s="46"/>
      <c r="B21" s="57"/>
      <c r="C21" s="29"/>
      <c r="D21" s="31" t="s">
        <v>109</v>
      </c>
      <c r="E21" s="11"/>
      <c r="F21" s="33" t="s">
        <v>111</v>
      </c>
      <c r="G21" s="11"/>
      <c r="H21" s="33" t="s">
        <v>35</v>
      </c>
      <c r="I21" s="24" t="s">
        <v>115</v>
      </c>
    </row>
    <row r="22">
      <c r="A22" s="7" t="s">
        <v>117</v>
      </c>
      <c r="B22" s="59" t="str">
        <f>B23+B24</f>
        <v>0</v>
      </c>
      <c r="C22" s="29"/>
      <c r="D22" s="31" t="s">
        <v>119</v>
      </c>
      <c r="E22" s="11"/>
      <c r="F22" s="33" t="s">
        <v>120</v>
      </c>
      <c r="G22" s="11"/>
      <c r="H22" s="33" t="s">
        <v>44</v>
      </c>
      <c r="I22" s="26" t="s">
        <v>121</v>
      </c>
    </row>
    <row r="23">
      <c r="A23" s="24" t="s">
        <v>122</v>
      </c>
      <c r="B23" s="4">
        <v>0.0</v>
      </c>
      <c r="D23" s="42"/>
      <c r="E23" s="11"/>
      <c r="F23" s="45"/>
      <c r="G23" s="11"/>
      <c r="H23" s="45"/>
    </row>
    <row r="24">
      <c r="A24" s="24" t="s">
        <v>125</v>
      </c>
      <c r="B24" s="11"/>
      <c r="D24" s="31" t="s">
        <v>126</v>
      </c>
      <c r="E24" s="11"/>
      <c r="F24" s="33" t="s">
        <v>127</v>
      </c>
      <c r="G24" s="11"/>
      <c r="H24" s="45"/>
    </row>
    <row r="25">
      <c r="A25" s="24" t="s">
        <v>24</v>
      </c>
      <c r="B25" s="10" t="str">
        <f>IF(OR(ISNONTEXT(E11), ISNONTEXT(E16), ISNONTEXT(E20)),"+" &amp;(IF(ISTEXT(E11),,4) + IF(ISTEXT(E16),,1) + IF(ISTEXT(E20),,1)) &amp; " per Mnth",)</f>
        <v>+6 per Mnth</v>
      </c>
      <c r="D25" s="45"/>
      <c r="E25" s="45"/>
      <c r="F25" s="45"/>
      <c r="G25" s="45"/>
      <c r="H25" s="45"/>
    </row>
    <row r="26" ht="3.75" customHeight="1">
      <c r="D26" s="45"/>
      <c r="E26" s="45"/>
      <c r="F26" s="45"/>
      <c r="G26" s="45"/>
      <c r="H26" s="45"/>
    </row>
    <row r="27">
      <c r="A27" s="7" t="s">
        <v>148</v>
      </c>
      <c r="B27" s="9" t="str">
        <f>IF(SUM(B28:B32)&gt;0, SUM(B28:B32),0)</f>
        <v>2</v>
      </c>
      <c r="C27" s="69"/>
      <c r="D27" s="16" t="s">
        <v>154</v>
      </c>
    </row>
    <row r="28">
      <c r="A28" s="33" t="s">
        <v>161</v>
      </c>
      <c r="B28" s="5" t="str">
        <f>E2</f>
        <v>2</v>
      </c>
      <c r="D28" s="3" t="s">
        <v>20</v>
      </c>
      <c r="E28" s="3" t="s">
        <v>35</v>
      </c>
      <c r="F28" s="3" t="s">
        <v>44</v>
      </c>
      <c r="G28" s="3" t="s">
        <v>48</v>
      </c>
      <c r="H28" s="3" t="s">
        <v>143</v>
      </c>
      <c r="I28" s="3" t="s">
        <v>5</v>
      </c>
      <c r="J28" s="3" t="s">
        <v>30</v>
      </c>
    </row>
    <row r="29">
      <c r="A29" s="33" t="s">
        <v>11</v>
      </c>
      <c r="B29" s="5" t="str">
        <f>SUM(B13,B20)</f>
        <v>0</v>
      </c>
      <c r="D29" s="34" t="s">
        <v>19</v>
      </c>
      <c r="E29" s="5" t="str">
        <f t="shared" ref="E29:E37" si="3">IF(ISTEXT($D29),INDIRECT($D29&amp;"!E37"),)</f>
        <v>2</v>
      </c>
      <c r="F29" s="5" t="str">
        <f t="shared" ref="F29:F37" si="4">IF(ISTEXT($D29),INDIRECT($D29&amp;"!F37"),)</f>
        <v>2</v>
      </c>
      <c r="G29" s="5" t="str">
        <f t="shared" ref="G29:G37" si="5">IF(ISTEXT($D29),INDIRECT($D29&amp;"!G37"),)</f>
        <v>2</v>
      </c>
      <c r="H29" s="5" t="str">
        <f t="shared" ref="H29:H37" si="6">IF(ISTEXT($D29),INDIRECT($D29&amp;"!H37"),)</f>
        <v>8</v>
      </c>
      <c r="I29" s="5" t="str">
        <f t="shared" ref="I29:I37" si="7">IF(ISTEXT($D29),INDIRECT($D29&amp;"!C4"),)</f>
        <v>1000</v>
      </c>
      <c r="J29" s="5" t="str">
        <f t="shared" ref="J29:J37" si="8">IF(ISTEXT($D29),INDIRECT($D29&amp;"!C3"),)</f>
        <v>1</v>
      </c>
    </row>
    <row r="30">
      <c r="A30" s="24" t="s">
        <v>216</v>
      </c>
      <c r="B30" s="40" t="str">
        <f>G54+G72</f>
        <v>0</v>
      </c>
      <c r="D30" s="34" t="s">
        <v>222</v>
      </c>
      <c r="E30" s="5" t="str">
        <f t="shared" si="3"/>
        <v>0</v>
      </c>
      <c r="F30" s="5" t="str">
        <f t="shared" si="4"/>
        <v>0</v>
      </c>
      <c r="G30" s="5" t="str">
        <f t="shared" si="5"/>
        <v>0</v>
      </c>
      <c r="H30" s="5" t="str">
        <f t="shared" si="6"/>
        <v>0</v>
      </c>
      <c r="I30" s="5" t="str">
        <f t="shared" si="7"/>
        <v/>
      </c>
      <c r="J30" s="5" t="str">
        <f t="shared" si="8"/>
        <v>1</v>
      </c>
    </row>
    <row r="31">
      <c r="A31" s="33" t="s">
        <v>14</v>
      </c>
      <c r="B31" s="34">
        <v>0.0</v>
      </c>
      <c r="C31" s="45"/>
      <c r="D31" s="11"/>
      <c r="E31" s="5" t="str">
        <f t="shared" si="3"/>
        <v/>
      </c>
      <c r="F31" s="5" t="str">
        <f t="shared" si="4"/>
        <v/>
      </c>
      <c r="G31" s="5" t="str">
        <f t="shared" si="5"/>
        <v/>
      </c>
      <c r="H31" s="5" t="str">
        <f t="shared" si="6"/>
        <v/>
      </c>
      <c r="I31" s="5" t="str">
        <f t="shared" si="7"/>
        <v/>
      </c>
      <c r="J31" s="5" t="str">
        <f t="shared" si="8"/>
        <v/>
      </c>
    </row>
    <row r="32">
      <c r="A32" s="33" t="s">
        <v>223</v>
      </c>
      <c r="B32" s="34">
        <v>0.0</v>
      </c>
      <c r="D32" s="6"/>
      <c r="E32" s="5" t="str">
        <f t="shared" si="3"/>
        <v/>
      </c>
      <c r="F32" s="5" t="str">
        <f t="shared" si="4"/>
        <v/>
      </c>
      <c r="G32" s="5" t="str">
        <f t="shared" si="5"/>
        <v/>
      </c>
      <c r="H32" s="5" t="str">
        <f t="shared" si="6"/>
        <v/>
      </c>
      <c r="I32" s="5" t="str">
        <f t="shared" si="7"/>
        <v/>
      </c>
      <c r="J32" s="5" t="str">
        <f t="shared" si="8"/>
        <v/>
      </c>
    </row>
    <row r="33">
      <c r="A33" s="3" t="s">
        <v>224</v>
      </c>
      <c r="B33" s="76" t="str">
        <f>SUM(B28:B32)</f>
        <v>2</v>
      </c>
      <c r="D33" s="11"/>
      <c r="E33" s="5" t="str">
        <f t="shared" si="3"/>
        <v/>
      </c>
      <c r="F33" s="5" t="str">
        <f t="shared" si="4"/>
        <v/>
      </c>
      <c r="G33" s="5" t="str">
        <f t="shared" si="5"/>
        <v/>
      </c>
      <c r="H33" s="5" t="str">
        <f t="shared" si="6"/>
        <v/>
      </c>
      <c r="I33" s="5" t="str">
        <f t="shared" si="7"/>
        <v/>
      </c>
      <c r="J33" s="5" t="str">
        <f t="shared" si="8"/>
        <v/>
      </c>
    </row>
    <row r="34">
      <c r="D34" s="11"/>
      <c r="E34" s="5" t="str">
        <f t="shared" si="3"/>
        <v/>
      </c>
      <c r="F34" s="5" t="str">
        <f t="shared" si="4"/>
        <v/>
      </c>
      <c r="G34" s="5" t="str">
        <f t="shared" si="5"/>
        <v/>
      </c>
      <c r="H34" s="5" t="str">
        <f t="shared" si="6"/>
        <v/>
      </c>
      <c r="I34" s="5" t="str">
        <f t="shared" si="7"/>
        <v/>
      </c>
      <c r="J34" s="5" t="str">
        <f t="shared" si="8"/>
        <v/>
      </c>
    </row>
    <row r="35">
      <c r="A35" s="77" t="s">
        <v>225</v>
      </c>
      <c r="B35" s="78" t="str">
        <f>B36</f>
        <v>0</v>
      </c>
      <c r="C35" s="45"/>
      <c r="D35" s="11"/>
      <c r="E35" s="5" t="str">
        <f t="shared" si="3"/>
        <v/>
      </c>
      <c r="F35" s="5" t="str">
        <f t="shared" si="4"/>
        <v/>
      </c>
      <c r="G35" s="5" t="str">
        <f t="shared" si="5"/>
        <v/>
      </c>
      <c r="H35" s="5" t="str">
        <f t="shared" si="6"/>
        <v/>
      </c>
      <c r="I35" s="5" t="str">
        <f t="shared" si="7"/>
        <v/>
      </c>
      <c r="J35" s="5" t="str">
        <f t="shared" si="8"/>
        <v/>
      </c>
    </row>
    <row r="36">
      <c r="A36" s="79" t="s">
        <v>225</v>
      </c>
      <c r="B36" s="80">
        <v>0.0</v>
      </c>
      <c r="D36" s="11"/>
      <c r="E36" s="5" t="str">
        <f t="shared" si="3"/>
        <v/>
      </c>
      <c r="F36" s="5" t="str">
        <f t="shared" si="4"/>
        <v/>
      </c>
      <c r="G36" s="5" t="str">
        <f t="shared" si="5"/>
        <v/>
      </c>
      <c r="H36" s="5" t="str">
        <f t="shared" si="6"/>
        <v/>
      </c>
      <c r="I36" s="5" t="str">
        <f t="shared" si="7"/>
        <v/>
      </c>
      <c r="J36" s="5" t="str">
        <f t="shared" si="8"/>
        <v/>
      </c>
    </row>
    <row r="37">
      <c r="A37" s="81" t="s">
        <v>226</v>
      </c>
      <c r="B37" s="82"/>
      <c r="D37" s="11"/>
      <c r="E37" s="5" t="str">
        <f t="shared" si="3"/>
        <v/>
      </c>
      <c r="F37" s="5" t="str">
        <f t="shared" si="4"/>
        <v/>
      </c>
      <c r="G37" s="5" t="str">
        <f t="shared" si="5"/>
        <v/>
      </c>
      <c r="H37" s="5" t="str">
        <f t="shared" si="6"/>
        <v/>
      </c>
      <c r="I37" s="5" t="str">
        <f t="shared" si="7"/>
        <v/>
      </c>
      <c r="J37" s="5" t="str">
        <f t="shared" si="8"/>
        <v/>
      </c>
    </row>
    <row r="38">
      <c r="A38" s="24" t="s">
        <v>227</v>
      </c>
      <c r="B38" s="11"/>
      <c r="D38" s="3" t="s">
        <v>224</v>
      </c>
      <c r="E38" s="76" t="str">
        <f t="shared" ref="E38:J38" si="9">SUM(E29:E37)</f>
        <v>2</v>
      </c>
      <c r="F38" s="76" t="str">
        <f t="shared" si="9"/>
        <v>2</v>
      </c>
      <c r="G38" s="76" t="str">
        <f t="shared" si="9"/>
        <v>2</v>
      </c>
      <c r="H38" s="76" t="str">
        <f t="shared" si="9"/>
        <v>8</v>
      </c>
      <c r="I38" s="76" t="str">
        <f t="shared" si="9"/>
        <v>1000</v>
      </c>
      <c r="J38" s="76" t="str">
        <f t="shared" si="9"/>
        <v>2</v>
      </c>
    </row>
    <row r="39">
      <c r="A39" s="33" t="s">
        <v>228</v>
      </c>
      <c r="B39" s="5" t="str">
        <f>"+" &amp; H54+H72 &amp; " per Mnth"</f>
        <v>+0 per Mnth</v>
      </c>
      <c r="E39" s="33" t="s">
        <v>229</v>
      </c>
      <c r="F39" s="5" t="str">
        <f>COUNTA(D29:D37)</f>
        <v>2</v>
      </c>
      <c r="H39" s="33" t="s">
        <v>230</v>
      </c>
      <c r="I39" s="5" t="str">
        <f>Capital!C4</f>
        <v>1000</v>
      </c>
    </row>
    <row r="40" ht="3.75" customHeight="1"/>
    <row r="41">
      <c r="A41" s="7" t="s">
        <v>231</v>
      </c>
      <c r="B41" s="7" t="s">
        <v>134</v>
      </c>
      <c r="C41" s="7" t="s">
        <v>35</v>
      </c>
      <c r="D41" s="7" t="s">
        <v>44</v>
      </c>
      <c r="E41" s="7" t="s">
        <v>48</v>
      </c>
      <c r="F41" s="7" t="s">
        <v>143</v>
      </c>
      <c r="G41" s="7" t="s">
        <v>232</v>
      </c>
      <c r="H41" s="7" t="s">
        <v>228</v>
      </c>
      <c r="I41" s="77" t="s">
        <v>117</v>
      </c>
    </row>
    <row r="42">
      <c r="A42" s="24" t="s">
        <v>233</v>
      </c>
      <c r="B42" s="5" t="str">
        <f>COUNTA(D29:D37)</f>
        <v>2</v>
      </c>
      <c r="C42" s="84"/>
      <c r="D42" s="84"/>
      <c r="E42" s="84"/>
      <c r="F42" s="84"/>
      <c r="G42" s="84"/>
      <c r="H42" s="84"/>
      <c r="I42" s="85"/>
    </row>
    <row r="43">
      <c r="A43" s="33" t="s">
        <v>234</v>
      </c>
      <c r="B43" s="11"/>
      <c r="C43" s="84"/>
      <c r="D43" s="84"/>
      <c r="E43" s="84"/>
      <c r="F43" s="84"/>
      <c r="G43" s="84"/>
      <c r="H43" s="84"/>
      <c r="I43" s="85"/>
    </row>
    <row r="44">
      <c r="A44" s="33" t="s">
        <v>235</v>
      </c>
      <c r="B44" s="11"/>
      <c r="C44" s="84"/>
      <c r="D44" s="84"/>
      <c r="E44" s="5" t="str">
        <f t="shared" ref="E44:E45" si="10">1*B44</f>
        <v>0</v>
      </c>
      <c r="F44" s="84"/>
      <c r="G44" s="84"/>
      <c r="H44" s="84"/>
      <c r="I44" s="85"/>
    </row>
    <row r="45">
      <c r="A45" s="33" t="s">
        <v>236</v>
      </c>
      <c r="B45" s="11"/>
      <c r="C45" s="84"/>
      <c r="D45" s="84"/>
      <c r="E45" s="5" t="str">
        <f t="shared" si="10"/>
        <v>0</v>
      </c>
      <c r="F45" s="5" t="str">
        <f>1*B45</f>
        <v>0</v>
      </c>
      <c r="G45" s="84"/>
      <c r="H45" s="84"/>
      <c r="I45" s="85"/>
    </row>
    <row r="46">
      <c r="A46" s="33" t="s">
        <v>237</v>
      </c>
      <c r="B46" s="11"/>
      <c r="C46" s="84"/>
      <c r="D46" s="5" t="str">
        <f>1*B46</f>
        <v>0</v>
      </c>
      <c r="E46" s="84"/>
      <c r="F46" s="84"/>
      <c r="G46" s="84"/>
      <c r="H46" s="84"/>
      <c r="I46" s="85"/>
    </row>
    <row r="47">
      <c r="A47" s="33" t="s">
        <v>238</v>
      </c>
      <c r="B47" s="11"/>
      <c r="C47" s="84"/>
      <c r="D47" s="5" t="str">
        <f>2*B47</f>
        <v>0</v>
      </c>
      <c r="E47" s="84"/>
      <c r="F47" s="84"/>
      <c r="G47" s="84"/>
      <c r="H47" s="84"/>
      <c r="I47" s="85"/>
    </row>
    <row r="48">
      <c r="A48" s="33" t="s">
        <v>239</v>
      </c>
      <c r="B48" s="11"/>
      <c r="C48" s="5" t="str">
        <f>1*B48</f>
        <v>0</v>
      </c>
      <c r="D48" s="84"/>
      <c r="E48" s="84"/>
      <c r="F48" s="84"/>
      <c r="G48" s="84"/>
      <c r="H48" s="84"/>
      <c r="I48" s="85"/>
    </row>
    <row r="49">
      <c r="A49" s="33" t="s">
        <v>240</v>
      </c>
      <c r="B49" s="11"/>
      <c r="C49" s="5" t="str">
        <f>2*B49</f>
        <v>0</v>
      </c>
      <c r="D49" s="84"/>
      <c r="E49" s="84"/>
      <c r="F49" s="84"/>
      <c r="G49" s="84"/>
      <c r="H49" s="5" t="str">
        <f t="shared" ref="H49:H51" si="11">1*B49</f>
        <v>0</v>
      </c>
      <c r="I49" s="85"/>
    </row>
    <row r="50">
      <c r="A50" s="33" t="s">
        <v>241</v>
      </c>
      <c r="B50" s="11"/>
      <c r="C50" s="5" t="str">
        <f t="shared" ref="C50:C52" si="12">1*B50</f>
        <v>0</v>
      </c>
      <c r="D50" s="84"/>
      <c r="E50" s="5" t="str">
        <f t="shared" ref="E50:E51" si="13">1*B50</f>
        <v>0</v>
      </c>
      <c r="F50" s="84"/>
      <c r="G50" s="84"/>
      <c r="H50" s="5" t="str">
        <f t="shared" si="11"/>
        <v>0</v>
      </c>
      <c r="I50" s="85"/>
    </row>
    <row r="51">
      <c r="A51" s="33" t="s">
        <v>242</v>
      </c>
      <c r="B51" s="11"/>
      <c r="C51" s="5" t="str">
        <f t="shared" si="12"/>
        <v>0</v>
      </c>
      <c r="D51" s="84"/>
      <c r="E51" s="5" t="str">
        <f t="shared" si="13"/>
        <v>0</v>
      </c>
      <c r="F51" s="84"/>
      <c r="G51" s="84"/>
      <c r="H51" s="5" t="str">
        <f t="shared" si="11"/>
        <v>0</v>
      </c>
      <c r="I51" s="85"/>
    </row>
    <row r="52">
      <c r="A52" s="33" t="s">
        <v>243</v>
      </c>
      <c r="B52" s="11"/>
      <c r="C52" s="5" t="str">
        <f t="shared" si="12"/>
        <v>0</v>
      </c>
      <c r="D52" s="84"/>
      <c r="E52" s="84"/>
      <c r="F52" s="84"/>
      <c r="G52" s="5" t="str">
        <f>-1*B52</f>
        <v>0</v>
      </c>
      <c r="H52" s="84"/>
      <c r="I52" s="85"/>
    </row>
    <row r="53">
      <c r="A53" s="45"/>
      <c r="B53" s="11"/>
      <c r="C53" s="84"/>
      <c r="D53" s="84"/>
      <c r="E53" s="84"/>
      <c r="F53" s="84"/>
      <c r="G53" s="84"/>
      <c r="H53" s="84"/>
      <c r="I53" s="85"/>
    </row>
    <row r="54">
      <c r="A54" s="33" t="s">
        <v>244</v>
      </c>
      <c r="B54" s="76" t="str">
        <f t="shared" ref="B54:H54" si="14">SUM(B42:B53)</f>
        <v>2</v>
      </c>
      <c r="C54" s="76" t="str">
        <f t="shared" si="14"/>
        <v>0</v>
      </c>
      <c r="D54" s="76" t="str">
        <f t="shared" si="14"/>
        <v>0</v>
      </c>
      <c r="E54" s="76" t="str">
        <f t="shared" si="14"/>
        <v>0</v>
      </c>
      <c r="F54" s="76" t="str">
        <f t="shared" si="14"/>
        <v>0</v>
      </c>
      <c r="G54" s="76" t="str">
        <f t="shared" si="14"/>
        <v>0</v>
      </c>
      <c r="H54" s="76" t="str">
        <f t="shared" si="14"/>
        <v>0</v>
      </c>
      <c r="I54" s="45"/>
    </row>
    <row r="55" ht="3.75" customHeight="1"/>
    <row r="56">
      <c r="A56" s="7" t="s">
        <v>132</v>
      </c>
      <c r="B56" s="7" t="s">
        <v>134</v>
      </c>
      <c r="C56" s="7" t="s">
        <v>35</v>
      </c>
      <c r="D56" s="7" t="s">
        <v>44</v>
      </c>
      <c r="E56" s="7" t="s">
        <v>48</v>
      </c>
      <c r="F56" s="7" t="s">
        <v>143</v>
      </c>
      <c r="G56" s="7" t="s">
        <v>232</v>
      </c>
      <c r="H56" s="7" t="s">
        <v>228</v>
      </c>
      <c r="I56" s="77" t="s">
        <v>117</v>
      </c>
    </row>
    <row r="57">
      <c r="A57" s="33" t="s">
        <v>245</v>
      </c>
      <c r="B57" s="11"/>
      <c r="C57" s="84"/>
      <c r="D57" s="5" t="str">
        <f>1*B57</f>
        <v>0</v>
      </c>
      <c r="E57" s="5" t="str">
        <f>1*B57</f>
        <v>0</v>
      </c>
      <c r="F57" s="84"/>
      <c r="G57" s="84"/>
      <c r="H57" s="84"/>
      <c r="I57" s="85"/>
    </row>
    <row r="58">
      <c r="A58" s="33" t="s">
        <v>246</v>
      </c>
      <c r="B58" s="11"/>
      <c r="C58" s="84"/>
      <c r="D58" s="84"/>
      <c r="E58" s="84"/>
      <c r="F58" s="84"/>
      <c r="G58" s="5" t="str">
        <f>-2*B58</f>
        <v>0</v>
      </c>
      <c r="H58" s="84"/>
      <c r="I58" s="85"/>
      <c r="J58" s="86"/>
    </row>
    <row r="59">
      <c r="A59" s="33" t="s">
        <v>247</v>
      </c>
      <c r="B59" s="11"/>
      <c r="C59" s="84"/>
      <c r="D59" s="84"/>
      <c r="E59" s="84"/>
      <c r="F59" s="84"/>
      <c r="G59" s="5" t="str">
        <f>-1*B59</f>
        <v>0</v>
      </c>
      <c r="H59" s="84"/>
      <c r="I59" s="85"/>
    </row>
    <row r="60">
      <c r="A60" s="33" t="s">
        <v>248</v>
      </c>
      <c r="B60" s="11"/>
      <c r="C60" s="84"/>
      <c r="D60" s="84"/>
      <c r="E60" s="5" t="str">
        <f>2*B60</f>
        <v>0</v>
      </c>
      <c r="F60" s="5" t="str">
        <f>4*B60</f>
        <v>0</v>
      </c>
      <c r="G60" s="5" t="str">
        <f>1*B60</f>
        <v>0</v>
      </c>
      <c r="H60" s="84"/>
      <c r="I60" s="40" t="str">
        <f>-1*B60</f>
        <v>0</v>
      </c>
    </row>
    <row r="61">
      <c r="A61" s="33" t="s">
        <v>249</v>
      </c>
      <c r="B61" s="11"/>
      <c r="C61" s="5" t="str">
        <f>ROUNDDOWN(B61/4)</f>
        <v>0</v>
      </c>
      <c r="D61" s="84"/>
      <c r="E61" s="5" t="str">
        <f>ROUNDDOWN(B61/8)</f>
        <v>0</v>
      </c>
      <c r="F61" s="84"/>
      <c r="G61" s="84"/>
      <c r="H61" s="84"/>
      <c r="I61" s="85"/>
    </row>
    <row r="62">
      <c r="A62" s="33" t="s">
        <v>250</v>
      </c>
      <c r="B62" s="11"/>
      <c r="C62" s="5" t="str">
        <f>1*B62</f>
        <v>0</v>
      </c>
      <c r="D62" s="84"/>
      <c r="E62" s="84"/>
      <c r="F62" s="84"/>
      <c r="G62" s="84"/>
      <c r="H62" s="5" t="str">
        <f t="shared" ref="H62:H63" si="15">1*B62</f>
        <v>0</v>
      </c>
      <c r="I62" s="85"/>
    </row>
    <row r="63">
      <c r="A63" s="33" t="s">
        <v>251</v>
      </c>
      <c r="B63" s="11"/>
      <c r="C63" s="84"/>
      <c r="D63" s="84"/>
      <c r="E63" s="5" t="str">
        <f>1*B63</f>
        <v>0</v>
      </c>
      <c r="F63" s="84"/>
      <c r="G63" s="84"/>
      <c r="H63" s="5" t="str">
        <f t="shared" si="15"/>
        <v>0</v>
      </c>
      <c r="I63" s="85"/>
    </row>
    <row r="64">
      <c r="A64" s="33" t="s">
        <v>252</v>
      </c>
      <c r="B64" s="11"/>
      <c r="C64" s="5" t="str">
        <f>ROUNDDOWN(B64/4)</f>
        <v>0</v>
      </c>
      <c r="D64" s="84"/>
      <c r="E64" s="5" t="str">
        <f>ROUNDDOWN(B64/8)</f>
        <v>0</v>
      </c>
      <c r="F64" s="84"/>
      <c r="G64" s="84"/>
      <c r="H64" s="84"/>
      <c r="I64" s="85"/>
    </row>
    <row r="65">
      <c r="A65" s="33" t="s">
        <v>253</v>
      </c>
      <c r="B65" s="11"/>
      <c r="C65" s="84"/>
      <c r="D65" s="84"/>
      <c r="E65" s="5" t="str">
        <f t="shared" ref="E65:E66" si="16">1*B65</f>
        <v>0</v>
      </c>
      <c r="F65" s="84"/>
      <c r="G65" s="84"/>
      <c r="H65" s="5" t="str">
        <f>1*B65</f>
        <v>0</v>
      </c>
      <c r="I65" s="85"/>
    </row>
    <row r="66">
      <c r="A66" s="33" t="s">
        <v>254</v>
      </c>
      <c r="B66" s="11"/>
      <c r="C66" s="84"/>
      <c r="D66" s="84"/>
      <c r="E66" s="5" t="str">
        <f t="shared" si="16"/>
        <v>0</v>
      </c>
      <c r="F66" s="5" t="str">
        <f>2*B66</f>
        <v>0</v>
      </c>
      <c r="G66" s="84"/>
      <c r="H66" s="84"/>
      <c r="I66" s="40" t="str">
        <f>-1*B66</f>
        <v>0</v>
      </c>
    </row>
    <row r="67">
      <c r="A67" s="33" t="s">
        <v>255</v>
      </c>
      <c r="B67" s="11"/>
      <c r="C67" s="5" t="str">
        <f>ROUNDDOWN(B67/4)</f>
        <v>0</v>
      </c>
      <c r="D67" s="84"/>
      <c r="E67" s="5" t="str">
        <f>ROUNDDOWN(B67/8)</f>
        <v>0</v>
      </c>
      <c r="F67" s="84"/>
      <c r="G67" s="84"/>
      <c r="H67" s="84"/>
      <c r="I67" s="85"/>
    </row>
    <row r="68">
      <c r="A68" s="45"/>
      <c r="B68" s="11"/>
      <c r="C68" s="84"/>
      <c r="D68" s="84"/>
      <c r="E68" s="84"/>
      <c r="F68" s="84"/>
      <c r="G68" s="84"/>
      <c r="H68" s="84"/>
      <c r="I68" s="85"/>
    </row>
    <row r="69">
      <c r="A69" s="33" t="s">
        <v>256</v>
      </c>
      <c r="B69" s="11"/>
      <c r="C69" s="5" t="str">
        <f>IF(B69&lt;=B62,1*B69,1*B62)</f>
        <v>0</v>
      </c>
      <c r="D69" s="84"/>
      <c r="E69" s="84"/>
      <c r="F69" s="84"/>
      <c r="G69" s="84"/>
      <c r="H69" s="5" t="str">
        <f>IF(B69&lt;=B62,1*B69,1*B62)</f>
        <v>0</v>
      </c>
      <c r="I69" s="85"/>
    </row>
    <row r="70">
      <c r="A70" s="33" t="s">
        <v>257</v>
      </c>
      <c r="B70" s="11"/>
      <c r="C70" s="84"/>
      <c r="D70" s="84"/>
      <c r="E70" s="84"/>
      <c r="F70" s="84"/>
      <c r="G70" s="5" t="str">
        <f>-1*B70</f>
        <v>0</v>
      </c>
      <c r="H70" s="84"/>
      <c r="I70" s="85"/>
    </row>
    <row r="71">
      <c r="A71" s="45"/>
      <c r="B71" s="11"/>
      <c r="C71" s="84"/>
      <c r="D71" s="84"/>
      <c r="E71" s="84"/>
      <c r="F71" s="84"/>
      <c r="G71" s="84"/>
      <c r="H71" s="84"/>
      <c r="I71" s="85"/>
    </row>
    <row r="72">
      <c r="A72" s="33" t="s">
        <v>244</v>
      </c>
      <c r="B72" s="45"/>
      <c r="C72" s="76" t="str">
        <f t="shared" ref="C72:H72" si="17">SUM(C57:C71)</f>
        <v>0</v>
      </c>
      <c r="D72" s="76" t="str">
        <f t="shared" si="17"/>
        <v>0</v>
      </c>
      <c r="E72" s="76" t="str">
        <f t="shared" si="17"/>
        <v>0</v>
      </c>
      <c r="F72" s="76" t="str">
        <f t="shared" si="17"/>
        <v>0</v>
      </c>
      <c r="G72" s="76" t="str">
        <f t="shared" si="17"/>
        <v>0</v>
      </c>
      <c r="H72" s="76" t="str">
        <f t="shared" si="17"/>
        <v>0</v>
      </c>
    </row>
    <row r="73" ht="3.75" customHeight="1">
      <c r="B73" s="45"/>
      <c r="C73" s="45"/>
      <c r="D73" s="45"/>
      <c r="E73" s="45"/>
      <c r="F73" s="45"/>
      <c r="G73" s="45"/>
      <c r="H73" s="45"/>
    </row>
  </sheetData>
  <mergeCells count="19">
    <mergeCell ref="I18:J18"/>
    <mergeCell ref="I19:J19"/>
    <mergeCell ref="I21:J21"/>
    <mergeCell ref="I22:J22"/>
    <mergeCell ref="I23:J23"/>
    <mergeCell ref="I24:J24"/>
    <mergeCell ref="D27:J27"/>
    <mergeCell ref="I20:J20"/>
    <mergeCell ref="A9:B9"/>
    <mergeCell ref="D9:J9"/>
    <mergeCell ref="I10:J10"/>
    <mergeCell ref="I11:J11"/>
    <mergeCell ref="I14:J14"/>
    <mergeCell ref="I15:J15"/>
    <mergeCell ref="I12:J12"/>
    <mergeCell ref="I13:J13"/>
    <mergeCell ref="I16:J16"/>
    <mergeCell ref="I17:J17"/>
    <mergeCell ref="A1:J1"/>
  </mergeCells>
  <dataValidations>
    <dataValidation type="list" allowBlank="1" sqref="H11">
      <formula1>"Economy,Loyalty,Stability,E/L,E/S,L/S,E/L/S"</formula1>
    </dataValidation>
    <dataValidation type="list" allowBlank="1" sqref="B11 B15">
      <formula1>"Yes,No"</formula1>
    </dataValidation>
    <dataValidation type="list" allowBlank="1" sqref="C2">
      <formula1>"LG,NG,CG,LN,N,CN,LE,NE,CE"</formula1>
    </dataValidation>
    <dataValidation type="list" allowBlank="1" sqref="B10">
      <formula1>"None,Token,Standard,Aggressive,Expansionist"</formula1>
    </dataValidation>
    <dataValidation type="list" allowBlank="1" sqref="B14">
      <formula1>"None,Light,Normal,Heavy,Overwhelming"</formula1>
    </dataValidation>
    <dataValidation type="list" allowBlank="1" sqref="B18">
      <formula1>"&gt;None,1,6,12,24"</formula1>
    </dataValidation>
    <dataValidation type="list" allowBlank="1" sqref="H20">
      <formula1>"Economy,Loyalty,Stability"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71"/>
    <col customWidth="1" min="2" max="7" width="10.14"/>
    <col customWidth="1" min="8" max="8" width="2.71"/>
  </cols>
  <sheetData>
    <row r="1" ht="13.5" customHeight="1">
      <c r="A1" s="22"/>
      <c r="B1" s="25" t="s">
        <v>28</v>
      </c>
      <c r="C1" s="12"/>
      <c r="D1" s="12"/>
      <c r="E1" s="12"/>
      <c r="F1" s="12"/>
      <c r="G1" s="12"/>
      <c r="H1" s="27"/>
    </row>
    <row r="2" ht="52.5" customHeight="1">
      <c r="A2" s="28" t="s">
        <v>31</v>
      </c>
      <c r="B2" s="87"/>
      <c r="C2" s="88"/>
      <c r="D2" s="89"/>
      <c r="E2" s="90"/>
      <c r="F2" s="87"/>
      <c r="G2" s="90"/>
      <c r="H2" s="35" t="s">
        <v>34</v>
      </c>
    </row>
    <row r="3" ht="52.5" customHeight="1">
      <c r="A3" s="36"/>
      <c r="B3" s="91"/>
      <c r="C3" s="92"/>
      <c r="D3" s="93"/>
      <c r="E3" s="92"/>
      <c r="F3" s="91"/>
      <c r="G3" s="94"/>
      <c r="H3" s="29"/>
    </row>
    <row r="4" ht="52.5" customHeight="1">
      <c r="A4" s="36"/>
      <c r="B4" s="89"/>
      <c r="C4" s="88"/>
      <c r="D4" s="87"/>
      <c r="E4" s="90"/>
      <c r="F4" s="89"/>
      <c r="G4" s="90"/>
      <c r="H4" s="29"/>
    </row>
    <row r="5" ht="52.5" customHeight="1">
      <c r="A5" s="36"/>
      <c r="B5" s="93"/>
      <c r="C5" s="92"/>
      <c r="D5" s="91"/>
      <c r="E5" s="94"/>
      <c r="F5" s="93"/>
      <c r="G5" s="92"/>
      <c r="H5" s="29"/>
    </row>
    <row r="6" ht="52.5" customHeight="1">
      <c r="A6" s="36"/>
      <c r="B6" s="89"/>
      <c r="C6" s="88"/>
      <c r="D6" s="87"/>
      <c r="E6" s="90"/>
      <c r="F6" s="89"/>
      <c r="G6" s="88"/>
      <c r="H6" s="29"/>
    </row>
    <row r="7" ht="52.5" customHeight="1">
      <c r="A7" s="36"/>
      <c r="B7" s="93"/>
      <c r="C7" s="92"/>
      <c r="D7" s="91"/>
      <c r="E7" s="94"/>
      <c r="F7" s="93"/>
      <c r="G7" s="92"/>
      <c r="H7" s="29"/>
    </row>
    <row r="8" ht="13.5" customHeight="1">
      <c r="A8" s="27"/>
      <c r="B8" s="44" t="s">
        <v>38</v>
      </c>
      <c r="C8" s="46"/>
      <c r="D8" s="46"/>
      <c r="E8" s="46"/>
      <c r="F8" s="46"/>
      <c r="G8" s="46"/>
      <c r="H8" s="27"/>
    </row>
  </sheetData>
  <mergeCells count="4">
    <mergeCell ref="B1:G1"/>
    <mergeCell ref="A2:A7"/>
    <mergeCell ref="H2:H7"/>
    <mergeCell ref="B8:G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71"/>
    <col customWidth="1" min="2" max="7" width="10.14"/>
    <col customWidth="1" min="8" max="8" width="2.71"/>
  </cols>
  <sheetData>
    <row r="1" ht="13.5" customHeight="1">
      <c r="A1" s="22"/>
      <c r="B1" s="25" t="s">
        <v>28</v>
      </c>
      <c r="C1" s="12"/>
      <c r="D1" s="12"/>
      <c r="E1" s="12"/>
      <c r="F1" s="12"/>
      <c r="G1" s="12"/>
      <c r="H1" s="27"/>
    </row>
    <row r="2" ht="52.5" customHeight="1">
      <c r="A2" s="28" t="s">
        <v>31</v>
      </c>
      <c r="B2" s="30"/>
      <c r="C2" s="90"/>
      <c r="D2" s="30"/>
      <c r="E2" s="90"/>
      <c r="F2" s="87"/>
      <c r="G2" s="32"/>
      <c r="H2" s="35" t="s">
        <v>34</v>
      </c>
    </row>
    <row r="3" ht="52.5" customHeight="1">
      <c r="A3" s="36"/>
      <c r="B3" s="38"/>
      <c r="C3" s="39"/>
      <c r="D3" s="38"/>
      <c r="E3" s="39"/>
      <c r="F3" s="93"/>
      <c r="G3" s="39"/>
      <c r="H3" s="29"/>
    </row>
    <row r="4" ht="52.5" customHeight="1">
      <c r="A4" s="36"/>
      <c r="B4" s="89"/>
      <c r="C4" s="88"/>
      <c r="D4" s="30"/>
      <c r="E4" s="32"/>
      <c r="F4" s="30"/>
      <c r="G4" s="32"/>
      <c r="H4" s="29"/>
    </row>
    <row r="5" ht="52.5" customHeight="1">
      <c r="A5" s="36"/>
      <c r="B5" s="38"/>
      <c r="C5" s="39"/>
      <c r="D5" s="38"/>
      <c r="E5" s="39"/>
      <c r="F5" s="38"/>
      <c r="G5" s="39"/>
      <c r="H5" s="29"/>
    </row>
    <row r="6" ht="52.5" customHeight="1">
      <c r="A6" s="36"/>
      <c r="B6" s="95" t="s">
        <v>258</v>
      </c>
      <c r="C6" s="96" t="s">
        <v>259</v>
      </c>
      <c r="D6" s="30"/>
      <c r="E6" s="32"/>
      <c r="F6" s="95" t="s">
        <v>260</v>
      </c>
      <c r="G6" s="57"/>
      <c r="H6" s="29"/>
    </row>
    <row r="7" ht="52.5" customHeight="1">
      <c r="A7" s="36"/>
      <c r="B7" s="97"/>
      <c r="C7" s="39"/>
      <c r="D7" s="38"/>
      <c r="E7" s="39"/>
      <c r="F7" s="97"/>
      <c r="G7" s="98"/>
      <c r="H7" s="29"/>
    </row>
    <row r="8" ht="13.5" customHeight="1">
      <c r="A8" s="27"/>
      <c r="B8" s="44" t="s">
        <v>38</v>
      </c>
      <c r="C8" s="46"/>
      <c r="D8" s="46"/>
      <c r="E8" s="46"/>
      <c r="F8" s="46"/>
      <c r="G8" s="46"/>
      <c r="H8" s="27"/>
    </row>
  </sheetData>
  <mergeCells count="6">
    <mergeCell ref="B1:G1"/>
    <mergeCell ref="A2:A7"/>
    <mergeCell ref="H2:H7"/>
    <mergeCell ref="B6:B7"/>
    <mergeCell ref="F6:G7"/>
    <mergeCell ref="B8:G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71"/>
    <col customWidth="1" min="2" max="7" width="10.14"/>
    <col customWidth="1" min="8" max="8" width="2.71"/>
    <col customWidth="1" min="9" max="14" width="10.14"/>
    <col customWidth="1" min="15" max="15" width="2.71"/>
  </cols>
  <sheetData>
    <row r="1" ht="13.5" customHeight="1">
      <c r="A1" s="22"/>
      <c r="B1" s="25" t="s">
        <v>28</v>
      </c>
      <c r="C1" s="12"/>
      <c r="D1" s="12"/>
      <c r="E1" s="12"/>
      <c r="F1" s="12"/>
      <c r="G1" s="12"/>
      <c r="H1" s="99"/>
      <c r="I1" s="25" t="s">
        <v>28</v>
      </c>
      <c r="J1" s="12"/>
      <c r="K1" s="25" t="s">
        <v>261</v>
      </c>
      <c r="L1" s="12"/>
      <c r="M1" s="25" t="s">
        <v>28</v>
      </c>
      <c r="N1" s="12"/>
      <c r="O1" s="100"/>
    </row>
    <row r="2" ht="52.5" customHeight="1">
      <c r="A2" s="28" t="s">
        <v>31</v>
      </c>
      <c r="B2" s="87"/>
      <c r="C2" s="90"/>
      <c r="D2" s="87"/>
      <c r="E2" s="90"/>
      <c r="F2" s="87"/>
      <c r="G2" s="90"/>
      <c r="H2" s="102" t="s">
        <v>31</v>
      </c>
      <c r="I2" s="87"/>
      <c r="J2" s="90"/>
      <c r="K2" s="87"/>
      <c r="L2" s="90"/>
      <c r="M2" s="87"/>
      <c r="N2" s="90"/>
      <c r="O2" s="106" t="s">
        <v>34</v>
      </c>
    </row>
    <row r="3" ht="52.5" customHeight="1">
      <c r="A3" s="36"/>
      <c r="B3" s="91"/>
      <c r="C3" s="94"/>
      <c r="D3" s="91"/>
      <c r="E3" s="94"/>
      <c r="F3" s="91"/>
      <c r="G3" s="94"/>
      <c r="H3" s="107"/>
      <c r="I3" s="91"/>
      <c r="J3" s="94"/>
      <c r="K3" s="91"/>
      <c r="L3" s="94"/>
      <c r="M3" s="91"/>
      <c r="N3" s="94"/>
      <c r="O3" s="107"/>
    </row>
    <row r="4" ht="52.5" customHeight="1">
      <c r="A4" s="36"/>
      <c r="B4" s="87"/>
      <c r="C4" s="90"/>
      <c r="D4" s="87"/>
      <c r="E4" s="90"/>
      <c r="F4" s="87"/>
      <c r="G4" s="90"/>
      <c r="H4" s="107"/>
      <c r="I4" s="87"/>
      <c r="J4" s="90"/>
      <c r="K4" s="87"/>
      <c r="L4" s="90"/>
      <c r="M4" s="87"/>
      <c r="N4" s="90"/>
      <c r="O4" s="107"/>
    </row>
    <row r="5" ht="52.5" customHeight="1">
      <c r="A5" s="36"/>
      <c r="B5" s="91"/>
      <c r="C5" s="94"/>
      <c r="D5" s="91"/>
      <c r="E5" s="94"/>
      <c r="F5" s="91"/>
      <c r="G5" s="94"/>
      <c r="H5" s="107"/>
      <c r="I5" s="91"/>
      <c r="J5" s="94"/>
      <c r="K5" s="91"/>
      <c r="L5" s="94"/>
      <c r="M5" s="91"/>
      <c r="N5" s="94"/>
      <c r="O5" s="107"/>
    </row>
    <row r="6" ht="52.5" customHeight="1">
      <c r="A6" s="36"/>
      <c r="B6" s="87"/>
      <c r="C6" s="90"/>
      <c r="D6" s="87"/>
      <c r="E6" s="90"/>
      <c r="F6" s="87"/>
      <c r="G6" s="90"/>
      <c r="H6" s="107"/>
      <c r="I6" s="87"/>
      <c r="J6" s="90"/>
      <c r="K6" s="87"/>
      <c r="L6" s="90"/>
      <c r="M6" s="87"/>
      <c r="N6" s="90"/>
      <c r="O6" s="107"/>
    </row>
    <row r="7" ht="52.5" customHeight="1">
      <c r="A7" s="36"/>
      <c r="B7" s="91"/>
      <c r="C7" s="94"/>
      <c r="D7" s="91"/>
      <c r="E7" s="94"/>
      <c r="F7" s="91"/>
      <c r="G7" s="94"/>
      <c r="H7" s="107"/>
      <c r="I7" s="91"/>
      <c r="J7" s="94"/>
      <c r="K7" s="91"/>
      <c r="L7" s="94"/>
      <c r="M7" s="91"/>
      <c r="N7" s="94"/>
      <c r="O7" s="107"/>
    </row>
    <row r="8" ht="13.5" customHeight="1">
      <c r="A8" s="108"/>
      <c r="B8" s="109" t="s">
        <v>168</v>
      </c>
      <c r="C8" s="68"/>
      <c r="D8" s="68"/>
      <c r="E8" s="68"/>
      <c r="F8" s="68"/>
      <c r="G8" s="68"/>
      <c r="H8" s="108"/>
      <c r="I8" s="110" t="s">
        <v>28</v>
      </c>
      <c r="J8" s="68"/>
      <c r="K8" s="68"/>
      <c r="L8" s="68"/>
      <c r="M8" s="68"/>
      <c r="N8" s="68"/>
      <c r="O8" s="111"/>
    </row>
    <row r="9" ht="52.5" customHeight="1">
      <c r="A9" s="28" t="s">
        <v>31</v>
      </c>
      <c r="B9" s="87"/>
      <c r="C9" s="90"/>
      <c r="D9" s="87"/>
      <c r="E9" s="90"/>
      <c r="F9" s="87"/>
      <c r="G9" s="90"/>
      <c r="H9" s="102" t="s">
        <v>31</v>
      </c>
      <c r="I9" s="87"/>
      <c r="J9" s="90"/>
      <c r="K9" s="87"/>
      <c r="L9" s="90"/>
      <c r="M9" s="87"/>
      <c r="N9" s="90"/>
      <c r="O9" s="106" t="s">
        <v>34</v>
      </c>
    </row>
    <row r="10" ht="52.5" customHeight="1">
      <c r="A10" s="36"/>
      <c r="B10" s="91"/>
      <c r="C10" s="94"/>
      <c r="D10" s="91"/>
      <c r="E10" s="94"/>
      <c r="F10" s="91"/>
      <c r="G10" s="94"/>
      <c r="H10" s="107"/>
      <c r="I10" s="91"/>
      <c r="J10" s="94"/>
      <c r="K10" s="91"/>
      <c r="L10" s="94"/>
      <c r="M10" s="91"/>
      <c r="N10" s="94"/>
      <c r="O10" s="107"/>
    </row>
    <row r="11" ht="52.5" customHeight="1">
      <c r="A11" s="36"/>
      <c r="B11" s="87"/>
      <c r="C11" s="90"/>
      <c r="D11" s="87"/>
      <c r="E11" s="90"/>
      <c r="F11" s="87"/>
      <c r="G11" s="90"/>
      <c r="H11" s="107"/>
      <c r="I11" s="87"/>
      <c r="J11" s="90"/>
      <c r="K11" s="87"/>
      <c r="L11" s="90"/>
      <c r="M11" s="87"/>
      <c r="N11" s="90"/>
      <c r="O11" s="107"/>
    </row>
    <row r="12" ht="52.5" customHeight="1">
      <c r="A12" s="36"/>
      <c r="B12" s="91"/>
      <c r="C12" s="94"/>
      <c r="D12" s="91"/>
      <c r="E12" s="94"/>
      <c r="F12" s="91"/>
      <c r="G12" s="94"/>
      <c r="H12" s="107"/>
      <c r="I12" s="91"/>
      <c r="J12" s="94"/>
      <c r="K12" s="91"/>
      <c r="L12" s="94"/>
      <c r="M12" s="91"/>
      <c r="N12" s="94"/>
      <c r="O12" s="107"/>
    </row>
    <row r="13" ht="52.5" customHeight="1">
      <c r="A13" s="36"/>
      <c r="B13" s="87"/>
      <c r="C13" s="90"/>
      <c r="D13" s="87"/>
      <c r="E13" s="90"/>
      <c r="F13" s="87"/>
      <c r="G13" s="90"/>
      <c r="H13" s="107"/>
      <c r="I13" s="87"/>
      <c r="J13" s="90"/>
      <c r="K13" s="87"/>
      <c r="L13" s="90"/>
      <c r="M13" s="87"/>
      <c r="N13" s="90"/>
      <c r="O13" s="107"/>
    </row>
    <row r="14" ht="52.5" customHeight="1">
      <c r="A14" s="36"/>
      <c r="B14" s="91"/>
      <c r="C14" s="94"/>
      <c r="D14" s="91"/>
      <c r="E14" s="94"/>
      <c r="F14" s="91"/>
      <c r="G14" s="94"/>
      <c r="H14" s="107"/>
      <c r="I14" s="91"/>
      <c r="J14" s="94"/>
      <c r="K14" s="91"/>
      <c r="L14" s="94"/>
      <c r="M14" s="91"/>
      <c r="N14" s="94"/>
      <c r="O14" s="107"/>
    </row>
    <row r="15" ht="13.5" customHeight="1">
      <c r="A15" s="113"/>
      <c r="B15" s="114" t="s">
        <v>38</v>
      </c>
      <c r="C15" s="68"/>
      <c r="D15" s="68"/>
      <c r="E15" s="68"/>
      <c r="F15" s="68"/>
      <c r="G15" s="68"/>
      <c r="H15" s="113"/>
      <c r="I15" s="114" t="s">
        <v>38</v>
      </c>
      <c r="J15" s="68"/>
      <c r="K15" s="68"/>
      <c r="L15" s="68"/>
      <c r="M15" s="68"/>
      <c r="N15" s="68"/>
      <c r="O15" s="113"/>
    </row>
  </sheetData>
  <mergeCells count="14">
    <mergeCell ref="B1:G1"/>
    <mergeCell ref="I1:J1"/>
    <mergeCell ref="K1:L1"/>
    <mergeCell ref="M1:N1"/>
    <mergeCell ref="A2:A7"/>
    <mergeCell ref="H2:H7"/>
    <mergeCell ref="O2:O7"/>
    <mergeCell ref="B8:G8"/>
    <mergeCell ref="I8:N8"/>
    <mergeCell ref="A9:A14"/>
    <mergeCell ref="H9:H14"/>
    <mergeCell ref="O9:O14"/>
    <mergeCell ref="B15:G15"/>
    <mergeCell ref="I15:N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7.29"/>
    <col customWidth="1" min="3" max="3" width="21.71"/>
    <col customWidth="1" min="4" max="4" width="21.14"/>
    <col customWidth="1" min="5" max="5" width="48.86"/>
    <col customWidth="1" min="6" max="21" width="17.29"/>
  </cols>
  <sheetData>
    <row r="1">
      <c r="A1" s="101"/>
      <c r="B1" s="103" t="s">
        <v>262</v>
      </c>
      <c r="C1" s="103" t="s">
        <v>263</v>
      </c>
      <c r="D1" s="103" t="s">
        <v>264</v>
      </c>
      <c r="E1" s="103" t="s">
        <v>265</v>
      </c>
      <c r="F1" s="103" t="s">
        <v>227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>
      <c r="B2" s="105" t="s">
        <v>266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</row>
    <row r="3">
      <c r="B3" s="105" t="s">
        <v>267</v>
      </c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</row>
    <row r="4">
      <c r="B4" s="105" t="s">
        <v>268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</row>
    <row r="5">
      <c r="B5" s="105" t="s">
        <v>269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</row>
    <row r="6">
      <c r="B6" s="105" t="s">
        <v>270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</row>
    <row r="7">
      <c r="B7" s="105" t="s">
        <v>271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</row>
    <row r="8">
      <c r="B8" s="105" t="s">
        <v>272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</row>
    <row r="9">
      <c r="B9" s="105" t="s">
        <v>273</v>
      </c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</row>
    <row r="10">
      <c r="B10" s="105" t="s">
        <v>274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</row>
    <row r="11">
      <c r="B11" s="105" t="s">
        <v>275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</row>
    <row r="12">
      <c r="B12" s="105" t="s">
        <v>276</v>
      </c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</row>
    <row r="13">
      <c r="B13" s="105" t="s">
        <v>277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</row>
    <row r="14">
      <c r="A14" s="24" t="s">
        <v>278</v>
      </c>
      <c r="B14" s="105" t="s">
        <v>266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</row>
    <row r="15">
      <c r="B15" s="105" t="s">
        <v>267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</row>
    <row r="16">
      <c r="B16" s="105" t="s">
        <v>268</v>
      </c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</row>
    <row r="17">
      <c r="B17" s="105" t="s">
        <v>269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</row>
    <row r="18">
      <c r="B18" s="105" t="s">
        <v>270</v>
      </c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</row>
    <row r="19">
      <c r="B19" s="105" t="s">
        <v>271</v>
      </c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</row>
    <row r="20">
      <c r="B20" s="105" t="s">
        <v>272</v>
      </c>
      <c r="C20" s="104"/>
      <c r="D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</row>
    <row r="21">
      <c r="B21" s="105" t="s">
        <v>273</v>
      </c>
      <c r="C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</row>
    <row r="22">
      <c r="B22" s="105" t="s">
        <v>274</v>
      </c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</row>
    <row r="23">
      <c r="B23" s="105" t="s">
        <v>275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</row>
    <row r="24">
      <c r="B24" s="105" t="s">
        <v>276</v>
      </c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</row>
    <row r="25">
      <c r="B25" s="105" t="s">
        <v>277</v>
      </c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</row>
    <row r="26">
      <c r="A26" s="24" t="s">
        <v>279</v>
      </c>
      <c r="B26" s="105" t="s">
        <v>266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</row>
    <row r="27">
      <c r="B27" s="105" t="s">
        <v>267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</row>
    <row r="28">
      <c r="B28" s="105" t="s">
        <v>268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</row>
    <row r="29">
      <c r="B29" s="105" t="s">
        <v>269</v>
      </c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</row>
    <row r="30">
      <c r="B30" s="105" t="s">
        <v>270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</row>
    <row r="31">
      <c r="B31" s="105" t="s">
        <v>271</v>
      </c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</row>
    <row r="32">
      <c r="B32" s="105" t="s">
        <v>272</v>
      </c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</row>
    <row r="33">
      <c r="B33" s="105" t="s">
        <v>273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</row>
    <row r="34">
      <c r="B34" s="105" t="s">
        <v>274</v>
      </c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</row>
    <row r="35">
      <c r="B35" s="105" t="s">
        <v>275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</row>
    <row r="36">
      <c r="B36" s="105" t="s">
        <v>276</v>
      </c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  <row r="37">
      <c r="B37" s="105" t="s">
        <v>277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</row>
    <row r="38">
      <c r="A38" s="24" t="s">
        <v>298</v>
      </c>
      <c r="B38" s="105" t="s">
        <v>266</v>
      </c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</row>
    <row r="39">
      <c r="B39" s="105" t="s">
        <v>267</v>
      </c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</row>
    <row r="40">
      <c r="B40" s="105" t="s">
        <v>268</v>
      </c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</row>
    <row r="41">
      <c r="B41" s="105" t="s">
        <v>269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</row>
    <row r="42">
      <c r="B42" s="105" t="s">
        <v>270</v>
      </c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</row>
    <row r="43">
      <c r="B43" s="105" t="s">
        <v>271</v>
      </c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</row>
    <row r="44">
      <c r="B44" s="105" t="s">
        <v>272</v>
      </c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</row>
    <row r="45">
      <c r="B45" s="105" t="s">
        <v>273</v>
      </c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</row>
    <row r="46">
      <c r="B46" s="105" t="s">
        <v>274</v>
      </c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</row>
    <row r="47">
      <c r="B47" s="105" t="s">
        <v>275</v>
      </c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</row>
    <row r="48">
      <c r="B48" s="105" t="s">
        <v>276</v>
      </c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</row>
    <row r="49">
      <c r="B49" s="105" t="s">
        <v>277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</row>
    <row r="50">
      <c r="B50" s="105" t="s">
        <v>266</v>
      </c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</row>
    <row r="51">
      <c r="B51" s="105" t="s">
        <v>267</v>
      </c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</row>
    <row r="52">
      <c r="B52" s="105" t="s">
        <v>268</v>
      </c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</row>
    <row r="53">
      <c r="B53" s="105" t="s">
        <v>269</v>
      </c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</row>
    <row r="54">
      <c r="B54" s="105" t="s">
        <v>270</v>
      </c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</row>
    <row r="55">
      <c r="B55" s="105" t="s">
        <v>271</v>
      </c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</row>
    <row r="56">
      <c r="B56" s="105" t="s">
        <v>272</v>
      </c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</row>
    <row r="57">
      <c r="B57" s="105" t="s">
        <v>273</v>
      </c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</row>
    <row r="58">
      <c r="B58" s="105" t="s">
        <v>274</v>
      </c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</row>
    <row r="59">
      <c r="B59" s="105" t="s">
        <v>275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</row>
    <row r="60">
      <c r="B60" s="105" t="s">
        <v>276</v>
      </c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</row>
    <row r="61">
      <c r="B61" s="105" t="s">
        <v>277</v>
      </c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</row>
    <row r="62">
      <c r="B62" s="105" t="s">
        <v>266</v>
      </c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</row>
    <row r="63">
      <c r="B63" s="105" t="s">
        <v>267</v>
      </c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</row>
    <row r="64">
      <c r="B64" s="105" t="s">
        <v>268</v>
      </c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</row>
    <row r="65">
      <c r="B65" s="105" t="s">
        <v>269</v>
      </c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</row>
    <row r="66">
      <c r="B66" s="105" t="s">
        <v>270</v>
      </c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</row>
    <row r="67">
      <c r="B67" s="105" t="s">
        <v>271</v>
      </c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</row>
    <row r="68">
      <c r="B68" s="105" t="s">
        <v>272</v>
      </c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</row>
    <row r="69">
      <c r="B69" s="105" t="s">
        <v>273</v>
      </c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</row>
    <row r="70">
      <c r="B70" s="105" t="s">
        <v>274</v>
      </c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</row>
    <row r="71">
      <c r="B71" s="105" t="s">
        <v>275</v>
      </c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</row>
    <row r="72">
      <c r="B72" s="105" t="s">
        <v>276</v>
      </c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</row>
    <row r="73">
      <c r="B73" s="105" t="s">
        <v>277</v>
      </c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</row>
    <row r="74">
      <c r="B74" s="105" t="s">
        <v>266</v>
      </c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</row>
    <row r="75">
      <c r="B75" s="105" t="s">
        <v>267</v>
      </c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</row>
    <row r="76">
      <c r="B76" s="105" t="s">
        <v>268</v>
      </c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</row>
    <row r="77">
      <c r="B77" s="105" t="s">
        <v>269</v>
      </c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</row>
    <row r="78">
      <c r="B78" s="105" t="s">
        <v>270</v>
      </c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</row>
    <row r="79">
      <c r="B79" s="105" t="s">
        <v>271</v>
      </c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</row>
    <row r="80">
      <c r="B80" s="105" t="s">
        <v>272</v>
      </c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</row>
    <row r="81">
      <c r="B81" s="105" t="s">
        <v>273</v>
      </c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</row>
    <row r="82">
      <c r="B82" s="105" t="s">
        <v>274</v>
      </c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</row>
    <row r="83">
      <c r="B83" s="105" t="s">
        <v>275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</row>
    <row r="84">
      <c r="B84" s="105" t="s">
        <v>276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</row>
    <row r="85">
      <c r="B85" s="105" t="s">
        <v>277</v>
      </c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</row>
    <row r="86">
      <c r="B86" s="105" t="s">
        <v>266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</row>
    <row r="87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</row>
    <row r="88"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</row>
    <row r="89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</row>
    <row r="90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</row>
    <row r="91"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</row>
    <row r="92"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</row>
    <row r="93"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</row>
    <row r="94"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</row>
    <row r="95"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</row>
    <row r="96"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</row>
    <row r="97"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</row>
    <row r="98"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</row>
    <row r="99"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57"/>
    <col customWidth="1" min="2" max="2" width="5.57"/>
    <col customWidth="1" min="3" max="3" width="5.29"/>
    <col customWidth="1" min="4" max="4" width="10.29"/>
    <col customWidth="1" min="5" max="5" width="8.71"/>
    <col customWidth="1" min="6" max="6" width="9.57"/>
    <col customWidth="1" min="7" max="7" width="9.43"/>
    <col customWidth="1" min="8" max="8" width="7.86"/>
    <col customWidth="1" min="9" max="9" width="12.57"/>
    <col customWidth="1" min="10" max="10" width="69.57"/>
    <col customWidth="1" min="11" max="11" width="78.0"/>
    <col customWidth="1" min="12" max="12" width="15.71"/>
    <col customWidth="1" min="13" max="13" width="20.14"/>
    <col customWidth="1" min="14" max="14" width="10.57"/>
    <col customWidth="1" min="15" max="15" width="6.43"/>
    <col customWidth="1" min="16" max="16" width="4.57"/>
    <col customWidth="1" min="17" max="17" width="5.0"/>
    <col customWidth="1" min="18" max="18" width="7.57"/>
    <col customWidth="1" min="19" max="19" width="11.57"/>
    <col customWidth="1" min="20" max="20" width="6.0"/>
    <col customWidth="1" min="21" max="22" width="17.29"/>
  </cols>
  <sheetData>
    <row r="1">
      <c r="A1" s="7" t="s">
        <v>132</v>
      </c>
      <c r="B1" s="7" t="s">
        <v>280</v>
      </c>
      <c r="C1" s="7" t="s">
        <v>138</v>
      </c>
      <c r="D1" s="7" t="s">
        <v>35</v>
      </c>
      <c r="E1" s="7" t="s">
        <v>44</v>
      </c>
      <c r="F1" s="7" t="s">
        <v>48</v>
      </c>
      <c r="G1" s="7" t="s">
        <v>143</v>
      </c>
      <c r="H1" s="7" t="s">
        <v>117</v>
      </c>
      <c r="I1" s="77" t="s">
        <v>281</v>
      </c>
      <c r="J1" s="7" t="s">
        <v>146</v>
      </c>
      <c r="K1" s="7" t="s">
        <v>282</v>
      </c>
      <c r="L1" s="77" t="s">
        <v>283</v>
      </c>
      <c r="M1" s="77" t="s">
        <v>284</v>
      </c>
      <c r="N1" s="77" t="s">
        <v>285</v>
      </c>
      <c r="O1" s="77" t="s">
        <v>286</v>
      </c>
      <c r="P1" s="77" t="s">
        <v>287</v>
      </c>
      <c r="Q1" s="77" t="s">
        <v>288</v>
      </c>
      <c r="R1" s="77" t="s">
        <v>289</v>
      </c>
      <c r="S1" s="77" t="s">
        <v>290</v>
      </c>
      <c r="T1" s="77" t="s">
        <v>291</v>
      </c>
      <c r="U1" s="112"/>
      <c r="V1" s="112"/>
    </row>
    <row r="2">
      <c r="A2" s="33" t="s">
        <v>292</v>
      </c>
      <c r="B2" s="33">
        <v>52.0</v>
      </c>
      <c r="C2" s="33">
        <v>2.0</v>
      </c>
      <c r="D2" s="33">
        <v>2.0</v>
      </c>
      <c r="E2" s="33">
        <v>2.0</v>
      </c>
      <c r="F2" s="45"/>
      <c r="G2" s="45"/>
      <c r="H2" s="45"/>
      <c r="J2" s="26" t="s">
        <v>293</v>
      </c>
      <c r="K2" s="26" t="s">
        <v>294</v>
      </c>
      <c r="L2" s="24" t="s">
        <v>295</v>
      </c>
      <c r="M2" s="24" t="s">
        <v>296</v>
      </c>
      <c r="Q2" s="24">
        <v>2.0</v>
      </c>
      <c r="R2" s="24">
        <v>2.0</v>
      </c>
      <c r="S2" s="24">
        <v>1.0</v>
      </c>
    </row>
    <row r="3">
      <c r="A3" s="33" t="s">
        <v>297</v>
      </c>
      <c r="B3" s="33">
        <v>18.0</v>
      </c>
      <c r="C3" s="33">
        <v>1.0</v>
      </c>
      <c r="D3" s="33">
        <v>1.0</v>
      </c>
      <c r="E3" s="45"/>
      <c r="F3" s="45"/>
      <c r="G3" s="45"/>
      <c r="H3" s="45"/>
      <c r="I3" s="24">
        <v>1000.0</v>
      </c>
      <c r="J3" s="21"/>
      <c r="K3" s="26" t="s">
        <v>299</v>
      </c>
      <c r="U3" s="115" t="str">
        <f t="shared" ref="U3:U71" si="1">D3/B3</f>
        <v>0.06</v>
      </c>
      <c r="V3" s="116" t="str">
        <f t="shared" ref="V3:V71" si="2">SUM($D3:$G3)/C3</f>
        <v>100.00%</v>
      </c>
    </row>
    <row r="4">
      <c r="A4" s="33" t="s">
        <v>300</v>
      </c>
      <c r="B4" s="33">
        <v>40.0</v>
      </c>
      <c r="C4" s="33">
        <v>4.0</v>
      </c>
      <c r="D4" s="45"/>
      <c r="E4" s="45"/>
      <c r="F4" s="33">
        <v>4.0</v>
      </c>
      <c r="G4" s="45"/>
      <c r="H4" s="45"/>
      <c r="J4" s="26" t="s">
        <v>301</v>
      </c>
      <c r="K4" s="21"/>
      <c r="L4" s="24" t="s">
        <v>302</v>
      </c>
      <c r="O4" s="24">
        <v>1.0</v>
      </c>
      <c r="T4" s="24">
        <v>1.0</v>
      </c>
      <c r="U4" s="115" t="str">
        <f t="shared" si="1"/>
        <v>0.00</v>
      </c>
      <c r="V4" s="116" t="str">
        <f t="shared" si="2"/>
        <v>100.00%</v>
      </c>
    </row>
    <row r="5">
      <c r="A5" s="33" t="s">
        <v>303</v>
      </c>
      <c r="B5" s="33">
        <v>28.0</v>
      </c>
      <c r="C5" s="33">
        <v>1.0</v>
      </c>
      <c r="D5" s="33">
        <v>4.0</v>
      </c>
      <c r="E5" s="45"/>
      <c r="F5" s="45"/>
      <c r="G5" s="45"/>
      <c r="H5" s="45"/>
      <c r="I5" s="24">
        <v>2000.0</v>
      </c>
      <c r="J5" s="21"/>
      <c r="K5" s="21"/>
      <c r="U5" s="115" t="str">
        <f t="shared" si="1"/>
        <v>0.14</v>
      </c>
      <c r="V5" s="116" t="str">
        <f t="shared" si="2"/>
        <v>400.00%</v>
      </c>
    </row>
    <row r="6">
      <c r="A6" s="33" t="s">
        <v>304</v>
      </c>
      <c r="B6" s="33">
        <v>40.0</v>
      </c>
      <c r="C6" s="33">
        <v>2.0</v>
      </c>
      <c r="D6" s="33">
        <v>1.0</v>
      </c>
      <c r="E6" s="33">
        <v>3.0</v>
      </c>
      <c r="F6" s="33">
        <v>1.0</v>
      </c>
      <c r="G6" s="45"/>
      <c r="H6" s="45"/>
      <c r="J6" s="26" t="s">
        <v>305</v>
      </c>
      <c r="K6" s="26" t="s">
        <v>306</v>
      </c>
      <c r="T6" s="24">
        <v>1.0</v>
      </c>
      <c r="U6" s="115" t="str">
        <f t="shared" si="1"/>
        <v>0.03</v>
      </c>
      <c r="V6" s="116" t="str">
        <f t="shared" si="2"/>
        <v>250.00%</v>
      </c>
    </row>
    <row r="7">
      <c r="A7" s="33" t="s">
        <v>307</v>
      </c>
      <c r="B7" s="33">
        <v>6.0</v>
      </c>
      <c r="C7" s="33">
        <v>1.0</v>
      </c>
      <c r="D7" s="45"/>
      <c r="E7" s="45"/>
      <c r="F7" s="45"/>
      <c r="G7" s="33">
        <v>2.0</v>
      </c>
      <c r="H7" s="33">
        <v>-1.0</v>
      </c>
      <c r="J7" s="21"/>
      <c r="K7" s="21"/>
      <c r="L7" s="24" t="s">
        <v>308</v>
      </c>
      <c r="U7" s="115" t="str">
        <f t="shared" si="1"/>
        <v>0.00</v>
      </c>
      <c r="V7" s="116" t="str">
        <f t="shared" si="2"/>
        <v>200.00%</v>
      </c>
    </row>
    <row r="8">
      <c r="A8" s="33" t="s">
        <v>309</v>
      </c>
      <c r="B8" s="33">
        <v>50.0</v>
      </c>
      <c r="C8" s="33">
        <v>1.0</v>
      </c>
      <c r="D8" s="33">
        <v>2.0</v>
      </c>
      <c r="E8" s="45"/>
      <c r="F8" s="33">
        <v>1.0</v>
      </c>
      <c r="G8" s="45"/>
      <c r="H8" s="33">
        <v>1.0</v>
      </c>
      <c r="I8" s="24">
        <v>2000.0</v>
      </c>
      <c r="J8" s="26" t="s">
        <v>310</v>
      </c>
      <c r="K8" s="26" t="s">
        <v>311</v>
      </c>
      <c r="N8" s="24">
        <v>2.0</v>
      </c>
      <c r="O8" s="24">
        <v>2.0</v>
      </c>
      <c r="U8" s="115" t="str">
        <f t="shared" si="1"/>
        <v>0.04</v>
      </c>
      <c r="V8" s="116" t="str">
        <f t="shared" si="2"/>
        <v>300.00%</v>
      </c>
    </row>
    <row r="9">
      <c r="A9" s="33" t="s">
        <v>312</v>
      </c>
      <c r="B9" s="33">
        <v>6.0</v>
      </c>
      <c r="C9" s="33">
        <v>1.0</v>
      </c>
      <c r="D9" s="45"/>
      <c r="E9" s="33">
        <v>1.0</v>
      </c>
      <c r="F9" s="33">
        <v>1.0</v>
      </c>
      <c r="G9" s="45"/>
      <c r="H9" s="45"/>
      <c r="J9" s="21"/>
      <c r="K9" s="21"/>
      <c r="U9" s="115" t="str">
        <f t="shared" si="1"/>
        <v>0.00</v>
      </c>
      <c r="V9" s="116" t="str">
        <f t="shared" si="2"/>
        <v>200.00%</v>
      </c>
    </row>
    <row r="10">
      <c r="A10" s="33" t="s">
        <v>313</v>
      </c>
      <c r="B10" s="33">
        <v>6.0</v>
      </c>
      <c r="C10" s="33">
        <v>1.0</v>
      </c>
      <c r="D10" s="33">
        <v>1.0</v>
      </c>
      <c r="E10" s="45"/>
      <c r="F10" s="45"/>
      <c r="G10" s="45"/>
      <c r="H10" s="45"/>
      <c r="J10" s="21"/>
      <c r="K10" s="21"/>
      <c r="U10" s="115" t="str">
        <f t="shared" si="1"/>
        <v>0.17</v>
      </c>
      <c r="V10" s="116" t="str">
        <f t="shared" si="2"/>
        <v>100.00%</v>
      </c>
    </row>
    <row r="11">
      <c r="A11" s="33" t="s">
        <v>314</v>
      </c>
      <c r="B11" s="33">
        <v>10.0</v>
      </c>
      <c r="C11" s="33">
        <v>2.0</v>
      </c>
      <c r="D11" s="33">
        <v>1.0</v>
      </c>
      <c r="E11" s="33">
        <v>-1.0</v>
      </c>
      <c r="F11" s="33">
        <v>1.0</v>
      </c>
      <c r="G11" s="45"/>
      <c r="H11" s="45"/>
      <c r="J11" s="21"/>
      <c r="K11" s="21"/>
      <c r="N11" s="24">
        <v>1.0</v>
      </c>
      <c r="P11" s="24">
        <v>1.0</v>
      </c>
      <c r="U11" s="115" t="str">
        <f t="shared" si="1"/>
        <v>0.10</v>
      </c>
      <c r="V11" s="116" t="str">
        <f t="shared" si="2"/>
        <v>50.00%</v>
      </c>
    </row>
    <row r="12">
      <c r="A12" s="33" t="s">
        <v>315</v>
      </c>
      <c r="B12" s="33">
        <v>30.0</v>
      </c>
      <c r="C12" s="33">
        <v>1.0</v>
      </c>
      <c r="D12" s="33">
        <v>1.0</v>
      </c>
      <c r="E12" s="33">
        <v>1.0</v>
      </c>
      <c r="F12" s="45"/>
      <c r="G12" s="45"/>
      <c r="H12" s="45"/>
      <c r="J12" s="21"/>
      <c r="K12" s="26" t="s">
        <v>316</v>
      </c>
      <c r="U12" s="115" t="str">
        <f t="shared" si="1"/>
        <v>0.03</v>
      </c>
      <c r="V12" s="116" t="str">
        <f t="shared" si="2"/>
        <v>200.00%</v>
      </c>
    </row>
    <row r="13">
      <c r="A13" s="33" t="s">
        <v>153</v>
      </c>
      <c r="B13" s="33">
        <v>54.0</v>
      </c>
      <c r="C13" s="33">
        <v>4.0</v>
      </c>
      <c r="D13" s="33">
        <v>2.0</v>
      </c>
      <c r="E13" s="33">
        <v>2.0</v>
      </c>
      <c r="F13" s="33">
        <v>2.0</v>
      </c>
      <c r="G13" s="33">
        <v>8.0</v>
      </c>
      <c r="H13" s="33">
        <v>-4.0</v>
      </c>
      <c r="J13" s="26" t="s">
        <v>317</v>
      </c>
      <c r="K13" s="21"/>
      <c r="T13" s="24">
        <v>1.0</v>
      </c>
      <c r="U13" s="115" t="str">
        <f t="shared" si="1"/>
        <v>0.04</v>
      </c>
      <c r="V13" s="116" t="str">
        <f t="shared" si="2"/>
        <v>350.00%</v>
      </c>
    </row>
    <row r="14">
      <c r="A14" s="33" t="s">
        <v>318</v>
      </c>
      <c r="B14" s="33">
        <v>58.0</v>
      </c>
      <c r="C14" s="33">
        <v>4.0</v>
      </c>
      <c r="D14" s="45"/>
      <c r="E14" s="33">
        <v>4.0</v>
      </c>
      <c r="F14" s="33">
        <v>4.0</v>
      </c>
      <c r="G14" s="45"/>
      <c r="H14" s="33">
        <v>-4.0</v>
      </c>
      <c r="J14" s="26" t="s">
        <v>319</v>
      </c>
      <c r="K14" s="26" t="s">
        <v>320</v>
      </c>
      <c r="P14" s="24">
        <v>2.0</v>
      </c>
      <c r="T14" s="24">
        <v>1.0</v>
      </c>
      <c r="U14" s="115" t="str">
        <f t="shared" si="1"/>
        <v>0.00</v>
      </c>
      <c r="V14" s="116" t="str">
        <f t="shared" si="2"/>
        <v>200.00%</v>
      </c>
    </row>
    <row r="15">
      <c r="A15" s="33" t="s">
        <v>321</v>
      </c>
      <c r="B15" s="33">
        <v>6.0</v>
      </c>
      <c r="C15" s="33">
        <v>0.0</v>
      </c>
      <c r="D15" s="45"/>
      <c r="E15" s="45"/>
      <c r="F15" s="33">
        <v>1.0</v>
      </c>
      <c r="G15" s="45"/>
      <c r="H15" s="45"/>
      <c r="J15" s="21"/>
      <c r="K15" s="21"/>
      <c r="U15" s="115" t="str">
        <f t="shared" si="1"/>
        <v>0.00</v>
      </c>
      <c r="V15" s="117" t="str">
        <f t="shared" si="2"/>
        <v>#DIV/0!</v>
      </c>
    </row>
    <row r="16">
      <c r="A16" s="33" t="s">
        <v>322</v>
      </c>
      <c r="B16" s="33">
        <v>2.0</v>
      </c>
      <c r="C16" s="33">
        <v>0.0</v>
      </c>
      <c r="D16" s="45"/>
      <c r="E16" s="45"/>
      <c r="F16" s="45"/>
      <c r="G16" s="33">
        <v>1.0</v>
      </c>
      <c r="H16" s="33">
        <v>-2.0</v>
      </c>
      <c r="J16" s="21"/>
      <c r="K16" s="21"/>
      <c r="U16" s="115" t="str">
        <f t="shared" si="1"/>
        <v>0.00</v>
      </c>
      <c r="V16" s="117" t="str">
        <f t="shared" si="2"/>
        <v>#DIV/0!</v>
      </c>
    </row>
    <row r="17">
      <c r="A17" s="33" t="s">
        <v>323</v>
      </c>
      <c r="B17" s="33">
        <v>4.0</v>
      </c>
      <c r="C17" s="33">
        <v>1.0</v>
      </c>
      <c r="D17" s="33">
        <v>1.0</v>
      </c>
      <c r="E17" s="33">
        <v>2.0</v>
      </c>
      <c r="F17" s="45"/>
      <c r="G17" s="45"/>
      <c r="H17" s="33">
        <v>1.0</v>
      </c>
      <c r="J17" s="21"/>
      <c r="K17" s="21"/>
      <c r="N17" s="24">
        <v>1.0</v>
      </c>
      <c r="O17" s="24">
        <v>1.0</v>
      </c>
      <c r="U17" s="115" t="str">
        <f t="shared" si="1"/>
        <v>0.25</v>
      </c>
      <c r="V17" s="116" t="str">
        <f t="shared" si="2"/>
        <v>300.00%</v>
      </c>
    </row>
    <row r="18">
      <c r="A18" s="33" t="s">
        <v>324</v>
      </c>
      <c r="B18" s="33">
        <v>4.0</v>
      </c>
      <c r="C18" s="33">
        <v>1.0</v>
      </c>
      <c r="D18" s="45"/>
      <c r="E18" s="45"/>
      <c r="F18" s="33">
        <v>1.0</v>
      </c>
      <c r="G18" s="45"/>
      <c r="H18" s="45"/>
      <c r="J18" s="21"/>
      <c r="K18" s="21"/>
      <c r="U18" s="115" t="str">
        <f t="shared" si="1"/>
        <v>0.00</v>
      </c>
      <c r="V18" s="116" t="str">
        <f t="shared" si="2"/>
        <v>100.00%</v>
      </c>
    </row>
    <row r="19">
      <c r="A19" s="33" t="s">
        <v>325</v>
      </c>
      <c r="B19" s="33">
        <v>5.0</v>
      </c>
      <c r="C19" s="33">
        <v>0.0</v>
      </c>
      <c r="D19" s="45"/>
      <c r="E19" s="45"/>
      <c r="F19" s="45"/>
      <c r="G19" s="45"/>
      <c r="H19" s="45"/>
      <c r="J19" s="21"/>
      <c r="K19" s="21"/>
      <c r="U19" s="115" t="str">
        <f t="shared" si="1"/>
        <v>0.00</v>
      </c>
      <c r="V19" s="117" t="str">
        <f t="shared" si="2"/>
        <v>#DIV/0!</v>
      </c>
    </row>
    <row r="20">
      <c r="A20" s="33" t="s">
        <v>326</v>
      </c>
      <c r="B20" s="33">
        <v>10.0</v>
      </c>
      <c r="C20" s="33">
        <v>1.0</v>
      </c>
      <c r="D20" s="33">
        <v>1.0</v>
      </c>
      <c r="E20" s="45"/>
      <c r="F20" s="33">
        <v>1.0</v>
      </c>
      <c r="G20" s="45"/>
      <c r="H20" s="45"/>
      <c r="J20" s="21"/>
      <c r="K20" s="26" t="s">
        <v>327</v>
      </c>
      <c r="U20" s="115" t="str">
        <f t="shared" si="1"/>
        <v>0.10</v>
      </c>
      <c r="V20" s="116" t="str">
        <f t="shared" si="2"/>
        <v>200.00%</v>
      </c>
    </row>
    <row r="21">
      <c r="A21" s="33" t="s">
        <v>328</v>
      </c>
      <c r="B21" s="33">
        <v>30.0</v>
      </c>
      <c r="C21" s="33">
        <v>4.0</v>
      </c>
      <c r="D21" s="33">
        <v>3.0</v>
      </c>
      <c r="E21" s="45"/>
      <c r="F21" s="33">
        <v>-1.0</v>
      </c>
      <c r="G21" s="45"/>
      <c r="H21" s="45"/>
      <c r="J21" s="21"/>
      <c r="K21" s="21"/>
      <c r="O21" s="24">
        <v>1.0</v>
      </c>
      <c r="Q21" s="24">
        <v>1.0</v>
      </c>
      <c r="R21" s="24">
        <v>2.0</v>
      </c>
      <c r="U21" s="115" t="str">
        <f t="shared" si="1"/>
        <v>0.10</v>
      </c>
      <c r="V21" s="116" t="str">
        <f t="shared" si="2"/>
        <v>50.00%</v>
      </c>
    </row>
    <row r="22">
      <c r="A22" s="33" t="s">
        <v>329</v>
      </c>
      <c r="B22" s="33">
        <v>16.0</v>
      </c>
      <c r="C22" s="33">
        <v>2.0</v>
      </c>
      <c r="D22" s="33">
        <v>1.0</v>
      </c>
      <c r="E22" s="45"/>
      <c r="F22" s="33">
        <v>1.0</v>
      </c>
      <c r="G22" s="45"/>
      <c r="H22" s="33">
        <v>1.0</v>
      </c>
      <c r="J22" s="26" t="s">
        <v>330</v>
      </c>
      <c r="K22" s="21"/>
      <c r="S22" s="24">
        <v>1.0</v>
      </c>
      <c r="U22" s="115" t="str">
        <f t="shared" si="1"/>
        <v>0.06</v>
      </c>
      <c r="V22" s="116" t="str">
        <f t="shared" si="2"/>
        <v>100.00%</v>
      </c>
    </row>
    <row r="23">
      <c r="A23" s="33" t="s">
        <v>308</v>
      </c>
      <c r="B23" s="33">
        <v>28.0</v>
      </c>
      <c r="C23" s="33">
        <v>2.0</v>
      </c>
      <c r="D23" s="45"/>
      <c r="E23" s="33">
        <v>2.0</v>
      </c>
      <c r="F23" s="33">
        <v>2.0</v>
      </c>
      <c r="G23" s="45"/>
      <c r="H23" s="33">
        <v>-2.0</v>
      </c>
      <c r="J23" s="26" t="s">
        <v>331</v>
      </c>
      <c r="K23" s="21"/>
      <c r="L23" s="24" t="s">
        <v>307</v>
      </c>
      <c r="U23" s="115" t="str">
        <f t="shared" si="1"/>
        <v>0.00</v>
      </c>
      <c r="V23" s="116" t="str">
        <f t="shared" si="2"/>
        <v>200.00%</v>
      </c>
    </row>
    <row r="24">
      <c r="A24" s="33" t="s">
        <v>332</v>
      </c>
      <c r="B24" s="33">
        <v>12.0</v>
      </c>
      <c r="C24" s="33">
        <v>1.0</v>
      </c>
      <c r="D24" s="45"/>
      <c r="E24" s="33">
        <v>1.0</v>
      </c>
      <c r="F24" s="33">
        <v>1.0</v>
      </c>
      <c r="G24" s="45"/>
      <c r="H24" s="45"/>
      <c r="J24" s="21"/>
      <c r="K24" s="21"/>
      <c r="U24" s="115" t="str">
        <f t="shared" si="1"/>
        <v>0.00</v>
      </c>
      <c r="V24" s="116" t="str">
        <f t="shared" si="2"/>
        <v>200.00%</v>
      </c>
    </row>
    <row r="25">
      <c r="A25" s="33" t="s">
        <v>333</v>
      </c>
      <c r="B25" s="33">
        <v>4.0</v>
      </c>
      <c r="C25" s="33">
        <v>1.0</v>
      </c>
      <c r="D25" s="45"/>
      <c r="E25" s="33">
        <v>1.0</v>
      </c>
      <c r="F25" s="45"/>
      <c r="G25" s="45"/>
      <c r="H25" s="45"/>
      <c r="J25" s="21"/>
      <c r="K25" s="21"/>
      <c r="U25" s="115" t="str">
        <f t="shared" si="1"/>
        <v>0.00</v>
      </c>
      <c r="V25" s="116" t="str">
        <f t="shared" si="2"/>
        <v>100.00%</v>
      </c>
    </row>
    <row r="26">
      <c r="A26" s="33" t="s">
        <v>334</v>
      </c>
      <c r="B26" s="33">
        <v>34.0</v>
      </c>
      <c r="C26" s="33">
        <v>2.0</v>
      </c>
      <c r="D26" s="33">
        <v>2.0</v>
      </c>
      <c r="E26" s="33">
        <v>2.0</v>
      </c>
      <c r="F26" s="45"/>
      <c r="G26" s="45"/>
      <c r="H26" s="45"/>
      <c r="I26" s="24">
        <v>1000.0</v>
      </c>
      <c r="J26" s="26" t="s">
        <v>335</v>
      </c>
      <c r="K26" s="21"/>
      <c r="L26" s="24" t="s">
        <v>336</v>
      </c>
      <c r="P26" s="24">
        <v>1.0</v>
      </c>
      <c r="S26" s="24">
        <v>2.0</v>
      </c>
      <c r="U26" s="115" t="str">
        <f t="shared" si="1"/>
        <v>0.06</v>
      </c>
      <c r="V26" s="116" t="str">
        <f t="shared" si="2"/>
        <v>200.00%</v>
      </c>
    </row>
    <row r="27">
      <c r="A27" s="33" t="s">
        <v>337</v>
      </c>
      <c r="B27" s="33">
        <v>10.0</v>
      </c>
      <c r="C27" s="33">
        <v>1.0</v>
      </c>
      <c r="D27" s="45"/>
      <c r="E27" s="33">
        <v>1.0</v>
      </c>
      <c r="F27" s="33">
        <v>1.0</v>
      </c>
      <c r="G27" s="45"/>
      <c r="H27" s="45"/>
      <c r="J27" s="21"/>
      <c r="K27" s="26" t="s">
        <v>299</v>
      </c>
      <c r="U27" s="115" t="str">
        <f t="shared" si="1"/>
        <v>0.00</v>
      </c>
      <c r="V27" s="116" t="str">
        <f t="shared" si="2"/>
        <v>200.00%</v>
      </c>
    </row>
    <row r="28">
      <c r="A28" s="33" t="s">
        <v>338</v>
      </c>
      <c r="B28" s="33">
        <v>30.0</v>
      </c>
      <c r="C28" s="33">
        <v>2.0</v>
      </c>
      <c r="D28" s="45"/>
      <c r="E28" s="33">
        <v>1.0</v>
      </c>
      <c r="F28" s="33">
        <v>2.0</v>
      </c>
      <c r="G28" s="45"/>
      <c r="H28" s="45"/>
      <c r="J28" s="21"/>
      <c r="K28" s="21"/>
      <c r="Q28" s="24">
        <v>1.0</v>
      </c>
      <c r="S28" s="24">
        <v>2.0</v>
      </c>
      <c r="U28" s="115" t="str">
        <f t="shared" si="1"/>
        <v>0.00</v>
      </c>
      <c r="V28" s="116" t="str">
        <f t="shared" si="2"/>
        <v>150.00%</v>
      </c>
    </row>
    <row r="29">
      <c r="A29" s="24" t="s">
        <v>339</v>
      </c>
      <c r="B29" s="24">
        <v>3.0</v>
      </c>
      <c r="C29" s="24">
        <v>1.0</v>
      </c>
      <c r="H29" s="24">
        <v>-1.0</v>
      </c>
      <c r="J29" s="21"/>
      <c r="K29" s="21"/>
      <c r="L29" s="24" t="s">
        <v>340</v>
      </c>
      <c r="U29" s="115" t="str">
        <f t="shared" si="1"/>
        <v>0.00</v>
      </c>
      <c r="V29" s="116" t="str">
        <f t="shared" si="2"/>
        <v>0.00%</v>
      </c>
    </row>
    <row r="30">
      <c r="A30" s="24" t="s">
        <v>341</v>
      </c>
      <c r="B30" s="24">
        <v>10.0</v>
      </c>
      <c r="C30" s="24">
        <v>1.0</v>
      </c>
      <c r="D30" s="24">
        <v>1.0</v>
      </c>
      <c r="E30" s="24">
        <v>1.0</v>
      </c>
      <c r="I30" s="24">
        <v>500.0</v>
      </c>
      <c r="J30" s="21"/>
      <c r="K30" s="21"/>
      <c r="Q30" s="24">
        <v>1.0</v>
      </c>
      <c r="R30" s="24">
        <v>1.0</v>
      </c>
      <c r="U30" s="115" t="str">
        <f t="shared" si="1"/>
        <v>0.10</v>
      </c>
      <c r="V30" s="116" t="str">
        <f t="shared" si="2"/>
        <v>200.00%</v>
      </c>
    </row>
    <row r="31">
      <c r="A31" s="24" t="s">
        <v>342</v>
      </c>
      <c r="B31" s="24">
        <v>14.0</v>
      </c>
      <c r="C31" s="24">
        <v>1.0</v>
      </c>
      <c r="E31" s="24">
        <v>2.0</v>
      </c>
      <c r="F31" s="24">
        <v>2.0</v>
      </c>
      <c r="H31" s="24">
        <v>-2.0</v>
      </c>
      <c r="J31" s="21"/>
      <c r="K31" s="21"/>
      <c r="O31" s="24">
        <v>-1.0</v>
      </c>
      <c r="P31" s="24">
        <v>1.0</v>
      </c>
      <c r="U31" s="115" t="str">
        <f t="shared" si="1"/>
        <v>0.00</v>
      </c>
      <c r="V31" s="116" t="str">
        <f t="shared" si="2"/>
        <v>400.00%</v>
      </c>
    </row>
    <row r="32">
      <c r="A32" s="24" t="s">
        <v>295</v>
      </c>
      <c r="B32" s="24">
        <v>6.0</v>
      </c>
      <c r="C32" s="24">
        <v>1.0</v>
      </c>
      <c r="D32" s="24">
        <v>1.0</v>
      </c>
      <c r="E32" s="24">
        <v>1.0</v>
      </c>
      <c r="J32" s="21"/>
      <c r="K32" s="21"/>
      <c r="M32" s="24" t="s">
        <v>292</v>
      </c>
      <c r="Q32" s="24">
        <v>1.0</v>
      </c>
      <c r="U32" s="115" t="str">
        <f t="shared" si="1"/>
        <v>0.17</v>
      </c>
      <c r="V32" s="116" t="str">
        <f t="shared" si="2"/>
        <v>200.00%</v>
      </c>
    </row>
    <row r="33">
      <c r="A33" s="24" t="s">
        <v>343</v>
      </c>
      <c r="B33" s="24">
        <v>28.0</v>
      </c>
      <c r="C33" s="24">
        <v>1.0</v>
      </c>
      <c r="D33" s="24">
        <v>1.0</v>
      </c>
      <c r="I33" s="24">
        <v>2000.0</v>
      </c>
      <c r="J33" s="21"/>
      <c r="K33" s="26" t="s">
        <v>344</v>
      </c>
      <c r="L33" s="24" t="s">
        <v>345</v>
      </c>
      <c r="M33" s="24" t="s">
        <v>346</v>
      </c>
      <c r="Q33" s="24">
        <v>1.0</v>
      </c>
      <c r="U33" s="115" t="str">
        <f t="shared" si="1"/>
        <v>0.04</v>
      </c>
      <c r="V33" s="116" t="str">
        <f t="shared" si="2"/>
        <v>100.00%</v>
      </c>
    </row>
    <row r="34">
      <c r="A34" s="24" t="s">
        <v>347</v>
      </c>
      <c r="B34" s="24">
        <v>68.0</v>
      </c>
      <c r="C34" s="24">
        <v>1.0</v>
      </c>
      <c r="D34" s="24">
        <v>1.0</v>
      </c>
      <c r="I34" s="24">
        <v>2000.0</v>
      </c>
      <c r="J34" s="21"/>
      <c r="K34" s="26" t="s">
        <v>348</v>
      </c>
      <c r="L34" s="24" t="s">
        <v>349</v>
      </c>
      <c r="U34" s="115" t="str">
        <f t="shared" si="1"/>
        <v>0.01</v>
      </c>
      <c r="V34" s="116" t="str">
        <f t="shared" si="2"/>
        <v>100.00%</v>
      </c>
    </row>
    <row r="35">
      <c r="A35" s="24" t="s">
        <v>350</v>
      </c>
      <c r="B35" s="24">
        <v>58.0</v>
      </c>
      <c r="C35" s="24">
        <v>2.0</v>
      </c>
      <c r="D35" s="24">
        <v>2.0</v>
      </c>
      <c r="J35" s="26" t="s">
        <v>293</v>
      </c>
      <c r="K35" s="26" t="s">
        <v>351</v>
      </c>
      <c r="Q35" s="24">
        <v>2.0</v>
      </c>
      <c r="R35" s="24">
        <v>1.0</v>
      </c>
      <c r="T35" s="24">
        <v>1.0</v>
      </c>
      <c r="U35" s="115" t="str">
        <f t="shared" si="1"/>
        <v>0.03</v>
      </c>
      <c r="V35" s="116" t="str">
        <f t="shared" si="2"/>
        <v>100.00%</v>
      </c>
    </row>
    <row r="36">
      <c r="A36" s="24" t="s">
        <v>352</v>
      </c>
      <c r="B36" s="24">
        <v>5.0</v>
      </c>
      <c r="C36" s="24">
        <v>0.0</v>
      </c>
      <c r="J36" s="21"/>
      <c r="K36" s="21"/>
      <c r="O36" s="24">
        <v>-1.0</v>
      </c>
      <c r="U36" s="115" t="str">
        <f t="shared" si="1"/>
        <v>0.00</v>
      </c>
      <c r="V36" s="117" t="str">
        <f t="shared" si="2"/>
        <v>#DIV/0!</v>
      </c>
    </row>
    <row r="37">
      <c r="A37" s="24" t="s">
        <v>353</v>
      </c>
      <c r="B37" s="24">
        <v>10.0</v>
      </c>
      <c r="C37" s="24">
        <v>1.0</v>
      </c>
      <c r="F37" s="24">
        <v>1.0</v>
      </c>
      <c r="J37" s="21"/>
      <c r="K37" s="21"/>
      <c r="M37" s="24" t="s">
        <v>354</v>
      </c>
      <c r="P37" s="24">
        <v>1.0</v>
      </c>
      <c r="R37" s="24">
        <v>1.0</v>
      </c>
      <c r="U37" s="115" t="str">
        <f t="shared" si="1"/>
        <v>0.00</v>
      </c>
      <c r="V37" s="116" t="str">
        <f t="shared" si="2"/>
        <v>100.00%</v>
      </c>
    </row>
    <row r="38">
      <c r="A38" s="24" t="s">
        <v>355</v>
      </c>
      <c r="B38" s="24">
        <v>48.0</v>
      </c>
      <c r="C38" s="24">
        <v>2.0</v>
      </c>
      <c r="D38" s="24">
        <v>2.0</v>
      </c>
      <c r="F38" s="24">
        <v>2.0</v>
      </c>
      <c r="I38" s="24">
        <v>2000.0</v>
      </c>
      <c r="J38" s="26" t="s">
        <v>356</v>
      </c>
      <c r="K38" s="26" t="s">
        <v>357</v>
      </c>
      <c r="L38" s="24" t="s">
        <v>345</v>
      </c>
      <c r="U38" s="115" t="str">
        <f t="shared" si="1"/>
        <v>0.04</v>
      </c>
      <c r="V38" s="116" t="str">
        <f t="shared" si="2"/>
        <v>200.00%</v>
      </c>
    </row>
    <row r="39">
      <c r="A39" s="24" t="s">
        <v>358</v>
      </c>
      <c r="B39" s="24">
        <v>16.0</v>
      </c>
      <c r="C39" s="24">
        <v>4.0</v>
      </c>
      <c r="D39" s="24">
        <v>1.0</v>
      </c>
      <c r="E39" s="24">
        <v>0.0</v>
      </c>
      <c r="J39" s="21"/>
      <c r="K39" s="21"/>
      <c r="T39" s="24">
        <v>1.0</v>
      </c>
      <c r="U39" s="115" t="str">
        <f t="shared" si="1"/>
        <v>0.06</v>
      </c>
      <c r="V39" s="116" t="str">
        <f t="shared" si="2"/>
        <v>25.00%</v>
      </c>
    </row>
    <row r="40">
      <c r="A40" s="24" t="s">
        <v>359</v>
      </c>
      <c r="B40" s="24">
        <v>36.0</v>
      </c>
      <c r="C40" s="24">
        <v>2.0</v>
      </c>
      <c r="E40" s="24">
        <v>2.0</v>
      </c>
      <c r="F40" s="24">
        <v>1.0</v>
      </c>
      <c r="J40" s="26" t="s">
        <v>307</v>
      </c>
      <c r="K40" s="26" t="s">
        <v>360</v>
      </c>
      <c r="P40" s="24">
        <v>1.0</v>
      </c>
      <c r="Q40" s="24">
        <v>1.0</v>
      </c>
      <c r="T40" s="24">
        <v>1.0</v>
      </c>
      <c r="U40" s="115" t="str">
        <f t="shared" si="1"/>
        <v>0.00</v>
      </c>
      <c r="V40" s="116" t="str">
        <f t="shared" si="2"/>
        <v>150.00%</v>
      </c>
    </row>
    <row r="41">
      <c r="A41" s="24" t="s">
        <v>361</v>
      </c>
      <c r="B41" s="24">
        <v>6.0</v>
      </c>
      <c r="C41" s="24">
        <v>1.0</v>
      </c>
      <c r="D41" s="24">
        <v>1.0</v>
      </c>
      <c r="F41" s="24">
        <v>1.0</v>
      </c>
      <c r="J41" s="21"/>
      <c r="K41" s="21"/>
      <c r="S41" s="24">
        <v>1.0</v>
      </c>
      <c r="U41" s="115" t="str">
        <f t="shared" si="1"/>
        <v>0.17</v>
      </c>
      <c r="V41" s="116" t="str">
        <f t="shared" si="2"/>
        <v>200.00%</v>
      </c>
    </row>
    <row r="42">
      <c r="A42" s="24" t="s">
        <v>362</v>
      </c>
      <c r="B42" s="24">
        <v>30.0</v>
      </c>
      <c r="C42" s="24">
        <v>1.0</v>
      </c>
      <c r="D42" s="24">
        <v>3.0</v>
      </c>
      <c r="E42" s="24">
        <v>3.0</v>
      </c>
      <c r="F42" s="24">
        <v>1.0</v>
      </c>
      <c r="J42" s="21"/>
      <c r="K42" s="21"/>
      <c r="T42" s="24">
        <v>1.0</v>
      </c>
      <c r="U42" s="115" t="str">
        <f t="shared" si="1"/>
        <v>0.10</v>
      </c>
      <c r="V42" s="116" t="str">
        <f t="shared" si="2"/>
        <v>700.00%</v>
      </c>
    </row>
    <row r="43">
      <c r="A43" s="24" t="s">
        <v>363</v>
      </c>
      <c r="B43" s="24">
        <v>2.0</v>
      </c>
      <c r="C43" s="24">
        <v>0.0</v>
      </c>
      <c r="G43" s="24">
        <v>1.0</v>
      </c>
      <c r="H43" s="24">
        <v>-1.0</v>
      </c>
      <c r="J43" s="21"/>
      <c r="K43" s="21"/>
      <c r="U43" s="115" t="str">
        <f t="shared" si="1"/>
        <v>0.00</v>
      </c>
      <c r="V43" s="117" t="str">
        <f t="shared" si="2"/>
        <v>#DIV/0!</v>
      </c>
    </row>
    <row r="44">
      <c r="A44" s="24" t="s">
        <v>364</v>
      </c>
      <c r="B44" s="24">
        <v>16.0</v>
      </c>
      <c r="C44" s="24">
        <v>2.0</v>
      </c>
      <c r="F44" s="24">
        <v>1.0</v>
      </c>
      <c r="J44" s="21"/>
      <c r="K44" s="21"/>
      <c r="P44" s="24">
        <v>1.0</v>
      </c>
      <c r="Q44" s="24">
        <v>1.0</v>
      </c>
      <c r="U44" s="115" t="str">
        <f t="shared" si="1"/>
        <v>0.00</v>
      </c>
      <c r="V44" s="116" t="str">
        <f t="shared" si="2"/>
        <v>50.00%</v>
      </c>
    </row>
    <row r="45">
      <c r="A45" s="24" t="s">
        <v>365</v>
      </c>
      <c r="B45" s="24">
        <v>6.0</v>
      </c>
      <c r="C45" s="24">
        <v>1.0</v>
      </c>
      <c r="E45" s="24">
        <v>1.0</v>
      </c>
      <c r="H45" s="24">
        <v>-1.0</v>
      </c>
      <c r="J45" s="21"/>
      <c r="K45" s="21"/>
      <c r="U45" s="115" t="str">
        <f t="shared" si="1"/>
        <v>0.00</v>
      </c>
      <c r="V45" s="116" t="str">
        <f t="shared" si="2"/>
        <v>100.00%</v>
      </c>
    </row>
    <row r="46">
      <c r="A46" s="24" t="s">
        <v>366</v>
      </c>
      <c r="B46" s="24">
        <v>30.0</v>
      </c>
      <c r="C46" s="24">
        <v>2.0</v>
      </c>
      <c r="D46" s="24">
        <v>1.0</v>
      </c>
      <c r="E46" s="24">
        <v>1.0</v>
      </c>
      <c r="J46" s="21"/>
      <c r="K46" s="21"/>
      <c r="Q46" s="24">
        <v>2.0</v>
      </c>
      <c r="R46" s="24">
        <v>1.0</v>
      </c>
      <c r="T46" s="24">
        <v>1.0</v>
      </c>
      <c r="U46" s="115" t="str">
        <f t="shared" si="1"/>
        <v>0.03</v>
      </c>
      <c r="V46" s="116" t="str">
        <f t="shared" si="2"/>
        <v>100.00%</v>
      </c>
    </row>
    <row r="47">
      <c r="A47" s="24" t="s">
        <v>354</v>
      </c>
      <c r="B47" s="24">
        <v>24.0</v>
      </c>
      <c r="C47" s="24">
        <v>2.0</v>
      </c>
      <c r="D47" s="24">
        <v>1.0</v>
      </c>
      <c r="E47" s="24">
        <v>1.0</v>
      </c>
      <c r="F47" s="24">
        <v>1.0</v>
      </c>
      <c r="J47" s="26" t="s">
        <v>367</v>
      </c>
      <c r="K47" s="21"/>
      <c r="L47" s="24" t="s">
        <v>353</v>
      </c>
      <c r="R47" s="24">
        <v>1.0</v>
      </c>
      <c r="T47" s="24">
        <v>1.0</v>
      </c>
      <c r="U47" s="115" t="str">
        <f t="shared" si="1"/>
        <v>0.04</v>
      </c>
      <c r="V47" s="116" t="str">
        <f t="shared" si="2"/>
        <v>150.00%</v>
      </c>
    </row>
    <row r="48">
      <c r="A48" s="24" t="s">
        <v>368</v>
      </c>
      <c r="B48" s="24">
        <v>12.0</v>
      </c>
      <c r="C48" s="24">
        <v>1.0</v>
      </c>
      <c r="F48" s="24">
        <v>1.0</v>
      </c>
      <c r="J48" s="21"/>
      <c r="K48" s="26" t="s">
        <v>369</v>
      </c>
      <c r="Q48" s="24">
        <v>1.0</v>
      </c>
      <c r="U48" s="115" t="str">
        <f t="shared" si="1"/>
        <v>0.00</v>
      </c>
      <c r="V48" s="116" t="str">
        <f t="shared" si="2"/>
        <v>100.00%</v>
      </c>
    </row>
    <row r="49">
      <c r="A49" s="24" t="s">
        <v>370</v>
      </c>
      <c r="B49" s="24">
        <v>6.0</v>
      </c>
      <c r="C49" s="24">
        <v>1.0</v>
      </c>
      <c r="F49" s="24">
        <v>1.0</v>
      </c>
      <c r="H49" s="24">
        <v>-1.0</v>
      </c>
      <c r="J49" s="21"/>
      <c r="K49" s="21"/>
      <c r="U49" s="115" t="str">
        <f t="shared" si="1"/>
        <v>0.00</v>
      </c>
      <c r="V49" s="116" t="str">
        <f t="shared" si="2"/>
        <v>100.00%</v>
      </c>
    </row>
    <row r="50">
      <c r="A50" s="24" t="s">
        <v>371</v>
      </c>
      <c r="B50" s="24">
        <v>108.0</v>
      </c>
      <c r="C50" s="24">
        <v>4.0</v>
      </c>
      <c r="D50" s="24">
        <v>2.0</v>
      </c>
      <c r="E50" s="24">
        <v>6.0</v>
      </c>
      <c r="F50" s="24">
        <v>2.0</v>
      </c>
      <c r="I50" s="24">
        <v>1000.0</v>
      </c>
      <c r="J50" s="26" t="s">
        <v>372</v>
      </c>
      <c r="K50" s="21"/>
      <c r="P50" s="24">
        <v>2.0</v>
      </c>
      <c r="T50" s="24">
        <v>1.0</v>
      </c>
      <c r="U50" s="115" t="str">
        <f t="shared" si="1"/>
        <v>0.02</v>
      </c>
      <c r="V50" s="116" t="str">
        <f t="shared" si="2"/>
        <v>250.00%</v>
      </c>
    </row>
    <row r="51">
      <c r="A51" s="24" t="s">
        <v>373</v>
      </c>
      <c r="B51" s="24">
        <v>4.0</v>
      </c>
      <c r="C51" s="24">
        <v>1.0</v>
      </c>
      <c r="E51" s="24">
        <v>1.0</v>
      </c>
      <c r="H51" s="24">
        <v>-1.0</v>
      </c>
      <c r="J51" s="21"/>
      <c r="K51" s="21"/>
      <c r="U51" s="115" t="str">
        <f t="shared" si="1"/>
        <v>0.00</v>
      </c>
      <c r="V51" s="116" t="str">
        <f t="shared" si="2"/>
        <v>100.00%</v>
      </c>
    </row>
    <row r="52">
      <c r="A52" s="24" t="s">
        <v>374</v>
      </c>
      <c r="B52" s="24">
        <v>24.0</v>
      </c>
      <c r="C52" s="24">
        <v>0.0</v>
      </c>
      <c r="D52" s="24">
        <v>2.0</v>
      </c>
      <c r="F52" s="24">
        <v>1.0</v>
      </c>
      <c r="J52" s="21"/>
      <c r="K52" s="21"/>
      <c r="S52" s="24">
        <v>2.0</v>
      </c>
      <c r="U52" s="115" t="str">
        <f t="shared" si="1"/>
        <v>0.08</v>
      </c>
      <c r="V52" s="117" t="str">
        <f t="shared" si="2"/>
        <v>#DIV/0!</v>
      </c>
    </row>
    <row r="53">
      <c r="A53" s="24" t="s">
        <v>375</v>
      </c>
      <c r="B53" s="24">
        <v>16.0</v>
      </c>
      <c r="C53" s="24">
        <v>1.0</v>
      </c>
      <c r="D53" s="24">
        <v>1.0</v>
      </c>
      <c r="F53" s="24">
        <v>1.0</v>
      </c>
      <c r="I53" s="24">
        <v>1000.0</v>
      </c>
      <c r="J53" s="21"/>
      <c r="K53" s="21"/>
      <c r="M53" s="24" t="s">
        <v>50</v>
      </c>
      <c r="O53" s="24">
        <v>1.0</v>
      </c>
      <c r="U53" s="115" t="str">
        <f t="shared" si="1"/>
        <v>0.06</v>
      </c>
      <c r="V53" s="116" t="str">
        <f t="shared" si="2"/>
        <v>200.00%</v>
      </c>
    </row>
    <row r="54">
      <c r="A54" s="24" t="s">
        <v>376</v>
      </c>
      <c r="B54" s="24">
        <v>24.0</v>
      </c>
      <c r="C54" s="24">
        <v>0.0</v>
      </c>
      <c r="E54" s="24">
        <v>1.0</v>
      </c>
      <c r="F54" s="24">
        <v>2.0</v>
      </c>
      <c r="J54" s="26" t="s">
        <v>377</v>
      </c>
      <c r="K54" s="21"/>
      <c r="O54" s="24">
        <v>1.0</v>
      </c>
      <c r="S54" s="24">
        <v>1.0</v>
      </c>
      <c r="U54" s="115" t="str">
        <f t="shared" si="1"/>
        <v>0.00</v>
      </c>
      <c r="V54" s="117" t="str">
        <f t="shared" si="2"/>
        <v>#DIV/0!</v>
      </c>
    </row>
    <row r="55">
      <c r="A55" s="24" t="s">
        <v>378</v>
      </c>
      <c r="B55" s="24">
        <v>8.0</v>
      </c>
      <c r="C55" s="24">
        <v>1.0</v>
      </c>
      <c r="D55" s="24">
        <v>1.0</v>
      </c>
      <c r="I55" s="24">
        <v>500.0</v>
      </c>
      <c r="J55" s="21"/>
      <c r="K55" s="21"/>
      <c r="M55" s="24" t="s">
        <v>379</v>
      </c>
      <c r="S55" s="24">
        <v>1.0</v>
      </c>
      <c r="U55" s="115" t="str">
        <f t="shared" si="1"/>
        <v>0.13</v>
      </c>
      <c r="V55" s="116" t="str">
        <f t="shared" si="2"/>
        <v>100.00%</v>
      </c>
    </row>
    <row r="56">
      <c r="A56" s="24" t="s">
        <v>380</v>
      </c>
      <c r="B56" s="24">
        <v>8.0</v>
      </c>
      <c r="C56" s="24">
        <v>1.0</v>
      </c>
      <c r="E56" s="24">
        <v>1.0</v>
      </c>
      <c r="H56" s="24">
        <v>-1.0</v>
      </c>
      <c r="J56" s="21"/>
      <c r="K56" s="26" t="s">
        <v>381</v>
      </c>
      <c r="M56" s="24" t="s">
        <v>382</v>
      </c>
      <c r="U56" s="115" t="str">
        <f t="shared" si="1"/>
        <v>0.00</v>
      </c>
      <c r="V56" s="116" t="str">
        <f t="shared" si="2"/>
        <v>100.00%</v>
      </c>
    </row>
    <row r="57">
      <c r="A57" s="24" t="s">
        <v>330</v>
      </c>
      <c r="B57" s="24">
        <v>6.0</v>
      </c>
      <c r="C57" s="24">
        <v>1.0</v>
      </c>
      <c r="D57" s="24">
        <v>1.0</v>
      </c>
      <c r="F57" s="24">
        <v>1.0</v>
      </c>
      <c r="J57" s="21"/>
      <c r="K57" s="21"/>
      <c r="U57" s="115" t="str">
        <f t="shared" si="1"/>
        <v>0.17</v>
      </c>
      <c r="V57" s="116" t="str">
        <f t="shared" si="2"/>
        <v>200.00%</v>
      </c>
    </row>
    <row r="58">
      <c r="A58" s="24" t="s">
        <v>383</v>
      </c>
      <c r="B58" s="24">
        <v>10.0</v>
      </c>
      <c r="C58" s="24">
        <v>1.0</v>
      </c>
      <c r="D58" s="24">
        <v>1.0</v>
      </c>
      <c r="E58" s="24">
        <v>1.0</v>
      </c>
      <c r="I58" s="24">
        <v>500.0</v>
      </c>
      <c r="J58" s="21"/>
      <c r="K58" s="21"/>
      <c r="U58" s="115" t="str">
        <f t="shared" si="1"/>
        <v>0.10</v>
      </c>
      <c r="V58" s="116" t="str">
        <f t="shared" si="2"/>
        <v>200.00%</v>
      </c>
    </row>
    <row r="59">
      <c r="A59" s="24" t="s">
        <v>384</v>
      </c>
      <c r="B59" s="24">
        <v>20.0</v>
      </c>
      <c r="C59" s="24">
        <v>4.0</v>
      </c>
      <c r="D59" s="24">
        <v>1.0</v>
      </c>
      <c r="F59" s="24">
        <v>-1.0</v>
      </c>
      <c r="J59" s="26" t="s">
        <v>385</v>
      </c>
      <c r="K59" s="21"/>
      <c r="S59" s="24">
        <v>1.0</v>
      </c>
      <c r="U59" s="115" t="str">
        <f t="shared" si="1"/>
        <v>0.05</v>
      </c>
      <c r="V59" s="116" t="str">
        <f t="shared" si="2"/>
        <v>0.00%</v>
      </c>
    </row>
    <row r="60">
      <c r="A60" s="24" t="s">
        <v>386</v>
      </c>
      <c r="B60" s="24">
        <v>6.0</v>
      </c>
      <c r="C60" s="24">
        <v>1.0</v>
      </c>
      <c r="D60" s="24">
        <v>1.0</v>
      </c>
      <c r="F60" s="24">
        <v>1.0</v>
      </c>
      <c r="J60" s="21"/>
      <c r="K60" s="21"/>
      <c r="R60" s="24">
        <v>-1.0</v>
      </c>
      <c r="U60" s="115" t="str">
        <f t="shared" si="1"/>
        <v>0.17</v>
      </c>
      <c r="V60" s="116" t="str">
        <f t="shared" si="2"/>
        <v>200.00%</v>
      </c>
    </row>
    <row r="61">
      <c r="A61" s="24" t="s">
        <v>387</v>
      </c>
      <c r="B61" s="24">
        <v>12.0</v>
      </c>
      <c r="C61" s="24">
        <v>1.0</v>
      </c>
      <c r="D61" s="24">
        <v>1.0</v>
      </c>
      <c r="E61" s="24">
        <v>1.0</v>
      </c>
      <c r="I61" s="24">
        <v>500.0</v>
      </c>
      <c r="J61" s="21"/>
      <c r="K61" s="21"/>
      <c r="N61" s="24">
        <v>1.0</v>
      </c>
      <c r="U61" s="115" t="str">
        <f t="shared" si="1"/>
        <v>0.08</v>
      </c>
      <c r="V61" s="116" t="str">
        <f t="shared" si="2"/>
        <v>200.00%</v>
      </c>
    </row>
    <row r="62">
      <c r="A62" s="24" t="s">
        <v>382</v>
      </c>
      <c r="B62" s="24">
        <v>32.0</v>
      </c>
      <c r="C62" s="24">
        <v>2.0</v>
      </c>
      <c r="E62" s="24">
        <v>2.0</v>
      </c>
      <c r="F62" s="24">
        <v>2.0</v>
      </c>
      <c r="H62" s="24">
        <v>-2.0</v>
      </c>
      <c r="J62" s="26" t="s">
        <v>388</v>
      </c>
      <c r="K62" s="26" t="s">
        <v>389</v>
      </c>
      <c r="L62" s="24" t="s">
        <v>380</v>
      </c>
      <c r="U62" s="115" t="str">
        <f t="shared" si="1"/>
        <v>0.00</v>
      </c>
      <c r="V62" s="116" t="str">
        <f t="shared" si="2"/>
        <v>200.00%</v>
      </c>
    </row>
    <row r="63">
      <c r="A63" s="24" t="s">
        <v>340</v>
      </c>
      <c r="B63" s="24">
        <v>1.0</v>
      </c>
      <c r="C63" s="24">
        <v>1.0</v>
      </c>
      <c r="H63" s="24">
        <v>2.0</v>
      </c>
      <c r="J63" s="21"/>
      <c r="K63" s="21"/>
      <c r="M63" s="24" t="s">
        <v>339</v>
      </c>
      <c r="U63" s="115" t="str">
        <f t="shared" si="1"/>
        <v>0.00</v>
      </c>
      <c r="V63" s="116" t="str">
        <f t="shared" si="2"/>
        <v>0.00%</v>
      </c>
    </row>
    <row r="64">
      <c r="A64" s="24" t="s">
        <v>302</v>
      </c>
      <c r="B64" s="24">
        <v>24.0</v>
      </c>
      <c r="C64" s="24">
        <v>2.0</v>
      </c>
      <c r="D64" s="24">
        <v>2.0</v>
      </c>
      <c r="F64" s="24">
        <v>2.0</v>
      </c>
      <c r="J64" s="26" t="s">
        <v>390</v>
      </c>
      <c r="K64" s="21"/>
      <c r="M64" s="24" t="s">
        <v>391</v>
      </c>
      <c r="U64" s="115" t="str">
        <f t="shared" si="1"/>
        <v>0.08</v>
      </c>
      <c r="V64" s="116" t="str">
        <f t="shared" si="2"/>
        <v>200.00%</v>
      </c>
    </row>
    <row r="65">
      <c r="A65" s="24" t="s">
        <v>392</v>
      </c>
      <c r="B65" s="24">
        <v>22.0</v>
      </c>
      <c r="C65" s="24">
        <v>2.0</v>
      </c>
      <c r="D65" s="24">
        <v>1.0</v>
      </c>
      <c r="E65" s="24">
        <v>1.0</v>
      </c>
      <c r="F65" s="24">
        <v>1.0</v>
      </c>
      <c r="J65" s="26" t="s">
        <v>393</v>
      </c>
      <c r="K65" s="21"/>
      <c r="P65" s="24">
        <v>1.0</v>
      </c>
      <c r="U65" s="115" t="str">
        <f t="shared" si="1"/>
        <v>0.05</v>
      </c>
      <c r="V65" s="116" t="str">
        <f t="shared" si="2"/>
        <v>150.00%</v>
      </c>
    </row>
    <row r="66">
      <c r="A66" s="24" t="s">
        <v>394</v>
      </c>
      <c r="B66" s="24">
        <v>10.0</v>
      </c>
      <c r="C66" s="24">
        <v>1.0</v>
      </c>
      <c r="D66" s="24">
        <v>1.0</v>
      </c>
      <c r="F66" s="24">
        <v>1.0</v>
      </c>
      <c r="I66" s="24">
        <v>500.0</v>
      </c>
      <c r="J66" s="21"/>
      <c r="K66" s="21"/>
      <c r="M66" s="24" t="s">
        <v>334</v>
      </c>
      <c r="S66" s="24">
        <v>1.0</v>
      </c>
      <c r="U66" s="115" t="str">
        <f t="shared" si="1"/>
        <v>0.10</v>
      </c>
      <c r="V66" s="116" t="str">
        <f t="shared" si="2"/>
        <v>200.00%</v>
      </c>
    </row>
    <row r="67">
      <c r="A67" s="24" t="s">
        <v>296</v>
      </c>
      <c r="B67" s="24">
        <v>78.0</v>
      </c>
      <c r="C67" s="24">
        <v>4.0</v>
      </c>
      <c r="D67" s="24">
        <v>3.0</v>
      </c>
      <c r="E67" s="24">
        <v>3.0</v>
      </c>
      <c r="J67" s="26" t="s">
        <v>395</v>
      </c>
      <c r="K67" s="26" t="s">
        <v>396</v>
      </c>
      <c r="T67" s="24">
        <v>1.0</v>
      </c>
      <c r="U67" s="115" t="str">
        <f t="shared" si="1"/>
        <v>0.04</v>
      </c>
      <c r="V67" s="116" t="str">
        <f t="shared" si="2"/>
        <v>150.00%</v>
      </c>
    </row>
    <row r="68">
      <c r="A68" s="24" t="s">
        <v>397</v>
      </c>
      <c r="B68" s="24">
        <v>12.0</v>
      </c>
      <c r="C68" s="24">
        <v>1.0</v>
      </c>
      <c r="F68" s="24">
        <v>1.0</v>
      </c>
      <c r="G68" s="24">
        <v>2.0</v>
      </c>
      <c r="H68" s="24">
        <v>-1.0</v>
      </c>
      <c r="J68" s="21"/>
      <c r="K68" s="21"/>
      <c r="U68" s="115" t="str">
        <f t="shared" si="1"/>
        <v>0.00</v>
      </c>
      <c r="V68" s="116" t="str">
        <f t="shared" si="2"/>
        <v>300.00%</v>
      </c>
    </row>
    <row r="69">
      <c r="A69" s="24" t="s">
        <v>398</v>
      </c>
      <c r="B69" s="24">
        <v>2.0</v>
      </c>
      <c r="C69" s="24">
        <v>0.0</v>
      </c>
      <c r="J69" s="21"/>
      <c r="K69" s="21"/>
      <c r="U69" s="115" t="str">
        <f t="shared" si="1"/>
        <v>0.00</v>
      </c>
      <c r="V69" s="117" t="str">
        <f t="shared" si="2"/>
        <v>#DIV/0!</v>
      </c>
    </row>
    <row r="70">
      <c r="A70" s="24" t="s">
        <v>399</v>
      </c>
      <c r="B70" s="24">
        <v>90.0</v>
      </c>
      <c r="C70" s="24">
        <v>4.0</v>
      </c>
      <c r="D70" s="24">
        <v>4.0</v>
      </c>
      <c r="I70" s="24">
        <v>4000.0</v>
      </c>
      <c r="J70" s="26" t="s">
        <v>400</v>
      </c>
      <c r="K70" s="26" t="s">
        <v>401</v>
      </c>
      <c r="L70" s="24" t="s">
        <v>402</v>
      </c>
      <c r="S70" s="24">
        <v>2.0</v>
      </c>
      <c r="U70" s="115" t="str">
        <f t="shared" si="1"/>
        <v>0.04</v>
      </c>
      <c r="V70" s="116" t="str">
        <f t="shared" si="2"/>
        <v>100.00%</v>
      </c>
    </row>
    <row r="71">
      <c r="A71" s="24" t="s">
        <v>403</v>
      </c>
      <c r="B71" s="24">
        <v>3.0</v>
      </c>
      <c r="C71" s="24">
        <v>1.0</v>
      </c>
      <c r="J71" s="21"/>
      <c r="K71" s="21"/>
      <c r="U71" s="115" t="str">
        <f t="shared" si="1"/>
        <v>0.00</v>
      </c>
      <c r="V71" s="116" t="str">
        <f t="shared" si="2"/>
        <v>0.00%</v>
      </c>
    </row>
    <row r="72">
      <c r="J72" s="21"/>
      <c r="K72" s="21"/>
      <c r="U72" s="115"/>
      <c r="V72" s="116"/>
    </row>
    <row r="73">
      <c r="J73" s="21"/>
      <c r="K73" s="21"/>
      <c r="U73" s="116"/>
    </row>
    <row r="74">
      <c r="J74" s="21"/>
      <c r="K74" s="21"/>
    </row>
    <row r="75">
      <c r="J75" s="21"/>
      <c r="K75" s="21"/>
    </row>
    <row r="76">
      <c r="J76" s="21"/>
      <c r="K76" s="21"/>
    </row>
    <row r="77">
      <c r="J77" s="21"/>
      <c r="K77" s="21"/>
    </row>
    <row r="78">
      <c r="J78" s="21"/>
      <c r="K78" s="21"/>
    </row>
    <row r="79">
      <c r="A79" s="77" t="s">
        <v>404</v>
      </c>
      <c r="B79" s="112"/>
      <c r="C79" s="112"/>
      <c r="D79" s="112"/>
      <c r="E79" s="112"/>
      <c r="F79" s="112"/>
      <c r="G79" s="112"/>
      <c r="H79" s="112"/>
      <c r="I79" s="112"/>
      <c r="J79" s="118"/>
      <c r="K79" s="118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</row>
    <row r="80">
      <c r="J80" s="21"/>
      <c r="K80" s="21"/>
    </row>
    <row r="81">
      <c r="B81" s="119"/>
      <c r="J81" s="21"/>
      <c r="K81" s="21"/>
    </row>
    <row r="82">
      <c r="B82" s="119"/>
      <c r="J82" s="21"/>
      <c r="K82" s="21"/>
    </row>
    <row r="83">
      <c r="B83" s="119"/>
      <c r="J83" s="21"/>
      <c r="K83" s="21"/>
    </row>
    <row r="84">
      <c r="B84" s="119"/>
      <c r="J84" s="21"/>
      <c r="K84" s="21"/>
    </row>
    <row r="85">
      <c r="B85" s="119"/>
      <c r="J85" s="21"/>
      <c r="K85" s="21"/>
    </row>
    <row r="86">
      <c r="J86" s="21"/>
      <c r="K86" s="21"/>
    </row>
    <row r="87">
      <c r="J87" s="21"/>
      <c r="K87" s="21"/>
    </row>
    <row r="88">
      <c r="J88" s="21"/>
      <c r="K88" s="21"/>
    </row>
    <row r="89">
      <c r="J89" s="21"/>
      <c r="K89" s="21"/>
    </row>
    <row r="90">
      <c r="A90" s="120" t="s">
        <v>5</v>
      </c>
      <c r="B90" s="120" t="s">
        <v>405</v>
      </c>
      <c r="C90" s="120" t="s">
        <v>406</v>
      </c>
      <c r="D90" s="120" t="s">
        <v>407</v>
      </c>
      <c r="J90" s="21"/>
      <c r="K90" s="21"/>
    </row>
    <row r="91">
      <c r="A91" s="120">
        <v>250.0</v>
      </c>
      <c r="B91" s="120">
        <v>500.0</v>
      </c>
      <c r="C91" s="120">
        <v>2500.0</v>
      </c>
      <c r="D91" s="120">
        <v>3.0</v>
      </c>
      <c r="J91" s="21"/>
      <c r="K91" s="21"/>
    </row>
    <row r="92">
      <c r="A92" s="120">
        <v>2000.0</v>
      </c>
      <c r="B92" s="120">
        <v>1000.0</v>
      </c>
      <c r="C92" s="120">
        <v>5000.0</v>
      </c>
      <c r="D92" s="120">
        <v>4.0</v>
      </c>
      <c r="J92" s="21"/>
      <c r="K92" s="21"/>
    </row>
    <row r="93">
      <c r="A93" s="120">
        <v>5000.0</v>
      </c>
      <c r="B93" s="120">
        <v>2000.0</v>
      </c>
      <c r="C93" s="120">
        <v>10000.0</v>
      </c>
      <c r="D93" s="120">
        <v>5.0</v>
      </c>
      <c r="J93" s="21"/>
      <c r="K93" s="21"/>
    </row>
    <row r="94">
      <c r="A94" s="120">
        <v>10000.0</v>
      </c>
      <c r="B94" s="120">
        <v>4000.0</v>
      </c>
      <c r="C94" s="120">
        <v>25000.0</v>
      </c>
      <c r="D94" s="120">
        <v>6.0</v>
      </c>
      <c r="J94" s="21"/>
      <c r="K94" s="21"/>
    </row>
    <row r="95">
      <c r="A95" s="120">
        <v>25000.0</v>
      </c>
      <c r="B95" s="120">
        <v>8000.0</v>
      </c>
      <c r="C95" s="120">
        <v>50000.0</v>
      </c>
      <c r="D95" s="120">
        <v>7.0</v>
      </c>
      <c r="J95" s="21"/>
      <c r="K95" s="21"/>
    </row>
    <row r="96">
      <c r="A96" s="120">
        <v>26000.0</v>
      </c>
      <c r="B96" s="120">
        <v>16000.0</v>
      </c>
      <c r="C96" s="120">
        <v>100000.0</v>
      </c>
      <c r="D96" s="120">
        <v>8.0</v>
      </c>
      <c r="J96" s="21"/>
      <c r="K96" s="21"/>
    </row>
    <row r="97">
      <c r="J97" s="21"/>
      <c r="K97" s="21"/>
    </row>
    <row r="98">
      <c r="J98" s="21"/>
      <c r="K98" s="21"/>
    </row>
    <row r="99">
      <c r="J99" s="21"/>
      <c r="K99" s="21"/>
    </row>
    <row r="100">
      <c r="J100" s="21"/>
      <c r="K100" s="21"/>
    </row>
    <row r="101">
      <c r="J101" s="21"/>
      <c r="K101" s="21"/>
    </row>
    <row r="102">
      <c r="J102" s="21"/>
      <c r="K102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86"/>
    <col customWidth="1" min="2" max="2" width="3.57"/>
    <col customWidth="1" min="3" max="3" width="9.57"/>
    <col customWidth="1" min="4" max="4" width="8.71"/>
    <col customWidth="1" min="5" max="5" width="10.14"/>
    <col customWidth="1" min="6" max="6" width="8.71"/>
    <col customWidth="1" min="7" max="7" width="9.57"/>
    <col customWidth="1" min="8" max="8" width="9.43"/>
    <col customWidth="1" min="9" max="9" width="7.86"/>
    <col customWidth="1" min="10" max="10" width="10.0"/>
    <col customWidth="1" min="11" max="11" width="17.29"/>
    <col customWidth="1" min="12" max="12" width="24.14"/>
  </cols>
  <sheetData>
    <row r="1">
      <c r="A1" s="16" t="s">
        <v>19</v>
      </c>
    </row>
    <row r="2">
      <c r="A2" s="21"/>
      <c r="D2" s="24" t="s">
        <v>27</v>
      </c>
      <c r="E2" s="24" t="s">
        <v>29</v>
      </c>
    </row>
    <row r="3">
      <c r="A3" s="26" t="s">
        <v>30</v>
      </c>
      <c r="C3" s="40" t="str">
        <f>IF(D3&gt;(D37/36),D3,ROUNDUP(IF(D37=0,1,D37/36)))</f>
        <v>1</v>
      </c>
      <c r="D3" s="6"/>
      <c r="E3" s="43" t="s">
        <v>39</v>
      </c>
    </row>
    <row r="4">
      <c r="A4" s="33" t="s">
        <v>5</v>
      </c>
      <c r="C4" s="5" t="str">
        <f>IF(D4&gt;=D37*250,D4,D37*250)</f>
        <v/>
      </c>
      <c r="D4" s="6"/>
    </row>
    <row r="5">
      <c r="A5" s="33" t="s">
        <v>41</v>
      </c>
      <c r="C5" s="5" t="str">
        <f>J37+IF(C4&lt;250,500,IF((AND(250&lt;=C4,C4&lt;2000)),1000,IF(AND(2000&lt;=C4,C4&lt;5000),2000,IF(AND(5000&lt;=C4,C4&lt;10000),4000,IF(AND(10000&lt;=C4,C4&lt;25000),8000,IF(25000&lt;=C4,16000,0))))))</f>
        <v>500</v>
      </c>
    </row>
    <row r="6">
      <c r="A6" s="33" t="s">
        <v>55</v>
      </c>
      <c r="C6" s="5" t="str">
        <f>J37+IF(C4&lt;=250,2500,IF((AND(250&lt;=C4,C4&lt;2000)),5000,IF(AND(2000&lt;=C4,C4&lt;5000),10000,IF(AND(5000&lt;=C4,C4&lt;10000),25000,IF(AND(10000&lt;=C4,C4&lt;25000),50000,IF(25000&lt;=C4,100000,0))))))</f>
        <v>2500</v>
      </c>
    </row>
    <row r="7">
      <c r="A7" s="33" t="s">
        <v>96</v>
      </c>
      <c r="C7" s="5" t="str">
        <f>IF(C4&lt;=250,3,IF((AND(250&lt;=C4,C4&lt;2000)),4,IF(AND(2000&lt;=C4,C4&lt;5000),5,IF(AND(5000&lt;=C4,C4&lt;10000),6,IF(AND(10000&lt;=C4,C4&lt;25000),7,IF(25000&lt;=C4,8,0))))))</f>
        <v>3</v>
      </c>
    </row>
    <row r="8" ht="5.25" customHeight="1"/>
    <row r="9">
      <c r="A9" s="16" t="s">
        <v>129</v>
      </c>
    </row>
    <row r="10">
      <c r="A10" s="3" t="s">
        <v>132</v>
      </c>
      <c r="B10" s="3" t="s">
        <v>134</v>
      </c>
      <c r="C10" s="3" t="s">
        <v>136</v>
      </c>
      <c r="D10" s="3" t="s">
        <v>138</v>
      </c>
      <c r="E10" s="3" t="s">
        <v>35</v>
      </c>
      <c r="F10" s="3" t="s">
        <v>44</v>
      </c>
      <c r="G10" s="3" t="s">
        <v>48</v>
      </c>
      <c r="H10" s="3" t="s">
        <v>143</v>
      </c>
      <c r="I10" s="3" t="s">
        <v>117</v>
      </c>
      <c r="J10" s="19" t="s">
        <v>145</v>
      </c>
      <c r="K10" s="19" t="s">
        <v>146</v>
      </c>
      <c r="L10" s="19" t="s">
        <v>147</v>
      </c>
    </row>
    <row r="11">
      <c r="A11" s="11"/>
      <c r="B11" s="11"/>
      <c r="C11" s="72" t="str">
        <f>IF(ISTEXT($A11),VLOOKUP($A11,IMP,2),)</f>
        <v/>
      </c>
      <c r="D11" s="72" t="str">
        <f>IF(ISTEXT($A11),VLOOKUP($A11,IMP,3)*$B11,)</f>
        <v/>
      </c>
      <c r="E11" s="72" t="str">
        <f>IF(ISTEXT($A11),VLOOKUP($A11,IMP,4)*$B11,)</f>
        <v/>
      </c>
      <c r="F11" s="72" t="str">
        <f>IF(ISTEXT($A11),VLOOKUP($A11,IMP,5)*$B11,)</f>
        <v/>
      </c>
      <c r="G11" s="72" t="str">
        <f>IF(ISTEXT($A11),VLOOKUP($A11,IMP,6)*$B11,)</f>
        <v/>
      </c>
      <c r="H11" s="72" t="str">
        <f>IF(ISTEXT($A11),VLOOKUP($A11,IMP,7)*$B11,)</f>
        <v/>
      </c>
      <c r="I11" s="72" t="str">
        <f>IF(ISTEXT($A11),VLOOKUP($A11,IMP,8)*$B11,)</f>
        <v/>
      </c>
      <c r="J11" s="72" t="str">
        <f>IF(ISTEXT($A11),VLOOKUP($A11,IMP,9)*$B11,)</f>
        <v/>
      </c>
      <c r="K11" s="83" t="str">
        <f>IF(ISTEXT($A11),TO_TEXT(VLOOKUP($A11,IMP,10)),)</f>
        <v/>
      </c>
      <c r="L11" s="83" t="str">
        <f>IF(ISTEXT($A11),TO_TEXT(VLOOKUP($A11,IMP,11)),)</f>
        <v/>
      </c>
    </row>
    <row r="12">
      <c r="A12" s="11"/>
      <c r="B12" s="11"/>
      <c r="C12" s="72" t="str">
        <f>IF(ISTEXT($A12),VLOOKUP($A12,IMP,2),)</f>
        <v/>
      </c>
      <c r="D12" s="72" t="str">
        <f>IF(ISTEXT($A12),VLOOKUP($A12,IMP,3)*$B12,)</f>
        <v/>
      </c>
      <c r="E12" s="72" t="str">
        <f>IF(ISTEXT($A12),VLOOKUP($A12,IMP,4)*$B12,)</f>
        <v/>
      </c>
      <c r="F12" s="72" t="str">
        <f>IF(ISTEXT($A12),VLOOKUP($A12,IMP,5)*$B12,)</f>
        <v/>
      </c>
      <c r="G12" s="72" t="str">
        <f>IF(ISTEXT($A12),VLOOKUP($A12,IMP,6)*$B12,)</f>
        <v/>
      </c>
      <c r="H12" s="72" t="str">
        <f>IF(ISTEXT($A12),VLOOKUP($A12,IMP,7)*$B12,)</f>
        <v/>
      </c>
      <c r="I12" s="72" t="str">
        <f>IF(ISTEXT($A12),VLOOKUP($A12,IMP,8)*$B12,)</f>
        <v/>
      </c>
      <c r="J12" s="72" t="str">
        <f>IF(ISTEXT($A12),VLOOKUP($A12,IMP,9)*$B12,)</f>
        <v/>
      </c>
      <c r="K12" s="83" t="str">
        <f>IF(ISTEXT($A12),TO_TEXT(VLOOKUP($A12,IMP,10)),)</f>
        <v/>
      </c>
      <c r="L12" s="83" t="str">
        <f>IF(ISTEXT($A12),TO_TEXT(VLOOKUP($A12,IMP,11)),)</f>
        <v/>
      </c>
    </row>
    <row r="13">
      <c r="A13" s="11"/>
      <c r="B13" s="11"/>
      <c r="C13" s="72" t="str">
        <f>IF(ISTEXT($A13),VLOOKUP($A13,IMP,2),)</f>
        <v/>
      </c>
      <c r="D13" s="72" t="str">
        <f>IF(ISTEXT($A13),VLOOKUP($A13,IMP,3)*$B13,)</f>
        <v/>
      </c>
      <c r="E13" s="72" t="str">
        <f>IF(ISTEXT($A13),VLOOKUP($A13,IMP,4)*$B13,)</f>
        <v/>
      </c>
      <c r="F13" s="72" t="str">
        <f>IF(ISTEXT($A13),VLOOKUP($A13,IMP,5)*$B13,)</f>
        <v/>
      </c>
      <c r="G13" s="72" t="str">
        <f>IF(ISTEXT($A13),VLOOKUP($A13,IMP,6)*$B13,)</f>
        <v/>
      </c>
      <c r="H13" s="72" t="str">
        <f>IF(ISTEXT($A13),VLOOKUP($A13,IMP,7)*$B13,)</f>
        <v/>
      </c>
      <c r="I13" s="72" t="str">
        <f>IF(ISTEXT($A13),VLOOKUP($A13,IMP,8)*$B13,)</f>
        <v/>
      </c>
      <c r="J13" s="72" t="str">
        <f>IF(ISTEXT($A13),VLOOKUP($A13,IMP,9)*$B13,)</f>
        <v/>
      </c>
      <c r="K13" s="83" t="str">
        <f>IF(ISTEXT($A13),TO_TEXT(VLOOKUP($A13,IMP,10)),)</f>
        <v/>
      </c>
      <c r="L13" s="83" t="str">
        <f>IF(ISTEXT($A13),TO_TEXT(VLOOKUP($A13,IMP,11)),)</f>
        <v/>
      </c>
    </row>
    <row r="14">
      <c r="A14" s="11"/>
      <c r="B14" s="11"/>
      <c r="C14" s="72" t="str">
        <f>IF(ISTEXT($A14),VLOOKUP($A14,IMP,2),)</f>
        <v/>
      </c>
      <c r="D14" s="72" t="str">
        <f>IF(ISTEXT($A14),VLOOKUP($A14,IMP,3)*$B14,)</f>
        <v/>
      </c>
      <c r="E14" s="72" t="str">
        <f>IF(ISTEXT($A14),VLOOKUP($A14,IMP,4)*$B14,)</f>
        <v/>
      </c>
      <c r="F14" s="72" t="str">
        <f>IF(ISTEXT($A14),VLOOKUP($A14,IMP,5)*$B14,)</f>
        <v/>
      </c>
      <c r="G14" s="72" t="str">
        <f>IF(ISTEXT($A14),VLOOKUP($A14,IMP,6)*$B14,)</f>
        <v/>
      </c>
      <c r="H14" s="72" t="str">
        <f>IF(ISTEXT($A14),VLOOKUP($A14,IMP,7)*$B14,)</f>
        <v/>
      </c>
      <c r="I14" s="72" t="str">
        <f>IF(ISTEXT($A14),VLOOKUP($A14,IMP,8)*$B14,)</f>
        <v/>
      </c>
      <c r="J14" s="72" t="str">
        <f>IF(ISTEXT($A14),VLOOKUP($A14,IMP,9)*$B14,)</f>
        <v/>
      </c>
      <c r="K14" s="83" t="str">
        <f>IF(ISTEXT($A14),TO_TEXT(VLOOKUP($A14,IMP,10)),)</f>
        <v/>
      </c>
      <c r="L14" s="83" t="str">
        <f>IF(ISTEXT($A14),TO_TEXT(VLOOKUP($A14,IMP,11)),)</f>
        <v/>
      </c>
    </row>
    <row r="15">
      <c r="A15" s="11"/>
      <c r="B15" s="11"/>
      <c r="C15" s="72" t="str">
        <f>IF(ISTEXT($A15),VLOOKUP($A15,IMP,2),)</f>
        <v/>
      </c>
      <c r="D15" s="72" t="str">
        <f>IF(ISTEXT($A15),VLOOKUP($A15,IMP,3)*$B15,)</f>
        <v/>
      </c>
      <c r="E15" s="72" t="str">
        <f>IF(ISTEXT($A15),VLOOKUP($A15,IMP,4)*$B15,)</f>
        <v/>
      </c>
      <c r="F15" s="72" t="str">
        <f>IF(ISTEXT($A15),VLOOKUP($A15,IMP,5)*$B15,)</f>
        <v/>
      </c>
      <c r="G15" s="72" t="str">
        <f>IF(ISTEXT($A15),VLOOKUP($A15,IMP,6)*$B15,)</f>
        <v/>
      </c>
      <c r="H15" s="72" t="str">
        <f>IF(ISTEXT($A15),VLOOKUP($A15,IMP,7)*$B15,)</f>
        <v/>
      </c>
      <c r="I15" s="72" t="str">
        <f>IF(ISTEXT($A15),VLOOKUP($A15,IMP,8)*$B15,)</f>
        <v/>
      </c>
      <c r="J15" s="72" t="str">
        <f>IF(ISTEXT($A15),VLOOKUP($A15,IMP,9)*$B15,)</f>
        <v/>
      </c>
      <c r="K15" s="83" t="str">
        <f>IF(ISTEXT($A15),TO_TEXT(VLOOKUP($A15,IMP,10)),)</f>
        <v/>
      </c>
      <c r="L15" s="83" t="str">
        <f>IF(ISTEXT($A15),TO_TEXT(VLOOKUP($A15,IMP,11)),)</f>
        <v/>
      </c>
    </row>
    <row r="16">
      <c r="A16" s="11"/>
      <c r="B16" s="11"/>
      <c r="C16" s="72" t="str">
        <f>IF(ISTEXT($A16),VLOOKUP($A16,IMP,2),)</f>
        <v/>
      </c>
      <c r="D16" s="72" t="str">
        <f>IF(ISTEXT($A16),VLOOKUP($A16,IMP,3)*$B16,)</f>
        <v/>
      </c>
      <c r="E16" s="72" t="str">
        <f>IF(ISTEXT($A16),VLOOKUP($A16,IMP,4)*$B16,)</f>
        <v/>
      </c>
      <c r="F16" s="72" t="str">
        <f>IF(ISTEXT($A16),VLOOKUP($A16,IMP,5)*$B16,)</f>
        <v/>
      </c>
      <c r="G16" s="72" t="str">
        <f>IF(ISTEXT($A16),VLOOKUP($A16,IMP,6)*$B16,)</f>
        <v/>
      </c>
      <c r="H16" s="72" t="str">
        <f>IF(ISTEXT($A16),VLOOKUP($A16,IMP,7)*$B16,)</f>
        <v/>
      </c>
      <c r="I16" s="72" t="str">
        <f>IF(ISTEXT($A16),VLOOKUP($A16,IMP,8)*$B16,)</f>
        <v/>
      </c>
      <c r="J16" s="72" t="str">
        <f>IF(ISTEXT($A16),VLOOKUP($A16,IMP,9)*$B16,)</f>
        <v/>
      </c>
      <c r="K16" s="83" t="str">
        <f>IF(ISTEXT($A16),TO_TEXT(VLOOKUP($A16,IMP,10)),)</f>
        <v/>
      </c>
      <c r="L16" s="83" t="str">
        <f>IF(ISTEXT($A16),TO_TEXT(VLOOKUP($A16,IMP,11)),)</f>
        <v/>
      </c>
    </row>
    <row r="17">
      <c r="A17" s="11"/>
      <c r="B17" s="11"/>
      <c r="C17" s="72" t="str">
        <f>IF(ISTEXT($A17),VLOOKUP($A17,IMP,2),)</f>
        <v/>
      </c>
      <c r="D17" s="72" t="str">
        <f>IF(ISTEXT($A17),VLOOKUP($A17,IMP,3)*$B17,)</f>
        <v/>
      </c>
      <c r="E17" s="72" t="str">
        <f>IF(ISTEXT($A17),VLOOKUP($A17,IMP,4)*$B17,)</f>
        <v/>
      </c>
      <c r="F17" s="72" t="str">
        <f>IF(ISTEXT($A17),VLOOKUP($A17,IMP,5)*$B17,)</f>
        <v/>
      </c>
      <c r="G17" s="72" t="str">
        <f>IF(ISTEXT($A17),VLOOKUP($A17,IMP,6)*$B17,)</f>
        <v/>
      </c>
      <c r="H17" s="72" t="str">
        <f>IF(ISTEXT($A17),VLOOKUP($A17,IMP,7)*$B17,)</f>
        <v/>
      </c>
      <c r="I17" s="72" t="str">
        <f>IF(ISTEXT($A17),VLOOKUP($A17,IMP,8)*$B17,)</f>
        <v/>
      </c>
      <c r="J17" s="72" t="str">
        <f>IF(ISTEXT($A17),VLOOKUP($A17,IMP,9)*$B17,)</f>
        <v/>
      </c>
      <c r="K17" s="83" t="str">
        <f>IF(ISTEXT($A17),TO_TEXT(VLOOKUP($A17,IMP,10)),)</f>
        <v/>
      </c>
      <c r="L17" s="83" t="str">
        <f>IF(ISTEXT($A17),TO_TEXT(VLOOKUP($A17,IMP,11)),)</f>
        <v/>
      </c>
    </row>
    <row r="18">
      <c r="A18" s="11"/>
      <c r="B18" s="11"/>
      <c r="C18" s="72" t="str">
        <f>IF(ISTEXT($A18),VLOOKUP($A18,IMP,2),)</f>
        <v/>
      </c>
      <c r="D18" s="72" t="str">
        <f>IF(ISTEXT($A18),VLOOKUP($A18,IMP,3)*$B18,)</f>
        <v/>
      </c>
      <c r="E18" s="72" t="str">
        <f>IF(ISTEXT($A18),VLOOKUP($A18,IMP,4)*$B18,)</f>
        <v/>
      </c>
      <c r="F18" s="72" t="str">
        <f>IF(ISTEXT($A18),VLOOKUP($A18,IMP,5)*$B18,)</f>
        <v/>
      </c>
      <c r="G18" s="72" t="str">
        <f>IF(ISTEXT($A18),VLOOKUP($A18,IMP,6)*$B18,)</f>
        <v/>
      </c>
      <c r="H18" s="72" t="str">
        <f>IF(ISTEXT($A18),VLOOKUP($A18,IMP,7)*$B18,)</f>
        <v/>
      </c>
      <c r="I18" s="72" t="str">
        <f>IF(ISTEXT($A18),VLOOKUP($A18,IMP,8)*$B18,)</f>
        <v/>
      </c>
      <c r="J18" s="72" t="str">
        <f>IF(ISTEXT($A18),VLOOKUP($A18,IMP,9)*$B18,)</f>
        <v/>
      </c>
      <c r="K18" s="83" t="str">
        <f>IF(ISTEXT($A18),TO_TEXT(VLOOKUP($A18,IMP,10)),)</f>
        <v/>
      </c>
      <c r="L18" s="83" t="str">
        <f>IF(ISTEXT($A18),TO_TEXT(VLOOKUP($A18,IMP,11)),)</f>
        <v/>
      </c>
    </row>
    <row r="19">
      <c r="A19" s="11"/>
      <c r="B19" s="11"/>
      <c r="C19" s="72" t="str">
        <f>IF(ISTEXT($A19),VLOOKUP($A19,IMP,2),)</f>
        <v/>
      </c>
      <c r="D19" s="72" t="str">
        <f>IF(ISTEXT($A19),VLOOKUP($A19,IMP,3)*$B19,)</f>
        <v/>
      </c>
      <c r="E19" s="72" t="str">
        <f>IF(ISTEXT($A19),VLOOKUP($A19,IMP,4)*$B19,)</f>
        <v/>
      </c>
      <c r="F19" s="72" t="str">
        <f>IF(ISTEXT($A19),VLOOKUP($A19,IMP,5)*$B19,)</f>
        <v/>
      </c>
      <c r="G19" s="72" t="str">
        <f>IF(ISTEXT($A19),VLOOKUP($A19,IMP,6)*$B19,)</f>
        <v/>
      </c>
      <c r="H19" s="72" t="str">
        <f>IF(ISTEXT($A19),VLOOKUP($A19,IMP,7)*$B19,)</f>
        <v/>
      </c>
      <c r="I19" s="72" t="str">
        <f>IF(ISTEXT($A19),VLOOKUP($A19,IMP,8)*$B19,)</f>
        <v/>
      </c>
      <c r="J19" s="72" t="str">
        <f>IF(ISTEXT($A19),VLOOKUP($A19,IMP,9)*$B19,)</f>
        <v/>
      </c>
      <c r="K19" s="83" t="str">
        <f>IF(ISTEXT($A19),TO_TEXT(VLOOKUP($A19,IMP,10)),)</f>
        <v/>
      </c>
      <c r="L19" s="83" t="str">
        <f>IF(ISTEXT($A19),TO_TEXT(VLOOKUP($A19,IMP,11)),)</f>
        <v/>
      </c>
    </row>
    <row r="20">
      <c r="A20" s="11"/>
      <c r="B20" s="11"/>
      <c r="C20" s="72" t="str">
        <f>IF(ISTEXT($A20),VLOOKUP($A20,IMP,2),)</f>
        <v/>
      </c>
      <c r="D20" s="72" t="str">
        <f>IF(ISTEXT($A20),VLOOKUP($A20,IMP,3)*$B20,)</f>
        <v/>
      </c>
      <c r="E20" s="72" t="str">
        <f>IF(ISTEXT($A20),VLOOKUP($A20,IMP,4)*$B20,)</f>
        <v/>
      </c>
      <c r="F20" s="72" t="str">
        <f>IF(ISTEXT($A20),VLOOKUP($A20,IMP,5)*$B20,)</f>
        <v/>
      </c>
      <c r="G20" s="72" t="str">
        <f>IF(ISTEXT($A20),VLOOKUP($A20,IMP,6)*$B20,)</f>
        <v/>
      </c>
      <c r="H20" s="72" t="str">
        <f>IF(ISTEXT($A20),VLOOKUP($A20,IMP,7)*$B20,)</f>
        <v/>
      </c>
      <c r="I20" s="72" t="str">
        <f>IF(ISTEXT($A20),VLOOKUP($A20,IMP,8)*$B20,)</f>
        <v/>
      </c>
      <c r="J20" s="72" t="str">
        <f>IF(ISTEXT($A20),VLOOKUP($A20,IMP,9)*$B20,)</f>
        <v/>
      </c>
      <c r="K20" s="83" t="str">
        <f>IF(ISTEXT($A20),TO_TEXT(VLOOKUP($A20,IMP,10)),)</f>
        <v/>
      </c>
      <c r="L20" s="83" t="str">
        <f>IF(ISTEXT($A20),TO_TEXT(VLOOKUP($A20,IMP,11)),)</f>
        <v/>
      </c>
    </row>
    <row r="21">
      <c r="A21" s="11"/>
      <c r="B21" s="11"/>
      <c r="C21" s="72" t="str">
        <f>IF(ISTEXT($A21),VLOOKUP($A21,IMP,2),)</f>
        <v/>
      </c>
      <c r="D21" s="72" t="str">
        <f>IF(ISTEXT($A21),VLOOKUP($A21,IMP,3)*$B21,)</f>
        <v/>
      </c>
      <c r="E21" s="72" t="str">
        <f>IF(ISTEXT($A21),VLOOKUP($A21,IMP,4)*$B21,)</f>
        <v/>
      </c>
      <c r="F21" s="72" t="str">
        <f>IF(ISTEXT($A21),VLOOKUP($A21,IMP,5)*$B21,)</f>
        <v/>
      </c>
      <c r="G21" s="72" t="str">
        <f>IF(ISTEXT($A21),VLOOKUP($A21,IMP,6)*$B21,)</f>
        <v/>
      </c>
      <c r="H21" s="72" t="str">
        <f>IF(ISTEXT($A21),VLOOKUP($A21,IMP,7)*$B21,)</f>
        <v/>
      </c>
      <c r="I21" s="72" t="str">
        <f>IF(ISTEXT($A21),VLOOKUP($A21,IMP,8)*$B21,)</f>
        <v/>
      </c>
      <c r="J21" s="72" t="str">
        <f>IF(ISTEXT($A21),VLOOKUP($A21,IMP,9)*$B21,)</f>
        <v/>
      </c>
      <c r="K21" s="83" t="str">
        <f>IF(ISTEXT($A21),TO_TEXT(VLOOKUP($A21,IMP,10)),)</f>
        <v/>
      </c>
      <c r="L21" s="83" t="str">
        <f>IF(ISTEXT($A21),TO_TEXT(VLOOKUP($A21,IMP,11)),)</f>
        <v/>
      </c>
    </row>
    <row r="22">
      <c r="A22" s="11"/>
      <c r="B22" s="11"/>
      <c r="C22" s="72" t="str">
        <f>IF(ISTEXT($A22),VLOOKUP($A22,IMP,2),)</f>
        <v/>
      </c>
      <c r="D22" s="72" t="str">
        <f>IF(ISTEXT($A22),VLOOKUP($A22,IMP,3)*$B22,)</f>
        <v/>
      </c>
      <c r="E22" s="72" t="str">
        <f>IF(ISTEXT($A22),VLOOKUP($A22,IMP,4)*$B22,)</f>
        <v/>
      </c>
      <c r="F22" s="72" t="str">
        <f>IF(ISTEXT($A22),VLOOKUP($A22,IMP,5)*$B22,)</f>
        <v/>
      </c>
      <c r="G22" s="72" t="str">
        <f>IF(ISTEXT($A22),VLOOKUP($A22,IMP,6)*$B22,)</f>
        <v/>
      </c>
      <c r="H22" s="72" t="str">
        <f>IF(ISTEXT($A22),VLOOKUP($A22,IMP,7)*$B22,)</f>
        <v/>
      </c>
      <c r="I22" s="72" t="str">
        <f>IF(ISTEXT($A22),VLOOKUP($A22,IMP,8)*$B22,)</f>
        <v/>
      </c>
      <c r="J22" s="72" t="str">
        <f>IF(ISTEXT($A22),VLOOKUP($A22,IMP,9)*$B22,)</f>
        <v/>
      </c>
      <c r="K22" s="83" t="str">
        <f>IF(ISTEXT($A22),TO_TEXT(VLOOKUP($A22,IMP,10)),)</f>
        <v/>
      </c>
      <c r="L22" s="83" t="str">
        <f>IF(ISTEXT($A22),TO_TEXT(VLOOKUP($A22,IMP,11)),)</f>
        <v/>
      </c>
    </row>
    <row r="23">
      <c r="A23" s="11"/>
      <c r="B23" s="11"/>
      <c r="C23" s="72" t="str">
        <f>IF(ISTEXT($A23),VLOOKUP($A23,IMP,2),)</f>
        <v/>
      </c>
      <c r="D23" s="72" t="str">
        <f>IF(ISTEXT($A23),VLOOKUP($A23,IMP,3)*$B23,)</f>
        <v/>
      </c>
      <c r="E23" s="72" t="str">
        <f>IF(ISTEXT($A23),VLOOKUP($A23,IMP,4)*$B23,)</f>
        <v/>
      </c>
      <c r="F23" s="72" t="str">
        <f>IF(ISTEXT($A23),VLOOKUP($A23,IMP,5)*$B23,)</f>
        <v/>
      </c>
      <c r="G23" s="72" t="str">
        <f>IF(ISTEXT($A23),VLOOKUP($A23,IMP,6)*$B23,)</f>
        <v/>
      </c>
      <c r="H23" s="72" t="str">
        <f>IF(ISTEXT($A23),VLOOKUP($A23,IMP,7)*$B23,)</f>
        <v/>
      </c>
      <c r="I23" s="72" t="str">
        <f>IF(ISTEXT($A23),VLOOKUP($A23,IMP,8)*$B23,)</f>
        <v/>
      </c>
      <c r="J23" s="72" t="str">
        <f>IF(ISTEXT($A23),VLOOKUP($A23,IMP,9)*$B23,)</f>
        <v/>
      </c>
      <c r="K23" s="83" t="str">
        <f>IF(ISTEXT($A23),TO_TEXT(VLOOKUP($A23,IMP,10)),)</f>
        <v/>
      </c>
      <c r="L23" s="83" t="str">
        <f>IF(ISTEXT($A23),TO_TEXT(VLOOKUP($A23,IMP,11)),)</f>
        <v/>
      </c>
    </row>
    <row r="24">
      <c r="A24" s="11"/>
      <c r="B24" s="11"/>
      <c r="C24" s="72" t="str">
        <f>IF(ISTEXT($A24),VLOOKUP($A24,IMP,2),)</f>
        <v/>
      </c>
      <c r="D24" s="72" t="str">
        <f>IF(ISTEXT($A24),VLOOKUP($A24,IMP,3)*$B24,)</f>
        <v/>
      </c>
      <c r="E24" s="72" t="str">
        <f>IF(ISTEXT($A24),VLOOKUP($A24,IMP,4)*$B24,)</f>
        <v/>
      </c>
      <c r="F24" s="72" t="str">
        <f>IF(ISTEXT($A24),VLOOKUP($A24,IMP,5)*$B24,)</f>
        <v/>
      </c>
      <c r="G24" s="72" t="str">
        <f>IF(ISTEXT($A24),VLOOKUP($A24,IMP,6)*$B24,)</f>
        <v/>
      </c>
      <c r="H24" s="72" t="str">
        <f>IF(ISTEXT($A24),VLOOKUP($A24,IMP,7)*$B24,)</f>
        <v/>
      </c>
      <c r="I24" s="72" t="str">
        <f>IF(ISTEXT($A24),VLOOKUP($A24,IMP,8)*$B24,)</f>
        <v/>
      </c>
      <c r="J24" s="72" t="str">
        <f>IF(ISTEXT($A24),VLOOKUP($A24,IMP,9)*$B24,)</f>
        <v/>
      </c>
      <c r="K24" s="83" t="str">
        <f>IF(ISTEXT($A24),TO_TEXT(VLOOKUP($A24,IMP,10)),)</f>
        <v/>
      </c>
      <c r="L24" s="83" t="str">
        <f>IF(ISTEXT($A24),TO_TEXT(VLOOKUP($A24,IMP,11)),)</f>
        <v/>
      </c>
    </row>
    <row r="25">
      <c r="A25" s="11"/>
      <c r="B25" s="11"/>
      <c r="C25" s="72" t="str">
        <f>IF(ISTEXT($A25),VLOOKUP($A25,IMP,2),)</f>
        <v/>
      </c>
      <c r="D25" s="72" t="str">
        <f>IF(ISTEXT($A25),VLOOKUP($A25,IMP,3)*$B25,)</f>
        <v/>
      </c>
      <c r="E25" s="72" t="str">
        <f>IF(ISTEXT($A25),VLOOKUP($A25,IMP,4)*$B25,)</f>
        <v/>
      </c>
      <c r="F25" s="72" t="str">
        <f>IF(ISTEXT($A25),VLOOKUP($A25,IMP,5)*$B25,)</f>
        <v/>
      </c>
      <c r="G25" s="72" t="str">
        <f>IF(ISTEXT($A25),VLOOKUP($A25,IMP,6)*$B25,)</f>
        <v/>
      </c>
      <c r="H25" s="72" t="str">
        <f>IF(ISTEXT($A25),VLOOKUP($A25,IMP,7)*$B25,)</f>
        <v/>
      </c>
      <c r="I25" s="72" t="str">
        <f>IF(ISTEXT($A25),VLOOKUP($A25,IMP,8)*$B25,)</f>
        <v/>
      </c>
      <c r="J25" s="72" t="str">
        <f>IF(ISTEXT($A25),VLOOKUP($A25,IMP,9)*$B25,)</f>
        <v/>
      </c>
      <c r="K25" s="83" t="str">
        <f>IF(ISTEXT($A25),TO_TEXT(VLOOKUP($A25,IMP,10)),)</f>
        <v/>
      </c>
      <c r="L25" s="83" t="str">
        <f>IF(ISTEXT($A25),TO_TEXT(VLOOKUP($A25,IMP,11)),)</f>
        <v/>
      </c>
    </row>
    <row r="26">
      <c r="A26" s="11"/>
      <c r="B26" s="11"/>
      <c r="C26" s="72" t="str">
        <f>IF(ISTEXT($A26),VLOOKUP($A26,IMP,2),)</f>
        <v/>
      </c>
      <c r="D26" s="72" t="str">
        <f>IF(ISTEXT($A26),VLOOKUP($A26,IMP,3)*$B26,)</f>
        <v/>
      </c>
      <c r="E26" s="72" t="str">
        <f>IF(ISTEXT($A26),VLOOKUP($A26,IMP,4)*$B26,)</f>
        <v/>
      </c>
      <c r="F26" s="72" t="str">
        <f>IF(ISTEXT($A26),VLOOKUP($A26,IMP,5)*$B26,)</f>
        <v/>
      </c>
      <c r="G26" s="72" t="str">
        <f>IF(ISTEXT($A26),VLOOKUP($A26,IMP,6)*$B26,)</f>
        <v/>
      </c>
      <c r="H26" s="72" t="str">
        <f>IF(ISTEXT($A26),VLOOKUP($A26,IMP,7)*$B26,)</f>
        <v/>
      </c>
      <c r="I26" s="72" t="str">
        <f>IF(ISTEXT($A26),VLOOKUP($A26,IMP,8)*$B26,)</f>
        <v/>
      </c>
      <c r="J26" s="72" t="str">
        <f>IF(ISTEXT($A26),VLOOKUP($A26,IMP,9)*$B26,)</f>
        <v/>
      </c>
      <c r="K26" s="83" t="str">
        <f>IF(ISTEXT($A26),TO_TEXT(VLOOKUP($A26,IMP,10)),)</f>
        <v/>
      </c>
      <c r="L26" s="83" t="str">
        <f>IF(ISTEXT($A26),TO_TEXT(VLOOKUP($A26,IMP,11)),)</f>
        <v/>
      </c>
    </row>
    <row r="27">
      <c r="A27" s="11"/>
      <c r="B27" s="11"/>
      <c r="C27" s="72" t="str">
        <f>IF(ISTEXT($A27),VLOOKUP($A27,IMP,2),)</f>
        <v/>
      </c>
      <c r="D27" s="72" t="str">
        <f>IF(ISTEXT($A27),VLOOKUP($A27,IMP,3)*$B27,)</f>
        <v/>
      </c>
      <c r="E27" s="72" t="str">
        <f>IF(ISTEXT($A27),VLOOKUP($A27,IMP,4)*$B27,)</f>
        <v/>
      </c>
      <c r="F27" s="72" t="str">
        <f>IF(ISTEXT($A27),VLOOKUP($A27,IMP,5)*$B27,)</f>
        <v/>
      </c>
      <c r="G27" s="72" t="str">
        <f>IF(ISTEXT($A27),VLOOKUP($A27,IMP,6)*$B27,)</f>
        <v/>
      </c>
      <c r="H27" s="72" t="str">
        <f>IF(ISTEXT($A27),VLOOKUP($A27,IMP,7)*$B27,)</f>
        <v/>
      </c>
      <c r="I27" s="72" t="str">
        <f>IF(ISTEXT($A27),VLOOKUP($A27,IMP,8)*$B27,)</f>
        <v/>
      </c>
      <c r="J27" s="72" t="str">
        <f>IF(ISTEXT($A27),VLOOKUP($A27,IMP,9)*$B27,)</f>
        <v/>
      </c>
      <c r="K27" s="83" t="str">
        <f>IF(ISTEXT($A27),TO_TEXT(VLOOKUP($A27,IMP,10)),)</f>
        <v/>
      </c>
      <c r="L27" s="83" t="str">
        <f>IF(ISTEXT($A27),TO_TEXT(VLOOKUP($A27,IMP,11)),)</f>
        <v/>
      </c>
    </row>
    <row r="28">
      <c r="A28" s="11"/>
      <c r="B28" s="11"/>
      <c r="C28" s="72" t="str">
        <f>IF(ISTEXT($A28),VLOOKUP($A28,IMP,2),)</f>
        <v/>
      </c>
      <c r="D28" s="72" t="str">
        <f>IF(ISTEXT($A28),VLOOKUP($A28,IMP,3)*$B28,)</f>
        <v/>
      </c>
      <c r="E28" s="72" t="str">
        <f>IF(ISTEXT($A28),VLOOKUP($A28,IMP,4)*$B28,)</f>
        <v/>
      </c>
      <c r="F28" s="72" t="str">
        <f>IF(ISTEXT($A28),VLOOKUP($A28,IMP,5)*$B28,)</f>
        <v/>
      </c>
      <c r="G28" s="72" t="str">
        <f>IF(ISTEXT($A28),VLOOKUP($A28,IMP,6)*$B28,)</f>
        <v/>
      </c>
      <c r="H28" s="72" t="str">
        <f>IF(ISTEXT($A28),VLOOKUP($A28,IMP,7)*$B28,)</f>
        <v/>
      </c>
      <c r="I28" s="72" t="str">
        <f>IF(ISTEXT($A28),VLOOKUP($A28,IMP,8)*$B28,)</f>
        <v/>
      </c>
      <c r="J28" s="72" t="str">
        <f>IF(ISTEXT($A28),VLOOKUP($A28,IMP,9)*$B28,)</f>
        <v/>
      </c>
      <c r="K28" s="83" t="str">
        <f>IF(ISTEXT($A28),TO_TEXT(VLOOKUP($A28,IMP,10)),)</f>
        <v/>
      </c>
      <c r="L28" s="83" t="str">
        <f>IF(ISTEXT($A28),TO_TEXT(VLOOKUP($A28,IMP,11)),)</f>
        <v/>
      </c>
    </row>
    <row r="29">
      <c r="A29" s="11"/>
      <c r="B29" s="11"/>
      <c r="C29" s="72" t="str">
        <f>IF(ISTEXT($A29),VLOOKUP($A29,IMP,2),)</f>
        <v/>
      </c>
      <c r="D29" s="72" t="str">
        <f>IF(ISTEXT($A29),VLOOKUP($A29,IMP,3)*$B29,)</f>
        <v/>
      </c>
      <c r="E29" s="72" t="str">
        <f>IF(ISTEXT($A29),VLOOKUP($A29,IMP,4)*$B29,)</f>
        <v/>
      </c>
      <c r="F29" s="72" t="str">
        <f>IF(ISTEXT($A29),VLOOKUP($A29,IMP,5)*$B29,)</f>
        <v/>
      </c>
      <c r="G29" s="72" t="str">
        <f>IF(ISTEXT($A29),VLOOKUP($A29,IMP,6)*$B29,)</f>
        <v/>
      </c>
      <c r="H29" s="72" t="str">
        <f>IF(ISTEXT($A29),VLOOKUP($A29,IMP,7)*$B29,)</f>
        <v/>
      </c>
      <c r="I29" s="72" t="str">
        <f>IF(ISTEXT($A29),VLOOKUP($A29,IMP,8)*$B29,)</f>
        <v/>
      </c>
      <c r="J29" s="72" t="str">
        <f>IF(ISTEXT($A29),VLOOKUP($A29,IMP,9)*$B29,)</f>
        <v/>
      </c>
      <c r="K29" s="83" t="str">
        <f>IF(ISTEXT($A29),TO_TEXT(VLOOKUP($A29,IMP,10)),)</f>
        <v/>
      </c>
      <c r="L29" s="83" t="str">
        <f>IF(ISTEXT($A29),TO_TEXT(VLOOKUP($A29,IMP,11)),)</f>
        <v/>
      </c>
    </row>
    <row r="30">
      <c r="A30" s="11"/>
      <c r="B30" s="11"/>
      <c r="C30" s="72" t="str">
        <f>IF(ISTEXT($A30),VLOOKUP($A30,IMP,2),)</f>
        <v/>
      </c>
      <c r="D30" s="72" t="str">
        <f>IF(ISTEXT($A30),VLOOKUP($A30,IMP,3)*$B30,)</f>
        <v/>
      </c>
      <c r="E30" s="72" t="str">
        <f>IF(ISTEXT($A30),VLOOKUP($A30,IMP,4)*$B30,)</f>
        <v/>
      </c>
      <c r="F30" s="72" t="str">
        <f>IF(ISTEXT($A30),VLOOKUP($A30,IMP,5)*$B30,)</f>
        <v/>
      </c>
      <c r="G30" s="72" t="str">
        <f>IF(ISTEXT($A30),VLOOKUP($A30,IMP,6)*$B30,)</f>
        <v/>
      </c>
      <c r="H30" s="72" t="str">
        <f>IF(ISTEXT($A30),VLOOKUP($A30,IMP,7)*$B30,)</f>
        <v/>
      </c>
      <c r="I30" s="72" t="str">
        <f>IF(ISTEXT($A30),VLOOKUP($A30,IMP,8)*$B30,)</f>
        <v/>
      </c>
      <c r="J30" s="72" t="str">
        <f>IF(ISTEXT($A30),VLOOKUP($A30,IMP,9)*$B30,)</f>
        <v/>
      </c>
      <c r="K30" s="83" t="str">
        <f>IF(ISTEXT($A30),TO_TEXT(VLOOKUP($A30,IMP,10)),)</f>
        <v/>
      </c>
      <c r="L30" s="83" t="str">
        <f>IF(ISTEXT($A30),TO_TEXT(VLOOKUP($A30,IMP,11)),)</f>
        <v/>
      </c>
    </row>
    <row r="31">
      <c r="A31" s="11"/>
      <c r="B31" s="11"/>
      <c r="C31" s="72" t="str">
        <f>IF(ISTEXT($A31),VLOOKUP($A31,IMP,2),)</f>
        <v/>
      </c>
      <c r="D31" s="72" t="str">
        <f>IF(ISTEXT($A31),VLOOKUP($A31,IMP,3)*$B31,)</f>
        <v/>
      </c>
      <c r="E31" s="72" t="str">
        <f>IF(ISTEXT($A31),VLOOKUP($A31,IMP,4)*$B31,)</f>
        <v/>
      </c>
      <c r="F31" s="72" t="str">
        <f>IF(ISTEXT($A31),VLOOKUP($A31,IMP,5)*$B31,)</f>
        <v/>
      </c>
      <c r="G31" s="72" t="str">
        <f>IF(ISTEXT($A31),VLOOKUP($A31,IMP,6)*$B31,)</f>
        <v/>
      </c>
      <c r="H31" s="72" t="str">
        <f>IF(ISTEXT($A31),VLOOKUP($A31,IMP,7)*$B31,)</f>
        <v/>
      </c>
      <c r="I31" s="72" t="str">
        <f>IF(ISTEXT($A31),VLOOKUP($A31,IMP,8)*$B31,)</f>
        <v/>
      </c>
      <c r="J31" s="72" t="str">
        <f>IF(ISTEXT($A31),VLOOKUP($A31,IMP,9)*$B31,)</f>
        <v/>
      </c>
      <c r="K31" s="83" t="str">
        <f>IF(ISTEXT($A31),TO_TEXT(VLOOKUP($A31,IMP,10)),)</f>
        <v/>
      </c>
      <c r="L31" s="83" t="str">
        <f>IF(ISTEXT($A31),TO_TEXT(VLOOKUP($A31,IMP,11)),)</f>
        <v/>
      </c>
    </row>
    <row r="32">
      <c r="A32" s="11"/>
      <c r="B32" s="11"/>
      <c r="C32" s="72" t="str">
        <f>IF(ISTEXT($A32),VLOOKUP($A32,IMP,2),)</f>
        <v/>
      </c>
      <c r="D32" s="72" t="str">
        <f>IF(ISTEXT($A32),VLOOKUP($A32,IMP,3)*$B32,)</f>
        <v/>
      </c>
      <c r="E32" s="72" t="str">
        <f>IF(ISTEXT($A32),VLOOKUP($A32,IMP,4)*$B32,)</f>
        <v/>
      </c>
      <c r="F32" s="72" t="str">
        <f>IF(ISTEXT($A32),VLOOKUP($A32,IMP,5)*$B32,)</f>
        <v/>
      </c>
      <c r="G32" s="72" t="str">
        <f>IF(ISTEXT($A32),VLOOKUP($A32,IMP,6)*$B32,)</f>
        <v/>
      </c>
      <c r="H32" s="72" t="str">
        <f>IF(ISTEXT($A32),VLOOKUP($A32,IMP,7)*$B32,)</f>
        <v/>
      </c>
      <c r="I32" s="72" t="str">
        <f>IF(ISTEXT($A32),VLOOKUP($A32,IMP,8)*$B32,)</f>
        <v/>
      </c>
      <c r="J32" s="72" t="str">
        <f>IF(ISTEXT($A32),VLOOKUP($A32,IMP,9)*$B32,)</f>
        <v/>
      </c>
      <c r="K32" s="83" t="str">
        <f>IF(ISTEXT($A32),TO_TEXT(VLOOKUP($A32,IMP,10)),)</f>
        <v/>
      </c>
      <c r="L32" s="83" t="str">
        <f>IF(ISTEXT($A32),TO_TEXT(VLOOKUP($A32,IMP,11)),)</f>
        <v/>
      </c>
    </row>
    <row r="33">
      <c r="A33" s="11"/>
      <c r="B33" s="11"/>
      <c r="C33" s="72" t="str">
        <f>IF(ISTEXT($A33),VLOOKUP($A33,IMP,2),)</f>
        <v/>
      </c>
      <c r="D33" s="72" t="str">
        <f>IF(ISTEXT($A33),VLOOKUP($A33,IMP,3)*$B33,)</f>
        <v/>
      </c>
      <c r="E33" s="72" t="str">
        <f>IF(ISTEXT($A33),VLOOKUP($A33,IMP,4)*$B33,)</f>
        <v/>
      </c>
      <c r="F33" s="72" t="str">
        <f>IF(ISTEXT($A33),VLOOKUP($A33,IMP,5)*$B33,)</f>
        <v/>
      </c>
      <c r="G33" s="72" t="str">
        <f>IF(ISTEXT($A33),VLOOKUP($A33,IMP,6)*$B33,)</f>
        <v/>
      </c>
      <c r="H33" s="72" t="str">
        <f>IF(ISTEXT($A33),VLOOKUP($A33,IMP,7)*$B33,)</f>
        <v/>
      </c>
      <c r="I33" s="72" t="str">
        <f>IF(ISTEXT($A33),VLOOKUP($A33,IMP,8)*$B33,)</f>
        <v/>
      </c>
      <c r="J33" s="72" t="str">
        <f>IF(ISTEXT($A33),VLOOKUP($A33,IMP,9)*$B33,)</f>
        <v/>
      </c>
      <c r="K33" s="83" t="str">
        <f>IF(ISTEXT($A33),TO_TEXT(VLOOKUP($A33,IMP,10)),)</f>
        <v/>
      </c>
      <c r="L33" s="83" t="str">
        <f>IF(ISTEXT($A33),TO_TEXT(VLOOKUP($A33,IMP,11)),)</f>
        <v/>
      </c>
    </row>
    <row r="34">
      <c r="A34" s="11"/>
      <c r="B34" s="11"/>
      <c r="C34" s="72" t="str">
        <f>IF(ISTEXT($A34),VLOOKUP($A34,IMP,2),)</f>
        <v/>
      </c>
      <c r="D34" s="72" t="str">
        <f>IF(ISTEXT($A34),VLOOKUP($A34,IMP,3)*$B34,)</f>
        <v/>
      </c>
      <c r="E34" s="72" t="str">
        <f>IF(ISTEXT($A34),VLOOKUP($A34,IMP,4)*$B34,)</f>
        <v/>
      </c>
      <c r="F34" s="72" t="str">
        <f>IF(ISTEXT($A34),VLOOKUP($A34,IMP,5)*$B34,)</f>
        <v/>
      </c>
      <c r="G34" s="72" t="str">
        <f>IF(ISTEXT($A34),VLOOKUP($A34,IMP,6)*$B34,)</f>
        <v/>
      </c>
      <c r="H34" s="72" t="str">
        <f>IF(ISTEXT($A34),VLOOKUP($A34,IMP,7)*$B34,)</f>
        <v/>
      </c>
      <c r="I34" s="72" t="str">
        <f>IF(ISTEXT($A34),VLOOKUP($A34,IMP,8)*$B34,)</f>
        <v/>
      </c>
      <c r="J34" s="72" t="str">
        <f>IF(ISTEXT($A34),VLOOKUP($A34,IMP,9)*$B34,)</f>
        <v/>
      </c>
      <c r="K34" s="83" t="str">
        <f>IF(ISTEXT($A34),TO_TEXT(VLOOKUP($A34,IMP,10)),)</f>
        <v/>
      </c>
      <c r="L34" s="83" t="str">
        <f>IF(ISTEXT($A34),TO_TEXT(VLOOKUP($A34,IMP,11)),)</f>
        <v/>
      </c>
    </row>
    <row r="35">
      <c r="A35" s="11"/>
      <c r="B35" s="11"/>
      <c r="C35" s="72" t="str">
        <f>IF(ISTEXT($A35),VLOOKUP($A35,IMP,2),)</f>
        <v/>
      </c>
      <c r="D35" s="72" t="str">
        <f>IF(ISTEXT($A35),VLOOKUP($A35,IMP,3)*$B35,)</f>
        <v/>
      </c>
      <c r="E35" s="72" t="str">
        <f>IF(ISTEXT($A35),VLOOKUP($A35,IMP,4)*$B35,)</f>
        <v/>
      </c>
      <c r="F35" s="72" t="str">
        <f>IF(ISTEXT($A35),VLOOKUP($A35,IMP,5)*$B35,)</f>
        <v/>
      </c>
      <c r="G35" s="72" t="str">
        <f>IF(ISTEXT($A35),VLOOKUP($A35,IMP,6)*$B35,)</f>
        <v/>
      </c>
      <c r="H35" s="72" t="str">
        <f>IF(ISTEXT($A35),VLOOKUP($A35,IMP,7)*$B35,)</f>
        <v/>
      </c>
      <c r="I35" s="72" t="str">
        <f>IF(ISTEXT($A35),VLOOKUP($A35,IMP,8)*$B35,)</f>
        <v/>
      </c>
      <c r="J35" s="72" t="str">
        <f>IF(ISTEXT($A35),VLOOKUP($A35,IMP,9)*$B35,)</f>
        <v/>
      </c>
      <c r="K35" s="83" t="str">
        <f>IF(ISTEXT($A35),TO_TEXT(VLOOKUP($A35,IMP,10)),)</f>
        <v/>
      </c>
      <c r="L35" s="83" t="str">
        <f>IF(ISTEXT($A35),TO_TEXT(VLOOKUP($A35,IMP,11)),)</f>
        <v/>
      </c>
    </row>
    <row r="36">
      <c r="A36" s="11"/>
      <c r="B36" s="11"/>
      <c r="C36" s="72" t="str">
        <f>IF(ISTEXT($A36),VLOOKUP($A36,IMP,2),)</f>
        <v/>
      </c>
      <c r="D36" s="72" t="str">
        <f>IF(ISTEXT($A36),VLOOKUP($A36,IMP,3)*$B36,)</f>
        <v/>
      </c>
      <c r="E36" s="72" t="str">
        <f>IF(ISTEXT($A36),VLOOKUP($A36,IMP,4)*$B36,)</f>
        <v/>
      </c>
      <c r="F36" s="72" t="str">
        <f>IF(ISTEXT($A36),VLOOKUP($A36,IMP,5)*$B36,)</f>
        <v/>
      </c>
      <c r="G36" s="72" t="str">
        <f>IF(ISTEXT($A36),VLOOKUP($A36,IMP,6)*$B36,)</f>
        <v/>
      </c>
      <c r="H36" s="72" t="str">
        <f>IF(ISTEXT($A36),VLOOKUP($A36,IMP,7)*$B36,)</f>
        <v/>
      </c>
      <c r="I36" s="72" t="str">
        <f>IF(ISTEXT($A36),VLOOKUP($A36,IMP,8)*$B36,)</f>
        <v/>
      </c>
      <c r="J36" s="72" t="str">
        <f>IF(ISTEXT($A36),VLOOKUP($A36,IMP,9)*$B36,)</f>
        <v/>
      </c>
      <c r="K36" s="83" t="str">
        <f>IF(ISTEXT($A36),TO_TEXT(VLOOKUP($A36,IMP,10)),)</f>
        <v/>
      </c>
      <c r="L36" s="83" t="str">
        <f>IF(ISTEXT($A36),TO_TEXT(VLOOKUP($A36,IMP,11)),)</f>
        <v/>
      </c>
    </row>
    <row r="37">
      <c r="A37" s="3" t="s">
        <v>224</v>
      </c>
      <c r="B37" s="45"/>
      <c r="C37" s="45"/>
      <c r="D37" s="5" t="str">
        <f t="shared" ref="D37:H37" si="1">SUM(D11:D36)</f>
        <v>0</v>
      </c>
      <c r="E37" s="5" t="str">
        <f t="shared" si="1"/>
        <v>0</v>
      </c>
      <c r="F37" s="5" t="str">
        <f t="shared" si="1"/>
        <v>0</v>
      </c>
      <c r="G37" s="5" t="str">
        <f t="shared" si="1"/>
        <v>0</v>
      </c>
      <c r="H37" s="5" t="str">
        <f t="shared" si="1"/>
        <v>0</v>
      </c>
      <c r="I37" s="84"/>
      <c r="J37" s="5" t="str">
        <f>SUM(J11:J36)</f>
        <v>0</v>
      </c>
    </row>
    <row r="38" ht="5.25" customHeight="1"/>
    <row r="39">
      <c r="A39" s="16" t="s">
        <v>147</v>
      </c>
    </row>
    <row r="40">
      <c r="A40" s="19" t="s">
        <v>408</v>
      </c>
      <c r="B40" s="19" t="s">
        <v>409</v>
      </c>
      <c r="E40" s="19" t="s">
        <v>410</v>
      </c>
      <c r="F40" s="19" t="s">
        <v>411</v>
      </c>
      <c r="L40" s="121"/>
    </row>
    <row r="41">
      <c r="A41" s="6"/>
      <c r="B41" s="6"/>
      <c r="E41" s="6"/>
      <c r="F41" s="6"/>
    </row>
    <row r="42">
      <c r="A42" s="6"/>
      <c r="B42" s="6"/>
      <c r="E42" s="6"/>
      <c r="F42" s="6"/>
    </row>
    <row r="43">
      <c r="A43" s="6"/>
      <c r="B43" s="6"/>
      <c r="E43" s="6"/>
      <c r="F43" s="6"/>
    </row>
    <row r="44">
      <c r="A44" s="6"/>
      <c r="B44" s="6"/>
      <c r="E44" s="6"/>
      <c r="F44" s="6"/>
    </row>
    <row r="45">
      <c r="A45" s="6"/>
      <c r="B45" s="6"/>
      <c r="E45" s="6"/>
      <c r="F45" s="6"/>
    </row>
    <row r="46">
      <c r="A46" s="6"/>
      <c r="B46" s="6"/>
      <c r="E46" s="6"/>
      <c r="F46" s="6"/>
    </row>
    <row r="47">
      <c r="A47" s="6"/>
      <c r="B47" s="6"/>
      <c r="E47" s="6"/>
      <c r="F47" s="6"/>
    </row>
    <row r="48">
      <c r="A48" s="6"/>
      <c r="B48" s="6"/>
      <c r="E48" s="6"/>
      <c r="F48" s="6"/>
    </row>
    <row r="49">
      <c r="A49" s="6"/>
      <c r="B49" s="6"/>
      <c r="E49" s="6"/>
      <c r="F49" s="6"/>
    </row>
    <row r="50">
      <c r="A50" s="6"/>
      <c r="B50" s="6"/>
      <c r="E50" s="6"/>
      <c r="F50" s="6"/>
    </row>
    <row r="51">
      <c r="A51" s="6"/>
      <c r="B51" s="6"/>
      <c r="E51" s="6"/>
      <c r="F51" s="6"/>
    </row>
    <row r="52">
      <c r="A52" s="6"/>
      <c r="B52" s="6"/>
      <c r="E52" s="6"/>
      <c r="F52" s="6"/>
    </row>
    <row r="53">
      <c r="A53" s="6"/>
      <c r="B53" s="6"/>
      <c r="E53" s="6"/>
      <c r="F53" s="6"/>
    </row>
    <row r="54">
      <c r="A54" s="6"/>
      <c r="B54" s="6"/>
      <c r="E54" s="6"/>
      <c r="F54" s="6"/>
    </row>
    <row r="55">
      <c r="A55" s="6"/>
      <c r="B55" s="6"/>
      <c r="E55" s="6"/>
      <c r="F55" s="6"/>
    </row>
    <row r="56">
      <c r="A56" s="6"/>
      <c r="B56" s="6"/>
      <c r="E56" s="6"/>
      <c r="F56" s="6"/>
    </row>
    <row r="57">
      <c r="A57" s="6"/>
      <c r="B57" s="6"/>
      <c r="E57" s="6"/>
      <c r="F57" s="6"/>
    </row>
    <row r="58">
      <c r="A58" s="6"/>
      <c r="B58" s="6"/>
      <c r="E58" s="6"/>
      <c r="F58" s="6"/>
    </row>
    <row r="59">
      <c r="A59" s="6"/>
      <c r="B59" s="6"/>
      <c r="E59" s="6"/>
      <c r="F59" s="6"/>
    </row>
    <row r="60">
      <c r="A60" s="6"/>
      <c r="B60" s="6"/>
      <c r="E60" s="6"/>
      <c r="F60" s="6"/>
    </row>
    <row r="61">
      <c r="A61" s="6"/>
      <c r="B61" s="6"/>
      <c r="E61" s="6"/>
      <c r="F61" s="6"/>
    </row>
    <row r="62">
      <c r="A62" s="6"/>
      <c r="B62" s="6"/>
      <c r="E62" s="6"/>
      <c r="F62" s="6"/>
    </row>
    <row r="63">
      <c r="A63" s="6"/>
      <c r="B63" s="6"/>
      <c r="E63" s="6"/>
      <c r="F63" s="6"/>
    </row>
    <row r="64">
      <c r="A64" s="6"/>
      <c r="B64" s="6"/>
      <c r="E64" s="6"/>
      <c r="F64" s="6"/>
    </row>
    <row r="65">
      <c r="A65" s="6"/>
      <c r="B65" s="6"/>
      <c r="E65" s="6"/>
      <c r="F65" s="6"/>
    </row>
    <row r="66">
      <c r="A66" s="6"/>
      <c r="B66" s="6"/>
      <c r="E66" s="6"/>
      <c r="F66" s="6"/>
    </row>
    <row r="67">
      <c r="A67" s="6"/>
      <c r="B67" s="6"/>
      <c r="E67" s="6"/>
      <c r="F67" s="6"/>
    </row>
    <row r="68">
      <c r="A68" s="6"/>
      <c r="B68" s="6"/>
      <c r="E68" s="6"/>
      <c r="F68" s="6"/>
    </row>
    <row r="69">
      <c r="A69" s="6"/>
      <c r="B69" s="6"/>
      <c r="E69" s="6"/>
      <c r="F69" s="6"/>
    </row>
    <row r="70">
      <c r="A70" s="6"/>
      <c r="B70" s="6"/>
      <c r="E70" s="6"/>
      <c r="F70" s="6"/>
    </row>
  </sheetData>
  <mergeCells count="66">
    <mergeCell ref="F63:K63"/>
    <mergeCell ref="F64:K64"/>
    <mergeCell ref="F61:K61"/>
    <mergeCell ref="F62:K62"/>
    <mergeCell ref="F56:K56"/>
    <mergeCell ref="F57:K57"/>
    <mergeCell ref="F58:K58"/>
    <mergeCell ref="F59:K59"/>
    <mergeCell ref="F60:K60"/>
    <mergeCell ref="F55:K55"/>
    <mergeCell ref="F65:K65"/>
    <mergeCell ref="B62:D62"/>
    <mergeCell ref="B63:D63"/>
    <mergeCell ref="B64:D64"/>
    <mergeCell ref="B65:D65"/>
    <mergeCell ref="B56:D56"/>
    <mergeCell ref="B57:D57"/>
    <mergeCell ref="B55:D55"/>
    <mergeCell ref="B59:D59"/>
    <mergeCell ref="B60:D60"/>
    <mergeCell ref="B66:D66"/>
    <mergeCell ref="B67:D67"/>
    <mergeCell ref="B68:D68"/>
    <mergeCell ref="B61:D61"/>
    <mergeCell ref="B58:D58"/>
    <mergeCell ref="F47:K47"/>
    <mergeCell ref="F48:K48"/>
    <mergeCell ref="F49:K49"/>
    <mergeCell ref="F50:K50"/>
    <mergeCell ref="F42:K42"/>
    <mergeCell ref="F43:K43"/>
    <mergeCell ref="F44:K44"/>
    <mergeCell ref="B42:D42"/>
    <mergeCell ref="B43:D43"/>
    <mergeCell ref="F45:K45"/>
    <mergeCell ref="F46:K46"/>
    <mergeCell ref="B44:D44"/>
    <mergeCell ref="B45:D45"/>
    <mergeCell ref="B46:D46"/>
    <mergeCell ref="B47:D47"/>
    <mergeCell ref="A39:K39"/>
    <mergeCell ref="F66:K66"/>
    <mergeCell ref="F67:K67"/>
    <mergeCell ref="F68:K68"/>
    <mergeCell ref="F69:K69"/>
    <mergeCell ref="F70:K70"/>
    <mergeCell ref="B69:D69"/>
    <mergeCell ref="B70:D70"/>
    <mergeCell ref="A1:I1"/>
    <mergeCell ref="E3:I6"/>
    <mergeCell ref="A9:L9"/>
    <mergeCell ref="B54:D54"/>
    <mergeCell ref="B51:D51"/>
    <mergeCell ref="B52:D52"/>
    <mergeCell ref="B53:D53"/>
    <mergeCell ref="B48:D48"/>
    <mergeCell ref="B49:D49"/>
    <mergeCell ref="B50:D50"/>
    <mergeCell ref="F51:K51"/>
    <mergeCell ref="F52:K52"/>
    <mergeCell ref="F53:K53"/>
    <mergeCell ref="F54:K54"/>
    <mergeCell ref="B40:D40"/>
    <mergeCell ref="F40:K40"/>
    <mergeCell ref="F41:K41"/>
    <mergeCell ref="B41:D41"/>
  </mergeCells>
  <dataValidations>
    <dataValidation type="list" allowBlank="1" sqref="B41:B70">
      <formula1>"Armour/Shield/Weapon,Item,Potion/Scroll/Wondrous,Potion/Wondrous,Ring/Wand/Wondrous,Wondrous"</formula1>
    </dataValidation>
    <dataValidation type="list" allowBlank="1" sqref="A11:A36">
      <formula1>Data!$A$2:$A$71</formula1>
    </dataValidation>
    <dataValidation type="list" allowBlank="1" sqref="E41:E70">
      <formula1>"Minor,Medium,Major"</formula1>
    </dataValidation>
  </dataValidations>
  <drawing r:id="rId1"/>
</worksheet>
</file>