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alikhovAV\Desktop\"/>
    </mc:Choice>
  </mc:AlternateContent>
  <bookViews>
    <workbookView xWindow="0" yWindow="0" windowWidth="17970" windowHeight="5535" activeTab="3"/>
  </bookViews>
  <sheets>
    <sheet name="Очередь строительства" sheetId="1" r:id="rId1"/>
    <sheet name="Бухгалтерия" sheetId="2" r:id="rId2"/>
    <sheet name="ОТК" sheetId="9" r:id="rId3"/>
    <sheet name="Джилли ОТК" sheetId="15" r:id="rId4"/>
    <sheet name="Общий инвентарь" sheetId="11" r:id="rId5"/>
    <sheet name="NPC" sheetId="16" r:id="rId6"/>
    <sheet name="Details" sheetId="8" r:id="rId7"/>
    <sheet name="Лист1" sheetId="12" r:id="rId8"/>
  </sheets>
  <definedNames>
    <definedName name="_xlnm._FilterDatabase" localSheetId="1" hidden="1">Бухгалтерия!$A$3:$H$91</definedName>
    <definedName name="_xlnm._FilterDatabase" localSheetId="0" hidden="1">'Очередь строительства'!$A$1:$S$103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 i="2" l="1"/>
  <c r="I12" i="2" l="1"/>
  <c r="I13" i="2"/>
  <c r="I25" i="2"/>
  <c r="I24" i="2"/>
  <c r="I23" i="2"/>
  <c r="I8" i="2"/>
  <c r="I7" i="2"/>
  <c r="I22" i="2"/>
  <c r="I21" i="2"/>
  <c r="I20" i="2"/>
  <c r="I19" i="2"/>
  <c r="I18" i="2"/>
  <c r="H18" i="2"/>
  <c r="H19" i="2"/>
  <c r="H20" i="2"/>
  <c r="H21" i="2"/>
  <c r="H22" i="2"/>
  <c r="H23" i="2"/>
  <c r="H24" i="2"/>
  <c r="I14" i="2"/>
  <c r="J4" i="2" l="1"/>
  <c r="J5" i="2" s="1"/>
  <c r="J6" i="2" s="1"/>
  <c r="J7" i="2" s="1"/>
  <c r="J8" i="2" s="1"/>
  <c r="J9" i="2" s="1"/>
  <c r="J10" i="2" s="1"/>
  <c r="J11" i="2" s="1"/>
  <c r="J12" i="2" s="1"/>
  <c r="J13" i="2" s="1"/>
  <c r="J14" i="2" s="1"/>
  <c r="J15" i="2" s="1"/>
  <c r="J16" i="2" s="1"/>
  <c r="J17" i="2" s="1"/>
  <c r="J18" i="2" s="1"/>
  <c r="J19" i="2" s="1"/>
  <c r="J20" i="2" s="1"/>
  <c r="J21" i="2" s="1"/>
  <c r="J22" i="2" s="1"/>
  <c r="J23" i="2" s="1"/>
  <c r="J24" i="2" s="1"/>
  <c r="J25" i="2" s="1"/>
  <c r="C31" i="15"/>
  <c r="H31" i="15"/>
  <c r="G31" i="15"/>
  <c r="F31" i="15"/>
  <c r="E31" i="15"/>
  <c r="D31" i="15"/>
  <c r="L146" i="11" l="1"/>
  <c r="L145" i="11"/>
  <c r="L144" i="11"/>
  <c r="L143" i="11"/>
  <c r="L142" i="11"/>
  <c r="L141" i="11"/>
  <c r="L140" i="11"/>
  <c r="L139" i="11"/>
  <c r="L138" i="11"/>
  <c r="L137" i="11"/>
  <c r="L136" i="11"/>
  <c r="L135" i="11"/>
  <c r="L134" i="11"/>
  <c r="L133" i="11"/>
  <c r="L132" i="11"/>
  <c r="L131" i="11"/>
  <c r="L130" i="11"/>
  <c r="L129" i="11"/>
  <c r="L128" i="11"/>
  <c r="L127" i="11"/>
  <c r="H89" i="15" l="1"/>
  <c r="H88" i="15"/>
  <c r="G87" i="15"/>
  <c r="D86" i="15"/>
  <c r="E86" i="15"/>
  <c r="F86" i="15"/>
  <c r="H86" i="15"/>
  <c r="D85" i="15"/>
  <c r="E85" i="15"/>
  <c r="F85" i="15"/>
  <c r="H85" i="15"/>
  <c r="D84" i="15"/>
  <c r="E84" i="15"/>
  <c r="H84" i="15"/>
  <c r="D83" i="15"/>
  <c r="E83" i="15"/>
  <c r="F83" i="15"/>
  <c r="H83" i="15"/>
  <c r="F80" i="15"/>
  <c r="F79" i="15"/>
  <c r="C80" i="15"/>
  <c r="D75" i="15"/>
  <c r="C79" i="15"/>
  <c r="D76" i="15"/>
  <c r="D77" i="15"/>
  <c r="C77" i="15"/>
  <c r="F78" i="15"/>
  <c r="C78" i="15"/>
  <c r="E69" i="15"/>
  <c r="G72" i="15"/>
  <c r="C72" i="15"/>
  <c r="G73" i="15"/>
  <c r="C73" i="15"/>
  <c r="C74" i="15"/>
  <c r="C75" i="15"/>
  <c r="C76" i="15"/>
  <c r="G49" i="15"/>
  <c r="F49" i="15"/>
  <c r="E49" i="15"/>
  <c r="D49" i="15"/>
  <c r="E50" i="15"/>
  <c r="D50" i="15"/>
  <c r="F51" i="15"/>
  <c r="D51" i="15"/>
  <c r="E51" i="15"/>
  <c r="H51" i="15"/>
  <c r="H63" i="15"/>
  <c r="F63" i="15"/>
  <c r="E65" i="15"/>
  <c r="C65" i="15"/>
  <c r="E66" i="15"/>
  <c r="C66" i="15"/>
  <c r="C67" i="15"/>
  <c r="C68" i="15"/>
  <c r="E68" i="15"/>
  <c r="E67" i="15"/>
  <c r="E27" i="15"/>
  <c r="O57" i="1"/>
  <c r="R44" i="1"/>
  <c r="T44" i="1" s="1"/>
  <c r="H14" i="15"/>
  <c r="C6" i="15"/>
  <c r="C69" i="15"/>
  <c r="C36" i="15"/>
  <c r="D36" i="15"/>
  <c r="F46" i="15"/>
  <c r="F102" i="15"/>
  <c r="G102" i="15"/>
  <c r="H50" i="15"/>
  <c r="H49" i="15"/>
  <c r="D45" i="15"/>
  <c r="E45" i="15"/>
  <c r="H45" i="15"/>
  <c r="D46" i="15"/>
  <c r="H46" i="15"/>
  <c r="H16" i="15"/>
  <c r="H90" i="15"/>
  <c r="H91" i="15"/>
  <c r="H92" i="15"/>
  <c r="H93" i="15"/>
  <c r="H94" i="15"/>
  <c r="H95" i="15"/>
  <c r="H96" i="15"/>
  <c r="H97" i="15"/>
  <c r="K3" i="15"/>
  <c r="K4" i="15"/>
  <c r="K5" i="15"/>
  <c r="K6" i="15"/>
  <c r="K7" i="15" s="1"/>
  <c r="K8" i="15" s="1"/>
  <c r="K9" i="15" s="1"/>
  <c r="K10" i="15" s="1"/>
  <c r="K11" i="15" s="1"/>
  <c r="K12" i="15" s="1"/>
  <c r="K13" i="15" s="1"/>
  <c r="K14" i="15" s="1"/>
  <c r="K15" i="15" s="1"/>
  <c r="K16" i="15" s="1"/>
  <c r="K17" i="15" s="1"/>
  <c r="K18" i="15" s="1"/>
  <c r="K19" i="15" s="1"/>
  <c r="K20" i="15"/>
  <c r="K21" i="15" s="1"/>
  <c r="K22" i="15" s="1"/>
  <c r="K23" i="15" s="1"/>
  <c r="K24" i="15" s="1"/>
  <c r="K25" i="15" s="1"/>
  <c r="K26" i="15" s="1"/>
  <c r="K27" i="15" s="1"/>
  <c r="K28" i="15" s="1"/>
  <c r="K29" i="15" s="1"/>
  <c r="K30" i="15" s="1"/>
  <c r="K32" i="15" s="1"/>
  <c r="K33" i="15" s="1"/>
  <c r="K34" i="15" s="1"/>
  <c r="K35" i="15" s="1"/>
  <c r="K36" i="15" s="1"/>
  <c r="K37" i="15" s="1"/>
  <c r="K38" i="15" s="1"/>
  <c r="K39" i="15" s="1"/>
  <c r="K40" i="15" s="1"/>
  <c r="K41" i="15" s="1"/>
  <c r="K42" i="15" s="1"/>
  <c r="K43" i="15" s="1"/>
  <c r="K44" i="15" s="1"/>
  <c r="K45" i="15" s="1"/>
  <c r="K46" i="15" s="1"/>
  <c r="K47" i="15" s="1"/>
  <c r="K48" i="15" s="1"/>
  <c r="K49" i="15" s="1"/>
  <c r="K50" i="15" s="1"/>
  <c r="K51" i="15" s="1"/>
  <c r="K52" i="15" s="1"/>
  <c r="K53" i="15" s="1"/>
  <c r="K54" i="15" s="1"/>
  <c r="K55" i="15" s="1"/>
  <c r="K56" i="15" s="1"/>
  <c r="K57" i="15" s="1"/>
  <c r="K58" i="15" s="1"/>
  <c r="K59" i="15" s="1"/>
  <c r="K60" i="15" s="1"/>
  <c r="K61" i="15" s="1"/>
  <c r="K62" i="15" s="1"/>
  <c r="K63" i="15" s="1"/>
  <c r="K64" i="15" s="1"/>
  <c r="K65" i="15" s="1"/>
  <c r="K66" i="15" s="1"/>
  <c r="K67" i="15" s="1"/>
  <c r="K68" i="15" s="1"/>
  <c r="K69" i="15" s="1"/>
  <c r="K70" i="15" s="1"/>
  <c r="K71" i="15" s="1"/>
  <c r="K72" i="15" s="1"/>
  <c r="K73" i="15" s="1"/>
  <c r="K74" i="15" s="1"/>
  <c r="K75" i="15" s="1"/>
  <c r="K76" i="15" s="1"/>
  <c r="K77" i="15" s="1"/>
  <c r="K78" i="15" s="1"/>
  <c r="K79" i="15" s="1"/>
  <c r="K80" i="15" s="1"/>
  <c r="K81" i="15" s="1"/>
  <c r="K82" i="15" s="1"/>
  <c r="K83" i="15" s="1"/>
  <c r="K84" i="15" s="1"/>
  <c r="K85" i="15" s="1"/>
  <c r="K86" i="15" s="1"/>
  <c r="K87" i="15" s="1"/>
  <c r="K88" i="15" s="1"/>
  <c r="K89" i="15" s="1"/>
  <c r="K90" i="15" s="1"/>
  <c r="K91" i="15" s="1"/>
  <c r="K92" i="15" s="1"/>
  <c r="K93" i="15" s="1"/>
  <c r="K94" i="15" s="1"/>
  <c r="K95" i="15" s="1"/>
  <c r="K96" i="15" s="1"/>
  <c r="K97" i="15" s="1"/>
  <c r="K98" i="15" s="1"/>
  <c r="K99" i="15" s="1"/>
  <c r="K100" i="15" s="1"/>
  <c r="K101" i="15" s="1"/>
  <c r="K102" i="15" s="1"/>
  <c r="C27" i="15"/>
  <c r="C41" i="15"/>
  <c r="C42" i="15"/>
  <c r="J6" i="15"/>
  <c r="J7" i="15" s="1"/>
  <c r="J8" i="15" s="1"/>
  <c r="J9" i="15" s="1"/>
  <c r="J10" i="15" s="1"/>
  <c r="J11" i="15" s="1"/>
  <c r="J12" i="15" s="1"/>
  <c r="J13" i="15" s="1"/>
  <c r="J14" i="15" s="1"/>
  <c r="J15" i="15" s="1"/>
  <c r="J16" i="15" s="1"/>
  <c r="J17" i="15" s="1"/>
  <c r="J18" i="15" s="1"/>
  <c r="J19" i="15" s="1"/>
  <c r="J20" i="15" s="1"/>
  <c r="J21" i="15" s="1"/>
  <c r="J22" i="15" s="1"/>
  <c r="J23" i="15" s="1"/>
  <c r="J24" i="15" s="1"/>
  <c r="J25" i="15" s="1"/>
  <c r="J26" i="15" s="1"/>
  <c r="J27" i="15" s="1"/>
  <c r="J28" i="15" s="1"/>
  <c r="J29" i="15" s="1"/>
  <c r="J30" i="15" s="1"/>
  <c r="J32" i="15" s="1"/>
  <c r="J33" i="15" s="1"/>
  <c r="J34" i="15" s="1"/>
  <c r="J35" i="15" s="1"/>
  <c r="J36" i="15" s="1"/>
  <c r="J37" i="15" s="1"/>
  <c r="J38" i="15" s="1"/>
  <c r="J39" i="15" s="1"/>
  <c r="J40" i="15" s="1"/>
  <c r="J41" i="15" s="1"/>
  <c r="J42" i="15" s="1"/>
  <c r="J43" i="15" s="1"/>
  <c r="J44" i="15" s="1"/>
  <c r="J45" i="15" s="1"/>
  <c r="J46" i="15" s="1"/>
  <c r="J47" i="15" s="1"/>
  <c r="J48" i="15" s="1"/>
  <c r="J49" i="15" s="1"/>
  <c r="J50" i="15" s="1"/>
  <c r="J51" i="15" s="1"/>
  <c r="J52" i="15" s="1"/>
  <c r="J53" i="15" s="1"/>
  <c r="J54" i="15" s="1"/>
  <c r="J55" i="15" s="1"/>
  <c r="J56" i="15" s="1"/>
  <c r="J57" i="15" s="1"/>
  <c r="J58" i="15" s="1"/>
  <c r="J59" i="15" s="1"/>
  <c r="J60" i="15" s="1"/>
  <c r="J61" i="15" s="1"/>
  <c r="J62" i="15" s="1"/>
  <c r="J63" i="15" s="1"/>
  <c r="J64" i="15" s="1"/>
  <c r="J65" i="15" s="1"/>
  <c r="J66" i="15" s="1"/>
  <c r="J67" i="15" s="1"/>
  <c r="J68" i="15" s="1"/>
  <c r="J69" i="15" s="1"/>
  <c r="J70" i="15" s="1"/>
  <c r="J71" i="15" s="1"/>
  <c r="J72" i="15" s="1"/>
  <c r="J73" i="15" s="1"/>
  <c r="J74" i="15" s="1"/>
  <c r="J75" i="15" s="1"/>
  <c r="J76" i="15" s="1"/>
  <c r="J77" i="15" s="1"/>
  <c r="J78" i="15" s="1"/>
  <c r="J79" i="15" s="1"/>
  <c r="J80" i="15" s="1"/>
  <c r="J81" i="15" s="1"/>
  <c r="J82" i="15" s="1"/>
  <c r="J83" i="15" s="1"/>
  <c r="J84" i="15" s="1"/>
  <c r="J85" i="15" s="1"/>
  <c r="J86" i="15" s="1"/>
  <c r="J87" i="15" s="1"/>
  <c r="J88" i="15" s="1"/>
  <c r="J89" i="15" s="1"/>
  <c r="J90" i="15" s="1"/>
  <c r="J91" i="15" s="1"/>
  <c r="J92" i="15" s="1"/>
  <c r="J93" i="15" s="1"/>
  <c r="J94" i="15" s="1"/>
  <c r="J95" i="15" s="1"/>
  <c r="J96" i="15" s="1"/>
  <c r="J97" i="15" s="1"/>
  <c r="J98" i="15" s="1"/>
  <c r="J99" i="15" s="1"/>
  <c r="J100" i="15" s="1"/>
  <c r="J101" i="15" s="1"/>
  <c r="J102" i="15" s="1"/>
  <c r="E102" i="15"/>
  <c r="D102" i="15"/>
  <c r="H98" i="15"/>
  <c r="H99" i="15"/>
  <c r="H100" i="15"/>
  <c r="H101" i="15"/>
  <c r="C33" i="15"/>
  <c r="C61" i="15"/>
  <c r="C60" i="15"/>
  <c r="C59" i="15"/>
  <c r="C58" i="15"/>
  <c r="C62" i="15"/>
  <c r="C35" i="15"/>
  <c r="D35" i="15"/>
  <c r="C26" i="15"/>
  <c r="E26" i="15"/>
  <c r="H48" i="15"/>
  <c r="C38" i="15"/>
  <c r="C39" i="15"/>
  <c r="C40" i="15"/>
  <c r="C34" i="15"/>
  <c r="F30" i="15"/>
  <c r="C30" i="15"/>
  <c r="E29" i="15"/>
  <c r="C29" i="15"/>
  <c r="E28" i="15"/>
  <c r="C28" i="15"/>
  <c r="E25" i="15"/>
  <c r="C25" i="15"/>
  <c r="J3" i="15"/>
  <c r="D18" i="15"/>
  <c r="C18" i="15"/>
  <c r="D19" i="15"/>
  <c r="C19" i="15"/>
  <c r="D20" i="15"/>
  <c r="C20" i="15"/>
  <c r="D24" i="15"/>
  <c r="C24" i="15"/>
  <c r="J4" i="15"/>
  <c r="J5" i="15"/>
  <c r="E8" i="15"/>
  <c r="F8" i="15"/>
  <c r="D8" i="15"/>
  <c r="H8" i="15"/>
  <c r="H10" i="15"/>
  <c r="H11" i="15"/>
  <c r="H12" i="15"/>
  <c r="H13" i="15"/>
  <c r="H15" i="15"/>
  <c r="A4" i="15"/>
  <c r="A5" i="15"/>
  <c r="A6" i="15"/>
  <c r="A7" i="15"/>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N3" i="9"/>
  <c r="G26" i="9"/>
  <c r="N2" i="9"/>
  <c r="K42" i="1"/>
  <c r="K3" i="1" s="1"/>
  <c r="W4" i="2" s="1"/>
  <c r="E42" i="1"/>
  <c r="J42" i="1" s="1"/>
  <c r="N42" i="1" s="1"/>
  <c r="D42" i="1"/>
  <c r="I42" i="1"/>
  <c r="M42" i="1" s="1"/>
  <c r="D33" i="1"/>
  <c r="I33" i="1" s="1"/>
  <c r="M33" i="1" s="1"/>
  <c r="E32" i="1"/>
  <c r="J32" i="1"/>
  <c r="J3" i="1" s="1"/>
  <c r="V4" i="2" s="1"/>
  <c r="D32" i="1"/>
  <c r="I32" i="1" s="1"/>
  <c r="H61" i="2"/>
  <c r="H20" i="12"/>
  <c r="G20" i="12"/>
  <c r="F20" i="12"/>
  <c r="H36" i="9"/>
  <c r="G36" i="9"/>
  <c r="F36" i="9"/>
  <c r="E36" i="9"/>
  <c r="D36" i="9"/>
  <c r="H35" i="9"/>
  <c r="G35" i="9"/>
  <c r="F35" i="9"/>
  <c r="E35" i="9"/>
  <c r="D35" i="9"/>
  <c r="H34" i="9"/>
  <c r="G34" i="9"/>
  <c r="F34" i="9"/>
  <c r="E34" i="9"/>
  <c r="D34" i="9"/>
  <c r="H33" i="9"/>
  <c r="G33" i="9"/>
  <c r="F33" i="9"/>
  <c r="E33" i="9"/>
  <c r="D33" i="9"/>
  <c r="H32" i="9"/>
  <c r="G32" i="9"/>
  <c r="F32" i="9"/>
  <c r="E32" i="9"/>
  <c r="D32" i="9"/>
  <c r="H37" i="9"/>
  <c r="G37" i="9"/>
  <c r="F37" i="9"/>
  <c r="E37" i="9"/>
  <c r="D37" i="9"/>
  <c r="M34" i="1"/>
  <c r="N34" i="1"/>
  <c r="O34" i="1"/>
  <c r="P34" i="1"/>
  <c r="R34" i="1"/>
  <c r="P20" i="1"/>
  <c r="O20" i="1"/>
  <c r="N20" i="1"/>
  <c r="M20" i="1"/>
  <c r="P19" i="1"/>
  <c r="O19" i="1"/>
  <c r="N19" i="1"/>
  <c r="M19" i="1"/>
  <c r="J9" i="12"/>
  <c r="K9" i="12"/>
  <c r="M9" i="12"/>
  <c r="J8" i="12"/>
  <c r="K8" i="12"/>
  <c r="M8" i="12"/>
  <c r="J7" i="12"/>
  <c r="K7" i="12"/>
  <c r="M7" i="12"/>
  <c r="J6" i="12"/>
  <c r="K6" i="12"/>
  <c r="M6" i="12"/>
  <c r="J5" i="12"/>
  <c r="K5" i="12"/>
  <c r="M5" i="12"/>
  <c r="J4" i="12"/>
  <c r="K4" i="12"/>
  <c r="M4" i="12"/>
  <c r="J3" i="12"/>
  <c r="K3" i="12"/>
  <c r="M3" i="12"/>
  <c r="J2" i="12"/>
  <c r="M12" i="1"/>
  <c r="H29" i="9"/>
  <c r="G29" i="9"/>
  <c r="F29" i="9"/>
  <c r="E29" i="9"/>
  <c r="D29" i="9"/>
  <c r="H28" i="9"/>
  <c r="F28" i="9"/>
  <c r="E28" i="9"/>
  <c r="D28" i="9"/>
  <c r="H27" i="9"/>
  <c r="G27" i="9"/>
  <c r="F27" i="9"/>
  <c r="E27" i="9"/>
  <c r="D27" i="9"/>
  <c r="H26" i="9"/>
  <c r="F26" i="9"/>
  <c r="E26" i="9"/>
  <c r="D26" i="9"/>
  <c r="H25" i="9"/>
  <c r="G25" i="9"/>
  <c r="F25" i="9"/>
  <c r="E25" i="9"/>
  <c r="D25" i="9"/>
  <c r="H24" i="9"/>
  <c r="G24" i="9"/>
  <c r="F24" i="9"/>
  <c r="E24" i="9"/>
  <c r="D24" i="9"/>
  <c r="H23" i="9"/>
  <c r="G23" i="9"/>
  <c r="F23" i="9"/>
  <c r="E23" i="9"/>
  <c r="D23" i="9"/>
  <c r="H22" i="9"/>
  <c r="G22" i="9"/>
  <c r="F22" i="9"/>
  <c r="E22" i="9"/>
  <c r="D22" i="9"/>
  <c r="H21" i="9"/>
  <c r="G21" i="9"/>
  <c r="F21" i="9"/>
  <c r="E21" i="9"/>
  <c r="D21" i="9"/>
  <c r="H20" i="9"/>
  <c r="G20" i="9"/>
  <c r="F20" i="9"/>
  <c r="E20" i="9"/>
  <c r="D20" i="9"/>
  <c r="H19" i="9"/>
  <c r="G19" i="9"/>
  <c r="F19" i="9"/>
  <c r="E19" i="9"/>
  <c r="D19" i="9"/>
  <c r="H18" i="9"/>
  <c r="G18" i="9"/>
  <c r="F18" i="9"/>
  <c r="E18" i="9"/>
  <c r="D18" i="9"/>
  <c r="H17" i="9"/>
  <c r="G17" i="9"/>
  <c r="F17" i="9"/>
  <c r="E17" i="9"/>
  <c r="D17" i="9"/>
  <c r="H16" i="9"/>
  <c r="G16" i="9"/>
  <c r="F16" i="9"/>
  <c r="E16" i="9"/>
  <c r="D16" i="9"/>
  <c r="H15" i="9"/>
  <c r="G15" i="9"/>
  <c r="F15" i="9"/>
  <c r="E15" i="9"/>
  <c r="D15" i="9"/>
  <c r="H14" i="9"/>
  <c r="G14" i="9"/>
  <c r="F14" i="9"/>
  <c r="E14" i="9"/>
  <c r="D14" i="9"/>
  <c r="H13" i="9"/>
  <c r="G13" i="9"/>
  <c r="F13" i="9"/>
  <c r="E13" i="9"/>
  <c r="D13" i="9"/>
  <c r="H12" i="9"/>
  <c r="G12" i="9"/>
  <c r="F12" i="9"/>
  <c r="E12" i="9"/>
  <c r="D12" i="9"/>
  <c r="H11" i="9"/>
  <c r="G11" i="9"/>
  <c r="F11" i="9"/>
  <c r="E11" i="9"/>
  <c r="D11" i="9"/>
  <c r="H10" i="9"/>
  <c r="G10" i="9"/>
  <c r="F10" i="9"/>
  <c r="E10" i="9"/>
  <c r="D10" i="9"/>
  <c r="H9" i="9"/>
  <c r="G9" i="9"/>
  <c r="F9" i="9"/>
  <c r="E9" i="9"/>
  <c r="D9" i="9"/>
  <c r="H8" i="9"/>
  <c r="G8" i="9"/>
  <c r="F8" i="9"/>
  <c r="E8" i="9"/>
  <c r="D8" i="9"/>
  <c r="H7" i="9"/>
  <c r="G7" i="9"/>
  <c r="F7" i="9"/>
  <c r="E7" i="9"/>
  <c r="D7" i="9"/>
  <c r="H6" i="9"/>
  <c r="G6" i="9"/>
  <c r="F6" i="9"/>
  <c r="E6" i="9"/>
  <c r="D6" i="9"/>
  <c r="H5" i="9"/>
  <c r="G5" i="9"/>
  <c r="F5" i="9"/>
  <c r="E5" i="9"/>
  <c r="D5" i="9"/>
  <c r="H4" i="9"/>
  <c r="G4" i="9"/>
  <c r="F4" i="9"/>
  <c r="E4" i="9"/>
  <c r="D4" i="9"/>
  <c r="Q9" i="9"/>
  <c r="Q10" i="9"/>
  <c r="L101" i="8"/>
  <c r="M101" i="8"/>
  <c r="S101" i="8"/>
  <c r="L93" i="8"/>
  <c r="M93" i="8"/>
  <c r="S93" i="8"/>
  <c r="L89" i="8"/>
  <c r="M89" i="8"/>
  <c r="S89" i="8"/>
  <c r="L85" i="8"/>
  <c r="M85" i="8"/>
  <c r="S85" i="8"/>
  <c r="L76" i="8"/>
  <c r="M76" i="8"/>
  <c r="S76" i="8"/>
  <c r="L73" i="8"/>
  <c r="M73" i="8"/>
  <c r="S73" i="8"/>
  <c r="L66" i="8"/>
  <c r="M66" i="8"/>
  <c r="S66" i="8"/>
  <c r="L57" i="8"/>
  <c r="M57" i="8"/>
  <c r="S57" i="8"/>
  <c r="L49" i="8"/>
  <c r="M49" i="8"/>
  <c r="S49" i="8"/>
  <c r="L45" i="8"/>
  <c r="M45" i="8"/>
  <c r="S45" i="8"/>
  <c r="L42" i="8"/>
  <c r="M42" i="8"/>
  <c r="S42" i="8"/>
  <c r="L38" i="8"/>
  <c r="M38" i="8"/>
  <c r="S38" i="8"/>
  <c r="L37" i="8"/>
  <c r="M37" i="8"/>
  <c r="S37" i="8"/>
  <c r="L35" i="8"/>
  <c r="M35" i="8"/>
  <c r="S35" i="8"/>
  <c r="L34" i="8"/>
  <c r="M34" i="8"/>
  <c r="S34" i="8"/>
  <c r="L15" i="8"/>
  <c r="M15" i="8"/>
  <c r="S15" i="8"/>
  <c r="L14" i="8"/>
  <c r="M14" i="8"/>
  <c r="S14" i="8"/>
  <c r="L13" i="8"/>
  <c r="M13" i="8"/>
  <c r="S13" i="8"/>
  <c r="L12" i="8"/>
  <c r="M12" i="8"/>
  <c r="S12" i="8"/>
  <c r="L11" i="8"/>
  <c r="M11" i="8"/>
  <c r="S11" i="8"/>
  <c r="L10" i="8"/>
  <c r="M10" i="8"/>
  <c r="S10" i="8"/>
  <c r="L9" i="8"/>
  <c r="M9" i="8"/>
  <c r="S9" i="8"/>
  <c r="L8" i="8"/>
  <c r="M8" i="8"/>
  <c r="S8" i="8"/>
  <c r="L7" i="8"/>
  <c r="M7" i="8"/>
  <c r="S7" i="8"/>
  <c r="L6" i="8"/>
  <c r="M6" i="8"/>
  <c r="S6" i="8"/>
  <c r="L5" i="8"/>
  <c r="M5" i="8"/>
  <c r="S5" i="8"/>
  <c r="L4" i="8"/>
  <c r="M4" i="8"/>
  <c r="S4" i="8"/>
  <c r="L3" i="8"/>
  <c r="M3" i="8"/>
  <c r="S3" i="8"/>
  <c r="L102" i="8"/>
  <c r="M102" i="8"/>
  <c r="S102" i="8"/>
  <c r="L100" i="8"/>
  <c r="M100" i="8"/>
  <c r="S100" i="8"/>
  <c r="L99" i="8"/>
  <c r="M99" i="8"/>
  <c r="S99" i="8"/>
  <c r="L98" i="8"/>
  <c r="M98" i="8"/>
  <c r="S98" i="8"/>
  <c r="L97" i="8"/>
  <c r="M97" i="8"/>
  <c r="S97" i="8"/>
  <c r="L96" i="8"/>
  <c r="M96" i="8"/>
  <c r="S96" i="8"/>
  <c r="L95" i="8"/>
  <c r="M95" i="8"/>
  <c r="S95" i="8"/>
  <c r="L94" i="8"/>
  <c r="M94" i="8"/>
  <c r="S94" i="8"/>
  <c r="L92" i="8"/>
  <c r="M92" i="8"/>
  <c r="S92" i="8"/>
  <c r="L91" i="8"/>
  <c r="M91" i="8"/>
  <c r="S91" i="8"/>
  <c r="L90" i="8"/>
  <c r="M90" i="8"/>
  <c r="S90" i="8"/>
  <c r="L88" i="8"/>
  <c r="M88" i="8"/>
  <c r="S88" i="8"/>
  <c r="L87" i="8"/>
  <c r="M87" i="8"/>
  <c r="S87" i="8"/>
  <c r="L86" i="8"/>
  <c r="M86" i="8"/>
  <c r="S86" i="8"/>
  <c r="L84" i="8"/>
  <c r="M84" i="8"/>
  <c r="S84" i="8"/>
  <c r="L83" i="8"/>
  <c r="M83" i="8"/>
  <c r="S83" i="8"/>
  <c r="L82" i="8"/>
  <c r="M82" i="8"/>
  <c r="S82" i="8"/>
  <c r="L81" i="8"/>
  <c r="M81" i="8"/>
  <c r="S81" i="8"/>
  <c r="L80" i="8"/>
  <c r="M80" i="8"/>
  <c r="S80" i="8"/>
  <c r="L79" i="8"/>
  <c r="M79" i="8"/>
  <c r="S79" i="8"/>
  <c r="L78" i="8"/>
  <c r="M78" i="8"/>
  <c r="S78" i="8"/>
  <c r="L77" i="8"/>
  <c r="M77" i="8"/>
  <c r="S77" i="8"/>
  <c r="L75" i="8"/>
  <c r="M75" i="8"/>
  <c r="S75" i="8"/>
  <c r="L74" i="8"/>
  <c r="M74" i="8"/>
  <c r="S74" i="8"/>
  <c r="L72" i="8"/>
  <c r="M72" i="8"/>
  <c r="S72" i="8"/>
  <c r="L71" i="8"/>
  <c r="M71" i="8"/>
  <c r="S71" i="8"/>
  <c r="L70" i="8"/>
  <c r="M70" i="8"/>
  <c r="S70" i="8"/>
  <c r="L69" i="8"/>
  <c r="M69" i="8"/>
  <c r="S69" i="8"/>
  <c r="L68" i="8"/>
  <c r="M68" i="8"/>
  <c r="S68" i="8"/>
  <c r="L67" i="8"/>
  <c r="M67" i="8"/>
  <c r="S67" i="8"/>
  <c r="L65" i="8"/>
  <c r="M65" i="8"/>
  <c r="S65" i="8"/>
  <c r="L64" i="8"/>
  <c r="M64" i="8"/>
  <c r="S64" i="8"/>
  <c r="L63" i="8"/>
  <c r="M63" i="8"/>
  <c r="S63" i="8"/>
  <c r="L62" i="8"/>
  <c r="M62" i="8"/>
  <c r="S62" i="8"/>
  <c r="L61" i="8"/>
  <c r="M61" i="8"/>
  <c r="S61" i="8"/>
  <c r="L60" i="8"/>
  <c r="M60" i="8"/>
  <c r="S60" i="8"/>
  <c r="L59" i="8"/>
  <c r="M59" i="8"/>
  <c r="S59" i="8"/>
  <c r="L58" i="8"/>
  <c r="M58" i="8"/>
  <c r="S58" i="8"/>
  <c r="L56" i="8"/>
  <c r="M56" i="8"/>
  <c r="S56" i="8"/>
  <c r="L55" i="8"/>
  <c r="M55" i="8"/>
  <c r="S55" i="8"/>
  <c r="L54" i="8"/>
  <c r="M54" i="8"/>
  <c r="S54" i="8"/>
  <c r="L53" i="8"/>
  <c r="M53" i="8"/>
  <c r="S53" i="8"/>
  <c r="L52" i="8"/>
  <c r="M52" i="8"/>
  <c r="S52" i="8"/>
  <c r="L51" i="8"/>
  <c r="M51" i="8"/>
  <c r="S51" i="8"/>
  <c r="L50" i="8"/>
  <c r="M50" i="8"/>
  <c r="S50" i="8"/>
  <c r="L48" i="8"/>
  <c r="M48" i="8"/>
  <c r="S48" i="8"/>
  <c r="L47" i="8"/>
  <c r="M47" i="8"/>
  <c r="S47" i="8"/>
  <c r="L46" i="8"/>
  <c r="M46" i="8"/>
  <c r="S46" i="8"/>
  <c r="L44" i="8"/>
  <c r="M44" i="8"/>
  <c r="S44" i="8"/>
  <c r="L43" i="8"/>
  <c r="M43" i="8"/>
  <c r="S43" i="8"/>
  <c r="L41" i="8"/>
  <c r="M41" i="8"/>
  <c r="S41" i="8"/>
  <c r="L40" i="8"/>
  <c r="M40" i="8"/>
  <c r="S40" i="8"/>
  <c r="L39" i="8"/>
  <c r="M39" i="8"/>
  <c r="S39" i="8"/>
  <c r="L36" i="8"/>
  <c r="M36" i="8"/>
  <c r="S36" i="8"/>
  <c r="L33" i="8"/>
  <c r="M33" i="8"/>
  <c r="S33" i="8"/>
  <c r="L32" i="8"/>
  <c r="M32" i="8"/>
  <c r="S32" i="8"/>
  <c r="L31" i="8"/>
  <c r="M31" i="8"/>
  <c r="S31" i="8"/>
  <c r="L30" i="8"/>
  <c r="M30" i="8"/>
  <c r="S30" i="8"/>
  <c r="L29" i="8"/>
  <c r="M29" i="8"/>
  <c r="S29" i="8"/>
  <c r="L28" i="8"/>
  <c r="M28" i="8"/>
  <c r="S28" i="8"/>
  <c r="L27" i="8"/>
  <c r="M27" i="8"/>
  <c r="S27" i="8"/>
  <c r="L26" i="8"/>
  <c r="M26" i="8"/>
  <c r="S26" i="8"/>
  <c r="L25" i="8"/>
  <c r="M25" i="8"/>
  <c r="S25" i="8"/>
  <c r="L24" i="8"/>
  <c r="M24" i="8"/>
  <c r="S24" i="8"/>
  <c r="L23" i="8"/>
  <c r="M23" i="8"/>
  <c r="S23" i="8"/>
  <c r="L22" i="8"/>
  <c r="M22" i="8"/>
  <c r="S22" i="8"/>
  <c r="L21" i="8"/>
  <c r="M21" i="8"/>
  <c r="S21" i="8"/>
  <c r="L20" i="8"/>
  <c r="M20" i="8"/>
  <c r="S20" i="8"/>
  <c r="L19" i="8"/>
  <c r="M19" i="8"/>
  <c r="S19" i="8"/>
  <c r="L18" i="8"/>
  <c r="M18" i="8"/>
  <c r="S18" i="8"/>
  <c r="L17" i="8"/>
  <c r="M17" i="8"/>
  <c r="S17" i="8"/>
  <c r="L16" i="8"/>
  <c r="M16" i="8"/>
  <c r="S16" i="8"/>
  <c r="O3" i="9"/>
  <c r="M3" i="9"/>
  <c r="K3" i="9"/>
  <c r="M22" i="1"/>
  <c r="P103" i="1"/>
  <c r="O103" i="1"/>
  <c r="N103" i="1"/>
  <c r="M103" i="1"/>
  <c r="P102" i="1"/>
  <c r="S102" i="1" s="1"/>
  <c r="O102" i="1"/>
  <c r="N102" i="1"/>
  <c r="M102" i="1"/>
  <c r="P101" i="1"/>
  <c r="O101" i="1"/>
  <c r="N101" i="1"/>
  <c r="M101" i="1"/>
  <c r="P100" i="1"/>
  <c r="S100" i="1" s="1"/>
  <c r="O100" i="1"/>
  <c r="N100" i="1"/>
  <c r="M100" i="1"/>
  <c r="P99" i="1"/>
  <c r="O99" i="1"/>
  <c r="N99" i="1"/>
  <c r="M99" i="1"/>
  <c r="P98" i="1"/>
  <c r="O98" i="1"/>
  <c r="N98" i="1"/>
  <c r="M98" i="1"/>
  <c r="P97" i="1"/>
  <c r="O97" i="1"/>
  <c r="N97" i="1"/>
  <c r="M97" i="1"/>
  <c r="P96" i="1"/>
  <c r="S96" i="1" s="1"/>
  <c r="O96" i="1"/>
  <c r="N96" i="1"/>
  <c r="M96" i="1"/>
  <c r="P95" i="1"/>
  <c r="O95" i="1"/>
  <c r="N95" i="1"/>
  <c r="M95" i="1"/>
  <c r="P94" i="1"/>
  <c r="S94" i="1" s="1"/>
  <c r="O94" i="1"/>
  <c r="N94" i="1"/>
  <c r="M94" i="1"/>
  <c r="P93" i="1"/>
  <c r="O93" i="1"/>
  <c r="N93" i="1"/>
  <c r="M93" i="1"/>
  <c r="P92" i="1"/>
  <c r="S92" i="1" s="1"/>
  <c r="O92" i="1"/>
  <c r="N92" i="1"/>
  <c r="M92" i="1"/>
  <c r="P91" i="1"/>
  <c r="O91" i="1"/>
  <c r="N91" i="1"/>
  <c r="M91" i="1"/>
  <c r="P90" i="1"/>
  <c r="O90" i="1"/>
  <c r="N90" i="1"/>
  <c r="M90" i="1"/>
  <c r="P89" i="1"/>
  <c r="O89" i="1"/>
  <c r="N89" i="1"/>
  <c r="M89" i="1"/>
  <c r="P88" i="1"/>
  <c r="S88" i="1" s="1"/>
  <c r="O88" i="1"/>
  <c r="N88" i="1"/>
  <c r="M88" i="1"/>
  <c r="P87" i="1"/>
  <c r="O87" i="1"/>
  <c r="N87" i="1"/>
  <c r="M87" i="1"/>
  <c r="P86" i="1"/>
  <c r="S86" i="1" s="1"/>
  <c r="O86" i="1"/>
  <c r="N86" i="1"/>
  <c r="M86" i="1"/>
  <c r="P85" i="1"/>
  <c r="O85" i="1"/>
  <c r="N85" i="1"/>
  <c r="M85" i="1"/>
  <c r="P84" i="1"/>
  <c r="S84" i="1" s="1"/>
  <c r="O84" i="1"/>
  <c r="N84" i="1"/>
  <c r="M84" i="1"/>
  <c r="P83" i="1"/>
  <c r="O83" i="1"/>
  <c r="N83" i="1"/>
  <c r="M83" i="1"/>
  <c r="P82" i="1"/>
  <c r="O82" i="1"/>
  <c r="N82" i="1"/>
  <c r="M82" i="1"/>
  <c r="P81" i="1"/>
  <c r="O81" i="1"/>
  <c r="N81" i="1"/>
  <c r="M81" i="1"/>
  <c r="P80" i="1"/>
  <c r="S80" i="1" s="1"/>
  <c r="O80" i="1"/>
  <c r="N80" i="1"/>
  <c r="M80" i="1"/>
  <c r="P79" i="1"/>
  <c r="O79" i="1"/>
  <c r="N79" i="1"/>
  <c r="M79" i="1"/>
  <c r="P78" i="1"/>
  <c r="S78" i="1" s="1"/>
  <c r="O78" i="1"/>
  <c r="N78" i="1"/>
  <c r="M78" i="1"/>
  <c r="P77" i="1"/>
  <c r="O77" i="1"/>
  <c r="N77" i="1"/>
  <c r="M77" i="1"/>
  <c r="P76" i="1"/>
  <c r="O76" i="1"/>
  <c r="N76" i="1"/>
  <c r="M76" i="1"/>
  <c r="P75" i="1"/>
  <c r="O75" i="1"/>
  <c r="N75" i="1"/>
  <c r="M75" i="1"/>
  <c r="P74" i="1"/>
  <c r="O74" i="1"/>
  <c r="N74" i="1"/>
  <c r="M74" i="1"/>
  <c r="S74" i="1" s="1"/>
  <c r="P73" i="1"/>
  <c r="O73" i="1"/>
  <c r="N73" i="1"/>
  <c r="M73" i="1"/>
  <c r="P72" i="1"/>
  <c r="O72" i="1"/>
  <c r="N72" i="1"/>
  <c r="M72" i="1"/>
  <c r="P71" i="1"/>
  <c r="O71" i="1"/>
  <c r="N71" i="1"/>
  <c r="M71" i="1"/>
  <c r="P70" i="1"/>
  <c r="O70" i="1"/>
  <c r="N70" i="1"/>
  <c r="M70" i="1"/>
  <c r="P69" i="1"/>
  <c r="O69" i="1"/>
  <c r="N69" i="1"/>
  <c r="M69" i="1"/>
  <c r="P68" i="1"/>
  <c r="O68" i="1"/>
  <c r="N68" i="1"/>
  <c r="M68" i="1"/>
  <c r="P67" i="1"/>
  <c r="O67" i="1"/>
  <c r="N67" i="1"/>
  <c r="M67" i="1"/>
  <c r="P66" i="1"/>
  <c r="O66" i="1"/>
  <c r="N66" i="1"/>
  <c r="M66" i="1"/>
  <c r="P65" i="1"/>
  <c r="O65" i="1"/>
  <c r="N65" i="1"/>
  <c r="M65" i="1"/>
  <c r="P64" i="1"/>
  <c r="S64" i="1" s="1"/>
  <c r="O64" i="1"/>
  <c r="N64" i="1"/>
  <c r="M64" i="1"/>
  <c r="P63" i="1"/>
  <c r="O63" i="1"/>
  <c r="N63" i="1"/>
  <c r="M63" i="1"/>
  <c r="P62" i="1"/>
  <c r="O62" i="1"/>
  <c r="N62" i="1"/>
  <c r="M62" i="1"/>
  <c r="P61" i="1"/>
  <c r="O61" i="1"/>
  <c r="N61" i="1"/>
  <c r="M61" i="1"/>
  <c r="P60" i="1"/>
  <c r="S60" i="1" s="1"/>
  <c r="O60" i="1"/>
  <c r="N60" i="1"/>
  <c r="M60" i="1"/>
  <c r="P59" i="1"/>
  <c r="O59" i="1"/>
  <c r="N59" i="1"/>
  <c r="M59" i="1"/>
  <c r="P58" i="1"/>
  <c r="O58" i="1"/>
  <c r="N58" i="1"/>
  <c r="M58" i="1"/>
  <c r="P57" i="1"/>
  <c r="N57" i="1"/>
  <c r="M57" i="1"/>
  <c r="P56" i="1"/>
  <c r="O56" i="1"/>
  <c r="S56" i="1" s="1"/>
  <c r="N56" i="1"/>
  <c r="M56" i="1"/>
  <c r="P55" i="1"/>
  <c r="O55" i="1"/>
  <c r="N55" i="1"/>
  <c r="M55" i="1"/>
  <c r="P54" i="1"/>
  <c r="O54" i="1"/>
  <c r="S54" i="1" s="1"/>
  <c r="N54" i="1"/>
  <c r="M54" i="1"/>
  <c r="P53" i="1"/>
  <c r="O53" i="1"/>
  <c r="N53" i="1"/>
  <c r="M53" i="1"/>
  <c r="P52" i="1"/>
  <c r="O52" i="1"/>
  <c r="S52" i="1" s="1"/>
  <c r="N52" i="1"/>
  <c r="M52" i="1"/>
  <c r="P51" i="1"/>
  <c r="O51" i="1"/>
  <c r="N51" i="1"/>
  <c r="M51" i="1"/>
  <c r="P50" i="1"/>
  <c r="O50" i="1"/>
  <c r="N50" i="1"/>
  <c r="M50" i="1"/>
  <c r="P49" i="1"/>
  <c r="O49" i="1"/>
  <c r="N49" i="1"/>
  <c r="M49" i="1"/>
  <c r="P48" i="1"/>
  <c r="O48" i="1"/>
  <c r="S48" i="1" s="1"/>
  <c r="N48" i="1"/>
  <c r="M48" i="1"/>
  <c r="P47" i="1"/>
  <c r="O47" i="1"/>
  <c r="N47" i="1"/>
  <c r="M47" i="1"/>
  <c r="P46" i="1"/>
  <c r="O46" i="1"/>
  <c r="S46" i="1" s="1"/>
  <c r="N46" i="1"/>
  <c r="M46" i="1"/>
  <c r="P45" i="1"/>
  <c r="O45" i="1"/>
  <c r="N45" i="1"/>
  <c r="M45" i="1"/>
  <c r="P44" i="1"/>
  <c r="O44" i="1"/>
  <c r="N44" i="1"/>
  <c r="M44" i="1"/>
  <c r="P43" i="1"/>
  <c r="O43" i="1"/>
  <c r="N43" i="1"/>
  <c r="M43" i="1"/>
  <c r="P42" i="1"/>
  <c r="P41" i="1"/>
  <c r="O41" i="1"/>
  <c r="N41" i="1"/>
  <c r="M41" i="1"/>
  <c r="P40" i="1"/>
  <c r="O40" i="1"/>
  <c r="N40" i="1"/>
  <c r="M40" i="1"/>
  <c r="P39" i="1"/>
  <c r="O39" i="1"/>
  <c r="N39" i="1"/>
  <c r="M39" i="1"/>
  <c r="P38" i="1"/>
  <c r="O38" i="1"/>
  <c r="N38" i="1"/>
  <c r="M38" i="1"/>
  <c r="P37" i="1"/>
  <c r="S37" i="1" s="1"/>
  <c r="O37" i="1"/>
  <c r="N37" i="1"/>
  <c r="M37" i="1"/>
  <c r="P36" i="1"/>
  <c r="O36" i="1"/>
  <c r="N36" i="1"/>
  <c r="M36" i="1"/>
  <c r="P35" i="1"/>
  <c r="O35" i="1"/>
  <c r="N35" i="1"/>
  <c r="M35" i="1"/>
  <c r="P33" i="1"/>
  <c r="O33" i="1"/>
  <c r="N33" i="1"/>
  <c r="P32" i="1"/>
  <c r="O32" i="1"/>
  <c r="N32" i="1"/>
  <c r="P31" i="1"/>
  <c r="P4" i="1"/>
  <c r="P5" i="1"/>
  <c r="P3" i="1" s="1"/>
  <c r="P6" i="1"/>
  <c r="P7" i="1"/>
  <c r="P8" i="1"/>
  <c r="P9" i="1"/>
  <c r="P10" i="1"/>
  <c r="P11" i="1"/>
  <c r="P12" i="1"/>
  <c r="P13" i="1"/>
  <c r="S13" i="1" s="1"/>
  <c r="P14" i="1"/>
  <c r="P15" i="1"/>
  <c r="P16" i="1"/>
  <c r="P17" i="1"/>
  <c r="P18" i="1"/>
  <c r="P23" i="1"/>
  <c r="P24" i="1"/>
  <c r="P25" i="1"/>
  <c r="P26" i="1"/>
  <c r="P27" i="1"/>
  <c r="P28" i="1"/>
  <c r="P29" i="1"/>
  <c r="P30" i="1"/>
  <c r="O31" i="1"/>
  <c r="N31" i="1"/>
  <c r="M31" i="1"/>
  <c r="O30" i="1"/>
  <c r="N30" i="1"/>
  <c r="M30" i="1"/>
  <c r="O29" i="1"/>
  <c r="S29" i="1" s="1"/>
  <c r="N29" i="1"/>
  <c r="M29" i="1"/>
  <c r="O28" i="1"/>
  <c r="N28" i="1"/>
  <c r="M28" i="1"/>
  <c r="H3" i="9"/>
  <c r="N22" i="1"/>
  <c r="R103" i="1"/>
  <c r="S103" i="1" s="1"/>
  <c r="R102" i="1"/>
  <c r="R101" i="1"/>
  <c r="R100" i="1"/>
  <c r="R99" i="1"/>
  <c r="R98" i="1"/>
  <c r="S98" i="1"/>
  <c r="R97" i="1"/>
  <c r="R96" i="1"/>
  <c r="R95" i="1"/>
  <c r="S95" i="1" s="1"/>
  <c r="R94" i="1"/>
  <c r="R93" i="1"/>
  <c r="R92" i="1"/>
  <c r="R91" i="1"/>
  <c r="R90" i="1"/>
  <c r="S90" i="1"/>
  <c r="R89" i="1"/>
  <c r="R88" i="1"/>
  <c r="R87" i="1"/>
  <c r="S87" i="1" s="1"/>
  <c r="R86" i="1"/>
  <c r="R85" i="1"/>
  <c r="R84" i="1"/>
  <c r="R83" i="1"/>
  <c r="R82" i="1"/>
  <c r="S82" i="1"/>
  <c r="R81" i="1"/>
  <c r="R80" i="1"/>
  <c r="R79" i="1"/>
  <c r="S79" i="1" s="1"/>
  <c r="R78" i="1"/>
  <c r="R77" i="1"/>
  <c r="R76" i="1"/>
  <c r="R75" i="1"/>
  <c r="R74" i="1"/>
  <c r="R73" i="1"/>
  <c r="R72" i="1"/>
  <c r="R71" i="1"/>
  <c r="S71" i="1" s="1"/>
  <c r="R70" i="1"/>
  <c r="R69" i="1"/>
  <c r="R68" i="1"/>
  <c r="R67" i="1"/>
  <c r="R66" i="1"/>
  <c r="S66" i="1"/>
  <c r="R65" i="1"/>
  <c r="R64" i="1"/>
  <c r="R63" i="1"/>
  <c r="S63" i="1" s="1"/>
  <c r="R62" i="1"/>
  <c r="R61" i="1"/>
  <c r="R60" i="1"/>
  <c r="R59" i="1"/>
  <c r="R58" i="1"/>
  <c r="S58" i="1"/>
  <c r="R57" i="1"/>
  <c r="R56" i="1"/>
  <c r="R55" i="1"/>
  <c r="S55" i="1" s="1"/>
  <c r="R54" i="1"/>
  <c r="R53" i="1"/>
  <c r="R52" i="1"/>
  <c r="R51" i="1"/>
  <c r="R50" i="1"/>
  <c r="S50" i="1"/>
  <c r="R49" i="1"/>
  <c r="R48" i="1"/>
  <c r="R47" i="1"/>
  <c r="S47" i="1" s="1"/>
  <c r="R46" i="1"/>
  <c r="R45" i="1"/>
  <c r="R43" i="1"/>
  <c r="S43" i="1" s="1"/>
  <c r="R42" i="1"/>
  <c r="R41" i="1"/>
  <c r="R40" i="1"/>
  <c r="R39" i="1"/>
  <c r="S39" i="1" s="1"/>
  <c r="R38" i="1"/>
  <c r="R37" i="1"/>
  <c r="R36" i="1"/>
  <c r="R35" i="1"/>
  <c r="R33" i="1"/>
  <c r="R32" i="1"/>
  <c r="R31" i="1"/>
  <c r="R30" i="1"/>
  <c r="M21" i="1"/>
  <c r="N21" i="1"/>
  <c r="R19" i="1"/>
  <c r="M18" i="1"/>
  <c r="N18" i="1"/>
  <c r="O18" i="1"/>
  <c r="R18" i="1"/>
  <c r="S18" i="1" s="1"/>
  <c r="M17" i="1"/>
  <c r="N17" i="1"/>
  <c r="O17" i="1"/>
  <c r="R17" i="1"/>
  <c r="M14" i="1"/>
  <c r="N14" i="1"/>
  <c r="O14" i="1"/>
  <c r="S14" i="1" s="1"/>
  <c r="R14" i="1"/>
  <c r="M13" i="1"/>
  <c r="N13" i="1"/>
  <c r="O13" i="1"/>
  <c r="R13" i="1"/>
  <c r="M11" i="1"/>
  <c r="N11" i="1"/>
  <c r="O11" i="1"/>
  <c r="R11" i="1"/>
  <c r="M10" i="1"/>
  <c r="N10" i="1"/>
  <c r="O10" i="1"/>
  <c r="M9" i="1"/>
  <c r="N9" i="1"/>
  <c r="O9" i="1"/>
  <c r="M8" i="1"/>
  <c r="N8" i="1"/>
  <c r="O8" i="1"/>
  <c r="R8" i="1"/>
  <c r="M7" i="1"/>
  <c r="N7" i="1"/>
  <c r="O7" i="1"/>
  <c r="R7" i="1"/>
  <c r="M6" i="1"/>
  <c r="N6" i="1"/>
  <c r="O6" i="1"/>
  <c r="R6" i="1"/>
  <c r="M5" i="1"/>
  <c r="N5" i="1"/>
  <c r="O5" i="1"/>
  <c r="M4" i="1"/>
  <c r="N4" i="1"/>
  <c r="O4" i="1"/>
  <c r="R4" i="1"/>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I26" i="2" s="1"/>
  <c r="J26" i="2" s="1"/>
  <c r="J27" i="2" s="1"/>
  <c r="J28" i="2" s="1"/>
  <c r="J29" i="2" s="1"/>
  <c r="J30" i="2" s="1"/>
  <c r="J31" i="2" s="1"/>
  <c r="J32" i="2" s="1"/>
  <c r="J33" i="2" s="1"/>
  <c r="J34" i="2" s="1"/>
  <c r="J35" i="2" s="1"/>
  <c r="J36" i="2" s="1"/>
  <c r="J37" i="2" s="1"/>
  <c r="J38" i="2" s="1"/>
  <c r="J39" i="2" s="1"/>
  <c r="J40" i="2" s="1"/>
  <c r="J41" i="2" s="1"/>
  <c r="J42" i="2" s="1"/>
  <c r="J43" i="2" s="1"/>
  <c r="J44" i="2" s="1"/>
  <c r="J45" i="2" s="1"/>
  <c r="J46" i="2" s="1"/>
  <c r="J47" i="2" s="1"/>
  <c r="J48" i="2" s="1"/>
  <c r="J49" i="2" s="1"/>
  <c r="J50" i="2" s="1"/>
  <c r="J51" i="2" s="1"/>
  <c r="J52" i="2" s="1"/>
  <c r="J53" i="2" s="1"/>
  <c r="J54" i="2" s="1"/>
  <c r="J55" i="2" s="1"/>
  <c r="J56" i="2" s="1"/>
  <c r="J57" i="2" s="1"/>
  <c r="J58" i="2" s="1"/>
  <c r="J59" i="2" s="1"/>
  <c r="J60" i="2" s="1"/>
  <c r="J61" i="2" s="1"/>
  <c r="J62" i="2" s="1"/>
  <c r="J63" i="2" s="1"/>
  <c r="J64" i="2" s="1"/>
  <c r="J65" i="2" s="1"/>
  <c r="J66" i="2" s="1"/>
  <c r="J67" i="2" s="1"/>
  <c r="J68" i="2" s="1"/>
  <c r="J69" i="2" s="1"/>
  <c r="J70" i="2" s="1"/>
  <c r="J71" i="2" s="1"/>
  <c r="J72" i="2" s="1"/>
  <c r="J73" i="2" s="1"/>
  <c r="J74" i="2" s="1"/>
  <c r="J75" i="2" s="1"/>
  <c r="J76" i="2" s="1"/>
  <c r="J77" i="2" s="1"/>
  <c r="J78" i="2" s="1"/>
  <c r="J79" i="2" s="1"/>
  <c r="J80" i="2" s="1"/>
  <c r="J81" i="2" s="1"/>
  <c r="J82" i="2" s="1"/>
  <c r="J83" i="2" s="1"/>
  <c r="J84" i="2" s="1"/>
  <c r="J85" i="2" s="1"/>
  <c r="J86" i="2" s="1"/>
  <c r="J87" i="2" s="1"/>
  <c r="J88" i="2" s="1"/>
  <c r="J89" i="2" s="1"/>
  <c r="J90" i="2" s="1"/>
  <c r="J91" i="2" s="1"/>
  <c r="H25" i="2"/>
  <c r="H17" i="2"/>
  <c r="H16" i="2"/>
  <c r="H15" i="2"/>
  <c r="H14" i="2"/>
  <c r="H13" i="2"/>
  <c r="H12" i="2"/>
  <c r="H11" i="2"/>
  <c r="H10" i="2"/>
  <c r="H9" i="2"/>
  <c r="H8" i="2"/>
  <c r="H7" i="2"/>
  <c r="H6" i="2"/>
  <c r="H5" i="2"/>
  <c r="H4" i="2"/>
  <c r="R28" i="1"/>
  <c r="R27" i="1"/>
  <c r="R26" i="1"/>
  <c r="R25" i="1"/>
  <c r="R24" i="1"/>
  <c r="R23" i="1"/>
  <c r="R22" i="1"/>
  <c r="G3" i="2"/>
  <c r="X3" i="2" s="1"/>
  <c r="L3" i="1"/>
  <c r="X4" i="2" s="1"/>
  <c r="F3" i="2"/>
  <c r="W3" i="2" s="1"/>
  <c r="E3" i="2"/>
  <c r="V3" i="2" s="1"/>
  <c r="D3" i="2"/>
  <c r="U3" i="2" s="1"/>
  <c r="O27" i="1"/>
  <c r="N27" i="1"/>
  <c r="M27" i="1"/>
  <c r="O26" i="1"/>
  <c r="N26" i="1"/>
  <c r="M26" i="1"/>
  <c r="O25" i="1"/>
  <c r="N25" i="1"/>
  <c r="M25" i="1"/>
  <c r="O24" i="1"/>
  <c r="N24" i="1"/>
  <c r="M24" i="1"/>
  <c r="O23" i="1"/>
  <c r="O12" i="1"/>
  <c r="O15" i="1"/>
  <c r="O16" i="1"/>
  <c r="N23" i="1"/>
  <c r="M23" i="1"/>
  <c r="R16" i="1"/>
  <c r="N16" i="1"/>
  <c r="M16" i="1"/>
  <c r="R15" i="1"/>
  <c r="M15" i="1"/>
  <c r="S15" i="1" s="1"/>
  <c r="N15" i="1"/>
  <c r="H12" i="1"/>
  <c r="R12" i="1" s="1"/>
  <c r="N12" i="1"/>
  <c r="S30" i="1"/>
  <c r="L2" i="9"/>
  <c r="M2" i="9"/>
  <c r="L3" i="9"/>
  <c r="K2" i="9"/>
  <c r="E3" i="9"/>
  <c r="D3" i="9"/>
  <c r="O2" i="9"/>
  <c r="G3" i="9"/>
  <c r="F3" i="9"/>
  <c r="S35" i="1"/>
  <c r="S22" i="1"/>
  <c r="S23" i="1"/>
  <c r="S76" i="1" l="1"/>
  <c r="S72" i="1"/>
  <c r="S62" i="1"/>
  <c r="S68" i="1"/>
  <c r="S70" i="1"/>
  <c r="H102" i="15"/>
  <c r="S12" i="1"/>
  <c r="S26" i="1"/>
  <c r="S27" i="1"/>
  <c r="S7" i="1"/>
  <c r="S16" i="1"/>
  <c r="S25" i="1"/>
  <c r="S28" i="1"/>
  <c r="S9" i="1"/>
  <c r="S10" i="1"/>
  <c r="S11" i="1"/>
  <c r="S17" i="1"/>
  <c r="S38" i="1"/>
  <c r="S49" i="1"/>
  <c r="S57" i="1"/>
  <c r="S65" i="1"/>
  <c r="S73" i="1"/>
  <c r="S81" i="1"/>
  <c r="S89" i="1"/>
  <c r="S97" i="1"/>
  <c r="S44" i="1"/>
  <c r="S19" i="1"/>
  <c r="S20" i="1"/>
  <c r="S33" i="1"/>
  <c r="N3" i="1"/>
  <c r="S5" i="1"/>
  <c r="S6" i="1"/>
  <c r="S45" i="1"/>
  <c r="S53" i="1"/>
  <c r="S61" i="1"/>
  <c r="S69" i="1"/>
  <c r="S77" i="1"/>
  <c r="S85" i="1"/>
  <c r="S93" i="1"/>
  <c r="S101" i="1"/>
  <c r="S31" i="1"/>
  <c r="S24" i="1"/>
  <c r="S8" i="1"/>
  <c r="S21" i="1"/>
  <c r="S41" i="1"/>
  <c r="S51" i="1"/>
  <c r="S59" i="1"/>
  <c r="S67" i="1"/>
  <c r="S75" i="1"/>
  <c r="S83" i="1"/>
  <c r="S91" i="1"/>
  <c r="S99" i="1"/>
  <c r="S36" i="1"/>
  <c r="S40" i="1"/>
  <c r="S34" i="1"/>
  <c r="M32" i="1"/>
  <c r="S32" i="1" s="1"/>
  <c r="I3" i="1"/>
  <c r="U4" i="2" s="1"/>
  <c r="U5" i="2" s="1"/>
  <c r="T3" i="1" s="1"/>
  <c r="W5" i="2"/>
  <c r="V3" i="1" s="1"/>
  <c r="X5" i="2"/>
  <c r="W3" i="1" s="1"/>
  <c r="O42" i="1"/>
  <c r="O3" i="1" s="1"/>
  <c r="M3" i="1"/>
  <c r="S4" i="1"/>
  <c r="V5" i="2"/>
  <c r="U3" i="1" s="1"/>
  <c r="S42" i="1" l="1"/>
</calcChain>
</file>

<file path=xl/comments1.xml><?xml version="1.0" encoding="utf-8"?>
<comments xmlns="http://schemas.openxmlformats.org/spreadsheetml/2006/main">
  <authors>
    <author>Гость</author>
  </authors>
  <commentList>
    <comment ref="H2" authorId="0" shapeId="0">
      <text>
        <r>
          <rPr>
            <sz val="11"/>
            <color theme="1"/>
            <rFont val="Calibri"/>
            <family val="2"/>
            <charset val="204"/>
            <scheme val="minor"/>
          </rPr>
          <t>Spending Limit</t>
        </r>
      </text>
    </comment>
    <comment ref="I2" authorId="0" shapeId="0">
      <text>
        <r>
          <rPr>
            <sz val="11"/>
            <color theme="1"/>
            <rFont val="Calibri"/>
            <family val="2"/>
            <charset val="204"/>
            <scheme val="minor"/>
          </rPr>
          <t>Чтобы подтвердить, вписать 1</t>
        </r>
      </text>
    </comment>
    <comment ref="F14" authorId="0" shapeId="0">
      <text>
        <r>
          <rPr>
            <sz val="11"/>
            <color theme="1"/>
            <rFont val="Calibri"/>
            <family val="2"/>
            <charset val="204"/>
            <scheme val="minor"/>
          </rPr>
          <t>Обеспечивается Заказчиком</t>
        </r>
      </text>
    </comment>
    <comment ref="F16" authorId="0" shapeId="0">
      <text>
        <r>
          <rPr>
            <sz val="11"/>
            <color theme="1"/>
            <rFont val="Calibri"/>
            <family val="2"/>
            <charset val="204"/>
            <scheme val="minor"/>
          </rPr>
          <t>Обеспечивается Заказчиком</t>
        </r>
      </text>
    </comment>
    <comment ref="B22" authorId="0" shapeId="0">
      <text>
        <r>
          <rPr>
            <sz val="11"/>
            <color theme="1"/>
            <rFont val="Calibri"/>
            <family val="2"/>
            <charset val="204"/>
            <scheme val="minor"/>
          </rPr>
          <t>Mill room x1
Office x1
Storage x2
Stal x1
Courtyard x1
Statue x1</t>
        </r>
      </text>
    </comment>
    <comment ref="B41" authorId="0" shapeId="0">
      <text>
        <r>
          <rPr>
            <sz val="11"/>
            <color theme="1"/>
            <rFont val="Calibri"/>
            <family val="2"/>
            <charset val="204"/>
            <scheme val="minor"/>
          </rPr>
          <t>Если продалось - ставишь 1 в столбце "ок", если не продалось - ставишь 0 там же</t>
        </r>
      </text>
    </comment>
    <comment ref="B42" authorId="0" shapeId="0">
      <text>
        <r>
          <rPr>
            <sz val="11"/>
            <color theme="1"/>
            <rFont val="Calibri"/>
            <family val="2"/>
            <charset val="204"/>
            <scheme val="minor"/>
          </rPr>
          <t>А именно по 1 Farmland на 2 Stall. Здесь ссылаемся на типовой дизайн Stable. Пытаемся продать по полной стоимости столько Farmland, сколько купит, чем больше, тем лучше. В поле "ок" записать, например, 2*0.5 при предоплате 50% за два поля.</t>
        </r>
      </text>
    </comment>
    <comment ref="B87" authorId="0" shapeId="0">
      <text>
        <r>
          <rPr>
            <sz val="11"/>
            <color theme="1"/>
            <rFont val="Calibri"/>
            <family val="2"/>
            <charset val="204"/>
            <scheme val="minor"/>
          </rPr>
          <t>You can trade 5 points of Goods, Labor, or Influence for 1 point of Magic.</t>
        </r>
      </text>
    </comment>
    <comment ref="B93" authorId="0" shapeId="0">
      <text>
        <r>
          <rPr>
            <sz val="11"/>
            <color theme="1"/>
            <rFont val="Calibri"/>
            <family val="2"/>
            <charset val="204"/>
            <scheme val="minor"/>
          </rPr>
          <t>Украиния. Во главе с баронессой Джилли Украинкой. Герб - зелёный фон, голова оленя. Животное - олень. Девиз - каждому своё.</t>
        </r>
      </text>
    </comment>
  </commentList>
</comments>
</file>

<file path=xl/sharedStrings.xml><?xml version="1.0" encoding="utf-8"?>
<sst xmlns="http://schemas.openxmlformats.org/spreadsheetml/2006/main" count="1603" uniqueCount="619">
  <si>
    <t>Название</t>
  </si>
  <si>
    <t>Инициатор</t>
  </si>
  <si>
    <t>Name</t>
  </si>
  <si>
    <t>Стоимость</t>
  </si>
  <si>
    <t>Время</t>
  </si>
  <si>
    <t>Оплаченные ресурсы</t>
  </si>
  <si>
    <t>Остаток до завершения</t>
  </si>
  <si>
    <t>Дата начала строительства</t>
  </si>
  <si>
    <t>Дата готовности</t>
  </si>
  <si>
    <t>СТАТУС</t>
  </si>
  <si>
    <t>Labor</t>
  </si>
  <si>
    <t>Goods</t>
  </si>
  <si>
    <t>Influence</t>
  </si>
  <si>
    <t>Magic</t>
  </si>
  <si>
    <t>Баня Лютика</t>
  </si>
  <si>
    <t>Лютик</t>
  </si>
  <si>
    <t>Sauna</t>
  </si>
  <si>
    <t>Второй этаж гостевых комнат Олега</t>
  </si>
  <si>
    <t>Лекс</t>
  </si>
  <si>
    <t>Bunks</t>
  </si>
  <si>
    <t xml:space="preserve">   </t>
  </si>
  <si>
    <t>Казармы</t>
  </si>
  <si>
    <t>Пек</t>
  </si>
  <si>
    <t>Dojo</t>
  </si>
  <si>
    <t>Погонщик ОТК</t>
  </si>
  <si>
    <t>Рудольф</t>
  </si>
  <si>
    <t>Driver</t>
  </si>
  <si>
    <t>Работники ОТК</t>
  </si>
  <si>
    <t>Laborers</t>
  </si>
  <si>
    <t>Ямы для животных ОТК</t>
  </si>
  <si>
    <t>Animal Pen</t>
  </si>
  <si>
    <t>Шлагбаум ОТК</t>
  </si>
  <si>
    <t>Tollbooth</t>
  </si>
  <si>
    <t>Стены ТПО</t>
  </si>
  <si>
    <t>Джилли</t>
  </si>
  <si>
    <t>Defensive Wall x 10</t>
  </si>
  <si>
    <t>Дом Радомира Люткинса</t>
  </si>
  <si>
    <t>Сортир</t>
  </si>
  <si>
    <t>Туалет</t>
  </si>
  <si>
    <t>Сад ОТК</t>
  </si>
  <si>
    <t>Garden</t>
  </si>
  <si>
    <t>Farmland</t>
  </si>
  <si>
    <t>Инкубатор ОТК</t>
  </si>
  <si>
    <t>Hatchery</t>
  </si>
  <si>
    <t>Алхимическая лаборатория ОТК</t>
  </si>
  <si>
    <t>Alchemy Lab</t>
  </si>
  <si>
    <t>Кузница ОТК</t>
  </si>
  <si>
    <t>Forge</t>
  </si>
  <si>
    <t>Найм крестьян</t>
  </si>
  <si>
    <t>Гал</t>
  </si>
  <si>
    <t>Тренировка в стражников</t>
  </si>
  <si>
    <t>Guards</t>
  </si>
  <si>
    <t>Второй этаж дома Радомира Люткинса</t>
  </si>
  <si>
    <t>Artisan's Workshop</t>
  </si>
  <si>
    <t>Огороды</t>
  </si>
  <si>
    <t>Тренировка в солдат</t>
  </si>
  <si>
    <t>Soldiers</t>
  </si>
  <si>
    <t>Дом Радомира Корбута</t>
  </si>
  <si>
    <t>House</t>
  </si>
  <si>
    <t>Бар Ложи Порохового Рассвета</t>
  </si>
  <si>
    <t>Bar</t>
  </si>
  <si>
    <t>Тренировка обычных стражей</t>
  </si>
  <si>
    <t>Тренировка элитных стражей</t>
  </si>
  <si>
    <t>Кестен</t>
  </si>
  <si>
    <t>Elite Guards</t>
  </si>
  <si>
    <t>Зверинец</t>
  </si>
  <si>
    <t>Таверна Олега</t>
  </si>
  <si>
    <t>Inn</t>
  </si>
  <si>
    <t>Найм Сильвен</t>
  </si>
  <si>
    <t>Apprentice</t>
  </si>
  <si>
    <t>Строительство Лесопилки</t>
  </si>
  <si>
    <t>Mill</t>
  </si>
  <si>
    <t>Склады Олега</t>
  </si>
  <si>
    <t>Warehouse</t>
  </si>
  <si>
    <t>Большая конюшня Олега</t>
  </si>
  <si>
    <t>Stall</t>
  </si>
  <si>
    <t>Тренировка Элиных лучников (два отряда)</t>
  </si>
  <si>
    <t>Elite Archers</t>
  </si>
  <si>
    <t>Тренировка Элитных солдат (из ЭГ)</t>
  </si>
  <si>
    <t>Elite Soldiers</t>
  </si>
  <si>
    <t>Lodging</t>
  </si>
  <si>
    <t>Office</t>
  </si>
  <si>
    <t>Storage</t>
  </si>
  <si>
    <t>Vault</t>
  </si>
  <si>
    <t>Book repository</t>
  </si>
  <si>
    <t>Storefront</t>
  </si>
  <si>
    <t>Персонаж</t>
  </si>
  <si>
    <t>Описание</t>
  </si>
  <si>
    <t>GP</t>
  </si>
  <si>
    <t>ВСЕГО</t>
  </si>
  <si>
    <t>Анджей</t>
  </si>
  <si>
    <t>Лучники</t>
  </si>
  <si>
    <t>Earnings</t>
  </si>
  <si>
    <t>использование</t>
  </si>
  <si>
    <t>Labour</t>
  </si>
  <si>
    <t>ОТК</t>
  </si>
  <si>
    <t>Шлагбаум</t>
  </si>
  <si>
    <t>Лаборатория</t>
  </si>
  <si>
    <t>Кузница</t>
  </si>
  <si>
    <t>Солдаты</t>
  </si>
  <si>
    <t>Операция</t>
  </si>
  <si>
    <t>№</t>
  </si>
  <si>
    <t>Движение</t>
  </si>
  <si>
    <t>ДМ</t>
  </si>
  <si>
    <t>Остаток gp</t>
  </si>
  <si>
    <t>gp</t>
  </si>
  <si>
    <t>L</t>
  </si>
  <si>
    <t>G</t>
  </si>
  <si>
    <t>I</t>
  </si>
  <si>
    <t>M</t>
  </si>
  <si>
    <t>spnd</t>
  </si>
  <si>
    <t>Ок</t>
  </si>
  <si>
    <t>План</t>
  </si>
  <si>
    <t>Факт</t>
  </si>
  <si>
    <t>Перенос остатков</t>
  </si>
  <si>
    <t>-</t>
  </si>
  <si>
    <t>Промениваем Folding Plate (12650) на мешок (2500), два кольца (4000)  и золото (6150?)</t>
  </si>
  <si>
    <t>Промениваем светящийся +1 боевый топор (2310) и шпагу +1 (2320) на золото (4630)</t>
  </si>
  <si>
    <t>Выплачиваем трём служащим зарплаты за эрастус</t>
  </si>
  <si>
    <t>Расплачиваемся за ранее заложенные достраиваемые постройки, а именно:</t>
  </si>
  <si>
    <t>    Animal Pen x5 (в работе с 3 эрастуса)</t>
  </si>
  <si>
    <t>    Лесопилка (spending limit на достройку; баблос оплачен ранее; в работе со 2 эрастуса)</t>
  </si>
  <si>
    <t>    Lodging на 10 комнат (для собственного проживания)</t>
  </si>
  <si>
    <t xml:space="preserve">    Office стражи</t>
  </si>
  <si>
    <t xml:space="preserve">    Storage для собственного пользования</t>
  </si>
  <si>
    <t xml:space="preserve">    Vault для собственного пользования</t>
  </si>
  <si>
    <t>    Stall x4 для Олега</t>
  </si>
  <si>
    <t xml:space="preserve">    Storage x4 для Олега</t>
  </si>
  <si>
    <t xml:space="preserve">    Inn для Олега</t>
  </si>
  <si>
    <t>При этом учитывая наше производство:</t>
  </si>
  <si>
    <t>    Animal Pen x5 работают в течение 20 дней с 16 саренита по 5 эрастуса включительно</t>
  </si>
  <si>
    <t xml:space="preserve">        с человеком-начальником, работающим 15 дней из этого времени</t>
  </si>
  <si>
    <t>    Animal Pen x5 работают в течение 3 дней с 3 саренита по 5 эрастуса включительно</t>
  </si>
  <si>
    <t>        с человеком-пастухом, не отличающимся особыми талантами</t>
  </si>
  <si>
    <t>    Лесопилка работа 4 дня со 2 по 5 эрастуса включительно, производя лабор и голд</t>
  </si>
  <si>
    <t>дата завершения постройки 9 Эрастуса</t>
  </si>
  <si>
    <t>        эксплуатируемая погонщиком ОТК</t>
  </si>
  <si>
    <t>    Анджей работает на стройке течение 15 из 20 дней с 16 саренита по 5 эрастуса включительно</t>
  </si>
  <si>
    <t>    Кузница работает в течение 20 дней с 16 саренита по 5 эрастуса включительно</t>
  </si>
  <si>
    <t>        эксплуатируемая элитными солдатами-молотобойцами в режиме ковки полуфабрикатных чушек для настоящего кузнеца, а также  в режиме заточки ножей и т.п. суммарно в течение 15 рабочих дней на брата</t>
  </si>
  <si>
    <t>    Garden x7 (кагбэ x8) и Hatchery x1 работают в течение 20 дней с 16 саренита по 5 эрастуса</t>
  </si>
  <si>
    <t>        и некоторой помощью работников ОТК</t>
  </si>
  <si>
    <t>    Gilly Talbot днями с 1 по 5 эрастуса расслабляется после похода, не забывая всячески демонстрировать своё влияние путём раздачи ценных указаний по вопросам Handle Animal</t>
  </si>
  <si>
    <t xml:space="preserve">        она же вечерами почитывает книжки, доставляемые для нового строительства и практикуется, разговаривая с Ветерком и Земляничкой</t>
  </si>
  <si>
    <t>    Алхимическая лаба задействована в течение 20 дней с 16 саренита по 5 эрастуса включительно</t>
  </si>
  <si>
    <t>заработок денег</t>
  </si>
  <si>
    <t>        под управлением Сильвен, в сумме отработавшей за это время 15 дней россыпью</t>
  </si>
  <si>
    <t>    Лучники трудятся физиццки на строительных работах суммарно по 15 рабочих дней каждый</t>
  </si>
  <si>
    <t>    Кестен Гаресс тренирует войска в течение 5 дней с 1 по 5 эрастуса</t>
  </si>
  <si>
    <t>Пытаемся получить с Олега за строительство:</t>
  </si>
  <si>
    <t xml:space="preserve">    Inn</t>
  </si>
  <si>
    <t xml:space="preserve">    Stall x4</t>
  </si>
  <si>
    <t xml:space="preserve">    Storage x4</t>
  </si>
  <si>
    <t>Пытаемся продать шлагбаум Олегу за полную стоимость (diplomacy 14)</t>
  </si>
  <si>
    <t>Пытаемся убедить Олега, что к конюшням положены сенокос и овсоводство (diplomacy 17)</t>
  </si>
  <si>
    <t>Пытаемся проконсультироваться с фермерами по вопросам использования полей для выпаса свиней и выращивания кормовой биомассы (кукуруза, горох, клевер, турнепс и т.п.) (diplomacy 19)</t>
  </si>
  <si>
    <t>Пытаемся найти арендаторов для полей (diplomacy 26)</t>
  </si>
  <si>
    <t>И начать/закончить (?) производить Farmlands, для которых нашлось применение (максимум х6)</t>
  </si>
  <si>
    <t>Пытаемся нанять всех своболных лабореров, но не более 20 человек</t>
  </si>
  <si>
    <t>Начинаем, и возможно частично оплачиваем, новое строительство:</t>
  </si>
  <si>
    <t xml:space="preserve">    для заказчиков, ежели таковые находятся (diplomacy 17)</t>
  </si>
  <si>
    <t>?</t>
  </si>
  <si>
    <t>    Book Repositories (linguistics, the planes, arcana, local)</t>
  </si>
  <si>
    <t xml:space="preserve">    Garden x2</t>
  </si>
  <si>
    <t>    Stall x5</t>
  </si>
  <si>
    <t>    Кестен Гаресс приступает к тренировке всех работников в элитных лучников</t>
  </si>
  <si>
    <t>Общаемся в баре с Аркадием, сообщая, что:</t>
  </si>
  <si>
    <t xml:space="preserve">    нет времени прямо сейчас разобраться с обменом мелочёвки, но в следующий раз займёмся</t>
  </si>
  <si>
    <t xml:space="preserve">    такие-то и такие-то караваны были уничтожены такими-то и такими-то деятелями, имейте в виду</t>
  </si>
  <si>
    <t>    если вы купите сундук с замком, его можно ставить в Vault ОТК (ключи у Джилли, Пека, Кестена)</t>
  </si>
  <si>
    <t>Изготовление по заказу Джилли хафлингской шляпы, предназначенной скрывать корону, прочно крепясь к ней снаружи</t>
  </si>
  <si>
    <t>Продажа Олегу +1 studded leather, small</t>
  </si>
  <si>
    <t>Продажа Олегу +1 light crossbow, small</t>
  </si>
  <si>
    <t>Продажа Олегу 6 штук masterwork longsword, small</t>
  </si>
  <si>
    <t>Заказ ещё одной палки лечения</t>
  </si>
  <si>
    <t>Заказ wand of magic missile 33/50 CL9 из Рестова</t>
  </si>
  <si>
    <t>Организация питания на фестивале лучников</t>
  </si>
  <si>
    <t>В течение последующей двадцатипятидневки работаем работу:</t>
  </si>
  <si>
    <t>    Animal Pen x10 работают в течение 25 дней с 6 по 30 включительно</t>
  </si>
  <si>
    <t>        с человеком-начальником, работающим 20 дней из этого времени</t>
  </si>
  <si>
    <t>        и с человеком-пастухом, не отличающимся особыми талантами</t>
  </si>
  <si>
    <t>    Анджей работает на стройке течение 20 дней на интервале с 6 по 30 включительно</t>
  </si>
  <si>
    <t>    Garden x7 (кагбэ x8) и Hatchery x1 работают в течение 25 дней с 6 по 30 включительно</t>
  </si>
  <si>
    <t>        и ещё Garden x2 в течение 17 дней из этого времени</t>
  </si>
  <si>
    <t>^^</t>
  </si>
  <si>
    <t>    Алхимическая лаба задействована в течение 25 дней с 6 по 30 включительно</t>
  </si>
  <si>
    <t>        с входящими в работу и работающими в течение 20 дней Storefront x2</t>
  </si>
  <si>
    <t>        под управлением Влодека, осваивающего оборудование и начинающего крафтить шмот</t>
  </si>
  <si>
    <t>    Солдаты и лучники трудятся физиццки в течение 20 дней на интервале с 6 по 30 включительно</t>
  </si>
  <si>
    <t>        не стесняясь задействовать Stall x5 в течение 13 дней из этого времени</t>
  </si>
  <si>
    <t>    Кестен Гаресс тренирует войска в течение 15 дней на интервале с 7 по 30 эрастуса</t>
  </si>
  <si>
    <t>    Gilly Talbot днями с 5 по 10 эрастуса расслабляется после похода, не забывая всячески демонстрировать своё влияние путём раздачи ценных указаний по вопросам Handle Animal</t>
  </si>
  <si>
    <t xml:space="preserve">    Свежепостроенные библиотеки открыты в течение 9 дней с 22 по 30 для всех, ищущих ответы на вопросы по соответствующим тематикам</t>
  </si>
  <si>
    <t>        при этом в течение 3 дней из этого времени Джилли активно рекламирует эти библиотеки, пропагандирует чтение и грамоту, помогает ищущим найти ответы и ваапще (1 день Diplomacy, 2 дня Linguistics)</t>
  </si>
  <si>
    <t xml:space="preserve">    Кузница и лесопилка как-то управляются Лексом</t>
  </si>
  <si>
    <t>Продолжаем строительство старого и начинаем строительство нового:</t>
  </si>
  <si>
    <t xml:space="preserve">    Lodging x2 с земляной крышей вплотную к стене чтобы ходить поверх, стрелять за стену и не горело</t>
  </si>
  <si>
    <t>    Storefront x2 к магической лавочке наконец-то берёмся достроить</t>
  </si>
  <si>
    <t>    Тренировка последних 5 работников ОТК в элитных лучников</t>
  </si>
  <si>
    <t>Нанимаем 5 элитных солдат</t>
  </si>
  <si>
    <t>Проторговываем часть работ и товаров за магические реактивы</t>
  </si>
  <si>
    <t>Предоставлено в распоряжение Влодека</t>
  </si>
  <si>
    <t>Получена от Влодека одна повязка интеллекта +2</t>
  </si>
  <si>
    <t>На закупку пайков и фуража</t>
  </si>
  <si>
    <t>Награда от Темиора Стагара</t>
  </si>
  <si>
    <t>Постой в таверне на пятерых</t>
  </si>
  <si>
    <t>Грамота, подтверждающая дворянское звание Джилли (нужен герб)</t>
  </si>
  <si>
    <t>Грамота на Лекса Рестовского (нужен герб и девиз)</t>
  </si>
  <si>
    <t>Грамота на Готтлиба Азовского (нужен герб и девиз)</t>
  </si>
  <si>
    <t>Выручка от продажи Collar of Inferno</t>
  </si>
  <si>
    <t>Прибыль от торговли с кобольдами за месяц Ародус</t>
  </si>
  <si>
    <t>##</t>
  </si>
  <si>
    <t>Итого</t>
  </si>
  <si>
    <t>###</t>
  </si>
  <si>
    <t>Cost</t>
  </si>
  <si>
    <t>Time</t>
  </si>
  <si>
    <t>Cost (earn)</t>
  </si>
  <si>
    <t>Cost (purchase)</t>
  </si>
  <si>
    <t>RoR</t>
  </si>
  <si>
    <t>Manager</t>
  </si>
  <si>
    <t>Wage per day</t>
  </si>
  <si>
    <t>Level</t>
  </si>
  <si>
    <t>Алхимическая лаборатория</t>
  </si>
  <si>
    <t>Room</t>
  </si>
  <si>
    <t>Постройка</t>
  </si>
  <si>
    <t>Altar</t>
  </si>
  <si>
    <t>Алтарь</t>
  </si>
  <si>
    <t>Abbot</t>
  </si>
  <si>
    <t>Accountant</t>
  </si>
  <si>
    <t>Armoury</t>
  </si>
  <si>
    <t>Captain</t>
  </si>
  <si>
    <t>Doctor</t>
  </si>
  <si>
    <t>Auditorium</t>
  </si>
  <si>
    <t>Guildmaster</t>
  </si>
  <si>
    <t>Ballroom</t>
  </si>
  <si>
    <t>Headmaster</t>
  </si>
  <si>
    <t>Bath</t>
  </si>
  <si>
    <t>Innkeeper</t>
  </si>
  <si>
    <t>Battle Ring</t>
  </si>
  <si>
    <t>Lieutenant</t>
  </si>
  <si>
    <t>Bedroom</t>
  </si>
  <si>
    <t>Master Smith</t>
  </si>
  <si>
    <t>Bell Tower</t>
  </si>
  <si>
    <t>Partner</t>
  </si>
  <si>
    <t>Book Repository</t>
  </si>
  <si>
    <t>Sensei</t>
  </si>
  <si>
    <t>Brewery</t>
  </si>
  <si>
    <t>Smuggler</t>
  </si>
  <si>
    <t>Stage Manager</t>
  </si>
  <si>
    <t>Burial Ground</t>
  </si>
  <si>
    <t>Steward</t>
  </si>
  <si>
    <t>Cell</t>
  </si>
  <si>
    <t>Underboss</t>
  </si>
  <si>
    <t>Ceremonial Room</t>
  </si>
  <si>
    <t>Warden</t>
  </si>
  <si>
    <t>Classroom</t>
  </si>
  <si>
    <t>Clockwork Shop</t>
  </si>
  <si>
    <t>Common Room</t>
  </si>
  <si>
    <t>Confessional</t>
  </si>
  <si>
    <t>Courtyard</t>
  </si>
  <si>
    <t>Crypt</t>
  </si>
  <si>
    <t>Defensive Wall</t>
  </si>
  <si>
    <t>Dock</t>
  </si>
  <si>
    <t>Drawbridge</t>
  </si>
  <si>
    <t>Escape Route</t>
  </si>
  <si>
    <t>False Front</t>
  </si>
  <si>
    <t>Game Room</t>
  </si>
  <si>
    <t>Gatehouse</t>
  </si>
  <si>
    <t>Gauntlet</t>
  </si>
  <si>
    <t>Greenhouse</t>
  </si>
  <si>
    <t>Guard Post</t>
  </si>
  <si>
    <t>Habitat</t>
  </si>
  <si>
    <t>Infirmary</t>
  </si>
  <si>
    <t>Kitchen</t>
  </si>
  <si>
    <t>Labyrinth</t>
  </si>
  <si>
    <t>Laundry</t>
  </si>
  <si>
    <t>Lavatory</t>
  </si>
  <si>
    <t>Leather Workshop</t>
  </si>
  <si>
    <t>Magical Repository</t>
  </si>
  <si>
    <t>Mill Room</t>
  </si>
  <si>
    <t>Nursery</t>
  </si>
  <si>
    <t>Observation Dome</t>
  </si>
  <si>
    <t>Pit</t>
  </si>
  <si>
    <t>Printer</t>
  </si>
  <si>
    <t>Reliquary</t>
  </si>
  <si>
    <t>Sanctum</t>
  </si>
  <si>
    <t>Scriptorium</t>
  </si>
  <si>
    <t>Scrying Room</t>
  </si>
  <si>
    <t>Secret Room</t>
  </si>
  <si>
    <t>Sewer Access</t>
  </si>
  <si>
    <t>Sewing Room</t>
  </si>
  <si>
    <t>Shack</t>
  </si>
  <si>
    <t>Sitting Room</t>
  </si>
  <si>
    <t>Sports Field</t>
  </si>
  <si>
    <t>Statue</t>
  </si>
  <si>
    <t>Summoning Chamber</t>
  </si>
  <si>
    <t>Throne Room</t>
  </si>
  <si>
    <t>Torture Chamber</t>
  </si>
  <si>
    <t>Trap</t>
  </si>
  <si>
    <t>Trophy Room</t>
  </si>
  <si>
    <t>War Room</t>
  </si>
  <si>
    <t>Workstation</t>
  </si>
  <si>
    <t>Acolyte</t>
  </si>
  <si>
    <t>Team</t>
  </si>
  <si>
    <t>Отряды / Работники</t>
  </si>
  <si>
    <t>1 person</t>
  </si>
  <si>
    <t>Archers</t>
  </si>
  <si>
    <t>5 people</t>
  </si>
  <si>
    <t>Bureaucrats</t>
  </si>
  <si>
    <t>Cavalry</t>
  </si>
  <si>
    <t>Cavalry Archers</t>
  </si>
  <si>
    <t>Craftspeople</t>
  </si>
  <si>
    <t>3 people</t>
  </si>
  <si>
    <t>Cutpurses</t>
  </si>
  <si>
    <t>Lackeys</t>
  </si>
  <si>
    <t>Mage</t>
  </si>
  <si>
    <t>Priest</t>
  </si>
  <si>
    <t>Robbers</t>
  </si>
  <si>
    <t>Sage</t>
  </si>
  <si>
    <t>Sailors</t>
  </si>
  <si>
    <t>Scofflaws</t>
  </si>
  <si>
    <t>Equipment</t>
  </si>
  <si>
    <t>Equipment cost</t>
  </si>
  <si>
    <t>Max Cost</t>
  </si>
  <si>
    <t>combat-trained light horse, breastplate, longsword, lance, heavy steel shield</t>
  </si>
  <si>
    <t>15 gp +10 gp + 200 gp +110 gp</t>
  </si>
  <si>
    <t>335 gp</t>
  </si>
  <si>
    <t>combat-trained light horse, shortbow, breastplate, longsword, lance, heavy steel shield</t>
  </si>
  <si>
    <t>30 gp +15 gp +10 gp + 200 gp +110 gp</t>
  </si>
  <si>
    <t>365 gp</t>
  </si>
  <si>
    <t>scalemail, longbow, buckler, longsword</t>
  </si>
  <si>
    <t>75 gp + 15 gp + 50 gp + 5 gp</t>
  </si>
  <si>
    <t>145 gp</t>
  </si>
  <si>
    <t>chainshirt or banded mail, heavy steel shield, shortspear, guisarme or halberd</t>
  </si>
  <si>
    <t xml:space="preserve">1 gp +  20 gp or 9 gp or 10 gp , 100 gp or 250 gp, </t>
  </si>
  <si>
    <t>271 gp</t>
  </si>
  <si>
    <t>scalemail, glaive or heavy wooden shield + short spear</t>
  </si>
  <si>
    <t>50 gp, 1 gp + 7 gp or 8 gp</t>
  </si>
  <si>
    <t>58 gp</t>
  </si>
  <si>
    <t>scalemail, heavy wooden shield, longsword, 5 javelins</t>
  </si>
  <si>
    <t>50 gp, 15 gp + 5 gp, 7 gp</t>
  </si>
  <si>
    <t>77 gp</t>
  </si>
  <si>
    <t>Количество</t>
  </si>
  <si>
    <t>Вес</t>
  </si>
  <si>
    <t>Лицевой счет , gp</t>
  </si>
  <si>
    <t xml:space="preserve">Снаряжение </t>
  </si>
  <si>
    <t>Blanket</t>
  </si>
  <si>
    <t>Blanket, winter</t>
  </si>
  <si>
    <t>Caltrops</t>
  </si>
  <si>
    <t xml:space="preserve">Chalk </t>
  </si>
  <si>
    <t>Crowbar</t>
  </si>
  <si>
    <t>Fishhook</t>
  </si>
  <si>
    <t>Fishing net</t>
  </si>
  <si>
    <t>Grappling hook</t>
  </si>
  <si>
    <t>Hammer</t>
  </si>
  <si>
    <t>Ink</t>
  </si>
  <si>
    <t>Lantern, hooded</t>
  </si>
  <si>
    <t>Mess kit</t>
  </si>
  <si>
    <t>Mirror, small</t>
  </si>
  <si>
    <t>Paper</t>
  </si>
  <si>
    <t xml:space="preserve">Piton </t>
  </si>
  <si>
    <t>Pole, 10 ft.</t>
  </si>
  <si>
    <t>Pot</t>
  </si>
  <si>
    <t>Rope, hemp</t>
  </si>
  <si>
    <t xml:space="preserve">Sack </t>
  </si>
  <si>
    <t>Signal Whistle</t>
  </si>
  <si>
    <t xml:space="preserve">Tindertwig </t>
  </si>
  <si>
    <t>Wooden box x10 (дешманская расходная тара)</t>
  </si>
  <si>
    <t>Медвежий капкан (Trap, Bear)</t>
  </si>
  <si>
    <t>Wrist Sheath (Medium creature)</t>
  </si>
  <si>
    <t xml:space="preserve">Traveler's outfit </t>
  </si>
  <si>
    <t>Camouflage netting</t>
  </si>
  <si>
    <t>Shovel or Spade, </t>
  </si>
  <si>
    <t>Rations - Elven Trail </t>
  </si>
  <si>
    <t>Waterskin</t>
  </si>
  <si>
    <t>Torch</t>
  </si>
  <si>
    <t>Flint and Steel</t>
  </si>
  <si>
    <t>a set of chisels, 3 tins of iron nails</t>
  </si>
  <si>
    <t>Оружие, доспехи, прочее:</t>
  </si>
  <si>
    <t>ring of climbing +5 competence </t>
  </si>
  <si>
    <t>Ring of Swimming +5 competence (РЫБА + ЖАБА)</t>
  </si>
  <si>
    <t>Breastplate +1</t>
  </si>
  <si>
    <t>Давор Хеструк</t>
  </si>
  <si>
    <t>adamantine warhammer</t>
  </si>
  <si>
    <t>+1 Gauntlet адамантиновая(ctremnaja)</t>
  </si>
  <si>
    <t>+1 handaxe</t>
  </si>
  <si>
    <t>Coldiron Dagger</t>
  </si>
  <si>
    <t>mwk light silver hammer</t>
  </si>
  <si>
    <t>меч +1 обыкновен пописан рунами</t>
  </si>
  <si>
    <t>Gem of brightness - топаз</t>
  </si>
  <si>
    <t>мешочек почти бесконечных крыс (описание )</t>
  </si>
  <si>
    <t>+1 Ranseur</t>
  </si>
  <si>
    <t>horseshoes of speed</t>
  </si>
  <si>
    <t>Петр Маартис</t>
  </si>
  <si>
    <t>brooch of shielding (85 points)</t>
  </si>
  <si>
    <t>pearl of power (1st level)</t>
  </si>
  <si>
    <t>взял Готтлиб</t>
  </si>
  <si>
    <t>hand of glory</t>
  </si>
  <si>
    <t>ring of swimming</t>
  </si>
  <si>
    <t>mask of fear (rusted iron razmir mask with glowing runes, grants a +5 bonus to intimidate checks)</t>
  </si>
  <si>
    <t>elemental gem (water)</t>
  </si>
  <si>
    <t>cloak of resistance +1</t>
  </si>
  <si>
    <t>+1 studded</t>
  </si>
  <si>
    <t>+1 light steel shield</t>
  </si>
  <si>
    <t>+1 greatclub</t>
  </si>
  <si>
    <t>+1 cold iron heavy mace</t>
  </si>
  <si>
    <t>+1 sickle</t>
  </si>
  <si>
    <t>+1 spear</t>
  </si>
  <si>
    <t>+1 dagger</t>
  </si>
  <si>
    <t>+1 bashing shield</t>
  </si>
  <si>
    <t>+1 chainmail</t>
  </si>
  <si>
    <t>+1 longsword</t>
  </si>
  <si>
    <t>shock +1 battleaxe</t>
  </si>
  <si>
    <t>+1 battleaxe</t>
  </si>
  <si>
    <t>mwk silver dagger</t>
  </si>
  <si>
    <t>ring of protection (+1)</t>
  </si>
  <si>
    <t>было 2, одно взял Готтлиб, второе взяла Джилли</t>
  </si>
  <si>
    <t>+1 battle axe, +1 light wooden shield</t>
  </si>
  <si>
    <t>+1 rapier</t>
  </si>
  <si>
    <t xml:space="preserve">Ranged Equipment‎ </t>
  </si>
  <si>
    <t>mwk Longbow, composite (s4)</t>
  </si>
  <si>
    <t>longbow, composite (s1)</t>
  </si>
  <si>
    <t>mwk longbow</t>
  </si>
  <si>
    <t>Longbow, composite (s2)</t>
  </si>
  <si>
    <t>1 взял Готтлиб</t>
  </si>
  <si>
    <t>mwk heavy crossbow</t>
  </si>
  <si>
    <t>mwk light crossbow</t>
  </si>
  <si>
    <t>longbow</t>
  </si>
  <si>
    <t xml:space="preserve">Bolt, crossbow </t>
  </si>
  <si>
    <t>Arrow, Bleeding x40</t>
  </si>
  <si>
    <t>20 взял Готтлиб</t>
  </si>
  <si>
    <t>Arrow, Clustershot x100</t>
  </si>
  <si>
    <t>Arrow - Smoke , х100</t>
  </si>
  <si>
    <t>Arrow</t>
  </si>
  <si>
    <t>Arrow - Tanglefoot x20, </t>
  </si>
  <si>
    <t>Arrow - Trip x30</t>
  </si>
  <si>
    <t>Arrow - Alchemical Silver x120,</t>
  </si>
  <si>
    <t xml:space="preserve">Melee Equipment‎ </t>
  </si>
  <si>
    <t>mwk club</t>
  </si>
  <si>
    <t>mwk short spear</t>
  </si>
  <si>
    <t>mwk short sword</t>
  </si>
  <si>
    <t>mwk hand axe,</t>
  </si>
  <si>
    <t>Cutlass</t>
  </si>
  <si>
    <t>Sickle</t>
  </si>
  <si>
    <t>Dagger</t>
  </si>
  <si>
    <t>short sword</t>
  </si>
  <si>
    <t>spears</t>
  </si>
  <si>
    <t>mwk guisarme</t>
  </si>
  <si>
    <t>mwk rapier</t>
  </si>
  <si>
    <t>Armor Equipment‎ </t>
  </si>
  <si>
    <t>mwk chainshirt</t>
  </si>
  <si>
    <t>mwk tower shield</t>
  </si>
  <si>
    <t>Buckler</t>
  </si>
  <si>
    <t>leather armor</t>
  </si>
  <si>
    <t>mwk chain shirt</t>
  </si>
  <si>
    <t xml:space="preserve">Small Equipment‎ </t>
  </si>
  <si>
    <t>mwk shortbow (small)</t>
  </si>
  <si>
    <t>mwk heavy pick (small), </t>
  </si>
  <si>
    <t>mwk studded leather (small),</t>
  </si>
  <si>
    <t>mwk club (small)</t>
  </si>
  <si>
    <t>mwk light crossbow (small),</t>
  </si>
  <si>
    <t>mwk studded leather armor (small)</t>
  </si>
  <si>
    <t xml:space="preserve">shortspears (small) </t>
  </si>
  <si>
    <t xml:space="preserve">daggers (small) </t>
  </si>
  <si>
    <t xml:space="preserve">shortbows (small) </t>
  </si>
  <si>
    <t xml:space="preserve">javelins (small) </t>
  </si>
  <si>
    <t>short sword (small)</t>
  </si>
  <si>
    <t>sling (small)</t>
  </si>
  <si>
    <t>flying talon</t>
  </si>
  <si>
    <t xml:space="preserve">small long sword, </t>
  </si>
  <si>
    <t>small long bow</t>
  </si>
  <si>
    <t>shortbow (small)</t>
  </si>
  <si>
    <t>Shortbow - composite (+s0) (Small)</t>
  </si>
  <si>
    <t>studded leather, смолл</t>
  </si>
  <si>
    <t>Палки, банки, свитки и прочие расходники:</t>
  </si>
  <si>
    <t>Spellbook (Identify, Mage Armor, Reduce, SIlent Image, Unseen Servant)</t>
  </si>
  <si>
    <t>Potion|Oil</t>
  </si>
  <si>
    <t>Potion of Shield of Faith (cr, 50 gp)</t>
  </si>
  <si>
    <t>Potion of Enlarge Person</t>
  </si>
  <si>
    <t>Potion of Resistance (cr, 25 gp)</t>
  </si>
  <si>
    <t>Potion of Pass without Trace (cr, 50 gp)</t>
  </si>
  <si>
    <t>Potion of Endure Elements</t>
  </si>
  <si>
    <t>Potion of Fox's Cunning</t>
  </si>
  <si>
    <t>Potion of Darkvision (CL: 3) x3</t>
  </si>
  <si>
    <t>Potion of Cure Light Wounds (CL: 6)</t>
  </si>
  <si>
    <t>Potion of Cure Moderate Wounds (CL: 6)</t>
  </si>
  <si>
    <t>Potion of Bull's Strength</t>
  </si>
  <si>
    <t>Potion of Haste</t>
  </si>
  <si>
    <t>Potion of Cure Moderate Wounds</t>
  </si>
  <si>
    <t>2 взял Готтлиб</t>
  </si>
  <si>
    <t>Potion of Divine Favor</t>
  </si>
  <si>
    <t>Potion of Shield of Faith</t>
  </si>
  <si>
    <t xml:space="preserve">potion of cure light wounds </t>
  </si>
  <si>
    <t>potion owl wisdom</t>
  </si>
  <si>
    <t>potion of cat’s grace</t>
  </si>
  <si>
    <t>potion of lesser restoration</t>
  </si>
  <si>
    <t>Oil of Light (cr, 25 gp)</t>
  </si>
  <si>
    <t xml:space="preserve">Oil of Arcane Mark (cr, 25 gp) </t>
  </si>
  <si>
    <t>Oil of Bless Weapon (cr, 50 gp)</t>
  </si>
  <si>
    <t>Баночка пурпурного мёда х2 - месяц спишь и не стареешь</t>
  </si>
  <si>
    <t>Баночка чёрного мёда - развеивает эффекты сна</t>
  </si>
  <si>
    <t>potions of neutralize poison — х3</t>
  </si>
  <si>
    <t>potion of gaseous form</t>
  </si>
  <si>
    <t>oil of invisibility</t>
  </si>
  <si>
    <t>potion of invisibility</t>
  </si>
  <si>
    <t>potion of stabilize</t>
  </si>
  <si>
    <t>Alchemical Equipment</t>
  </si>
  <si>
    <t>Яд(?с ниндзя сартова)</t>
  </si>
  <si>
    <t>small centipede poison</t>
  </si>
  <si>
    <t>medium spider poison</t>
  </si>
  <si>
    <t>Blue whinnis poison</t>
  </si>
  <si>
    <t>кувшин с мазью (хз какой)</t>
  </si>
  <si>
    <t>Scour</t>
  </si>
  <si>
    <t>alchemist's fire</t>
  </si>
  <si>
    <t>Antitoxin (vial)</t>
  </si>
  <si>
    <t>Smokestick</t>
  </si>
  <si>
    <t>masterwork alchemy lab (200 gp)</t>
  </si>
  <si>
    <t>sovereign glue</t>
  </si>
  <si>
    <t>everburning torches</t>
  </si>
  <si>
    <t>sunrod — х5</t>
  </si>
  <si>
    <t>thunderstone</t>
  </si>
  <si>
    <t>Wand|Scroll</t>
  </si>
  <si>
    <t>Wand of Detect Magic (charge ??/50)</t>
  </si>
  <si>
    <t>Wand of Ray of Enfeeblement CL3 (12/50)</t>
  </si>
  <si>
    <t>Wand of light (CL 1st, 28 charges)</t>
  </si>
  <si>
    <t>Wand of False Life (29 charges)</t>
  </si>
  <si>
    <t>wand of bless (21) cl 3</t>
  </si>
  <si>
    <t>wand of shield (42)</t>
  </si>
  <si>
    <t>wand of lesser restoration (17 charges)</t>
  </si>
  <si>
    <t>wand of summon monster i (cl 3rd, 9 charges)</t>
  </si>
  <si>
    <t xml:space="preserve">Scroll of Mage Armor (CL: 5) (4), </t>
  </si>
  <si>
    <t>Divine scroll Entangle, create food and water, goodberry</t>
  </si>
  <si>
    <t>Scroll of Bless</t>
  </si>
  <si>
    <t>Divine scroll of Spiritual Weapon</t>
  </si>
  <si>
    <t>scroll of prayer</t>
  </si>
  <si>
    <t>scroll of cure moderate wounds — x2</t>
  </si>
  <si>
    <t>scroll of invisibility</t>
  </si>
  <si>
    <t>scroll of comprehend languages</t>
  </si>
  <si>
    <t>Квестовые и просто хорошие предметы:</t>
  </si>
  <si>
    <t>Surtova noble outfit X3</t>
  </si>
  <si>
    <t xml:space="preserve">Silver cauldron with animal symbols </t>
  </si>
  <si>
    <t>Gold and platinum statuette of a deity Gorum</t>
  </si>
  <si>
    <t>Gold statue of a dragon</t>
  </si>
  <si>
    <t>signet ring Surtova</t>
  </si>
  <si>
    <t>Записи на неизвестном языке из пещеры майтов</t>
  </si>
  <si>
    <t>чехол для свитков из дерева и кости (у Накомарницы)</t>
  </si>
  <si>
    <t>ключи (из логова веркрыса)</t>
  </si>
  <si>
    <t>(фиал - silversheen - ПОТРАЧЕН - просто красивая банка)</t>
  </si>
  <si>
    <t>Янтарь 2кг</t>
  </si>
  <si>
    <t>Стол из логова майтов</t>
  </si>
  <si>
    <t xml:space="preserve">Кожаная перевязь </t>
  </si>
  <si>
    <t xml:space="preserve">3 diamonds x 200, </t>
  </si>
  <si>
    <t>a polished azurite crystal worth 9 gp, 
a carnelian worth 80 gp, 
a piece of hematite worth 13 gp, 
a shard of obsidian worth 14 gp, 
a red garnet worth 100 gp,  
and a silver charm bracelet worth 60 gp  </t>
  </si>
  <si>
    <t>2 ruby x150</t>
  </si>
  <si>
    <t>искусно иготовленная книга с серебрянной обложкой (100 зм)</t>
  </si>
  <si>
    <t>Обсидиановая статуэтка совомедведя стоимостью 20 зм</t>
  </si>
  <si>
    <t>Книга молитв Дроскара с запиской (50 зм)</t>
  </si>
  <si>
    <t>Записка: Тораг не достоин больше нашего поклонения. Только Дроскар может избавить нас от последствий падения Короля Гарбольда.</t>
  </si>
  <si>
    <t>3 лайт фаст вархорса</t>
  </si>
  <si>
    <t>steel mining helmet (medium)</t>
  </si>
  <si>
    <t>deed to a plot of land and small manor house near new stetven</t>
  </si>
  <si>
    <t>Другие маг вещи</t>
  </si>
  <si>
    <t>Светящийся шар из янтаря покрытый воском это Honey Lamp (пек предлагает сохранить для библиотеки; оценочная стоимость по данным Джилли менее 100 монет):
Aura faint transmutation; CL 4th
Slot —; Price 6,000 gp; Weight 1/2 lb.
Description
Honey lamps, made from glowing honey encased in bee’s wax, shed light as a lamp. Often found in the shape of a globe, the honey can also be sealed into stone or wood recesses. If the wax (hardness 0; hp 4) is broken or smashed, the honey crystallizes in 7 days and ceases to glow. Eating the honey while it is still glowing grants you darkvision (30 ft.) for 1 week and 1 day.
Construction Requirements Craft Wondrous Item, continual flame, darkvision (spell or ability); Cost 3,000 gp</t>
  </si>
  <si>
    <t xml:space="preserve">Crown of the kobold king
Aura strong transmutation; CL 12th
Slot helmet; Price 15,000 gp
Wearing the crown grants a +2 enhancement bonus to Charisma and a +2 natural armor bonus. You are immune to the frightful presence ability of all dragons. If you are a sorcerer you cast spells at +1 caster level.
</t>
  </si>
  <si>
    <t>Берёт Джилли</t>
  </si>
  <si>
    <t xml:space="preserve">Ring of torag
This simple golden ring has a large red gemstone set into it that sparkles with an inner fire. The wearer of the ring gains fire resistance 10 against the first fire attack that hits him that day. This protection renews itself every morning at dawn. In addition, the wearer receives a +1 resistance bonus on saves made against fire spells and effects. The ring must be worn for 24 hours to have any effect.
</t>
  </si>
  <si>
    <t xml:space="preserve">Ring of Force Shield (Core 481): This ring generates a shield-sized wall of force that stays with the ring and can be wielded by the wearer as if it were a heavy shield (+2 AC).* This special creation has no armor check penalty or arcane spell failure chance since it is weightless and encumbrance-free.
</t>
  </si>
  <si>
    <t>Stoneglass Mirror
Framed in gold or platinum, this oval mirror is usually about 1 foot long and 8 inches high, and bears two ornate handles on either side. When its back is placed against stone and the command word is spoken, the surface of the mirror ceases to reflect. Instead the mirror serves as a window, making the stone behind it appear like clear glass.
Up to 5 feet of stone can be penetrated in this way, making this device most optimal for peering through thinner dungeon walls. The mirror does not provide illumination through the stone and the viewer’s light sources do not pass through it. The viewer is subject to gaze attacks through the mirror. Each use lasts for 5 minutes and the stoneglass mirror can be activated only 3 times per day.
This is the standard version of the stoneglass mirror. The mirror found in area 1-13 is the original and most powerful version, which was created by Verdivis himself. Lesser wizards attempted to replicate the rumor of his design, and the resulting mirrors have proven more useful for adventurers.
Moderate divination; CL 7th; Craft Wondrous Item, scrying; Price 9,000 gp; Weight 3 lbs.</t>
  </si>
  <si>
    <t>Armor</t>
  </si>
  <si>
    <t>Belt</t>
  </si>
  <si>
    <t>Body</t>
  </si>
  <si>
    <t>Chest</t>
  </si>
  <si>
    <t>Eyes</t>
  </si>
  <si>
    <t>Feet</t>
  </si>
  <si>
    <t>Hands</t>
  </si>
  <si>
    <t>Head</t>
  </si>
  <si>
    <t>Headband</t>
  </si>
  <si>
    <t>Neck</t>
  </si>
  <si>
    <t>Ring</t>
  </si>
  <si>
    <t>Shield</t>
  </si>
  <si>
    <t>Shoulders</t>
  </si>
  <si>
    <t>Wrist</t>
  </si>
  <si>
    <t>Weapons</t>
  </si>
  <si>
    <t>Кестен Гаресс</t>
  </si>
  <si>
    <t>Полина Шурион</t>
  </si>
  <si>
    <t>Акирос Исморт</t>
  </si>
  <si>
    <t>Wondrous items, potions, scrolls</t>
  </si>
  <si>
    <t>Folding Plate</t>
  </si>
  <si>
    <t>bag of holding (1 type)</t>
  </si>
  <si>
    <t>Potion of Cure Light Wounds (CL: 6) - 3</t>
  </si>
  <si>
    <t>4 +1 flaming bolts</t>
  </si>
  <si>
    <t>cost</t>
  </si>
  <si>
    <t>GP +) -)</t>
  </si>
  <si>
    <t>Баланс</t>
  </si>
  <si>
    <t>Период (дата)</t>
  </si>
  <si>
    <t>Алхимическая лаба задействована в течение 20 дней с 16 саренита по 5 эрастуса включительно</t>
  </si>
  <si>
    <t>под управлением Сильвен, в сумме отработавшей за это время 15 дней россыпью</t>
  </si>
  <si>
    <t>Лучники трудятся физиццки на строительных работах суммарно по 15 рабочих дней каждый</t>
  </si>
  <si>
    <t>Кестен Гаресс тренирует войска в течение 5 дней с 1 по 5 эрастуса</t>
  </si>
  <si>
    <t>Stall x4</t>
  </si>
  <si>
    <t>Storage x4</t>
  </si>
  <si>
    <t> Animal Pen x10 работают в течение 25 дней с 6 по 30 включительно</t>
  </si>
  <si>
    <t>с человеком-начальником, работающим 20 дней из этого времени</t>
  </si>
  <si>
    <t>и с человеком-пастухом, не отличающимся особыми талантами</t>
  </si>
  <si>
    <t> Анджей работает на стройке течение 20 дней на интервале с 6 по 30 включительно</t>
  </si>
  <si>
    <t>Garden x7 (кагбэ x8) и Hatchery x1 работают в течение 25 дней с 6 по 30 включительно</t>
  </si>
  <si>
    <t>и ещё Garden x2 в течение 17 дней из этого времени</t>
  </si>
  <si>
    <t>не стесняясь задействовать Stall x5 в течение 13 дней из этого времени</t>
  </si>
  <si>
    <t>Кестен Гаресс тренирует войска в течение 15 дней на интервале с 7 по 30 эрастуса</t>
  </si>
  <si>
    <t>4710, Ародус, 10</t>
  </si>
  <si>
    <t>4710, Эрастус, 31</t>
  </si>
  <si>
    <t>4710, Ародус, 4</t>
  </si>
  <si>
    <t>4710, Ародус, 7</t>
  </si>
  <si>
    <t>4710, Саренит, 16 - Эрастус, 5</t>
  </si>
  <si>
    <t>4710, Эрастус,1 - Эрастус, 5</t>
  </si>
  <si>
    <t>4710, Эрастус 5</t>
  </si>
  <si>
    <t>Обмен товаров и труда на магические ингридиенты</t>
  </si>
  <si>
    <t>Магический крафт</t>
  </si>
  <si>
    <t>Влодек</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</si>
</sst>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
  </numFmts>
  <fonts count="11" x14ac:knownFonts="1">
    <font>
      <sz val="11"/>
      <color theme="1"/>
      <name val="Calibri"/>
      <family val="2"/>
      <charset val="204"/>
      <scheme val="minor"/>
    </font>
    <font>
      <b/>
      <sz val="11"/>
      <color theme="1"/>
      <name val="Calibri"/>
      <family val="2"/>
      <charset val="204"/>
      <scheme val="minor"/>
    </font>
    <font>
      <b/>
      <sz val="11"/>
      <color theme="1"/>
      <name val="Palatino Linotype"/>
      <family val="1"/>
      <charset val="204"/>
    </font>
    <font>
      <b/>
      <sz val="9"/>
      <color theme="1"/>
      <name val="Palatino Linotype"/>
      <family val="1"/>
      <charset val="204"/>
    </font>
    <font>
      <b/>
      <sz val="11"/>
      <color theme="1"/>
      <name val="Calibri"/>
      <family val="2"/>
      <scheme val="minor"/>
    </font>
    <font>
      <sz val="11"/>
      <color theme="1"/>
      <name val="Calibri"/>
      <family val="2"/>
      <charset val="204"/>
      <scheme val="minor"/>
    </font>
    <font>
      <b/>
      <sz val="14"/>
      <color theme="1"/>
      <name val="Calibri"/>
      <family val="2"/>
      <charset val="204"/>
      <scheme val="minor"/>
    </font>
    <font>
      <b/>
      <u val="double"/>
      <sz val="16"/>
      <color theme="1"/>
      <name val="Calibri"/>
      <family val="2"/>
      <charset val="204"/>
      <scheme val="minor"/>
    </font>
    <font>
      <sz val="8"/>
      <color theme="1"/>
      <name val="Tahoma"/>
    </font>
    <font>
      <sz val="11"/>
      <color theme="1"/>
      <name val="Calibri"/>
      <family val="2"/>
      <scheme val="minor"/>
    </font>
    <font>
      <sz val="8"/>
      <color rgb="FFFF0000"/>
      <name val="Tahoma"/>
      <family val="2"/>
      <charset val="204"/>
    </font>
  </fonts>
  <fills count="16">
    <fill>
      <patternFill patternType="none"/>
    </fill>
    <fill>
      <patternFill patternType="gray125"/>
    </fill>
    <fill>
      <patternFill patternType="solid">
        <fgColor rgb="FFD7E3B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6600"/>
        <bgColor indexed="64"/>
      </patternFill>
    </fill>
    <fill>
      <patternFill patternType="solid">
        <fgColor rgb="FFFFFFCC"/>
        <bgColor indexed="64"/>
      </patternFill>
    </fill>
    <fill>
      <patternFill patternType="solid">
        <fgColor rgb="FF92D050"/>
        <bgColor indexed="64"/>
      </patternFill>
    </fill>
    <fill>
      <patternFill patternType="solid">
        <fgColor rgb="FFFDEADA"/>
        <bgColor indexed="64"/>
      </patternFill>
    </fill>
    <fill>
      <patternFill patternType="solid">
        <fgColor rgb="FFFFC000"/>
        <bgColor indexed="64"/>
      </patternFill>
    </fill>
    <fill>
      <patternFill patternType="solid">
        <fgColor rgb="FFFF0000"/>
        <bgColor indexed="64"/>
      </patternFill>
    </fill>
    <fill>
      <patternFill patternType="solid">
        <fgColor rgb="FF92CDDC"/>
        <bgColor indexed="64"/>
      </patternFill>
    </fill>
    <fill>
      <patternFill patternType="solid">
        <fgColor rgb="FFD8D8D8"/>
        <bgColor indexed="64"/>
      </patternFill>
    </fill>
    <fill>
      <patternFill patternType="solid">
        <fgColor rgb="FFFFFFFF"/>
        <bgColor indexed="64"/>
      </patternFill>
    </fill>
    <fill>
      <patternFill patternType="solid">
        <fgColor rgb="FF76923C"/>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9" fontId="5" fillId="0" borderId="0" applyFont="0" applyFill="0" applyBorder="0" applyAlignment="0" applyProtection="0"/>
  </cellStyleXfs>
  <cellXfs count="166">
    <xf numFmtId="0" fontId="0" fillId="0" borderId="0" xfId="0"/>
    <xf numFmtId="0" fontId="0" fillId="0" borderId="1" xfId="0" applyBorder="1"/>
    <xf numFmtId="0" fontId="0" fillId="0" borderId="3" xfId="0" applyBorder="1"/>
    <xf numFmtId="0" fontId="0" fillId="0" borderId="9" xfId="0" applyBorder="1"/>
    <xf numFmtId="0" fontId="0" fillId="0" borderId="12"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1" xfId="0" applyBorder="1"/>
    <xf numFmtId="0" fontId="0" fillId="0" borderId="22" xfId="0" applyBorder="1"/>
    <xf numFmtId="0" fontId="0" fillId="0" borderId="23" xfId="0" applyBorder="1"/>
    <xf numFmtId="0" fontId="0" fillId="0" borderId="1"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xf>
    <xf numFmtId="0" fontId="2" fillId="7" borderId="2" xfId="0" applyFont="1" applyFill="1" applyBorder="1" applyAlignment="1">
      <alignment vertical="center"/>
    </xf>
    <xf numFmtId="0" fontId="2" fillId="7" borderId="29" xfId="0" applyFont="1" applyFill="1" applyBorder="1" applyAlignment="1">
      <alignment vertical="center"/>
    </xf>
    <xf numFmtId="0" fontId="2" fillId="7" borderId="32" xfId="0" applyFont="1" applyFill="1" applyBorder="1" applyAlignment="1">
      <alignment vertical="center"/>
    </xf>
    <xf numFmtId="0" fontId="0" fillId="0" borderId="14" xfId="0" applyBorder="1"/>
    <xf numFmtId="0" fontId="4" fillId="0" borderId="1" xfId="0" applyFont="1" applyBorder="1"/>
    <xf numFmtId="164" fontId="0" fillId="0" borderId="16" xfId="0" applyNumberFormat="1" applyBorder="1" applyAlignment="1">
      <alignment horizontal="center"/>
    </xf>
    <xf numFmtId="164" fontId="0" fillId="3" borderId="16" xfId="0" applyNumberFormat="1" applyFill="1" applyBorder="1" applyAlignment="1">
      <alignment horizontal="center"/>
    </xf>
    <xf numFmtId="164" fontId="0" fillId="0" borderId="12" xfId="0" applyNumberFormat="1" applyBorder="1" applyAlignment="1">
      <alignment horizontal="center"/>
    </xf>
    <xf numFmtId="164" fontId="0" fillId="0" borderId="23" xfId="0" applyNumberFormat="1" applyBorder="1" applyAlignment="1">
      <alignment horizontal="center"/>
    </xf>
    <xf numFmtId="164" fontId="0" fillId="0" borderId="19" xfId="0" applyNumberFormat="1" applyBorder="1" applyAlignment="1">
      <alignment horizontal="center"/>
    </xf>
    <xf numFmtId="0" fontId="0" fillId="0" borderId="20" xfId="0" applyBorder="1"/>
    <xf numFmtId="0" fontId="0" fillId="0" borderId="11" xfId="0" applyBorder="1" applyAlignment="1">
      <alignment horizontal="center" vertical="center"/>
    </xf>
    <xf numFmtId="0" fontId="0" fillId="0" borderId="3" xfId="0" applyBorder="1" applyAlignment="1">
      <alignment horizontal="center" vertical="center"/>
    </xf>
    <xf numFmtId="0" fontId="0" fillId="0" borderId="14" xfId="0" applyBorder="1" applyAlignment="1">
      <alignment horizontal="center" vertical="center"/>
    </xf>
    <xf numFmtId="0" fontId="0" fillId="4" borderId="33" xfId="0" applyFill="1" applyBorder="1" applyAlignment="1"/>
    <xf numFmtId="0" fontId="0" fillId="4" borderId="34" xfId="0" applyFill="1" applyBorder="1" applyAlignment="1"/>
    <xf numFmtId="0" fontId="0" fillId="5" borderId="4" xfId="0" applyFill="1" applyBorder="1" applyAlignment="1"/>
    <xf numFmtId="0" fontId="1" fillId="5" borderId="10"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4" xfId="0" applyFont="1" applyFill="1"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1" xfId="0" applyBorder="1" applyAlignment="1">
      <alignment horizontal="center"/>
    </xf>
    <xf numFmtId="0" fontId="0" fillId="0" borderId="22" xfId="0" applyBorder="1" applyAlignment="1">
      <alignment horizontal="center"/>
    </xf>
    <xf numFmtId="164" fontId="0" fillId="2" borderId="0" xfId="0" applyNumberFormat="1" applyFill="1" applyBorder="1" applyAlignment="1">
      <alignment horizontal="center"/>
    </xf>
    <xf numFmtId="0" fontId="0" fillId="5" borderId="1" xfId="0" applyFill="1" applyBorder="1"/>
    <xf numFmtId="0" fontId="0" fillId="5" borderId="9" xfId="0" applyFill="1" applyBorder="1"/>
    <xf numFmtId="0" fontId="0" fillId="5" borderId="15" xfId="0" applyFill="1" applyBorder="1"/>
    <xf numFmtId="0" fontId="0" fillId="5" borderId="16" xfId="0" applyFill="1" applyBorder="1"/>
    <xf numFmtId="0" fontId="0" fillId="5" borderId="21" xfId="0" applyFill="1" applyBorder="1"/>
    <xf numFmtId="0" fontId="0" fillId="5" borderId="12" xfId="0" applyFill="1" applyBorder="1"/>
    <xf numFmtId="164" fontId="0" fillId="5" borderId="12" xfId="0" applyNumberFormat="1" applyFill="1" applyBorder="1" applyAlignment="1">
      <alignment horizontal="center"/>
    </xf>
    <xf numFmtId="164" fontId="0" fillId="5" borderId="16" xfId="0" applyNumberFormat="1" applyFill="1" applyBorder="1" applyAlignment="1">
      <alignment horizontal="center"/>
    </xf>
    <xf numFmtId="0" fontId="0" fillId="5" borderId="3" xfId="0" applyFill="1" applyBorder="1"/>
    <xf numFmtId="0" fontId="0" fillId="5" borderId="8" xfId="0" applyFill="1" applyBorder="1"/>
    <xf numFmtId="0" fontId="0" fillId="5" borderId="13" xfId="0" applyFill="1" applyBorder="1"/>
    <xf numFmtId="0" fontId="0" fillId="5" borderId="14" xfId="0" applyFill="1" applyBorder="1"/>
    <xf numFmtId="0" fontId="0" fillId="5" borderId="20" xfId="0" applyFill="1" applyBorder="1"/>
    <xf numFmtId="0" fontId="0" fillId="5" borderId="11" xfId="0" applyFill="1" applyBorder="1"/>
    <xf numFmtId="164" fontId="0" fillId="5" borderId="11" xfId="0" applyNumberFormat="1" applyFill="1" applyBorder="1" applyAlignment="1">
      <alignment horizontal="center"/>
    </xf>
    <xf numFmtId="164" fontId="0" fillId="5" borderId="14" xfId="0" applyNumberFormat="1" applyFill="1" applyBorder="1" applyAlignment="1">
      <alignment horizontal="center"/>
    </xf>
    <xf numFmtId="0" fontId="0" fillId="0" borderId="1" xfId="0" applyFont="1" applyBorder="1"/>
    <xf numFmtId="0" fontId="4" fillId="0" borderId="1" xfId="0" applyFont="1" applyFill="1" applyBorder="1"/>
    <xf numFmtId="0" fontId="0" fillId="5" borderId="2" xfId="0" applyFill="1" applyBorder="1"/>
    <xf numFmtId="0" fontId="0" fillId="0" borderId="2" xfId="0" applyBorder="1"/>
    <xf numFmtId="0" fontId="0" fillId="3" borderId="12" xfId="0" applyFill="1" applyBorder="1" applyAlignment="1">
      <alignment horizontal="center" vertical="center"/>
    </xf>
    <xf numFmtId="164" fontId="0" fillId="5" borderId="0" xfId="0" applyNumberFormat="1" applyFill="1" applyBorder="1" applyAlignment="1">
      <alignment horizontal="center"/>
    </xf>
    <xf numFmtId="0" fontId="0" fillId="0" borderId="0" xfId="0" applyAlignment="1">
      <alignment horizontal="center"/>
    </xf>
    <xf numFmtId="0" fontId="0" fillId="3" borderId="12" xfId="0" applyFill="1" applyBorder="1"/>
    <xf numFmtId="0" fontId="0" fillId="3" borderId="1" xfId="0" applyFill="1" applyBorder="1"/>
    <xf numFmtId="0" fontId="3" fillId="7" borderId="39" xfId="0" applyFont="1" applyFill="1" applyBorder="1" applyAlignment="1">
      <alignment horizontal="center" vertical="center"/>
    </xf>
    <xf numFmtId="0" fontId="3" fillId="7" borderId="40" xfId="0" applyFont="1" applyFill="1" applyBorder="1" applyAlignment="1">
      <alignment horizontal="center" vertical="center"/>
    </xf>
    <xf numFmtId="0" fontId="3" fillId="7" borderId="41" xfId="0" applyFont="1" applyFill="1" applyBorder="1" applyAlignment="1">
      <alignment horizontal="center" vertical="center"/>
    </xf>
    <xf numFmtId="0" fontId="6" fillId="8" borderId="4" xfId="0" applyFont="1" applyFill="1" applyBorder="1" applyAlignment="1">
      <alignment horizontal="center" vertical="center"/>
    </xf>
    <xf numFmtId="16" fontId="0" fillId="0" borderId="0" xfId="0" applyNumberFormat="1"/>
    <xf numFmtId="10" fontId="0" fillId="0" borderId="0" xfId="1" applyNumberFormat="1" applyFont="1" applyAlignment="1">
      <alignment horizontal="center" vertical="center"/>
    </xf>
    <xf numFmtId="0" fontId="1" fillId="0" borderId="1" xfId="0" applyFont="1" applyBorder="1"/>
    <xf numFmtId="0" fontId="6" fillId="5" borderId="10"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6" fillId="6" borderId="5"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7" xfId="0" applyFont="1" applyFill="1" applyBorder="1" applyAlignment="1">
      <alignment horizontal="center" vertical="center"/>
    </xf>
    <xf numFmtId="0" fontId="0" fillId="0" borderId="38" xfId="0" applyFill="1" applyBorder="1"/>
    <xf numFmtId="0" fontId="0" fillId="9" borderId="15" xfId="0" applyFill="1" applyBorder="1"/>
    <xf numFmtId="0" fontId="0" fillId="9" borderId="1" xfId="0" applyFill="1" applyBorder="1"/>
    <xf numFmtId="0" fontId="0" fillId="9" borderId="16" xfId="0" applyFill="1" applyBorder="1"/>
    <xf numFmtId="0" fontId="0" fillId="9" borderId="21" xfId="0" applyFill="1" applyBorder="1"/>
    <xf numFmtId="0" fontId="0" fillId="9" borderId="12" xfId="0" applyFill="1" applyBorder="1"/>
    <xf numFmtId="0" fontId="0" fillId="9" borderId="21" xfId="0" applyFill="1" applyBorder="1" applyAlignment="1">
      <alignment horizontal="center"/>
    </xf>
    <xf numFmtId="0" fontId="2" fillId="7" borderId="0" xfId="0" applyFont="1" applyFill="1" applyBorder="1" applyAlignment="1">
      <alignment horizontal="center" vertical="center"/>
    </xf>
    <xf numFmtId="0" fontId="1" fillId="5" borderId="0" xfId="0" applyFont="1" applyFill="1" applyBorder="1" applyAlignment="1">
      <alignment horizontal="center" vertical="center"/>
    </xf>
    <xf numFmtId="0" fontId="0" fillId="10" borderId="12" xfId="0" applyFill="1" applyBorder="1"/>
    <xf numFmtId="0" fontId="8" fillId="0" borderId="0" xfId="0" applyFont="1"/>
    <xf numFmtId="0" fontId="8" fillId="0" borderId="0" xfId="0" applyFont="1" applyAlignment="1">
      <alignment horizontal="center" vertical="center"/>
    </xf>
    <xf numFmtId="0" fontId="8" fillId="0" borderId="0" xfId="0" applyFont="1" applyAlignment="1">
      <alignment horizontal="left" vertical="center"/>
    </xf>
    <xf numFmtId="0" fontId="0" fillId="0" borderId="1" xfId="0" applyFill="1" applyBorder="1"/>
    <xf numFmtId="0" fontId="0" fillId="0" borderId="0" xfId="0" applyFill="1" applyAlignment="1">
      <alignment horizontal="center"/>
    </xf>
    <xf numFmtId="0" fontId="8" fillId="11" borderId="0" xfId="0" applyFont="1" applyFill="1" applyAlignment="1">
      <alignment horizontal="left" vertical="center"/>
    </xf>
    <xf numFmtId="0" fontId="9" fillId="0" borderId="1" xfId="0" applyFont="1" applyBorder="1"/>
    <xf numFmtId="0" fontId="0" fillId="0" borderId="12" xfId="0" applyFont="1" applyBorder="1"/>
    <xf numFmtId="0" fontId="0" fillId="2" borderId="1" xfId="0" applyFill="1" applyBorder="1"/>
    <xf numFmtId="0" fontId="0" fillId="2" borderId="9" xfId="0" applyFill="1" applyBorder="1"/>
    <xf numFmtId="0" fontId="0" fillId="2" borderId="15" xfId="0" applyFill="1" applyBorder="1"/>
    <xf numFmtId="0" fontId="0" fillId="2" borderId="16" xfId="0" applyFill="1" applyBorder="1"/>
    <xf numFmtId="0" fontId="0" fillId="2" borderId="21" xfId="0" applyFill="1" applyBorder="1"/>
    <xf numFmtId="0" fontId="0" fillId="2" borderId="12" xfId="0" applyFill="1" applyBorder="1"/>
    <xf numFmtId="164" fontId="0" fillId="2" borderId="12" xfId="0" applyNumberFormat="1" applyFill="1" applyBorder="1" applyAlignment="1">
      <alignment horizontal="center"/>
    </xf>
    <xf numFmtId="164" fontId="0" fillId="2" borderId="16" xfId="0" applyNumberFormat="1" applyFill="1" applyBorder="1" applyAlignment="1">
      <alignment horizontal="center"/>
    </xf>
    <xf numFmtId="0" fontId="0" fillId="12" borderId="0" xfId="0" applyFill="1"/>
    <xf numFmtId="0" fontId="0" fillId="0" borderId="0" xfId="0" applyAlignment="1">
      <alignment wrapText="1"/>
    </xf>
    <xf numFmtId="0" fontId="0" fillId="3" borderId="0" xfId="0" applyFill="1"/>
    <xf numFmtId="0" fontId="8" fillId="10" borderId="0" xfId="0" applyFont="1" applyFill="1" applyAlignment="1">
      <alignment horizontal="center" vertical="center"/>
    </xf>
    <xf numFmtId="0" fontId="0" fillId="13" borderId="0" xfId="0" applyFill="1"/>
    <xf numFmtId="0" fontId="0" fillId="13" borderId="0" xfId="0" applyFill="1" applyAlignment="1">
      <alignment wrapText="1"/>
    </xf>
    <xf numFmtId="0" fontId="0" fillId="14" borderId="0" xfId="0" applyFill="1"/>
    <xf numFmtId="0" fontId="0" fillId="0" borderId="0" xfId="0" applyFill="1"/>
    <xf numFmtId="0" fontId="8" fillId="15" borderId="0" xfId="0" applyFont="1" applyFill="1" applyAlignment="1">
      <alignment horizontal="center" vertical="center"/>
    </xf>
    <xf numFmtId="0" fontId="3" fillId="7" borderId="2" xfId="0" applyFont="1" applyFill="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8" fillId="0" borderId="0" xfId="0" applyFont="1" applyAlignment="1">
      <alignment horizontal="center" vertical="center"/>
    </xf>
    <xf numFmtId="0" fontId="8" fillId="0" borderId="0" xfId="0" applyFont="1" applyAlignment="1">
      <alignment horizontal="center" vertical="center"/>
    </xf>
    <xf numFmtId="0" fontId="0" fillId="0" borderId="1" xfId="0" applyBorder="1" applyAlignment="1">
      <alignment horizontal="center"/>
    </xf>
    <xf numFmtId="0" fontId="8" fillId="11" borderId="0" xfId="0" applyFont="1" applyFill="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1" xfId="0" applyFont="1" applyBorder="1" applyAlignment="1">
      <alignment horizontal="center"/>
    </xf>
    <xf numFmtId="0" fontId="1" fillId="9" borderId="21" xfId="0" applyFont="1" applyFill="1" applyBorder="1" applyAlignment="1">
      <alignment horizontal="center"/>
    </xf>
    <xf numFmtId="0" fontId="1" fillId="0" borderId="22" xfId="0" applyFont="1" applyBorder="1" applyAlignment="1">
      <alignment horizontal="center"/>
    </xf>
    <xf numFmtId="0" fontId="6" fillId="4" borderId="33"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34" xfId="0" applyFont="1" applyFill="1" applyBorder="1" applyAlignment="1">
      <alignment horizontal="center" vertical="center"/>
    </xf>
    <xf numFmtId="16" fontId="6" fillId="4" borderId="26" xfId="0" applyNumberFormat="1" applyFont="1" applyFill="1" applyBorder="1" applyAlignment="1">
      <alignment horizontal="center" vertical="center"/>
    </xf>
    <xf numFmtId="16" fontId="6" fillId="4" borderId="0" xfId="0" applyNumberFormat="1" applyFont="1" applyFill="1" applyBorder="1" applyAlignment="1">
      <alignment horizontal="center" vertical="center"/>
    </xf>
    <xf numFmtId="16" fontId="6" fillId="4" borderId="27" xfId="0" applyNumberFormat="1" applyFont="1" applyFill="1" applyBorder="1" applyAlignment="1">
      <alignment horizontal="center" vertical="center"/>
    </xf>
    <xf numFmtId="164" fontId="7" fillId="0" borderId="33" xfId="0" applyNumberFormat="1" applyFont="1" applyBorder="1" applyAlignment="1">
      <alignment horizontal="center"/>
    </xf>
    <xf numFmtId="164" fontId="7" fillId="0" borderId="35" xfId="0" applyNumberFormat="1" applyFont="1" applyBorder="1" applyAlignment="1">
      <alignment horizontal="center"/>
    </xf>
    <xf numFmtId="164" fontId="7" fillId="0" borderId="34" xfId="0" applyNumberFormat="1" applyFont="1" applyBorder="1" applyAlignment="1">
      <alignment horizontal="center"/>
    </xf>
    <xf numFmtId="0" fontId="3" fillId="7" borderId="1" xfId="0" applyFont="1" applyFill="1" applyBorder="1" applyAlignment="1">
      <alignment horizontal="center" vertical="center"/>
    </xf>
    <xf numFmtId="0" fontId="3" fillId="7" borderId="2"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3" fillId="7" borderId="37" xfId="0" applyFont="1" applyFill="1" applyBorder="1" applyAlignment="1">
      <alignment horizontal="center" vertical="center" wrapText="1"/>
    </xf>
    <xf numFmtId="0" fontId="2" fillId="7" borderId="31" xfId="0" applyFont="1" applyFill="1" applyBorder="1" applyAlignment="1">
      <alignment horizontal="center" vertical="center"/>
    </xf>
    <xf numFmtId="0" fontId="2" fillId="7" borderId="36" xfId="0" applyFont="1" applyFill="1" applyBorder="1" applyAlignment="1">
      <alignment horizontal="center" vertical="center"/>
    </xf>
    <xf numFmtId="0" fontId="2" fillId="7" borderId="30" xfId="0" applyFont="1" applyFill="1" applyBorder="1" applyAlignment="1">
      <alignment horizontal="center" vertical="center"/>
    </xf>
    <xf numFmtId="0" fontId="2" fillId="7" borderId="24" xfId="0" applyFont="1" applyFill="1" applyBorder="1" applyAlignment="1">
      <alignment horizontal="center" vertical="center"/>
    </xf>
    <xf numFmtId="0" fontId="2" fillId="7" borderId="25" xfId="0" applyFont="1" applyFill="1" applyBorder="1" applyAlignment="1">
      <alignment horizontal="center" vertical="center"/>
    </xf>
    <xf numFmtId="0" fontId="2" fillId="7" borderId="28" xfId="0" applyFont="1" applyFill="1" applyBorder="1" applyAlignment="1">
      <alignment horizontal="center" vertical="center" wrapText="1"/>
    </xf>
    <xf numFmtId="0" fontId="2" fillId="7" borderId="27" xfId="0" applyFont="1" applyFill="1" applyBorder="1" applyAlignment="1">
      <alignment horizontal="center" vertical="center" wrapText="1"/>
    </xf>
    <xf numFmtId="0" fontId="2" fillId="7" borderId="24"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25" xfId="0" applyFont="1" applyFill="1" applyBorder="1" applyAlignment="1">
      <alignment horizontal="center" vertical="center" wrapText="1"/>
    </xf>
    <xf numFmtId="0" fontId="2" fillId="7" borderId="32" xfId="0" applyFont="1" applyFill="1" applyBorder="1" applyAlignment="1">
      <alignment horizontal="center" vertical="center" wrapText="1"/>
    </xf>
    <xf numFmtId="0" fontId="4"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4" fillId="0" borderId="38" xfId="0" applyFont="1" applyFill="1" applyBorder="1" applyAlignment="1">
      <alignment horizontal="center" vertical="center"/>
    </xf>
    <xf numFmtId="0" fontId="8" fillId="0" borderId="0" xfId="0" applyFont="1"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10" fillId="3" borderId="0" xfId="0" applyFont="1" applyFill="1" applyAlignment="1">
      <alignment horizontal="left" vertical="center"/>
    </xf>
    <xf numFmtId="0" fontId="10" fillId="3" borderId="0" xfId="0" applyFont="1" applyFill="1" applyAlignment="1">
      <alignment horizontal="center" vertical="center"/>
    </xf>
  </cellXfs>
  <cellStyles count="2">
    <cellStyle name="Обычный" xfId="0" builtinId="0"/>
    <cellStyle name="Процентный" xfId="1" builtinId="5"/>
  </cellStyles>
  <dxfs count="38">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FFCC"/>
      <color rgb="FFFF6600"/>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3"/>
  <sheetViews>
    <sheetView workbookViewId="0">
      <pane ySplit="2" topLeftCell="A63" activePane="bottomLeft" state="frozen"/>
      <selection pane="bottomLeft" activeCell="K77" sqref="K77"/>
    </sheetView>
  </sheetViews>
  <sheetFormatPr defaultRowHeight="15" x14ac:dyDescent="0.25"/>
  <cols>
    <col min="1" max="1" width="31.140625" customWidth="1"/>
    <col min="2" max="2" width="13.5703125" bestFit="1" customWidth="1"/>
    <col min="3" max="3" width="14.7109375" bestFit="1" customWidth="1"/>
    <col min="17" max="17" width="24.42578125" bestFit="1" customWidth="1"/>
    <col min="18" max="18" width="15.140625" bestFit="1" customWidth="1"/>
    <col min="19" max="19" width="15.140625" customWidth="1"/>
  </cols>
  <sheetData>
    <row r="1" spans="1:23" ht="21" x14ac:dyDescent="0.35">
      <c r="A1" s="136" t="s">
        <v>0</v>
      </c>
      <c r="B1" s="136" t="s">
        <v>1</v>
      </c>
      <c r="C1" s="136" t="s">
        <v>2</v>
      </c>
      <c r="D1" s="136" t="s">
        <v>3</v>
      </c>
      <c r="E1" s="136"/>
      <c r="F1" s="136"/>
      <c r="G1" s="136"/>
      <c r="H1" s="136" t="s">
        <v>4</v>
      </c>
      <c r="I1" s="136" t="s">
        <v>5</v>
      </c>
      <c r="J1" s="136"/>
      <c r="K1" s="136"/>
      <c r="L1" s="136"/>
      <c r="M1" s="136" t="s">
        <v>6</v>
      </c>
      <c r="N1" s="136"/>
      <c r="O1" s="136"/>
      <c r="P1" s="136"/>
      <c r="Q1" s="138" t="s">
        <v>7</v>
      </c>
      <c r="R1" s="140" t="s">
        <v>8</v>
      </c>
      <c r="S1" s="140" t="s">
        <v>9</v>
      </c>
      <c r="T1" s="133">
        <v>42215</v>
      </c>
      <c r="U1" s="134"/>
      <c r="V1" s="134"/>
      <c r="W1" s="135"/>
    </row>
    <row r="2" spans="1:23" x14ac:dyDescent="0.25">
      <c r="A2" s="137"/>
      <c r="B2" s="137"/>
      <c r="C2" s="137"/>
      <c r="D2" s="115" t="s">
        <v>10</v>
      </c>
      <c r="E2" s="115" t="s">
        <v>11</v>
      </c>
      <c r="F2" s="115" t="s">
        <v>12</v>
      </c>
      <c r="G2" s="115" t="s">
        <v>13</v>
      </c>
      <c r="H2" s="137"/>
      <c r="I2" s="115" t="s">
        <v>10</v>
      </c>
      <c r="J2" s="115" t="s">
        <v>11</v>
      </c>
      <c r="K2" s="115" t="s">
        <v>12</v>
      </c>
      <c r="L2" s="115" t="s">
        <v>13</v>
      </c>
      <c r="M2" s="115" t="s">
        <v>10</v>
      </c>
      <c r="N2" s="115" t="s">
        <v>11</v>
      </c>
      <c r="O2" s="115" t="s">
        <v>12</v>
      </c>
      <c r="P2" s="115" t="s">
        <v>13</v>
      </c>
      <c r="Q2" s="139"/>
      <c r="R2" s="141"/>
      <c r="S2" s="141"/>
      <c r="T2" s="67" t="s">
        <v>10</v>
      </c>
      <c r="U2" s="68" t="s">
        <v>11</v>
      </c>
      <c r="V2" s="68" t="s">
        <v>12</v>
      </c>
      <c r="W2" s="69" t="s">
        <v>13</v>
      </c>
    </row>
    <row r="3" spans="1:23" ht="19.5" thickBot="1" x14ac:dyDescent="0.3">
      <c r="A3" s="127"/>
      <c r="B3" s="128"/>
      <c r="C3" s="128"/>
      <c r="D3" s="128"/>
      <c r="E3" s="128"/>
      <c r="F3" s="128"/>
      <c r="G3" s="128"/>
      <c r="H3" s="129"/>
      <c r="I3" s="74">
        <f t="shared" ref="I3:P3" si="0">SUM(I4:I93)</f>
        <v>647</v>
      </c>
      <c r="J3" s="75">
        <f t="shared" si="0"/>
        <v>622</v>
      </c>
      <c r="K3" s="75">
        <f t="shared" si="0"/>
        <v>37</v>
      </c>
      <c r="L3" s="76">
        <f t="shared" si="0"/>
        <v>10</v>
      </c>
      <c r="M3" s="77">
        <f t="shared" si="0"/>
        <v>0</v>
      </c>
      <c r="N3" s="78">
        <f t="shared" si="0"/>
        <v>0</v>
      </c>
      <c r="O3" s="78">
        <f t="shared" si="0"/>
        <v>35</v>
      </c>
      <c r="P3" s="79">
        <f t="shared" si="0"/>
        <v>0</v>
      </c>
      <c r="Q3" s="130"/>
      <c r="R3" s="131"/>
      <c r="S3" s="132"/>
      <c r="T3" s="70">
        <f>Бухгалтерия!U5</f>
        <v>3</v>
      </c>
      <c r="U3" s="70">
        <f>Бухгалтерия!V5</f>
        <v>26</v>
      </c>
      <c r="V3" s="70">
        <f>Бухгалтерия!W5</f>
        <v>0</v>
      </c>
      <c r="W3" s="70">
        <f>Бухгалтерия!X5</f>
        <v>45</v>
      </c>
    </row>
    <row r="4" spans="1:23" x14ac:dyDescent="0.25">
      <c r="A4" s="50" t="s">
        <v>14</v>
      </c>
      <c r="B4" s="50" t="s">
        <v>15</v>
      </c>
      <c r="C4" s="51" t="s">
        <v>16</v>
      </c>
      <c r="D4" s="52">
        <v>3</v>
      </c>
      <c r="E4" s="50">
        <v>3</v>
      </c>
      <c r="F4" s="50"/>
      <c r="G4" s="53"/>
      <c r="H4" s="54">
        <v>8</v>
      </c>
      <c r="I4" s="55">
        <v>3</v>
      </c>
      <c r="J4" s="50">
        <v>3</v>
      </c>
      <c r="K4" s="50"/>
      <c r="L4" s="53"/>
      <c r="M4" s="52">
        <f t="shared" ref="M4:M6" si="1">D4-I4</f>
        <v>0</v>
      </c>
      <c r="N4" s="50">
        <f t="shared" ref="N4:N6" si="2">E4-J4</f>
        <v>0</v>
      </c>
      <c r="O4" s="50">
        <f t="shared" ref="O4:O6" si="3">F4-K4</f>
        <v>0</v>
      </c>
      <c r="P4" s="53">
        <f t="shared" ref="P4:P6" si="4">G4-L4</f>
        <v>0</v>
      </c>
      <c r="Q4" s="56">
        <v>42069</v>
      </c>
      <c r="R4" s="57">
        <f>Q4+H4</f>
        <v>42077</v>
      </c>
      <c r="S4" s="63" t="str">
        <f>IF(AND(SUM(M4:P4)=0,R4&lt;$T$1),"готово","нет")</f>
        <v>готово</v>
      </c>
    </row>
    <row r="5" spans="1:23" x14ac:dyDescent="0.25">
      <c r="A5" s="42" t="s">
        <v>17</v>
      </c>
      <c r="B5" s="42" t="s">
        <v>18</v>
      </c>
      <c r="C5" s="43" t="s">
        <v>19</v>
      </c>
      <c r="D5" s="44">
        <v>6</v>
      </c>
      <c r="E5" s="42">
        <v>4</v>
      </c>
      <c r="F5" s="42"/>
      <c r="G5" s="45"/>
      <c r="H5" s="46">
        <v>24</v>
      </c>
      <c r="I5" s="47">
        <v>6</v>
      </c>
      <c r="J5" s="42">
        <v>4</v>
      </c>
      <c r="K5" s="42"/>
      <c r="L5" s="45"/>
      <c r="M5" s="44">
        <f t="shared" si="1"/>
        <v>0</v>
      </c>
      <c r="N5" s="42">
        <f t="shared" si="2"/>
        <v>0</v>
      </c>
      <c r="O5" s="42">
        <f t="shared" si="3"/>
        <v>0</v>
      </c>
      <c r="P5" s="45">
        <f t="shared" si="4"/>
        <v>0</v>
      </c>
      <c r="Q5" s="48" t="s">
        <v>20</v>
      </c>
      <c r="R5" s="22">
        <v>42098</v>
      </c>
      <c r="S5" s="63" t="str">
        <f t="shared" ref="S5:S57" si="5">IF(AND(SUM(M5:P5)=0,R5&lt;$T$1),"готово","нет")</f>
        <v>готово</v>
      </c>
    </row>
    <row r="6" spans="1:23" x14ac:dyDescent="0.25">
      <c r="A6" s="42" t="s">
        <v>21</v>
      </c>
      <c r="B6" s="42" t="s">
        <v>22</v>
      </c>
      <c r="C6" s="43" t="s">
        <v>23</v>
      </c>
      <c r="D6" s="44">
        <v>7</v>
      </c>
      <c r="E6" s="42">
        <v>7</v>
      </c>
      <c r="F6" s="42"/>
      <c r="G6" s="45"/>
      <c r="H6" s="46">
        <v>20</v>
      </c>
      <c r="I6" s="47">
        <v>7</v>
      </c>
      <c r="J6" s="42">
        <v>7</v>
      </c>
      <c r="K6" s="42"/>
      <c r="L6" s="45"/>
      <c r="M6" s="44">
        <f t="shared" si="1"/>
        <v>0</v>
      </c>
      <c r="N6" s="42">
        <f t="shared" si="2"/>
        <v>0</v>
      </c>
      <c r="O6" s="42">
        <f t="shared" si="3"/>
        <v>0</v>
      </c>
      <c r="P6" s="45">
        <f t="shared" si="4"/>
        <v>0</v>
      </c>
      <c r="Q6" s="48">
        <v>42069</v>
      </c>
      <c r="R6" s="49">
        <f>Q6+H6</f>
        <v>42089</v>
      </c>
      <c r="S6" s="63" t="str">
        <f t="shared" si="5"/>
        <v>готово</v>
      </c>
    </row>
    <row r="7" spans="1:23" x14ac:dyDescent="0.25">
      <c r="A7" s="42" t="s">
        <v>24</v>
      </c>
      <c r="B7" s="42" t="s">
        <v>25</v>
      </c>
      <c r="C7" s="43" t="s">
        <v>26</v>
      </c>
      <c r="D7" s="44">
        <v>2</v>
      </c>
      <c r="E7" s="42"/>
      <c r="F7" s="42">
        <v>1</v>
      </c>
      <c r="G7" s="45"/>
      <c r="H7" s="46">
        <v>0</v>
      </c>
      <c r="I7" s="47">
        <v>2</v>
      </c>
      <c r="J7" s="42"/>
      <c r="K7" s="42">
        <v>1</v>
      </c>
      <c r="L7" s="45"/>
      <c r="M7" s="44">
        <f>D7-I7</f>
        <v>0</v>
      </c>
      <c r="N7" s="42">
        <f t="shared" ref="N7:N9" si="6">E7-J7</f>
        <v>0</v>
      </c>
      <c r="O7" s="42">
        <f t="shared" ref="O7:O9" si="7">F7-K7</f>
        <v>0</v>
      </c>
      <c r="P7" s="45">
        <f t="shared" ref="P7:P9" si="8">G7-L7</f>
        <v>0</v>
      </c>
      <c r="Q7" s="48">
        <v>42072</v>
      </c>
      <c r="R7" s="49">
        <f t="shared" ref="R7:R8" si="9">Q7+H7</f>
        <v>42072</v>
      </c>
      <c r="S7" s="63" t="str">
        <f t="shared" si="5"/>
        <v>готово</v>
      </c>
    </row>
    <row r="8" spans="1:23" x14ac:dyDescent="0.25">
      <c r="A8" s="42" t="s">
        <v>27</v>
      </c>
      <c r="B8" s="42" t="s">
        <v>25</v>
      </c>
      <c r="C8" s="43" t="s">
        <v>28</v>
      </c>
      <c r="D8" s="44">
        <v>1</v>
      </c>
      <c r="E8" s="42">
        <v>2</v>
      </c>
      <c r="F8" s="42">
        <v>1</v>
      </c>
      <c r="G8" s="45"/>
      <c r="H8" s="46">
        <v>0</v>
      </c>
      <c r="I8" s="47">
        <v>1</v>
      </c>
      <c r="J8" s="42">
        <v>2</v>
      </c>
      <c r="K8" s="42">
        <v>1</v>
      </c>
      <c r="L8" s="45"/>
      <c r="M8" s="44">
        <f t="shared" ref="M8:M9" si="10">D8-I8</f>
        <v>0</v>
      </c>
      <c r="N8" s="42">
        <f t="shared" si="6"/>
        <v>0</v>
      </c>
      <c r="O8" s="42">
        <f t="shared" si="7"/>
        <v>0</v>
      </c>
      <c r="P8" s="45">
        <f t="shared" si="8"/>
        <v>0</v>
      </c>
      <c r="Q8" s="48">
        <v>42072</v>
      </c>
      <c r="R8" s="49">
        <f t="shared" si="9"/>
        <v>42072</v>
      </c>
      <c r="S8" s="63" t="str">
        <f t="shared" si="5"/>
        <v>готово</v>
      </c>
    </row>
    <row r="9" spans="1:23" x14ac:dyDescent="0.25">
      <c r="A9" s="42" t="s">
        <v>29</v>
      </c>
      <c r="B9" s="42" t="s">
        <v>25</v>
      </c>
      <c r="C9" s="43" t="s">
        <v>30</v>
      </c>
      <c r="D9" s="44">
        <v>5</v>
      </c>
      <c r="E9" s="42">
        <v>6</v>
      </c>
      <c r="F9" s="42"/>
      <c r="G9" s="45"/>
      <c r="H9" s="46">
        <v>16</v>
      </c>
      <c r="I9" s="47">
        <v>5</v>
      </c>
      <c r="J9" s="42">
        <v>6</v>
      </c>
      <c r="K9" s="42"/>
      <c r="L9" s="45"/>
      <c r="M9" s="44">
        <f t="shared" si="10"/>
        <v>0</v>
      </c>
      <c r="N9" s="42">
        <f t="shared" si="6"/>
        <v>0</v>
      </c>
      <c r="O9" s="42">
        <f t="shared" si="7"/>
        <v>0</v>
      </c>
      <c r="P9" s="45">
        <f t="shared" si="8"/>
        <v>0</v>
      </c>
      <c r="Q9" s="48">
        <v>42071</v>
      </c>
      <c r="R9" s="22">
        <v>42103</v>
      </c>
      <c r="S9" s="63" t="str">
        <f t="shared" si="5"/>
        <v>готово</v>
      </c>
    </row>
    <row r="10" spans="1:23" x14ac:dyDescent="0.25">
      <c r="A10" s="42" t="s">
        <v>29</v>
      </c>
      <c r="B10" s="42" t="s">
        <v>25</v>
      </c>
      <c r="C10" s="43" t="s">
        <v>30</v>
      </c>
      <c r="D10" s="44">
        <v>5</v>
      </c>
      <c r="E10" s="42">
        <v>6</v>
      </c>
      <c r="F10" s="42"/>
      <c r="G10" s="45"/>
      <c r="H10" s="46">
        <v>16</v>
      </c>
      <c r="I10" s="47">
        <v>5</v>
      </c>
      <c r="J10" s="42">
        <v>6</v>
      </c>
      <c r="K10" s="42"/>
      <c r="L10" s="45"/>
      <c r="M10" s="44">
        <f t="shared" ref="M10" si="11">D10-I10</f>
        <v>0</v>
      </c>
      <c r="N10" s="42">
        <f t="shared" ref="N10" si="12">E10-J10</f>
        <v>0</v>
      </c>
      <c r="O10" s="42">
        <f t="shared" ref="O10" si="13">F10-K10</f>
        <v>0</v>
      </c>
      <c r="P10" s="45">
        <f t="shared" ref="P10" si="14">G10-L10</f>
        <v>0</v>
      </c>
      <c r="Q10" s="48">
        <v>42071</v>
      </c>
      <c r="R10" s="22">
        <v>42112</v>
      </c>
      <c r="S10" s="63" t="str">
        <f t="shared" si="5"/>
        <v>готово</v>
      </c>
    </row>
    <row r="11" spans="1:23" x14ac:dyDescent="0.25">
      <c r="A11" s="42" t="s">
        <v>31</v>
      </c>
      <c r="B11" s="42" t="s">
        <v>22</v>
      </c>
      <c r="C11" s="43" t="s">
        <v>32</v>
      </c>
      <c r="D11" s="44">
        <v>2</v>
      </c>
      <c r="E11" s="42">
        <v>2</v>
      </c>
      <c r="F11" s="42"/>
      <c r="G11" s="45"/>
      <c r="H11" s="46">
        <v>6</v>
      </c>
      <c r="I11" s="47">
        <v>2</v>
      </c>
      <c r="J11" s="42">
        <v>2</v>
      </c>
      <c r="K11" s="42"/>
      <c r="L11" s="45"/>
      <c r="M11" s="44">
        <f t="shared" ref="M11:M12" si="15">D11-I11</f>
        <v>0</v>
      </c>
      <c r="N11" s="42">
        <f t="shared" ref="N11:N12" si="16">E11-J11</f>
        <v>0</v>
      </c>
      <c r="O11" s="42">
        <f t="shared" ref="O11:O12" si="17">F11-K11</f>
        <v>0</v>
      </c>
      <c r="P11" s="45">
        <f t="shared" ref="P11:P12" si="18">G11-L11</f>
        <v>0</v>
      </c>
      <c r="Q11" s="48">
        <v>42082</v>
      </c>
      <c r="R11" s="49">
        <f t="shared" ref="R11:R13" si="19">Q11+H11</f>
        <v>42088</v>
      </c>
      <c r="S11" s="63" t="str">
        <f t="shared" si="5"/>
        <v>готово</v>
      </c>
    </row>
    <row r="12" spans="1:23" x14ac:dyDescent="0.25">
      <c r="A12" s="42" t="s">
        <v>33</v>
      </c>
      <c r="B12" s="42" t="s">
        <v>34</v>
      </c>
      <c r="C12" s="43" t="s">
        <v>35</v>
      </c>
      <c r="D12" s="44">
        <v>50</v>
      </c>
      <c r="E12" s="42">
        <v>50</v>
      </c>
      <c r="F12" s="42"/>
      <c r="G12" s="45"/>
      <c r="H12" s="46">
        <f>12*5</f>
        <v>60</v>
      </c>
      <c r="I12" s="47">
        <v>50</v>
      </c>
      <c r="J12" s="42">
        <v>50</v>
      </c>
      <c r="K12" s="42"/>
      <c r="L12" s="45"/>
      <c r="M12" s="44">
        <f t="shared" si="15"/>
        <v>0</v>
      </c>
      <c r="N12" s="42">
        <f t="shared" si="16"/>
        <v>0</v>
      </c>
      <c r="O12" s="42">
        <f t="shared" si="17"/>
        <v>0</v>
      </c>
      <c r="P12" s="45">
        <f t="shared" si="18"/>
        <v>0</v>
      </c>
      <c r="Q12" s="48">
        <v>42093</v>
      </c>
      <c r="R12" s="49">
        <f t="shared" si="19"/>
        <v>42153</v>
      </c>
      <c r="S12" s="63" t="str">
        <f t="shared" si="5"/>
        <v>готово</v>
      </c>
    </row>
    <row r="13" spans="1:23" x14ac:dyDescent="0.25">
      <c r="A13" s="42" t="s">
        <v>36</v>
      </c>
      <c r="B13" s="42" t="s">
        <v>34</v>
      </c>
      <c r="C13" s="43" t="s">
        <v>19</v>
      </c>
      <c r="D13" s="44">
        <v>7</v>
      </c>
      <c r="E13" s="42">
        <v>7</v>
      </c>
      <c r="F13" s="42"/>
      <c r="G13" s="45"/>
      <c r="H13" s="46">
        <v>24</v>
      </c>
      <c r="I13" s="47">
        <v>7</v>
      </c>
      <c r="J13" s="42">
        <v>7</v>
      </c>
      <c r="K13" s="42"/>
      <c r="L13" s="45"/>
      <c r="M13" s="44">
        <f t="shared" ref="M13" si="20">D13-I13</f>
        <v>0</v>
      </c>
      <c r="N13" s="42">
        <f t="shared" ref="N13" si="21">E13-J13</f>
        <v>0</v>
      </c>
      <c r="O13" s="42">
        <f t="shared" ref="O13" si="22">F13-K13</f>
        <v>0</v>
      </c>
      <c r="P13" s="45">
        <f t="shared" ref="P13" si="23">G13-L13</f>
        <v>0</v>
      </c>
      <c r="Q13" s="48">
        <v>42112</v>
      </c>
      <c r="R13" s="49">
        <f t="shared" si="19"/>
        <v>42136</v>
      </c>
      <c r="S13" s="63" t="str">
        <f t="shared" si="5"/>
        <v>готово</v>
      </c>
    </row>
    <row r="14" spans="1:23" x14ac:dyDescent="0.25">
      <c r="A14" s="42" t="s">
        <v>37</v>
      </c>
      <c r="B14" s="42" t="s">
        <v>22</v>
      </c>
      <c r="C14" s="43" t="s">
        <v>38</v>
      </c>
      <c r="D14" s="44">
        <v>2</v>
      </c>
      <c r="E14" s="42"/>
      <c r="F14" s="42"/>
      <c r="G14" s="45"/>
      <c r="H14" s="46">
        <v>1</v>
      </c>
      <c r="I14" s="47">
        <v>2</v>
      </c>
      <c r="J14" s="42"/>
      <c r="K14" s="42"/>
      <c r="L14" s="45"/>
      <c r="M14" s="44">
        <f t="shared" ref="M14" si="24">D14-I14</f>
        <v>0</v>
      </c>
      <c r="N14" s="42">
        <f t="shared" ref="N14" si="25">E14-J14</f>
        <v>0</v>
      </c>
      <c r="O14" s="42">
        <f t="shared" ref="O14" si="26">F14-K14</f>
        <v>0</v>
      </c>
      <c r="P14" s="45">
        <f t="shared" ref="P14" si="27">G14-L14</f>
        <v>0</v>
      </c>
      <c r="Q14" s="48">
        <v>42112</v>
      </c>
      <c r="R14" s="49">
        <f t="shared" ref="R14" si="28">Q14+H14</f>
        <v>42113</v>
      </c>
      <c r="S14" s="63" t="str">
        <f t="shared" si="5"/>
        <v>готово</v>
      </c>
    </row>
    <row r="15" spans="1:23" x14ac:dyDescent="0.25">
      <c r="A15" s="42" t="s">
        <v>39</v>
      </c>
      <c r="B15" s="42" t="s">
        <v>22</v>
      </c>
      <c r="C15" s="43" t="s">
        <v>40</v>
      </c>
      <c r="D15" s="44">
        <v>4</v>
      </c>
      <c r="E15" s="42">
        <v>5</v>
      </c>
      <c r="F15" s="42"/>
      <c r="G15" s="45"/>
      <c r="H15" s="46">
        <v>12</v>
      </c>
      <c r="I15" s="47">
        <v>4</v>
      </c>
      <c r="J15" s="42">
        <v>5</v>
      </c>
      <c r="K15" s="42"/>
      <c r="L15" s="45"/>
      <c r="M15" s="44">
        <f t="shared" ref="M15:M18" si="29">D15-I15</f>
        <v>0</v>
      </c>
      <c r="N15" s="42">
        <f t="shared" ref="N15:N18" si="30">E15-J15</f>
        <v>0</v>
      </c>
      <c r="O15" s="42">
        <f t="shared" ref="O15:O18" si="31">F15-K15</f>
        <v>0</v>
      </c>
      <c r="P15" s="45">
        <f t="shared" ref="P15:P18" si="32">G15-L15</f>
        <v>0</v>
      </c>
      <c r="Q15" s="48">
        <v>42112</v>
      </c>
      <c r="R15" s="49">
        <f t="shared" ref="R15:R16" si="33">Q15+H15</f>
        <v>42124</v>
      </c>
      <c r="S15" s="63" t="str">
        <f t="shared" si="5"/>
        <v>готово</v>
      </c>
    </row>
    <row r="16" spans="1:23" x14ac:dyDescent="0.25">
      <c r="A16" s="42" t="s">
        <v>39</v>
      </c>
      <c r="B16" s="42" t="s">
        <v>22</v>
      </c>
      <c r="C16" s="43" t="s">
        <v>40</v>
      </c>
      <c r="D16" s="44">
        <v>4</v>
      </c>
      <c r="E16" s="42">
        <v>5</v>
      </c>
      <c r="F16" s="42"/>
      <c r="G16" s="45"/>
      <c r="H16" s="46">
        <v>12</v>
      </c>
      <c r="I16" s="47">
        <v>4</v>
      </c>
      <c r="J16" s="42">
        <v>5</v>
      </c>
      <c r="K16" s="42"/>
      <c r="L16" s="45"/>
      <c r="M16" s="44">
        <f t="shared" si="29"/>
        <v>0</v>
      </c>
      <c r="N16" s="42">
        <f t="shared" si="30"/>
        <v>0</v>
      </c>
      <c r="O16" s="42">
        <f t="shared" si="31"/>
        <v>0</v>
      </c>
      <c r="P16" s="45">
        <f t="shared" si="32"/>
        <v>0</v>
      </c>
      <c r="Q16" s="48">
        <v>42112</v>
      </c>
      <c r="R16" s="49">
        <f t="shared" si="33"/>
        <v>42124</v>
      </c>
      <c r="S16" s="63" t="str">
        <f t="shared" si="5"/>
        <v>готово</v>
      </c>
    </row>
    <row r="17" spans="1:19" x14ac:dyDescent="0.25">
      <c r="A17" s="42" t="s">
        <v>42</v>
      </c>
      <c r="B17" s="42" t="s">
        <v>25</v>
      </c>
      <c r="C17" s="43" t="s">
        <v>43</v>
      </c>
      <c r="D17" s="44">
        <v>3</v>
      </c>
      <c r="E17" s="42">
        <v>4</v>
      </c>
      <c r="F17" s="42"/>
      <c r="G17" s="45"/>
      <c r="H17" s="46">
        <v>10</v>
      </c>
      <c r="I17" s="47">
        <v>3</v>
      </c>
      <c r="J17" s="42">
        <v>4</v>
      </c>
      <c r="K17" s="42"/>
      <c r="L17" s="45"/>
      <c r="M17" s="44">
        <f t="shared" si="29"/>
        <v>0</v>
      </c>
      <c r="N17" s="42">
        <f t="shared" si="30"/>
        <v>0</v>
      </c>
      <c r="O17" s="42">
        <f t="shared" si="31"/>
        <v>0</v>
      </c>
      <c r="P17" s="45">
        <f t="shared" si="32"/>
        <v>0</v>
      </c>
      <c r="Q17" s="48">
        <v>42112</v>
      </c>
      <c r="R17" s="49">
        <f t="shared" ref="R17:R69" si="34">Q17+H17</f>
        <v>42122</v>
      </c>
      <c r="S17" s="63" t="str">
        <f t="shared" si="5"/>
        <v>готово</v>
      </c>
    </row>
    <row r="18" spans="1:19" x14ac:dyDescent="0.25">
      <c r="A18" s="42" t="s">
        <v>44</v>
      </c>
      <c r="B18" s="42" t="s">
        <v>25</v>
      </c>
      <c r="C18" s="43" t="s">
        <v>45</v>
      </c>
      <c r="D18" s="44">
        <v>5</v>
      </c>
      <c r="E18" s="42">
        <v>8</v>
      </c>
      <c r="F18" s="42"/>
      <c r="G18" s="45">
        <v>1</v>
      </c>
      <c r="H18" s="46">
        <v>16</v>
      </c>
      <c r="I18" s="47">
        <v>5</v>
      </c>
      <c r="J18" s="42">
        <v>8</v>
      </c>
      <c r="K18" s="42"/>
      <c r="L18" s="45">
        <v>1</v>
      </c>
      <c r="M18" s="44">
        <f t="shared" si="29"/>
        <v>0</v>
      </c>
      <c r="N18" s="42">
        <f t="shared" si="30"/>
        <v>0</v>
      </c>
      <c r="O18" s="42">
        <f t="shared" si="31"/>
        <v>0</v>
      </c>
      <c r="P18" s="45">
        <f t="shared" si="32"/>
        <v>0</v>
      </c>
      <c r="Q18" s="48">
        <v>42112</v>
      </c>
      <c r="R18" s="49">
        <f t="shared" si="34"/>
        <v>42128</v>
      </c>
      <c r="S18" s="63" t="str">
        <f t="shared" si="5"/>
        <v>готово</v>
      </c>
    </row>
    <row r="19" spans="1:19" x14ac:dyDescent="0.25">
      <c r="A19" s="42" t="s">
        <v>46</v>
      </c>
      <c r="B19" s="42" t="s">
        <v>25</v>
      </c>
      <c r="C19" s="42" t="s">
        <v>47</v>
      </c>
      <c r="D19" s="42">
        <v>8</v>
      </c>
      <c r="E19" s="42">
        <v>9</v>
      </c>
      <c r="F19" s="42"/>
      <c r="G19" s="42"/>
      <c r="H19" s="42">
        <v>20</v>
      </c>
      <c r="I19" s="42">
        <v>8</v>
      </c>
      <c r="J19" s="42">
        <v>9</v>
      </c>
      <c r="K19" s="42"/>
      <c r="L19" s="42"/>
      <c r="M19" s="44">
        <f t="shared" ref="M19:M20" si="35">D19-I19</f>
        <v>0</v>
      </c>
      <c r="N19" s="42">
        <f t="shared" ref="N19:N20" si="36">E19-J19</f>
        <v>0</v>
      </c>
      <c r="O19" s="42">
        <f t="shared" ref="O19:O20" si="37">F19-K19</f>
        <v>0</v>
      </c>
      <c r="P19" s="45">
        <f t="shared" ref="P19:P20" si="38">G19-L19</f>
        <v>0</v>
      </c>
      <c r="Q19" s="48">
        <v>42112</v>
      </c>
      <c r="R19" s="49">
        <f t="shared" si="34"/>
        <v>42132</v>
      </c>
      <c r="S19" s="63" t="str">
        <f t="shared" si="5"/>
        <v>готово</v>
      </c>
    </row>
    <row r="20" spans="1:19" x14ac:dyDescent="0.25">
      <c r="A20" s="42" t="s">
        <v>48</v>
      </c>
      <c r="B20" s="42" t="s">
        <v>49</v>
      </c>
      <c r="C20" s="43" t="s">
        <v>28</v>
      </c>
      <c r="D20" s="44">
        <v>2</v>
      </c>
      <c r="E20" s="42"/>
      <c r="F20" s="42"/>
      <c r="G20" s="45"/>
      <c r="H20" s="46">
        <v>0</v>
      </c>
      <c r="I20" s="47">
        <v>2</v>
      </c>
      <c r="J20" s="42"/>
      <c r="K20" s="42"/>
      <c r="L20" s="45"/>
      <c r="M20" s="44">
        <f t="shared" si="35"/>
        <v>0</v>
      </c>
      <c r="N20" s="42">
        <f t="shared" si="36"/>
        <v>0</v>
      </c>
      <c r="O20" s="42">
        <f t="shared" si="37"/>
        <v>0</v>
      </c>
      <c r="P20" s="45">
        <f t="shared" si="38"/>
        <v>0</v>
      </c>
      <c r="Q20" s="48">
        <v>42115</v>
      </c>
      <c r="R20" s="22">
        <v>42117</v>
      </c>
      <c r="S20" s="63" t="str">
        <f t="shared" si="5"/>
        <v>готово</v>
      </c>
    </row>
    <row r="21" spans="1:19" x14ac:dyDescent="0.25">
      <c r="A21" s="42" t="s">
        <v>50</v>
      </c>
      <c r="B21" s="42" t="s">
        <v>15</v>
      </c>
      <c r="C21" s="43" t="s">
        <v>51</v>
      </c>
      <c r="D21" s="44">
        <v>3</v>
      </c>
      <c r="E21" s="42">
        <v>2</v>
      </c>
      <c r="F21" s="42"/>
      <c r="G21" s="45"/>
      <c r="H21" s="46">
        <v>1</v>
      </c>
      <c r="I21" s="47">
        <v>3</v>
      </c>
      <c r="J21" s="42">
        <v>2</v>
      </c>
      <c r="K21" s="42"/>
      <c r="L21" s="45"/>
      <c r="M21" s="44">
        <f t="shared" ref="M21:M22" si="39">D21-I21</f>
        <v>0</v>
      </c>
      <c r="N21" s="42">
        <f t="shared" ref="N21:N22" si="40">E21-J21</f>
        <v>0</v>
      </c>
      <c r="O21" s="42"/>
      <c r="P21" s="45"/>
      <c r="Q21" s="48">
        <v>42117</v>
      </c>
      <c r="R21" s="22">
        <v>42120</v>
      </c>
      <c r="S21" s="63" t="str">
        <f t="shared" si="5"/>
        <v>готово</v>
      </c>
    </row>
    <row r="22" spans="1:19" x14ac:dyDescent="0.25">
      <c r="A22" s="42" t="s">
        <v>52</v>
      </c>
      <c r="B22" s="42" t="s">
        <v>34</v>
      </c>
      <c r="C22" s="43" t="s">
        <v>53</v>
      </c>
      <c r="D22" s="44">
        <v>9</v>
      </c>
      <c r="E22" s="42">
        <v>9</v>
      </c>
      <c r="F22" s="42"/>
      <c r="G22" s="45"/>
      <c r="H22" s="46">
        <v>20</v>
      </c>
      <c r="I22" s="47">
        <v>9</v>
      </c>
      <c r="J22" s="42">
        <v>9</v>
      </c>
      <c r="K22" s="42"/>
      <c r="L22" s="45"/>
      <c r="M22" s="44">
        <f t="shared" si="39"/>
        <v>0</v>
      </c>
      <c r="N22" s="42">
        <f t="shared" si="40"/>
        <v>0</v>
      </c>
      <c r="O22" s="42"/>
      <c r="P22" s="45"/>
      <c r="Q22" s="48">
        <v>42123</v>
      </c>
      <c r="R22" s="49">
        <f t="shared" si="34"/>
        <v>42143</v>
      </c>
      <c r="S22" s="63" t="str">
        <f t="shared" si="5"/>
        <v>готово</v>
      </c>
    </row>
    <row r="23" spans="1:19" x14ac:dyDescent="0.25">
      <c r="A23" s="42" t="s">
        <v>52</v>
      </c>
      <c r="B23" s="42" t="s">
        <v>34</v>
      </c>
      <c r="C23" s="43" t="s">
        <v>45</v>
      </c>
      <c r="D23" s="44">
        <v>5</v>
      </c>
      <c r="E23" s="42">
        <v>8</v>
      </c>
      <c r="F23" s="42"/>
      <c r="G23" s="45">
        <v>1</v>
      </c>
      <c r="H23" s="46">
        <v>16</v>
      </c>
      <c r="I23" s="47">
        <v>5</v>
      </c>
      <c r="J23" s="42">
        <v>8</v>
      </c>
      <c r="K23" s="42"/>
      <c r="L23" s="45">
        <v>1</v>
      </c>
      <c r="M23" s="44">
        <f t="shared" ref="M23:M27" si="41">D23-I23</f>
        <v>0</v>
      </c>
      <c r="N23" s="42">
        <f t="shared" ref="N23:N27" si="42">E23-J23</f>
        <v>0</v>
      </c>
      <c r="O23" s="42">
        <f t="shared" ref="O23:O27" si="43">F23-K23</f>
        <v>0</v>
      </c>
      <c r="P23" s="45">
        <f t="shared" ref="P23:P27" si="44">G23-L23</f>
        <v>0</v>
      </c>
      <c r="Q23" s="48">
        <v>42123</v>
      </c>
      <c r="R23" s="49">
        <f t="shared" si="34"/>
        <v>42139</v>
      </c>
      <c r="S23" s="63" t="str">
        <f t="shared" si="5"/>
        <v>готово</v>
      </c>
    </row>
    <row r="24" spans="1:19" x14ac:dyDescent="0.25">
      <c r="A24" s="42" t="s">
        <v>54</v>
      </c>
      <c r="B24" s="42" t="s">
        <v>34</v>
      </c>
      <c r="C24" s="43" t="s">
        <v>40</v>
      </c>
      <c r="D24" s="44">
        <v>4</v>
      </c>
      <c r="E24" s="42">
        <v>5</v>
      </c>
      <c r="F24" s="42"/>
      <c r="G24" s="45"/>
      <c r="H24" s="46">
        <v>12</v>
      </c>
      <c r="I24" s="47">
        <v>4</v>
      </c>
      <c r="J24" s="42">
        <v>5</v>
      </c>
      <c r="K24" s="42"/>
      <c r="L24" s="45"/>
      <c r="M24" s="44">
        <f t="shared" si="41"/>
        <v>0</v>
      </c>
      <c r="N24" s="42">
        <f t="shared" si="42"/>
        <v>0</v>
      </c>
      <c r="O24" s="42">
        <f t="shared" si="43"/>
        <v>0</v>
      </c>
      <c r="P24" s="45">
        <f t="shared" si="44"/>
        <v>0</v>
      </c>
      <c r="Q24" s="48">
        <v>42117</v>
      </c>
      <c r="R24" s="49">
        <f t="shared" si="34"/>
        <v>42129</v>
      </c>
      <c r="S24" s="63" t="str">
        <f t="shared" si="5"/>
        <v>готово</v>
      </c>
    </row>
    <row r="25" spans="1:19" x14ac:dyDescent="0.25">
      <c r="A25" s="42" t="s">
        <v>54</v>
      </c>
      <c r="B25" s="42" t="s">
        <v>34</v>
      </c>
      <c r="C25" s="43" t="s">
        <v>40</v>
      </c>
      <c r="D25" s="44">
        <v>4</v>
      </c>
      <c r="E25" s="42">
        <v>5</v>
      </c>
      <c r="F25" s="42"/>
      <c r="G25" s="45"/>
      <c r="H25" s="46">
        <v>12</v>
      </c>
      <c r="I25" s="47">
        <v>4</v>
      </c>
      <c r="J25" s="42">
        <v>5</v>
      </c>
      <c r="K25" s="42"/>
      <c r="L25" s="45"/>
      <c r="M25" s="44">
        <f t="shared" si="41"/>
        <v>0</v>
      </c>
      <c r="N25" s="42">
        <f t="shared" si="42"/>
        <v>0</v>
      </c>
      <c r="O25" s="42">
        <f t="shared" si="43"/>
        <v>0</v>
      </c>
      <c r="P25" s="45">
        <f t="shared" si="44"/>
        <v>0</v>
      </c>
      <c r="Q25" s="48">
        <v>42117</v>
      </c>
      <c r="R25" s="49">
        <f t="shared" si="34"/>
        <v>42129</v>
      </c>
      <c r="S25" s="63" t="str">
        <f t="shared" si="5"/>
        <v>готово</v>
      </c>
    </row>
    <row r="26" spans="1:19" x14ac:dyDescent="0.25">
      <c r="A26" s="42" t="s">
        <v>54</v>
      </c>
      <c r="B26" s="42" t="s">
        <v>34</v>
      </c>
      <c r="C26" s="43" t="s">
        <v>40</v>
      </c>
      <c r="D26" s="44">
        <v>4</v>
      </c>
      <c r="E26" s="42">
        <v>5</v>
      </c>
      <c r="F26" s="42"/>
      <c r="G26" s="45"/>
      <c r="H26" s="46">
        <v>12</v>
      </c>
      <c r="I26" s="47">
        <v>4</v>
      </c>
      <c r="J26" s="42">
        <v>5</v>
      </c>
      <c r="K26" s="42"/>
      <c r="L26" s="45"/>
      <c r="M26" s="44">
        <f t="shared" si="41"/>
        <v>0</v>
      </c>
      <c r="N26" s="42">
        <f t="shared" si="42"/>
        <v>0</v>
      </c>
      <c r="O26" s="42">
        <f t="shared" si="43"/>
        <v>0</v>
      </c>
      <c r="P26" s="45">
        <f t="shared" si="44"/>
        <v>0</v>
      </c>
      <c r="Q26" s="48">
        <v>42117</v>
      </c>
      <c r="R26" s="49">
        <f t="shared" si="34"/>
        <v>42129</v>
      </c>
      <c r="S26" s="63" t="str">
        <f t="shared" si="5"/>
        <v>готово</v>
      </c>
    </row>
    <row r="27" spans="1:19" x14ac:dyDescent="0.25">
      <c r="A27" s="42" t="s">
        <v>54</v>
      </c>
      <c r="B27" s="42" t="s">
        <v>34</v>
      </c>
      <c r="C27" s="43" t="s">
        <v>40</v>
      </c>
      <c r="D27" s="44">
        <v>4</v>
      </c>
      <c r="E27" s="42">
        <v>5</v>
      </c>
      <c r="F27" s="42"/>
      <c r="G27" s="45"/>
      <c r="H27" s="46">
        <v>12</v>
      </c>
      <c r="I27" s="47">
        <v>4</v>
      </c>
      <c r="J27" s="42">
        <v>5</v>
      </c>
      <c r="K27" s="42"/>
      <c r="L27" s="45"/>
      <c r="M27" s="44">
        <f t="shared" si="41"/>
        <v>0</v>
      </c>
      <c r="N27" s="42">
        <f t="shared" si="42"/>
        <v>0</v>
      </c>
      <c r="O27" s="42">
        <f t="shared" si="43"/>
        <v>0</v>
      </c>
      <c r="P27" s="45">
        <f t="shared" si="44"/>
        <v>0</v>
      </c>
      <c r="Q27" s="48">
        <v>42117</v>
      </c>
      <c r="R27" s="49">
        <f t="shared" si="34"/>
        <v>42129</v>
      </c>
      <c r="S27" s="63" t="str">
        <f t="shared" si="5"/>
        <v>готово</v>
      </c>
    </row>
    <row r="28" spans="1:19" x14ac:dyDescent="0.25">
      <c r="A28" s="42" t="s">
        <v>54</v>
      </c>
      <c r="B28" s="42" t="s">
        <v>34</v>
      </c>
      <c r="C28" s="43" t="s">
        <v>40</v>
      </c>
      <c r="D28" s="44">
        <v>4</v>
      </c>
      <c r="E28" s="42">
        <v>5</v>
      </c>
      <c r="F28" s="42"/>
      <c r="G28" s="45"/>
      <c r="H28" s="46">
        <v>12</v>
      </c>
      <c r="I28" s="47">
        <v>4</v>
      </c>
      <c r="J28" s="42">
        <v>5</v>
      </c>
      <c r="K28" s="42"/>
      <c r="L28" s="45"/>
      <c r="M28" s="44">
        <f t="shared" ref="M28:M81" si="45">D28-I28</f>
        <v>0</v>
      </c>
      <c r="N28" s="42">
        <f t="shared" ref="N28:N81" si="46">E28-J28</f>
        <v>0</v>
      </c>
      <c r="O28" s="42">
        <f t="shared" ref="O28:O81" si="47">F28-K28</f>
        <v>0</v>
      </c>
      <c r="P28" s="45">
        <f t="shared" ref="P28:P81" si="48">G28-L28</f>
        <v>0</v>
      </c>
      <c r="Q28" s="48">
        <v>42117</v>
      </c>
      <c r="R28" s="49">
        <f t="shared" si="34"/>
        <v>42129</v>
      </c>
      <c r="S28" s="63" t="str">
        <f t="shared" si="5"/>
        <v>готово</v>
      </c>
    </row>
    <row r="29" spans="1:19" x14ac:dyDescent="0.25">
      <c r="A29" s="42" t="s">
        <v>55</v>
      </c>
      <c r="B29" s="42" t="s">
        <v>15</v>
      </c>
      <c r="C29" s="43" t="s">
        <v>56</v>
      </c>
      <c r="D29" s="44">
        <v>5</v>
      </c>
      <c r="E29" s="42">
        <v>3</v>
      </c>
      <c r="F29" s="42">
        <v>2</v>
      </c>
      <c r="G29" s="45"/>
      <c r="H29" s="46">
        <v>2</v>
      </c>
      <c r="I29" s="47">
        <v>5</v>
      </c>
      <c r="J29" s="42">
        <v>3</v>
      </c>
      <c r="K29" s="42">
        <v>2</v>
      </c>
      <c r="L29" s="45"/>
      <c r="M29" s="44">
        <f t="shared" si="45"/>
        <v>0</v>
      </c>
      <c r="N29" s="42">
        <f t="shared" si="46"/>
        <v>0</v>
      </c>
      <c r="O29" s="42">
        <f t="shared" si="47"/>
        <v>0</v>
      </c>
      <c r="P29" s="45">
        <f t="shared" si="48"/>
        <v>0</v>
      </c>
      <c r="Q29" s="48">
        <v>42121</v>
      </c>
      <c r="R29" s="22">
        <v>42126</v>
      </c>
      <c r="S29" s="41" t="str">
        <f t="shared" si="5"/>
        <v>готово</v>
      </c>
    </row>
    <row r="30" spans="1:19" x14ac:dyDescent="0.25">
      <c r="A30" s="42" t="s">
        <v>57</v>
      </c>
      <c r="B30" s="42" t="s">
        <v>34</v>
      </c>
      <c r="C30" s="43" t="s">
        <v>58</v>
      </c>
      <c r="D30" s="44">
        <v>31</v>
      </c>
      <c r="E30" s="42">
        <v>32</v>
      </c>
      <c r="F30" s="42"/>
      <c r="G30" s="45"/>
      <c r="H30" s="46">
        <v>30</v>
      </c>
      <c r="I30" s="47">
        <v>31</v>
      </c>
      <c r="J30" s="42">
        <v>32</v>
      </c>
      <c r="K30" s="42"/>
      <c r="L30" s="45"/>
      <c r="M30" s="44">
        <f t="shared" si="45"/>
        <v>0</v>
      </c>
      <c r="N30" s="42">
        <f t="shared" si="46"/>
        <v>0</v>
      </c>
      <c r="O30" s="42">
        <f t="shared" si="47"/>
        <v>0</v>
      </c>
      <c r="P30" s="45">
        <f t="shared" si="48"/>
        <v>0</v>
      </c>
      <c r="Q30" s="48">
        <v>42138</v>
      </c>
      <c r="R30" s="49">
        <f t="shared" si="34"/>
        <v>42168</v>
      </c>
      <c r="S30" s="63" t="str">
        <f t="shared" si="5"/>
        <v>готово</v>
      </c>
    </row>
    <row r="31" spans="1:19" x14ac:dyDescent="0.25">
      <c r="A31" s="42" t="s">
        <v>59</v>
      </c>
      <c r="B31" s="42" t="s">
        <v>15</v>
      </c>
      <c r="C31" s="43" t="s">
        <v>60</v>
      </c>
      <c r="D31" s="44">
        <v>5</v>
      </c>
      <c r="E31" s="42">
        <v>6</v>
      </c>
      <c r="F31" s="42">
        <v>1</v>
      </c>
      <c r="G31" s="45"/>
      <c r="H31" s="46">
        <v>16</v>
      </c>
      <c r="I31" s="47">
        <v>5</v>
      </c>
      <c r="J31" s="42">
        <v>6</v>
      </c>
      <c r="K31" s="42">
        <v>1</v>
      </c>
      <c r="L31" s="45"/>
      <c r="M31" s="44">
        <f t="shared" si="45"/>
        <v>0</v>
      </c>
      <c r="N31" s="42">
        <f t="shared" si="46"/>
        <v>0</v>
      </c>
      <c r="O31" s="42">
        <f t="shared" si="47"/>
        <v>0</v>
      </c>
      <c r="P31" s="45">
        <f t="shared" si="48"/>
        <v>0</v>
      </c>
      <c r="Q31" s="48">
        <v>42127</v>
      </c>
      <c r="R31" s="49">
        <f t="shared" si="34"/>
        <v>42143</v>
      </c>
      <c r="S31" s="63" t="str">
        <f t="shared" si="5"/>
        <v>готово</v>
      </c>
    </row>
    <row r="32" spans="1:19" x14ac:dyDescent="0.25">
      <c r="A32" s="42" t="s">
        <v>61</v>
      </c>
      <c r="B32" s="42" t="s">
        <v>22</v>
      </c>
      <c r="C32" s="43" t="s">
        <v>51</v>
      </c>
      <c r="D32" s="81">
        <f>10*3-2*2</f>
        <v>26</v>
      </c>
      <c r="E32" s="42">
        <f>10*2</f>
        <v>20</v>
      </c>
      <c r="F32" s="42"/>
      <c r="G32" s="45"/>
      <c r="H32" s="46">
        <v>15</v>
      </c>
      <c r="I32" s="85">
        <f>D32</f>
        <v>26</v>
      </c>
      <c r="J32" s="42">
        <f>E32</f>
        <v>20</v>
      </c>
      <c r="K32" s="42"/>
      <c r="L32" s="45"/>
      <c r="M32" s="44">
        <f t="shared" si="45"/>
        <v>0</v>
      </c>
      <c r="N32" s="42">
        <f t="shared" si="46"/>
        <v>0</v>
      </c>
      <c r="O32" s="42">
        <f t="shared" si="47"/>
        <v>0</v>
      </c>
      <c r="P32" s="45">
        <f t="shared" si="48"/>
        <v>0</v>
      </c>
      <c r="Q32" s="48">
        <v>42151</v>
      </c>
      <c r="R32" s="49">
        <f t="shared" si="34"/>
        <v>42166</v>
      </c>
      <c r="S32" s="63" t="str">
        <f t="shared" si="5"/>
        <v>готово</v>
      </c>
    </row>
    <row r="33" spans="1:20" x14ac:dyDescent="0.25">
      <c r="A33" s="42" t="s">
        <v>62</v>
      </c>
      <c r="B33" s="42" t="s">
        <v>63</v>
      </c>
      <c r="C33" s="43" t="s">
        <v>64</v>
      </c>
      <c r="D33" s="81">
        <f>5*5-2*1</f>
        <v>23</v>
      </c>
      <c r="E33" s="42">
        <v>30</v>
      </c>
      <c r="F33" s="42"/>
      <c r="G33" s="45"/>
      <c r="H33" s="46">
        <v>20</v>
      </c>
      <c r="I33" s="85">
        <f>D33</f>
        <v>23</v>
      </c>
      <c r="J33" s="42">
        <v>30</v>
      </c>
      <c r="K33" s="42"/>
      <c r="L33" s="45"/>
      <c r="M33" s="44">
        <f t="shared" si="45"/>
        <v>0</v>
      </c>
      <c r="N33" s="42">
        <f t="shared" si="46"/>
        <v>0</v>
      </c>
      <c r="O33" s="42">
        <f t="shared" si="47"/>
        <v>0</v>
      </c>
      <c r="P33" s="45">
        <f t="shared" si="48"/>
        <v>0</v>
      </c>
      <c r="Q33" s="48">
        <v>42151</v>
      </c>
      <c r="R33" s="49">
        <f t="shared" si="34"/>
        <v>42171</v>
      </c>
      <c r="S33" s="63" t="str">
        <f t="shared" si="5"/>
        <v>готово</v>
      </c>
    </row>
    <row r="34" spans="1:20" x14ac:dyDescent="0.25">
      <c r="A34" s="42" t="s">
        <v>65</v>
      </c>
      <c r="B34" s="42" t="s">
        <v>34</v>
      </c>
      <c r="C34" s="43" t="s">
        <v>30</v>
      </c>
      <c r="D34" s="44">
        <v>5</v>
      </c>
      <c r="E34" s="42">
        <v>6</v>
      </c>
      <c r="F34" s="42"/>
      <c r="G34" s="45"/>
      <c r="H34" s="46">
        <v>16</v>
      </c>
      <c r="I34" s="47">
        <v>5</v>
      </c>
      <c r="J34" s="42">
        <v>6</v>
      </c>
      <c r="K34" s="42"/>
      <c r="L34" s="45"/>
      <c r="M34" s="44">
        <f t="shared" si="45"/>
        <v>0</v>
      </c>
      <c r="N34" s="42">
        <f t="shared" si="46"/>
        <v>0</v>
      </c>
      <c r="O34" s="42">
        <f t="shared" si="47"/>
        <v>0</v>
      </c>
      <c r="P34" s="45">
        <f t="shared" si="48"/>
        <v>0</v>
      </c>
      <c r="Q34" s="48">
        <v>42150</v>
      </c>
      <c r="R34" s="49">
        <f t="shared" si="34"/>
        <v>42166</v>
      </c>
      <c r="S34" s="63" t="str">
        <f t="shared" si="5"/>
        <v>готово</v>
      </c>
    </row>
    <row r="35" spans="1:20" x14ac:dyDescent="0.25">
      <c r="A35" s="42" t="s">
        <v>65</v>
      </c>
      <c r="B35" s="42" t="s">
        <v>34</v>
      </c>
      <c r="C35" s="43" t="s">
        <v>30</v>
      </c>
      <c r="D35" s="44">
        <v>5</v>
      </c>
      <c r="E35" s="42">
        <v>6</v>
      </c>
      <c r="F35" s="42"/>
      <c r="G35" s="45"/>
      <c r="H35" s="46">
        <v>16</v>
      </c>
      <c r="I35" s="47">
        <v>5</v>
      </c>
      <c r="J35" s="42">
        <v>6</v>
      </c>
      <c r="K35" s="42"/>
      <c r="L35" s="45"/>
      <c r="M35" s="44">
        <f t="shared" si="45"/>
        <v>0</v>
      </c>
      <c r="N35" s="42">
        <f t="shared" si="46"/>
        <v>0</v>
      </c>
      <c r="O35" s="42">
        <f t="shared" si="47"/>
        <v>0</v>
      </c>
      <c r="P35" s="45">
        <f t="shared" si="48"/>
        <v>0</v>
      </c>
      <c r="Q35" s="48">
        <v>42150</v>
      </c>
      <c r="R35" s="49">
        <f t="shared" si="34"/>
        <v>42166</v>
      </c>
      <c r="S35" s="63" t="str">
        <f t="shared" si="5"/>
        <v>готово</v>
      </c>
    </row>
    <row r="36" spans="1:20" x14ac:dyDescent="0.25">
      <c r="A36" s="42" t="s">
        <v>65</v>
      </c>
      <c r="B36" s="42" t="s">
        <v>34</v>
      </c>
      <c r="C36" s="43" t="s">
        <v>30</v>
      </c>
      <c r="D36" s="44">
        <v>5</v>
      </c>
      <c r="E36" s="42">
        <v>6</v>
      </c>
      <c r="F36" s="42"/>
      <c r="G36" s="45"/>
      <c r="H36" s="46">
        <v>16</v>
      </c>
      <c r="I36" s="47">
        <v>5</v>
      </c>
      <c r="J36" s="42">
        <v>6</v>
      </c>
      <c r="K36" s="42"/>
      <c r="L36" s="45"/>
      <c r="M36" s="44">
        <f t="shared" si="45"/>
        <v>0</v>
      </c>
      <c r="N36" s="42">
        <f t="shared" si="46"/>
        <v>0</v>
      </c>
      <c r="O36" s="42">
        <f t="shared" si="47"/>
        <v>0</v>
      </c>
      <c r="P36" s="45">
        <f t="shared" si="48"/>
        <v>0</v>
      </c>
      <c r="Q36" s="48">
        <v>42150</v>
      </c>
      <c r="R36" s="49">
        <f t="shared" si="34"/>
        <v>42166</v>
      </c>
      <c r="S36" s="63" t="str">
        <f t="shared" si="5"/>
        <v>готово</v>
      </c>
    </row>
    <row r="37" spans="1:20" x14ac:dyDescent="0.25">
      <c r="A37" s="1" t="s">
        <v>66</v>
      </c>
      <c r="B37" s="1" t="s">
        <v>34</v>
      </c>
      <c r="C37" s="3" t="s">
        <v>67</v>
      </c>
      <c r="D37" s="5">
        <v>52</v>
      </c>
      <c r="E37" s="1">
        <v>47</v>
      </c>
      <c r="F37" s="1"/>
      <c r="G37" s="6"/>
      <c r="H37" s="10">
        <v>30</v>
      </c>
      <c r="I37" s="89">
        <v>52</v>
      </c>
      <c r="J37" s="1">
        <v>47</v>
      </c>
      <c r="K37" s="1"/>
      <c r="L37" s="6"/>
      <c r="M37" s="5">
        <f t="shared" si="45"/>
        <v>0</v>
      </c>
      <c r="N37" s="1">
        <f t="shared" si="46"/>
        <v>0</v>
      </c>
      <c r="O37" s="1">
        <f t="shared" si="47"/>
        <v>0</v>
      </c>
      <c r="P37" s="6">
        <f t="shared" si="48"/>
        <v>0</v>
      </c>
      <c r="Q37" s="23">
        <v>42150</v>
      </c>
      <c r="R37" s="21">
        <f t="shared" si="34"/>
        <v>42180</v>
      </c>
      <c r="S37" s="41" t="str">
        <f t="shared" si="5"/>
        <v>готово</v>
      </c>
    </row>
    <row r="38" spans="1:20" x14ac:dyDescent="0.25">
      <c r="A38" s="42" t="s">
        <v>68</v>
      </c>
      <c r="B38" s="42" t="s">
        <v>22</v>
      </c>
      <c r="C38" s="43" t="s">
        <v>69</v>
      </c>
      <c r="D38" s="44">
        <v>2</v>
      </c>
      <c r="E38" s="42">
        <v>2</v>
      </c>
      <c r="F38" s="42"/>
      <c r="G38" s="45">
        <v>4</v>
      </c>
      <c r="H38" s="46">
        <v>3</v>
      </c>
      <c r="I38" s="47">
        <v>2</v>
      </c>
      <c r="J38" s="42">
        <v>2</v>
      </c>
      <c r="K38" s="42"/>
      <c r="L38" s="45">
        <v>4</v>
      </c>
      <c r="M38" s="44">
        <f t="shared" si="45"/>
        <v>0</v>
      </c>
      <c r="N38" s="42">
        <f t="shared" si="46"/>
        <v>0</v>
      </c>
      <c r="O38" s="42">
        <f t="shared" si="47"/>
        <v>0</v>
      </c>
      <c r="P38" s="45">
        <f t="shared" si="48"/>
        <v>0</v>
      </c>
      <c r="Q38" s="48">
        <v>42150</v>
      </c>
      <c r="R38" s="49">
        <f t="shared" si="34"/>
        <v>42153</v>
      </c>
      <c r="S38" s="63" t="str">
        <f t="shared" si="5"/>
        <v>готово</v>
      </c>
    </row>
    <row r="39" spans="1:20" x14ac:dyDescent="0.25">
      <c r="A39" s="1" t="s">
        <v>70</v>
      </c>
      <c r="B39" s="1" t="s">
        <v>18</v>
      </c>
      <c r="C39" s="3" t="s">
        <v>71</v>
      </c>
      <c r="D39" s="5">
        <v>28</v>
      </c>
      <c r="E39" s="1">
        <v>28</v>
      </c>
      <c r="F39" s="1">
        <v>1</v>
      </c>
      <c r="G39" s="6"/>
      <c r="H39" s="10">
        <v>28</v>
      </c>
      <c r="I39" s="4">
        <v>28</v>
      </c>
      <c r="J39" s="1">
        <v>28</v>
      </c>
      <c r="K39" s="1">
        <v>1</v>
      </c>
      <c r="L39" s="6"/>
      <c r="M39" s="5">
        <f t="shared" si="45"/>
        <v>0</v>
      </c>
      <c r="N39" s="1">
        <f t="shared" si="46"/>
        <v>0</v>
      </c>
      <c r="O39" s="1">
        <f t="shared" si="47"/>
        <v>0</v>
      </c>
      <c r="P39" s="6">
        <f t="shared" si="48"/>
        <v>0</v>
      </c>
      <c r="Q39" s="23">
        <v>42166</v>
      </c>
      <c r="R39" s="21">
        <f t="shared" si="34"/>
        <v>42194</v>
      </c>
      <c r="S39" s="41" t="str">
        <f t="shared" si="5"/>
        <v>готово</v>
      </c>
    </row>
    <row r="40" spans="1:20" x14ac:dyDescent="0.25">
      <c r="A40" s="1" t="s">
        <v>72</v>
      </c>
      <c r="B40" s="1" t="s">
        <v>34</v>
      </c>
      <c r="C40" s="3" t="s">
        <v>73</v>
      </c>
      <c r="D40" s="5">
        <v>12</v>
      </c>
      <c r="E40" s="1">
        <v>12</v>
      </c>
      <c r="F40" s="1"/>
      <c r="G40" s="6"/>
      <c r="H40" s="10">
        <v>32</v>
      </c>
      <c r="I40" s="4">
        <v>12</v>
      </c>
      <c r="J40" s="1">
        <v>12</v>
      </c>
      <c r="K40" s="1"/>
      <c r="L40" s="6"/>
      <c r="M40" s="5">
        <f t="shared" si="45"/>
        <v>0</v>
      </c>
      <c r="N40" s="1">
        <f t="shared" si="46"/>
        <v>0</v>
      </c>
      <c r="O40" s="1">
        <f t="shared" si="47"/>
        <v>0</v>
      </c>
      <c r="P40" s="6">
        <f t="shared" si="48"/>
        <v>0</v>
      </c>
      <c r="Q40" s="23">
        <v>42166</v>
      </c>
      <c r="R40" s="21">
        <f t="shared" si="34"/>
        <v>42198</v>
      </c>
      <c r="S40" s="41" t="str">
        <f t="shared" si="5"/>
        <v>готово</v>
      </c>
    </row>
    <row r="41" spans="1:20" x14ac:dyDescent="0.25">
      <c r="A41" s="1" t="s">
        <v>74</v>
      </c>
      <c r="B41" s="1" t="s">
        <v>34</v>
      </c>
      <c r="C41" s="3" t="s">
        <v>75</v>
      </c>
      <c r="D41" s="5">
        <v>20</v>
      </c>
      <c r="E41" s="1">
        <v>24</v>
      </c>
      <c r="F41" s="1"/>
      <c r="G41" s="6"/>
      <c r="H41" s="10">
        <v>32</v>
      </c>
      <c r="I41" s="4">
        <v>20</v>
      </c>
      <c r="J41" s="1">
        <v>24</v>
      </c>
      <c r="K41" s="1"/>
      <c r="L41" s="6"/>
      <c r="M41" s="5">
        <f t="shared" si="45"/>
        <v>0</v>
      </c>
      <c r="N41" s="1">
        <f t="shared" si="46"/>
        <v>0</v>
      </c>
      <c r="O41" s="1">
        <f t="shared" si="47"/>
        <v>0</v>
      </c>
      <c r="P41" s="6">
        <f t="shared" si="48"/>
        <v>0</v>
      </c>
      <c r="Q41" s="23">
        <v>42166</v>
      </c>
      <c r="R41" s="21">
        <f t="shared" si="34"/>
        <v>42198</v>
      </c>
      <c r="S41" s="41" t="str">
        <f t="shared" si="5"/>
        <v>готово</v>
      </c>
    </row>
    <row r="42" spans="1:20" x14ac:dyDescent="0.25">
      <c r="A42" s="98" t="s">
        <v>76</v>
      </c>
      <c r="B42" s="98" t="s">
        <v>63</v>
      </c>
      <c r="C42" s="99" t="s">
        <v>77</v>
      </c>
      <c r="D42" s="100">
        <f>15*2</f>
        <v>30</v>
      </c>
      <c r="E42" s="98">
        <f>10*2</f>
        <v>20</v>
      </c>
      <c r="F42" s="98">
        <v>0</v>
      </c>
      <c r="G42" s="101"/>
      <c r="H42" s="102">
        <v>25</v>
      </c>
      <c r="I42" s="103">
        <f>D42</f>
        <v>30</v>
      </c>
      <c r="J42" s="98">
        <f>E42</f>
        <v>20</v>
      </c>
      <c r="K42" s="98">
        <f>F42</f>
        <v>0</v>
      </c>
      <c r="L42" s="101"/>
      <c r="M42" s="100">
        <f t="shared" si="45"/>
        <v>0</v>
      </c>
      <c r="N42" s="98">
        <f t="shared" si="46"/>
        <v>0</v>
      </c>
      <c r="O42" s="98">
        <f t="shared" si="47"/>
        <v>0</v>
      </c>
      <c r="P42" s="101">
        <f t="shared" si="48"/>
        <v>0</v>
      </c>
      <c r="Q42" s="104">
        <v>42160</v>
      </c>
      <c r="R42" s="105">
        <f t="shared" si="34"/>
        <v>42185</v>
      </c>
      <c r="S42" s="41" t="str">
        <f t="shared" si="5"/>
        <v>готово</v>
      </c>
    </row>
    <row r="43" spans="1:20" x14ac:dyDescent="0.25">
      <c r="A43" s="42" t="s">
        <v>78</v>
      </c>
      <c r="B43" s="42" t="s">
        <v>63</v>
      </c>
      <c r="C43" s="43" t="s">
        <v>79</v>
      </c>
      <c r="D43" s="44"/>
      <c r="E43" s="42"/>
      <c r="F43" s="42"/>
      <c r="G43" s="45"/>
      <c r="H43" s="46">
        <v>15</v>
      </c>
      <c r="I43" s="47"/>
      <c r="J43" s="42"/>
      <c r="K43" s="42"/>
      <c r="L43" s="45"/>
      <c r="M43" s="44">
        <f t="shared" si="45"/>
        <v>0</v>
      </c>
      <c r="N43" s="42">
        <f t="shared" si="46"/>
        <v>0</v>
      </c>
      <c r="O43" s="42">
        <f t="shared" si="47"/>
        <v>0</v>
      </c>
      <c r="P43" s="45">
        <f t="shared" si="48"/>
        <v>0</v>
      </c>
      <c r="Q43" s="48">
        <v>42160</v>
      </c>
      <c r="R43" s="21">
        <f t="shared" si="34"/>
        <v>42175</v>
      </c>
      <c r="S43" s="41" t="str">
        <f t="shared" si="5"/>
        <v>готово</v>
      </c>
    </row>
    <row r="44" spans="1:20" x14ac:dyDescent="0.25">
      <c r="A44" s="1" t="s">
        <v>30</v>
      </c>
      <c r="B44" s="1" t="s">
        <v>34</v>
      </c>
      <c r="C44" s="3"/>
      <c r="D44" s="96">
        <v>6</v>
      </c>
      <c r="E44" s="96">
        <v>5</v>
      </c>
      <c r="F44" s="96">
        <v>1</v>
      </c>
      <c r="G44" s="96"/>
      <c r="H44" s="10">
        <v>16</v>
      </c>
      <c r="I44" s="4">
        <v>6</v>
      </c>
      <c r="J44" s="1">
        <v>5</v>
      </c>
      <c r="K44" s="1">
        <v>1</v>
      </c>
      <c r="L44" s="6"/>
      <c r="M44" s="5">
        <f t="shared" si="45"/>
        <v>0</v>
      </c>
      <c r="N44" s="1">
        <f t="shared" si="46"/>
        <v>0</v>
      </c>
      <c r="O44" s="1">
        <f t="shared" si="47"/>
        <v>0</v>
      </c>
      <c r="P44" s="6">
        <f t="shared" si="48"/>
        <v>0</v>
      </c>
      <c r="Q44" s="23">
        <v>42188</v>
      </c>
      <c r="R44" s="21">
        <f t="shared" si="34"/>
        <v>42204</v>
      </c>
      <c r="S44" s="41" t="str">
        <f t="shared" si="5"/>
        <v>готово</v>
      </c>
      <c r="T44" t="b">
        <f>R44&lt;$T$1</f>
        <v>1</v>
      </c>
    </row>
    <row r="45" spans="1:20" x14ac:dyDescent="0.25">
      <c r="A45" s="1" t="s">
        <v>30</v>
      </c>
      <c r="B45" s="1" t="s">
        <v>34</v>
      </c>
      <c r="C45" s="3"/>
      <c r="D45" s="96">
        <v>6</v>
      </c>
      <c r="E45" s="96">
        <v>5</v>
      </c>
      <c r="F45" s="96">
        <v>1</v>
      </c>
      <c r="G45" s="96"/>
      <c r="H45" s="10">
        <v>16</v>
      </c>
      <c r="I45" s="4">
        <v>6</v>
      </c>
      <c r="J45" s="1">
        <v>5</v>
      </c>
      <c r="K45" s="1">
        <v>1</v>
      </c>
      <c r="L45" s="6"/>
      <c r="M45" s="5">
        <f t="shared" si="45"/>
        <v>0</v>
      </c>
      <c r="N45" s="1">
        <f t="shared" si="46"/>
        <v>0</v>
      </c>
      <c r="O45" s="1">
        <f t="shared" si="47"/>
        <v>0</v>
      </c>
      <c r="P45" s="6">
        <f t="shared" si="48"/>
        <v>0</v>
      </c>
      <c r="Q45" s="23">
        <v>42188</v>
      </c>
      <c r="R45" s="21">
        <f t="shared" si="34"/>
        <v>42204</v>
      </c>
      <c r="S45" s="41" t="str">
        <f t="shared" si="5"/>
        <v>готово</v>
      </c>
    </row>
    <row r="46" spans="1:20" x14ac:dyDescent="0.25">
      <c r="A46" s="1" t="s">
        <v>30</v>
      </c>
      <c r="B46" s="1" t="s">
        <v>34</v>
      </c>
      <c r="C46" s="3"/>
      <c r="D46" s="96">
        <v>6</v>
      </c>
      <c r="E46" s="96">
        <v>5</v>
      </c>
      <c r="F46" s="96">
        <v>1</v>
      </c>
      <c r="G46" s="96"/>
      <c r="H46" s="10">
        <v>16</v>
      </c>
      <c r="I46" s="4">
        <v>6</v>
      </c>
      <c r="J46" s="1">
        <v>5</v>
      </c>
      <c r="K46" s="1">
        <v>1</v>
      </c>
      <c r="L46" s="6"/>
      <c r="M46" s="5">
        <f t="shared" si="45"/>
        <v>0</v>
      </c>
      <c r="N46" s="1">
        <f t="shared" si="46"/>
        <v>0</v>
      </c>
      <c r="O46" s="1">
        <f t="shared" si="47"/>
        <v>0</v>
      </c>
      <c r="P46" s="6">
        <f t="shared" si="48"/>
        <v>0</v>
      </c>
      <c r="Q46" s="23">
        <v>42188</v>
      </c>
      <c r="R46" s="21">
        <f t="shared" si="34"/>
        <v>42204</v>
      </c>
      <c r="S46" s="41" t="str">
        <f t="shared" si="5"/>
        <v>готово</v>
      </c>
    </row>
    <row r="47" spans="1:20" x14ac:dyDescent="0.25">
      <c r="A47" s="1" t="s">
        <v>30</v>
      </c>
      <c r="B47" s="1" t="s">
        <v>34</v>
      </c>
      <c r="C47" s="3"/>
      <c r="D47" s="96">
        <v>6</v>
      </c>
      <c r="E47" s="96">
        <v>5</v>
      </c>
      <c r="F47" s="96">
        <v>1</v>
      </c>
      <c r="G47" s="96"/>
      <c r="H47" s="10">
        <v>16</v>
      </c>
      <c r="I47" s="4">
        <v>6</v>
      </c>
      <c r="J47" s="1">
        <v>5</v>
      </c>
      <c r="K47" s="1">
        <v>1</v>
      </c>
      <c r="L47" s="6"/>
      <c r="M47" s="5">
        <f t="shared" si="45"/>
        <v>0</v>
      </c>
      <c r="N47" s="1">
        <f t="shared" si="46"/>
        <v>0</v>
      </c>
      <c r="O47" s="1">
        <f t="shared" si="47"/>
        <v>0</v>
      </c>
      <c r="P47" s="6">
        <f t="shared" si="48"/>
        <v>0</v>
      </c>
      <c r="Q47" s="23">
        <v>42188</v>
      </c>
      <c r="R47" s="21">
        <f t="shared" si="34"/>
        <v>42204</v>
      </c>
      <c r="S47" s="41" t="str">
        <f t="shared" si="5"/>
        <v>готово</v>
      </c>
    </row>
    <row r="48" spans="1:20" x14ac:dyDescent="0.25">
      <c r="A48" s="1" t="s">
        <v>30</v>
      </c>
      <c r="B48" s="1" t="s">
        <v>34</v>
      </c>
      <c r="C48" s="3"/>
      <c r="D48" s="96">
        <v>6</v>
      </c>
      <c r="E48" s="96">
        <v>5</v>
      </c>
      <c r="F48" s="96">
        <v>1</v>
      </c>
      <c r="G48" s="96"/>
      <c r="H48" s="10">
        <v>16</v>
      </c>
      <c r="I48" s="4">
        <v>6</v>
      </c>
      <c r="J48" s="1">
        <v>5</v>
      </c>
      <c r="K48" s="1">
        <v>1</v>
      </c>
      <c r="L48" s="6"/>
      <c r="M48" s="5">
        <f t="shared" si="45"/>
        <v>0</v>
      </c>
      <c r="N48" s="1">
        <f t="shared" si="46"/>
        <v>0</v>
      </c>
      <c r="O48" s="1">
        <f t="shared" si="47"/>
        <v>0</v>
      </c>
      <c r="P48" s="6">
        <f t="shared" si="48"/>
        <v>0</v>
      </c>
      <c r="Q48" s="23">
        <v>42188</v>
      </c>
      <c r="R48" s="21">
        <f t="shared" si="34"/>
        <v>42204</v>
      </c>
      <c r="S48" s="41" t="str">
        <f t="shared" si="5"/>
        <v>готово</v>
      </c>
    </row>
    <row r="49" spans="1:19" x14ac:dyDescent="0.25">
      <c r="A49" s="1"/>
      <c r="B49" s="1"/>
      <c r="C49" s="3"/>
      <c r="D49" s="96"/>
      <c r="E49" s="96"/>
      <c r="F49" s="96"/>
      <c r="G49" s="96"/>
      <c r="H49" s="10"/>
      <c r="I49" s="4"/>
      <c r="J49" s="1"/>
      <c r="K49" s="1"/>
      <c r="L49" s="6"/>
      <c r="M49" s="5">
        <f t="shared" si="45"/>
        <v>0</v>
      </c>
      <c r="N49" s="1">
        <f t="shared" si="46"/>
        <v>0</v>
      </c>
      <c r="O49" s="1">
        <f t="shared" si="47"/>
        <v>0</v>
      </c>
      <c r="P49" s="6">
        <f t="shared" si="48"/>
        <v>0</v>
      </c>
      <c r="Q49" s="23">
        <v>42186</v>
      </c>
      <c r="R49" s="21">
        <f t="shared" si="34"/>
        <v>42186</v>
      </c>
      <c r="S49" s="41" t="str">
        <f t="shared" si="5"/>
        <v>готово</v>
      </c>
    </row>
    <row r="50" spans="1:19" x14ac:dyDescent="0.25">
      <c r="A50" s="1" t="s">
        <v>80</v>
      </c>
      <c r="B50" s="1" t="s">
        <v>34</v>
      </c>
      <c r="C50" s="1" t="s">
        <v>80</v>
      </c>
      <c r="D50" s="1">
        <v>10</v>
      </c>
      <c r="E50" s="1">
        <v>10</v>
      </c>
      <c r="F50" s="1">
        <v>1</v>
      </c>
      <c r="G50" s="1"/>
      <c r="H50" s="1">
        <v>30</v>
      </c>
      <c r="I50" s="4">
        <v>10</v>
      </c>
      <c r="J50" s="1">
        <v>10</v>
      </c>
      <c r="K50" s="1">
        <v>1</v>
      </c>
      <c r="L50" s="6"/>
      <c r="M50" s="5">
        <f t="shared" si="45"/>
        <v>0</v>
      </c>
      <c r="N50" s="1">
        <f t="shared" si="46"/>
        <v>0</v>
      </c>
      <c r="O50" s="1">
        <f t="shared" si="47"/>
        <v>0</v>
      </c>
      <c r="P50" s="6">
        <f t="shared" si="48"/>
        <v>0</v>
      </c>
      <c r="Q50" s="23">
        <v>42166</v>
      </c>
      <c r="R50" s="21">
        <f t="shared" si="34"/>
        <v>42196</v>
      </c>
      <c r="S50" s="41" t="str">
        <f t="shared" si="5"/>
        <v>готово</v>
      </c>
    </row>
    <row r="51" spans="1:19" x14ac:dyDescent="0.25">
      <c r="A51" s="1" t="s">
        <v>81</v>
      </c>
      <c r="B51" s="1" t="s">
        <v>34</v>
      </c>
      <c r="C51" s="1" t="s">
        <v>81</v>
      </c>
      <c r="D51" s="1">
        <v>3</v>
      </c>
      <c r="E51" s="1">
        <v>3</v>
      </c>
      <c r="F51" s="1"/>
      <c r="G51" s="1"/>
      <c r="H51" s="1">
        <v>8</v>
      </c>
      <c r="I51" s="4">
        <v>3</v>
      </c>
      <c r="J51" s="1">
        <v>3</v>
      </c>
      <c r="K51" s="1"/>
      <c r="L51" s="6"/>
      <c r="M51" s="5">
        <f t="shared" si="45"/>
        <v>0</v>
      </c>
      <c r="N51" s="1">
        <f t="shared" si="46"/>
        <v>0</v>
      </c>
      <c r="O51" s="1">
        <f t="shared" si="47"/>
        <v>0</v>
      </c>
      <c r="P51" s="6">
        <f t="shared" si="48"/>
        <v>0</v>
      </c>
      <c r="Q51" s="23">
        <v>42186</v>
      </c>
      <c r="R51" s="21">
        <f t="shared" si="34"/>
        <v>42194</v>
      </c>
      <c r="S51" s="41" t="str">
        <f t="shared" si="5"/>
        <v>готово</v>
      </c>
    </row>
    <row r="52" spans="1:19" x14ac:dyDescent="0.25">
      <c r="A52" s="1" t="s">
        <v>82</v>
      </c>
      <c r="B52" s="1" t="s">
        <v>34</v>
      </c>
      <c r="C52" s="1" t="s">
        <v>82</v>
      </c>
      <c r="D52" s="1">
        <v>3</v>
      </c>
      <c r="E52" s="1">
        <v>3</v>
      </c>
      <c r="F52" s="1"/>
      <c r="G52" s="1"/>
      <c r="H52" s="1">
        <v>8</v>
      </c>
      <c r="I52" s="4">
        <v>3</v>
      </c>
      <c r="J52" s="1">
        <v>3</v>
      </c>
      <c r="K52" s="1"/>
      <c r="L52" s="6"/>
      <c r="M52" s="5">
        <f t="shared" si="45"/>
        <v>0</v>
      </c>
      <c r="N52" s="1">
        <f t="shared" si="46"/>
        <v>0</v>
      </c>
      <c r="O52" s="1">
        <f t="shared" si="47"/>
        <v>0</v>
      </c>
      <c r="P52" s="6">
        <f t="shared" si="48"/>
        <v>0</v>
      </c>
      <c r="Q52" s="23">
        <v>42186</v>
      </c>
      <c r="R52" s="21">
        <f t="shared" si="34"/>
        <v>42194</v>
      </c>
      <c r="S52" s="41" t="str">
        <f t="shared" si="5"/>
        <v>готово</v>
      </c>
    </row>
    <row r="53" spans="1:19" x14ac:dyDescent="0.25">
      <c r="A53" s="1" t="s">
        <v>83</v>
      </c>
      <c r="B53" s="1" t="s">
        <v>34</v>
      </c>
      <c r="C53" s="1" t="s">
        <v>83</v>
      </c>
      <c r="D53" s="1">
        <v>6</v>
      </c>
      <c r="E53" s="1">
        <v>5</v>
      </c>
      <c r="F53" s="1">
        <v>1</v>
      </c>
      <c r="G53" s="1"/>
      <c r="H53" s="1">
        <v>16</v>
      </c>
      <c r="I53" s="4">
        <v>6</v>
      </c>
      <c r="J53" s="1">
        <v>5</v>
      </c>
      <c r="K53" s="1">
        <v>1</v>
      </c>
      <c r="L53" s="6"/>
      <c r="M53" s="5">
        <f t="shared" si="45"/>
        <v>0</v>
      </c>
      <c r="N53" s="1">
        <f t="shared" si="46"/>
        <v>0</v>
      </c>
      <c r="O53" s="1">
        <f t="shared" si="47"/>
        <v>0</v>
      </c>
      <c r="P53" s="6">
        <f t="shared" si="48"/>
        <v>0</v>
      </c>
      <c r="Q53" s="23">
        <v>42186</v>
      </c>
      <c r="R53" s="21">
        <f t="shared" si="34"/>
        <v>42202</v>
      </c>
      <c r="S53" s="41" t="str">
        <f t="shared" si="5"/>
        <v>готово</v>
      </c>
    </row>
    <row r="54" spans="1:19" x14ac:dyDescent="0.25">
      <c r="A54" s="1" t="s">
        <v>40</v>
      </c>
      <c r="B54" s="1" t="s">
        <v>34</v>
      </c>
      <c r="C54" s="1" t="s">
        <v>40</v>
      </c>
      <c r="D54" s="1">
        <v>5</v>
      </c>
      <c r="E54" s="1">
        <v>4</v>
      </c>
      <c r="F54" s="1"/>
      <c r="G54" s="1"/>
      <c r="H54" s="1">
        <v>12</v>
      </c>
      <c r="I54" s="4">
        <v>5</v>
      </c>
      <c r="J54" s="1">
        <v>4</v>
      </c>
      <c r="K54" s="1"/>
      <c r="L54" s="6"/>
      <c r="M54" s="5">
        <f t="shared" si="45"/>
        <v>0</v>
      </c>
      <c r="N54" s="1">
        <f t="shared" si="46"/>
        <v>0</v>
      </c>
      <c r="O54" s="1">
        <f t="shared" si="47"/>
        <v>0</v>
      </c>
      <c r="P54" s="6">
        <f t="shared" si="48"/>
        <v>0</v>
      </c>
      <c r="Q54" s="23">
        <v>42186</v>
      </c>
      <c r="R54" s="21">
        <f t="shared" si="34"/>
        <v>42198</v>
      </c>
      <c r="S54" s="41" t="str">
        <f t="shared" si="5"/>
        <v>готово</v>
      </c>
    </row>
    <row r="55" spans="1:19" x14ac:dyDescent="0.25">
      <c r="A55" s="1" t="s">
        <v>40</v>
      </c>
      <c r="B55" s="1" t="s">
        <v>34</v>
      </c>
      <c r="C55" s="1" t="s">
        <v>40</v>
      </c>
      <c r="D55" s="1">
        <v>5</v>
      </c>
      <c r="E55" s="1">
        <v>4</v>
      </c>
      <c r="F55" s="1"/>
      <c r="G55" s="1"/>
      <c r="H55" s="1">
        <v>12</v>
      </c>
      <c r="I55" s="4">
        <v>5</v>
      </c>
      <c r="J55" s="1">
        <v>4</v>
      </c>
      <c r="K55" s="1"/>
      <c r="L55" s="6"/>
      <c r="M55" s="5">
        <f t="shared" si="45"/>
        <v>0</v>
      </c>
      <c r="N55" s="1">
        <f t="shared" si="46"/>
        <v>0</v>
      </c>
      <c r="O55" s="1">
        <f t="shared" si="47"/>
        <v>0</v>
      </c>
      <c r="P55" s="6">
        <f t="shared" si="48"/>
        <v>0</v>
      </c>
      <c r="Q55" s="23">
        <v>42186</v>
      </c>
      <c r="R55" s="21">
        <f t="shared" si="34"/>
        <v>42198</v>
      </c>
      <c r="S55" s="41" t="str">
        <f t="shared" si="5"/>
        <v>готово</v>
      </c>
    </row>
    <row r="56" spans="1:19" x14ac:dyDescent="0.25">
      <c r="A56" s="1" t="s">
        <v>75</v>
      </c>
      <c r="B56" s="1" t="s">
        <v>34</v>
      </c>
      <c r="C56" s="1" t="s">
        <v>75</v>
      </c>
      <c r="D56" s="1">
        <v>6</v>
      </c>
      <c r="E56" s="1">
        <v>5</v>
      </c>
      <c r="F56" s="1">
        <v>1</v>
      </c>
      <c r="G56" s="1"/>
      <c r="H56" s="1">
        <v>16</v>
      </c>
      <c r="I56" s="4">
        <v>6</v>
      </c>
      <c r="J56" s="1">
        <v>5</v>
      </c>
      <c r="K56" s="80">
        <v>1</v>
      </c>
      <c r="L56" s="6"/>
      <c r="M56" s="5">
        <f t="shared" si="45"/>
        <v>0</v>
      </c>
      <c r="N56" s="1">
        <f t="shared" si="46"/>
        <v>0</v>
      </c>
      <c r="O56" s="1">
        <f>F56-K57</f>
        <v>0</v>
      </c>
      <c r="P56" s="6">
        <f t="shared" si="48"/>
        <v>0</v>
      </c>
      <c r="Q56" s="23">
        <v>42186</v>
      </c>
      <c r="R56" s="21">
        <f t="shared" si="34"/>
        <v>42202</v>
      </c>
      <c r="S56" s="41" t="str">
        <f t="shared" si="5"/>
        <v>готово</v>
      </c>
    </row>
    <row r="57" spans="1:19" x14ac:dyDescent="0.25">
      <c r="A57" s="1" t="s">
        <v>75</v>
      </c>
      <c r="B57" s="1" t="s">
        <v>34</v>
      </c>
      <c r="C57" s="1" t="s">
        <v>75</v>
      </c>
      <c r="D57" s="1">
        <v>6</v>
      </c>
      <c r="E57" s="1">
        <v>5</v>
      </c>
      <c r="F57" s="1">
        <v>1</v>
      </c>
      <c r="G57" s="1"/>
      <c r="H57" s="1">
        <v>16</v>
      </c>
      <c r="I57" s="4">
        <v>6</v>
      </c>
      <c r="J57" s="1">
        <v>5</v>
      </c>
      <c r="K57" s="1">
        <v>1</v>
      </c>
      <c r="L57" s="6"/>
      <c r="M57" s="5">
        <f t="shared" si="45"/>
        <v>0</v>
      </c>
      <c r="N57" s="1">
        <f t="shared" si="46"/>
        <v>0</v>
      </c>
      <c r="O57" s="1">
        <f>F57-K58</f>
        <v>0</v>
      </c>
      <c r="P57" s="6">
        <f t="shared" si="48"/>
        <v>0</v>
      </c>
      <c r="Q57" s="23">
        <v>42186</v>
      </c>
      <c r="R57" s="21">
        <f t="shared" si="34"/>
        <v>42202</v>
      </c>
      <c r="S57" s="41" t="str">
        <f t="shared" si="5"/>
        <v>готово</v>
      </c>
    </row>
    <row r="58" spans="1:19" x14ac:dyDescent="0.25">
      <c r="A58" s="1" t="s">
        <v>75</v>
      </c>
      <c r="B58" s="1" t="s">
        <v>34</v>
      </c>
      <c r="C58" s="1" t="s">
        <v>75</v>
      </c>
      <c r="D58" s="1">
        <v>6</v>
      </c>
      <c r="E58" s="1">
        <v>5</v>
      </c>
      <c r="F58" s="1">
        <v>1</v>
      </c>
      <c r="G58" s="1"/>
      <c r="H58" s="1">
        <v>16</v>
      </c>
      <c r="I58" s="4">
        <v>6</v>
      </c>
      <c r="J58" s="1">
        <v>5</v>
      </c>
      <c r="K58" s="1">
        <v>1</v>
      </c>
      <c r="L58" s="6"/>
      <c r="M58" s="5">
        <f t="shared" si="45"/>
        <v>0</v>
      </c>
      <c r="N58" s="1">
        <f t="shared" si="46"/>
        <v>0</v>
      </c>
      <c r="O58" s="1">
        <f t="shared" si="47"/>
        <v>0</v>
      </c>
      <c r="P58" s="6">
        <f t="shared" si="48"/>
        <v>0</v>
      </c>
      <c r="Q58" s="23">
        <v>42186</v>
      </c>
      <c r="R58" s="21">
        <f t="shared" si="34"/>
        <v>42202</v>
      </c>
      <c r="S58" s="41" t="str">
        <f t="shared" ref="S58:S103" si="49">IF(AND(SUM(M58:P58)=0,R58&lt;$T$1),"готово","нет")</f>
        <v>готово</v>
      </c>
    </row>
    <row r="59" spans="1:19" x14ac:dyDescent="0.25">
      <c r="A59" s="1" t="s">
        <v>75</v>
      </c>
      <c r="B59" s="1" t="s">
        <v>34</v>
      </c>
      <c r="C59" s="1" t="s">
        <v>75</v>
      </c>
      <c r="D59" s="1">
        <v>6</v>
      </c>
      <c r="E59" s="1">
        <v>5</v>
      </c>
      <c r="F59" s="1">
        <v>1</v>
      </c>
      <c r="G59" s="1"/>
      <c r="H59" s="1">
        <v>16</v>
      </c>
      <c r="I59" s="4">
        <v>6</v>
      </c>
      <c r="J59" s="1">
        <v>5</v>
      </c>
      <c r="K59" s="1">
        <v>1</v>
      </c>
      <c r="L59" s="6"/>
      <c r="M59" s="5">
        <f t="shared" si="45"/>
        <v>0</v>
      </c>
      <c r="N59" s="1">
        <f t="shared" si="46"/>
        <v>0</v>
      </c>
      <c r="O59" s="1">
        <f t="shared" si="47"/>
        <v>0</v>
      </c>
      <c r="P59" s="6">
        <f t="shared" si="48"/>
        <v>0</v>
      </c>
      <c r="Q59" s="23">
        <v>42186</v>
      </c>
      <c r="R59" s="21">
        <f t="shared" si="34"/>
        <v>42202</v>
      </c>
      <c r="S59" s="41" t="str">
        <f t="shared" si="49"/>
        <v>готово</v>
      </c>
    </row>
    <row r="60" spans="1:19" x14ac:dyDescent="0.25">
      <c r="A60" s="1" t="s">
        <v>75</v>
      </c>
      <c r="B60" s="1" t="s">
        <v>34</v>
      </c>
      <c r="C60" s="1" t="s">
        <v>75</v>
      </c>
      <c r="D60" s="1">
        <v>6</v>
      </c>
      <c r="E60" s="1">
        <v>5</v>
      </c>
      <c r="F60" s="1">
        <v>1</v>
      </c>
      <c r="G60" s="1"/>
      <c r="H60" s="1">
        <v>16</v>
      </c>
      <c r="I60" s="4">
        <v>6</v>
      </c>
      <c r="J60" s="1">
        <v>5</v>
      </c>
      <c r="K60" s="1">
        <v>1</v>
      </c>
      <c r="L60" s="6"/>
      <c r="M60" s="5">
        <f t="shared" si="45"/>
        <v>0</v>
      </c>
      <c r="N60" s="1">
        <f t="shared" si="46"/>
        <v>0</v>
      </c>
      <c r="O60" s="1">
        <f t="shared" si="47"/>
        <v>0</v>
      </c>
      <c r="P60" s="6">
        <f t="shared" si="48"/>
        <v>0</v>
      </c>
      <c r="Q60" s="23">
        <v>42186</v>
      </c>
      <c r="R60" s="21">
        <f t="shared" si="34"/>
        <v>42202</v>
      </c>
      <c r="S60" s="41" t="str">
        <f t="shared" si="49"/>
        <v>готово</v>
      </c>
    </row>
    <row r="61" spans="1:19" x14ac:dyDescent="0.25">
      <c r="A61" s="58" t="s">
        <v>84</v>
      </c>
      <c r="B61" s="58" t="s">
        <v>34</v>
      </c>
      <c r="C61" s="58" t="s">
        <v>84</v>
      </c>
      <c r="D61" s="58">
        <v>8</v>
      </c>
      <c r="E61" s="58">
        <v>7</v>
      </c>
      <c r="F61" s="58">
        <v>2</v>
      </c>
      <c r="G61" s="58">
        <v>1</v>
      </c>
      <c r="H61" s="58">
        <v>16</v>
      </c>
      <c r="I61" s="97">
        <v>8</v>
      </c>
      <c r="J61" s="58">
        <v>7</v>
      </c>
      <c r="K61" s="1">
        <v>2</v>
      </c>
      <c r="L61" s="6">
        <v>1</v>
      </c>
      <c r="M61" s="5">
        <f t="shared" si="45"/>
        <v>0</v>
      </c>
      <c r="N61" s="1">
        <f t="shared" si="46"/>
        <v>0</v>
      </c>
      <c r="O61" s="1">
        <f t="shared" si="47"/>
        <v>0</v>
      </c>
      <c r="P61" s="6">
        <f t="shared" si="48"/>
        <v>0</v>
      </c>
      <c r="Q61" s="23">
        <v>42186</v>
      </c>
      <c r="R61" s="21">
        <f t="shared" si="34"/>
        <v>42202</v>
      </c>
      <c r="S61" s="41" t="str">
        <f t="shared" si="49"/>
        <v>готово</v>
      </c>
    </row>
    <row r="62" spans="1:19" x14ac:dyDescent="0.25">
      <c r="A62" s="58" t="s">
        <v>84</v>
      </c>
      <c r="B62" s="58" t="s">
        <v>34</v>
      </c>
      <c r="C62" s="58" t="s">
        <v>84</v>
      </c>
      <c r="D62" s="58">
        <v>8</v>
      </c>
      <c r="E62" s="58">
        <v>7</v>
      </c>
      <c r="F62" s="58">
        <v>2</v>
      </c>
      <c r="G62" s="58">
        <v>1</v>
      </c>
      <c r="H62" s="58">
        <v>16</v>
      </c>
      <c r="I62" s="97">
        <v>8</v>
      </c>
      <c r="J62" s="58">
        <v>7</v>
      </c>
      <c r="K62" s="1">
        <v>2</v>
      </c>
      <c r="L62" s="6">
        <v>1</v>
      </c>
      <c r="M62" s="5">
        <f t="shared" si="45"/>
        <v>0</v>
      </c>
      <c r="N62" s="1">
        <f t="shared" si="46"/>
        <v>0</v>
      </c>
      <c r="O62" s="1">
        <f t="shared" si="47"/>
        <v>0</v>
      </c>
      <c r="P62" s="6">
        <f t="shared" si="48"/>
        <v>0</v>
      </c>
      <c r="Q62" s="23">
        <v>42186</v>
      </c>
      <c r="R62" s="21">
        <f t="shared" si="34"/>
        <v>42202</v>
      </c>
      <c r="S62" s="41" t="str">
        <f t="shared" si="49"/>
        <v>готово</v>
      </c>
    </row>
    <row r="63" spans="1:19" x14ac:dyDescent="0.25">
      <c r="A63" s="58" t="s">
        <v>84</v>
      </c>
      <c r="B63" s="58" t="s">
        <v>34</v>
      </c>
      <c r="C63" s="58" t="s">
        <v>84</v>
      </c>
      <c r="D63" s="58">
        <v>8</v>
      </c>
      <c r="E63" s="58">
        <v>7</v>
      </c>
      <c r="F63" s="58">
        <v>2</v>
      </c>
      <c r="G63" s="58">
        <v>1</v>
      </c>
      <c r="H63" s="58">
        <v>16</v>
      </c>
      <c r="I63" s="97">
        <v>8</v>
      </c>
      <c r="J63" s="58">
        <v>7</v>
      </c>
      <c r="K63" s="1">
        <v>2</v>
      </c>
      <c r="L63" s="6">
        <v>1</v>
      </c>
      <c r="M63" s="5">
        <f t="shared" si="45"/>
        <v>0</v>
      </c>
      <c r="N63" s="1">
        <f t="shared" si="46"/>
        <v>0</v>
      </c>
      <c r="O63" s="1">
        <f t="shared" si="47"/>
        <v>0</v>
      </c>
      <c r="P63" s="6">
        <f t="shared" si="48"/>
        <v>0</v>
      </c>
      <c r="Q63" s="23">
        <v>42186</v>
      </c>
      <c r="R63" s="21">
        <f t="shared" si="34"/>
        <v>42202</v>
      </c>
      <c r="S63" s="41" t="str">
        <f t="shared" si="49"/>
        <v>готово</v>
      </c>
    </row>
    <row r="64" spans="1:19" x14ac:dyDescent="0.25">
      <c r="A64" s="58" t="s">
        <v>84</v>
      </c>
      <c r="B64" s="58" t="s">
        <v>34</v>
      </c>
      <c r="C64" s="58" t="s">
        <v>84</v>
      </c>
      <c r="D64" s="58">
        <v>8</v>
      </c>
      <c r="E64" s="58">
        <v>7</v>
      </c>
      <c r="F64" s="58">
        <v>2</v>
      </c>
      <c r="G64" s="58">
        <v>1</v>
      </c>
      <c r="H64" s="58">
        <v>16</v>
      </c>
      <c r="I64" s="97">
        <v>8</v>
      </c>
      <c r="J64" s="58">
        <v>7</v>
      </c>
      <c r="K64" s="1">
        <v>2</v>
      </c>
      <c r="L64" s="6">
        <v>1</v>
      </c>
      <c r="M64" s="5">
        <f t="shared" si="45"/>
        <v>0</v>
      </c>
      <c r="N64" s="1">
        <f t="shared" si="46"/>
        <v>0</v>
      </c>
      <c r="O64" s="1">
        <f t="shared" si="47"/>
        <v>0</v>
      </c>
      <c r="P64" s="6">
        <f t="shared" si="48"/>
        <v>0</v>
      </c>
      <c r="Q64" s="23">
        <v>42186</v>
      </c>
      <c r="R64" s="21">
        <f t="shared" si="34"/>
        <v>42202</v>
      </c>
      <c r="S64" s="41" t="str">
        <f t="shared" si="49"/>
        <v>готово</v>
      </c>
    </row>
    <row r="65" spans="1:19" x14ac:dyDescent="0.25">
      <c r="A65" s="1" t="s">
        <v>85</v>
      </c>
      <c r="B65" s="1" t="s">
        <v>34</v>
      </c>
      <c r="C65" s="1" t="s">
        <v>85</v>
      </c>
      <c r="D65" s="5">
        <v>5</v>
      </c>
      <c r="E65" s="1">
        <v>3</v>
      </c>
      <c r="F65" s="1">
        <v>1</v>
      </c>
      <c r="G65" s="6"/>
      <c r="H65" s="10">
        <v>12</v>
      </c>
      <c r="I65" s="4">
        <v>5</v>
      </c>
      <c r="J65" s="1">
        <v>3</v>
      </c>
      <c r="K65" s="1">
        <v>1</v>
      </c>
      <c r="L65" s="6"/>
      <c r="M65" s="5">
        <f t="shared" si="45"/>
        <v>0</v>
      </c>
      <c r="N65" s="1">
        <f t="shared" si="46"/>
        <v>0</v>
      </c>
      <c r="O65" s="1">
        <f t="shared" si="47"/>
        <v>0</v>
      </c>
      <c r="P65" s="6">
        <f t="shared" si="48"/>
        <v>0</v>
      </c>
      <c r="Q65" s="23">
        <v>42166</v>
      </c>
      <c r="R65" s="21">
        <f t="shared" si="34"/>
        <v>42178</v>
      </c>
      <c r="S65" s="41" t="str">
        <f t="shared" si="49"/>
        <v>готово</v>
      </c>
    </row>
    <row r="66" spans="1:19" x14ac:dyDescent="0.25">
      <c r="A66" s="1" t="s">
        <v>85</v>
      </c>
      <c r="B66" s="1" t="s">
        <v>34</v>
      </c>
      <c r="C66" s="1" t="s">
        <v>85</v>
      </c>
      <c r="D66" s="5">
        <v>5</v>
      </c>
      <c r="E66" s="1">
        <v>3</v>
      </c>
      <c r="F66" s="1">
        <v>1</v>
      </c>
      <c r="G66" s="6"/>
      <c r="H66" s="10">
        <v>12</v>
      </c>
      <c r="I66" s="4">
        <v>5</v>
      </c>
      <c r="J66" s="1">
        <v>3</v>
      </c>
      <c r="K66" s="1">
        <v>1</v>
      </c>
      <c r="L66" s="6"/>
      <c r="M66" s="5">
        <f t="shared" si="45"/>
        <v>0</v>
      </c>
      <c r="N66" s="1">
        <f t="shared" si="46"/>
        <v>0</v>
      </c>
      <c r="O66" s="1">
        <f t="shared" si="47"/>
        <v>0</v>
      </c>
      <c r="P66" s="6">
        <f t="shared" si="48"/>
        <v>0</v>
      </c>
      <c r="Q66" s="23">
        <v>42166</v>
      </c>
      <c r="R66" s="21">
        <f t="shared" si="34"/>
        <v>42178</v>
      </c>
      <c r="S66" s="41" t="str">
        <f t="shared" si="49"/>
        <v>готово</v>
      </c>
    </row>
    <row r="67" spans="1:19" x14ac:dyDescent="0.25">
      <c r="A67" s="1" t="s">
        <v>30</v>
      </c>
      <c r="B67" s="1" t="s">
        <v>34</v>
      </c>
      <c r="C67" s="1" t="s">
        <v>30</v>
      </c>
      <c r="D67" s="96">
        <v>6</v>
      </c>
      <c r="E67" s="96">
        <v>5</v>
      </c>
      <c r="F67" s="96">
        <v>1</v>
      </c>
      <c r="G67" s="96"/>
      <c r="H67" s="10">
        <v>16</v>
      </c>
      <c r="I67" s="4">
        <v>6</v>
      </c>
      <c r="J67" s="1">
        <v>5</v>
      </c>
      <c r="K67" s="1">
        <v>1</v>
      </c>
      <c r="L67" s="6"/>
      <c r="M67" s="5">
        <f t="shared" si="45"/>
        <v>0</v>
      </c>
      <c r="N67" s="1">
        <f t="shared" si="46"/>
        <v>0</v>
      </c>
      <c r="O67" s="1">
        <f t="shared" si="47"/>
        <v>0</v>
      </c>
      <c r="P67" s="6">
        <f t="shared" si="48"/>
        <v>0</v>
      </c>
      <c r="Q67" s="23">
        <v>42166</v>
      </c>
      <c r="R67" s="21">
        <f t="shared" si="34"/>
        <v>42182</v>
      </c>
      <c r="S67" s="41" t="str">
        <f t="shared" si="49"/>
        <v>готово</v>
      </c>
    </row>
    <row r="68" spans="1:19" x14ac:dyDescent="0.25">
      <c r="A68" s="1" t="s">
        <v>30</v>
      </c>
      <c r="B68" s="1" t="s">
        <v>34</v>
      </c>
      <c r="C68" s="1" t="s">
        <v>30</v>
      </c>
      <c r="D68" s="96">
        <v>6</v>
      </c>
      <c r="E68" s="96">
        <v>5</v>
      </c>
      <c r="F68" s="96">
        <v>1</v>
      </c>
      <c r="G68" s="96"/>
      <c r="H68" s="10">
        <v>16</v>
      </c>
      <c r="I68" s="4">
        <v>6</v>
      </c>
      <c r="J68" s="1">
        <v>5</v>
      </c>
      <c r="K68" s="1">
        <v>1</v>
      </c>
      <c r="L68" s="6"/>
      <c r="M68" s="5">
        <f t="shared" si="45"/>
        <v>0</v>
      </c>
      <c r="N68" s="1">
        <f t="shared" si="46"/>
        <v>0</v>
      </c>
      <c r="O68" s="1">
        <f t="shared" si="47"/>
        <v>0</v>
      </c>
      <c r="P68" s="6">
        <f t="shared" si="48"/>
        <v>0</v>
      </c>
      <c r="Q68" s="23">
        <v>42166</v>
      </c>
      <c r="R68" s="21">
        <f t="shared" si="34"/>
        <v>42182</v>
      </c>
      <c r="S68" s="41" t="str">
        <f t="shared" si="49"/>
        <v>готово</v>
      </c>
    </row>
    <row r="69" spans="1:19" x14ac:dyDescent="0.25">
      <c r="A69" s="1" t="s">
        <v>30</v>
      </c>
      <c r="B69" s="1" t="s">
        <v>34</v>
      </c>
      <c r="C69" s="1" t="s">
        <v>30</v>
      </c>
      <c r="D69" s="96">
        <v>6</v>
      </c>
      <c r="E69" s="96">
        <v>5</v>
      </c>
      <c r="F69" s="96">
        <v>1</v>
      </c>
      <c r="G69" s="96"/>
      <c r="H69" s="10">
        <v>16</v>
      </c>
      <c r="I69" s="4">
        <v>6</v>
      </c>
      <c r="J69" s="1">
        <v>5</v>
      </c>
      <c r="K69" s="1">
        <v>1</v>
      </c>
      <c r="L69" s="6"/>
      <c r="M69" s="5">
        <f t="shared" si="45"/>
        <v>0</v>
      </c>
      <c r="N69" s="1">
        <f t="shared" si="46"/>
        <v>0</v>
      </c>
      <c r="O69" s="1">
        <f t="shared" si="47"/>
        <v>0</v>
      </c>
      <c r="P69" s="6">
        <f t="shared" si="48"/>
        <v>0</v>
      </c>
      <c r="Q69" s="23">
        <v>42166</v>
      </c>
      <c r="R69" s="21">
        <f t="shared" si="34"/>
        <v>42182</v>
      </c>
      <c r="S69" s="41" t="str">
        <f t="shared" si="49"/>
        <v>готово</v>
      </c>
    </row>
    <row r="70" spans="1:19" x14ac:dyDescent="0.25">
      <c r="A70" s="1" t="s">
        <v>30</v>
      </c>
      <c r="B70" s="1" t="s">
        <v>34</v>
      </c>
      <c r="C70" s="1" t="s">
        <v>30</v>
      </c>
      <c r="D70" s="96">
        <v>6</v>
      </c>
      <c r="E70" s="96">
        <v>5</v>
      </c>
      <c r="F70" s="96">
        <v>1</v>
      </c>
      <c r="G70" s="96"/>
      <c r="H70" s="10">
        <v>16</v>
      </c>
      <c r="I70" s="4">
        <v>6</v>
      </c>
      <c r="J70" s="1">
        <v>5</v>
      </c>
      <c r="K70" s="1">
        <v>1</v>
      </c>
      <c r="L70" s="6"/>
      <c r="M70" s="5">
        <f t="shared" si="45"/>
        <v>0</v>
      </c>
      <c r="N70" s="1">
        <f t="shared" si="46"/>
        <v>0</v>
      </c>
      <c r="O70" s="1">
        <f t="shared" si="47"/>
        <v>0</v>
      </c>
      <c r="P70" s="6">
        <f t="shared" si="48"/>
        <v>0</v>
      </c>
      <c r="Q70" s="23">
        <v>42166</v>
      </c>
      <c r="R70" s="21">
        <f t="shared" ref="R70:R103" si="50">Q70+H70</f>
        <v>42182</v>
      </c>
      <c r="S70" s="41" t="str">
        <f t="shared" si="49"/>
        <v>готово</v>
      </c>
    </row>
    <row r="71" spans="1:19" x14ac:dyDescent="0.25">
      <c r="A71" s="1" t="s">
        <v>30</v>
      </c>
      <c r="B71" s="1" t="s">
        <v>34</v>
      </c>
      <c r="C71" s="1" t="s">
        <v>30</v>
      </c>
      <c r="D71" s="96">
        <v>6</v>
      </c>
      <c r="E71" s="96">
        <v>5</v>
      </c>
      <c r="F71" s="96">
        <v>1</v>
      </c>
      <c r="G71" s="96"/>
      <c r="H71" s="10">
        <v>16</v>
      </c>
      <c r="I71" s="4">
        <v>6</v>
      </c>
      <c r="J71" s="1">
        <v>5</v>
      </c>
      <c r="K71" s="1">
        <v>1</v>
      </c>
      <c r="L71" s="6"/>
      <c r="M71" s="5">
        <f t="shared" si="45"/>
        <v>0</v>
      </c>
      <c r="N71" s="1">
        <f t="shared" si="46"/>
        <v>0</v>
      </c>
      <c r="O71" s="1">
        <f t="shared" si="47"/>
        <v>0</v>
      </c>
      <c r="P71" s="6">
        <f t="shared" si="48"/>
        <v>0</v>
      </c>
      <c r="Q71" s="23">
        <v>42166</v>
      </c>
      <c r="R71" s="21">
        <f t="shared" si="50"/>
        <v>42182</v>
      </c>
      <c r="S71" s="41" t="str">
        <f t="shared" si="49"/>
        <v>готово</v>
      </c>
    </row>
    <row r="72" spans="1:19" x14ac:dyDescent="0.25">
      <c r="A72" s="1" t="s">
        <v>80</v>
      </c>
      <c r="B72" s="1" t="s">
        <v>34</v>
      </c>
      <c r="C72" s="1" t="s">
        <v>80</v>
      </c>
      <c r="D72" s="1">
        <v>10</v>
      </c>
      <c r="E72" s="1">
        <v>10</v>
      </c>
      <c r="F72" s="1">
        <v>1</v>
      </c>
      <c r="G72" s="1"/>
      <c r="H72" s="1">
        <v>30</v>
      </c>
      <c r="I72" s="4">
        <v>10</v>
      </c>
      <c r="J72" s="1">
        <v>10</v>
      </c>
      <c r="K72" s="1">
        <v>1</v>
      </c>
      <c r="L72" s="6"/>
      <c r="M72" s="5">
        <f t="shared" si="45"/>
        <v>0</v>
      </c>
      <c r="N72" s="1">
        <f t="shared" si="46"/>
        <v>0</v>
      </c>
      <c r="O72" s="1">
        <f t="shared" si="47"/>
        <v>0</v>
      </c>
      <c r="P72" s="6">
        <f t="shared" si="48"/>
        <v>0</v>
      </c>
      <c r="Q72" s="23">
        <v>42196</v>
      </c>
      <c r="R72" s="21">
        <f t="shared" si="50"/>
        <v>42226</v>
      </c>
      <c r="S72" s="41" t="str">
        <f t="shared" si="49"/>
        <v>нет</v>
      </c>
    </row>
    <row r="73" spans="1:19" x14ac:dyDescent="0.25">
      <c r="A73" s="1" t="s">
        <v>80</v>
      </c>
      <c r="B73" s="1" t="s">
        <v>34</v>
      </c>
      <c r="C73" s="1" t="s">
        <v>80</v>
      </c>
      <c r="D73" s="1">
        <v>10</v>
      </c>
      <c r="E73" s="1">
        <v>10</v>
      </c>
      <c r="F73" s="1">
        <v>1</v>
      </c>
      <c r="G73" s="1"/>
      <c r="H73" s="1">
        <v>30</v>
      </c>
      <c r="I73" s="4">
        <v>10</v>
      </c>
      <c r="J73" s="1">
        <v>10</v>
      </c>
      <c r="K73" s="1">
        <v>1</v>
      </c>
      <c r="L73" s="6"/>
      <c r="M73" s="5">
        <f t="shared" si="45"/>
        <v>0</v>
      </c>
      <c r="N73" s="1">
        <f t="shared" si="46"/>
        <v>0</v>
      </c>
      <c r="O73" s="1">
        <f t="shared" si="47"/>
        <v>0</v>
      </c>
      <c r="P73" s="6">
        <f t="shared" si="48"/>
        <v>0</v>
      </c>
      <c r="Q73" s="23">
        <v>42196</v>
      </c>
      <c r="R73" s="21">
        <f t="shared" si="50"/>
        <v>42226</v>
      </c>
      <c r="S73" s="41" t="str">
        <f t="shared" si="49"/>
        <v>нет</v>
      </c>
    </row>
    <row r="74" spans="1:19" x14ac:dyDescent="0.25">
      <c r="A74" s="1" t="s">
        <v>85</v>
      </c>
      <c r="B74" s="1" t="s">
        <v>34</v>
      </c>
      <c r="C74" s="1" t="s">
        <v>85</v>
      </c>
      <c r="D74" s="5">
        <v>3</v>
      </c>
      <c r="E74" s="1">
        <v>5</v>
      </c>
      <c r="F74" s="1">
        <v>1</v>
      </c>
      <c r="G74" s="6"/>
      <c r="H74" s="10">
        <v>12</v>
      </c>
      <c r="I74" s="4">
        <v>3</v>
      </c>
      <c r="J74" s="1">
        <v>5</v>
      </c>
      <c r="K74" s="1">
        <v>1</v>
      </c>
      <c r="L74" s="6"/>
      <c r="M74" s="5">
        <f t="shared" si="45"/>
        <v>0</v>
      </c>
      <c r="N74" s="1">
        <f t="shared" si="46"/>
        <v>0</v>
      </c>
      <c r="O74" s="1">
        <f t="shared" si="47"/>
        <v>0</v>
      </c>
      <c r="P74" s="6">
        <f t="shared" si="48"/>
        <v>0</v>
      </c>
      <c r="Q74" s="23">
        <v>42196</v>
      </c>
      <c r="R74" s="21">
        <f t="shared" si="50"/>
        <v>42208</v>
      </c>
      <c r="S74" s="41" t="str">
        <f t="shared" si="49"/>
        <v>готово</v>
      </c>
    </row>
    <row r="75" spans="1:19" x14ac:dyDescent="0.25">
      <c r="A75" s="1" t="s">
        <v>85</v>
      </c>
      <c r="B75" s="1" t="s">
        <v>34</v>
      </c>
      <c r="C75" s="1" t="s">
        <v>85</v>
      </c>
      <c r="D75" s="5">
        <v>3</v>
      </c>
      <c r="E75" s="1">
        <v>5</v>
      </c>
      <c r="F75" s="1">
        <v>1</v>
      </c>
      <c r="G75" s="6"/>
      <c r="H75" s="10">
        <v>12</v>
      </c>
      <c r="I75" s="4">
        <v>3</v>
      </c>
      <c r="J75" s="1">
        <v>5</v>
      </c>
      <c r="K75" s="1">
        <v>1</v>
      </c>
      <c r="L75" s="6"/>
      <c r="M75" s="5">
        <f t="shared" si="45"/>
        <v>0</v>
      </c>
      <c r="N75" s="1">
        <f t="shared" si="46"/>
        <v>0</v>
      </c>
      <c r="O75" s="1">
        <f t="shared" si="47"/>
        <v>0</v>
      </c>
      <c r="P75" s="6">
        <f t="shared" si="48"/>
        <v>0</v>
      </c>
      <c r="Q75" s="23">
        <v>42196</v>
      </c>
      <c r="R75" s="21">
        <f t="shared" si="50"/>
        <v>42208</v>
      </c>
      <c r="S75" s="41" t="str">
        <f t="shared" si="49"/>
        <v>готово</v>
      </c>
    </row>
    <row r="76" spans="1:19" x14ac:dyDescent="0.25">
      <c r="A76" s="1" t="s">
        <v>77</v>
      </c>
      <c r="B76" s="1" t="s">
        <v>34</v>
      </c>
      <c r="C76" s="1" t="s">
        <v>77</v>
      </c>
      <c r="D76" s="5">
        <v>30</v>
      </c>
      <c r="E76" s="1">
        <v>20</v>
      </c>
      <c r="F76" s="1">
        <v>20</v>
      </c>
      <c r="G76" s="6"/>
      <c r="H76" s="10">
        <v>8</v>
      </c>
      <c r="I76" s="4">
        <v>30</v>
      </c>
      <c r="J76" s="1">
        <v>20</v>
      </c>
      <c r="K76" s="1"/>
      <c r="L76" s="6"/>
      <c r="M76" s="5">
        <f t="shared" si="45"/>
        <v>0</v>
      </c>
      <c r="N76" s="1">
        <f t="shared" si="46"/>
        <v>0</v>
      </c>
      <c r="O76" s="1">
        <f t="shared" si="47"/>
        <v>20</v>
      </c>
      <c r="P76" s="6">
        <f t="shared" si="48"/>
        <v>0</v>
      </c>
      <c r="Q76" s="23">
        <v>42196</v>
      </c>
      <c r="R76" s="21">
        <f t="shared" si="50"/>
        <v>42204</v>
      </c>
      <c r="S76" s="41" t="str">
        <f t="shared" si="49"/>
        <v>нет</v>
      </c>
    </row>
    <row r="77" spans="1:19" x14ac:dyDescent="0.25">
      <c r="A77" s="1" t="s">
        <v>79</v>
      </c>
      <c r="B77" s="1" t="s">
        <v>34</v>
      </c>
      <c r="C77" s="3" t="s">
        <v>79</v>
      </c>
      <c r="D77" s="5">
        <v>25</v>
      </c>
      <c r="E77" s="1">
        <v>30</v>
      </c>
      <c r="F77" s="1">
        <v>15</v>
      </c>
      <c r="G77" s="6"/>
      <c r="H77" s="10">
        <v>0</v>
      </c>
      <c r="I77" s="4">
        <v>25</v>
      </c>
      <c r="J77" s="1">
        <v>30</v>
      </c>
      <c r="K77" s="1"/>
      <c r="L77" s="6"/>
      <c r="M77" s="5">
        <f t="shared" si="45"/>
        <v>0</v>
      </c>
      <c r="N77" s="1">
        <f t="shared" si="46"/>
        <v>0</v>
      </c>
      <c r="O77" s="1">
        <f t="shared" si="47"/>
        <v>15</v>
      </c>
      <c r="P77" s="6">
        <f t="shared" si="48"/>
        <v>0</v>
      </c>
      <c r="Q77" s="23">
        <v>42196</v>
      </c>
      <c r="R77" s="21">
        <f t="shared" si="50"/>
        <v>42196</v>
      </c>
      <c r="S77" s="41" t="str">
        <f t="shared" si="49"/>
        <v>нет</v>
      </c>
    </row>
    <row r="78" spans="1:19" x14ac:dyDescent="0.25">
      <c r="A78" s="1"/>
      <c r="B78" s="1"/>
      <c r="C78" s="3"/>
      <c r="D78" s="5"/>
      <c r="E78" s="1"/>
      <c r="F78" s="1"/>
      <c r="G78" s="6"/>
      <c r="H78" s="10"/>
      <c r="I78" s="4"/>
      <c r="J78" s="1"/>
      <c r="K78" s="1"/>
      <c r="L78" s="6"/>
      <c r="M78" s="5">
        <f t="shared" si="45"/>
        <v>0</v>
      </c>
      <c r="N78" s="1">
        <f t="shared" si="46"/>
        <v>0</v>
      </c>
      <c r="O78" s="1">
        <f t="shared" si="47"/>
        <v>0</v>
      </c>
      <c r="P78" s="6">
        <f t="shared" si="48"/>
        <v>0</v>
      </c>
      <c r="Q78" s="23"/>
      <c r="R78" s="21">
        <f t="shared" si="50"/>
        <v>0</v>
      </c>
      <c r="S78" s="41" t="str">
        <f t="shared" si="49"/>
        <v>готово</v>
      </c>
    </row>
    <row r="79" spans="1:19" x14ac:dyDescent="0.25">
      <c r="A79" s="1"/>
      <c r="B79" s="1"/>
      <c r="C79" s="3"/>
      <c r="D79" s="5"/>
      <c r="E79" s="1"/>
      <c r="F79" s="1"/>
      <c r="G79" s="6"/>
      <c r="H79" s="10"/>
      <c r="I79" s="4"/>
      <c r="J79" s="1"/>
      <c r="K79" s="1"/>
      <c r="L79" s="6"/>
      <c r="M79" s="5">
        <f t="shared" si="45"/>
        <v>0</v>
      </c>
      <c r="N79" s="1">
        <f t="shared" si="46"/>
        <v>0</v>
      </c>
      <c r="O79" s="1">
        <f t="shared" si="47"/>
        <v>0</v>
      </c>
      <c r="P79" s="6">
        <f t="shared" si="48"/>
        <v>0</v>
      </c>
      <c r="Q79" s="23"/>
      <c r="R79" s="21">
        <f t="shared" si="50"/>
        <v>0</v>
      </c>
      <c r="S79" s="41" t="str">
        <f t="shared" si="49"/>
        <v>готово</v>
      </c>
    </row>
    <row r="80" spans="1:19" x14ac:dyDescent="0.25">
      <c r="A80" s="1"/>
      <c r="B80" s="1"/>
      <c r="C80" s="3"/>
      <c r="D80" s="5"/>
      <c r="E80" s="1"/>
      <c r="F80" s="1"/>
      <c r="G80" s="6"/>
      <c r="H80" s="10"/>
      <c r="I80" s="4"/>
      <c r="J80" s="1"/>
      <c r="K80" s="1"/>
      <c r="L80" s="6"/>
      <c r="M80" s="5">
        <f t="shared" si="45"/>
        <v>0</v>
      </c>
      <c r="N80" s="1">
        <f t="shared" si="46"/>
        <v>0</v>
      </c>
      <c r="O80" s="1">
        <f t="shared" si="47"/>
        <v>0</v>
      </c>
      <c r="P80" s="6">
        <f t="shared" si="48"/>
        <v>0</v>
      </c>
      <c r="Q80" s="23"/>
      <c r="R80" s="21">
        <f t="shared" si="50"/>
        <v>0</v>
      </c>
      <c r="S80" s="41" t="str">
        <f t="shared" si="49"/>
        <v>готово</v>
      </c>
    </row>
    <row r="81" spans="1:19" x14ac:dyDescent="0.25">
      <c r="A81" s="1"/>
      <c r="B81" s="1"/>
      <c r="C81" s="3"/>
      <c r="D81" s="5"/>
      <c r="E81" s="1"/>
      <c r="F81" s="1"/>
      <c r="G81" s="6"/>
      <c r="H81" s="10"/>
      <c r="I81" s="4"/>
      <c r="J81" s="1"/>
      <c r="K81" s="1"/>
      <c r="L81" s="6"/>
      <c r="M81" s="5">
        <f t="shared" si="45"/>
        <v>0</v>
      </c>
      <c r="N81" s="1">
        <f t="shared" si="46"/>
        <v>0</v>
      </c>
      <c r="O81" s="1">
        <f t="shared" si="47"/>
        <v>0</v>
      </c>
      <c r="P81" s="6">
        <f t="shared" si="48"/>
        <v>0</v>
      </c>
      <c r="Q81" s="23"/>
      <c r="R81" s="21">
        <f t="shared" si="50"/>
        <v>0</v>
      </c>
      <c r="S81" s="41" t="str">
        <f t="shared" si="49"/>
        <v>готово</v>
      </c>
    </row>
    <row r="82" spans="1:19" x14ac:dyDescent="0.25">
      <c r="A82" s="1"/>
      <c r="B82" s="1"/>
      <c r="C82" s="3"/>
      <c r="D82" s="5"/>
      <c r="E82" s="1"/>
      <c r="F82" s="1"/>
      <c r="G82" s="6"/>
      <c r="H82" s="10"/>
      <c r="I82" s="4"/>
      <c r="J82" s="1"/>
      <c r="K82" s="1"/>
      <c r="L82" s="6"/>
      <c r="M82" s="5">
        <f t="shared" ref="M82:M103" si="51">D82-I82</f>
        <v>0</v>
      </c>
      <c r="N82" s="1">
        <f t="shared" ref="N82:N103" si="52">E82-J82</f>
        <v>0</v>
      </c>
      <c r="O82" s="1">
        <f t="shared" ref="O82:O103" si="53">F82-K82</f>
        <v>0</v>
      </c>
      <c r="P82" s="6">
        <f t="shared" ref="P82:P103" si="54">G82-L82</f>
        <v>0</v>
      </c>
      <c r="Q82" s="23"/>
      <c r="R82" s="21">
        <f t="shared" si="50"/>
        <v>0</v>
      </c>
      <c r="S82" s="41" t="str">
        <f t="shared" si="49"/>
        <v>готово</v>
      </c>
    </row>
    <row r="83" spans="1:19" x14ac:dyDescent="0.25">
      <c r="A83" s="1"/>
      <c r="B83" s="1"/>
      <c r="C83" s="3"/>
      <c r="D83" s="5"/>
      <c r="E83" s="1"/>
      <c r="F83" s="1"/>
      <c r="G83" s="6"/>
      <c r="H83" s="10"/>
      <c r="I83" s="4"/>
      <c r="J83" s="1"/>
      <c r="K83" s="1"/>
      <c r="L83" s="6"/>
      <c r="M83" s="5">
        <f t="shared" si="51"/>
        <v>0</v>
      </c>
      <c r="N83" s="1">
        <f t="shared" si="52"/>
        <v>0</v>
      </c>
      <c r="O83" s="1">
        <f t="shared" si="53"/>
        <v>0</v>
      </c>
      <c r="P83" s="6">
        <f t="shared" si="54"/>
        <v>0</v>
      </c>
      <c r="Q83" s="23"/>
      <c r="R83" s="21">
        <f t="shared" si="50"/>
        <v>0</v>
      </c>
      <c r="S83" s="41" t="str">
        <f t="shared" si="49"/>
        <v>готово</v>
      </c>
    </row>
    <row r="84" spans="1:19" x14ac:dyDescent="0.25">
      <c r="A84" s="1"/>
      <c r="B84" s="1"/>
      <c r="C84" s="3"/>
      <c r="D84" s="5"/>
      <c r="E84" s="1"/>
      <c r="F84" s="1"/>
      <c r="G84" s="6"/>
      <c r="H84" s="10"/>
      <c r="I84" s="4"/>
      <c r="J84" s="1"/>
      <c r="K84" s="1"/>
      <c r="L84" s="6"/>
      <c r="M84" s="5">
        <f t="shared" si="51"/>
        <v>0</v>
      </c>
      <c r="N84" s="1">
        <f t="shared" si="52"/>
        <v>0</v>
      </c>
      <c r="O84" s="1">
        <f t="shared" si="53"/>
        <v>0</v>
      </c>
      <c r="P84" s="6">
        <f t="shared" si="54"/>
        <v>0</v>
      </c>
      <c r="Q84" s="23"/>
      <c r="R84" s="21">
        <f t="shared" si="50"/>
        <v>0</v>
      </c>
      <c r="S84" s="41" t="str">
        <f t="shared" si="49"/>
        <v>готово</v>
      </c>
    </row>
    <row r="85" spans="1:19" x14ac:dyDescent="0.25">
      <c r="A85" s="1"/>
      <c r="B85" s="1"/>
      <c r="C85" s="3"/>
      <c r="D85" s="5"/>
      <c r="E85" s="1"/>
      <c r="F85" s="1"/>
      <c r="G85" s="6"/>
      <c r="H85" s="10"/>
      <c r="I85" s="4"/>
      <c r="J85" s="1"/>
      <c r="K85" s="1"/>
      <c r="L85" s="6"/>
      <c r="M85" s="5">
        <f t="shared" si="51"/>
        <v>0</v>
      </c>
      <c r="N85" s="1">
        <f t="shared" si="52"/>
        <v>0</v>
      </c>
      <c r="O85" s="1">
        <f t="shared" si="53"/>
        <v>0</v>
      </c>
      <c r="P85" s="6">
        <f t="shared" si="54"/>
        <v>0</v>
      </c>
      <c r="Q85" s="23"/>
      <c r="R85" s="21">
        <f t="shared" si="50"/>
        <v>0</v>
      </c>
      <c r="S85" s="41" t="str">
        <f t="shared" si="49"/>
        <v>готово</v>
      </c>
    </row>
    <row r="86" spans="1:19" x14ac:dyDescent="0.25">
      <c r="A86" s="1"/>
      <c r="B86" s="1"/>
      <c r="C86" s="3"/>
      <c r="D86" s="5"/>
      <c r="E86" s="1"/>
      <c r="F86" s="1"/>
      <c r="G86" s="6"/>
      <c r="H86" s="10"/>
      <c r="I86" s="4"/>
      <c r="J86" s="1"/>
      <c r="K86" s="1"/>
      <c r="L86" s="6"/>
      <c r="M86" s="5">
        <f t="shared" si="51"/>
        <v>0</v>
      </c>
      <c r="N86" s="1">
        <f t="shared" si="52"/>
        <v>0</v>
      </c>
      <c r="O86" s="1">
        <f t="shared" si="53"/>
        <v>0</v>
      </c>
      <c r="P86" s="6">
        <f t="shared" si="54"/>
        <v>0</v>
      </c>
      <c r="Q86" s="23"/>
      <c r="R86" s="21">
        <f t="shared" si="50"/>
        <v>0</v>
      </c>
      <c r="S86" s="41" t="str">
        <f t="shared" si="49"/>
        <v>готово</v>
      </c>
    </row>
    <row r="87" spans="1:19" x14ac:dyDescent="0.25">
      <c r="A87" s="1"/>
      <c r="B87" s="1"/>
      <c r="C87" s="3"/>
      <c r="D87" s="5"/>
      <c r="E87" s="1"/>
      <c r="F87" s="1"/>
      <c r="G87" s="6"/>
      <c r="H87" s="10"/>
      <c r="I87" s="4"/>
      <c r="J87" s="1"/>
      <c r="K87" s="1"/>
      <c r="L87" s="6"/>
      <c r="M87" s="5">
        <f t="shared" si="51"/>
        <v>0</v>
      </c>
      <c r="N87" s="1">
        <f t="shared" si="52"/>
        <v>0</v>
      </c>
      <c r="O87" s="1">
        <f t="shared" si="53"/>
        <v>0</v>
      </c>
      <c r="P87" s="6">
        <f t="shared" si="54"/>
        <v>0</v>
      </c>
      <c r="Q87" s="23"/>
      <c r="R87" s="21">
        <f t="shared" si="50"/>
        <v>0</v>
      </c>
      <c r="S87" s="41" t="str">
        <f t="shared" si="49"/>
        <v>готово</v>
      </c>
    </row>
    <row r="88" spans="1:19" x14ac:dyDescent="0.25">
      <c r="A88" s="1"/>
      <c r="B88" s="1"/>
      <c r="C88" s="3"/>
      <c r="D88" s="5"/>
      <c r="E88" s="1"/>
      <c r="F88" s="1"/>
      <c r="G88" s="6"/>
      <c r="H88" s="10"/>
      <c r="I88" s="4"/>
      <c r="J88" s="1"/>
      <c r="K88" s="1"/>
      <c r="L88" s="6"/>
      <c r="M88" s="5">
        <f t="shared" si="51"/>
        <v>0</v>
      </c>
      <c r="N88" s="1">
        <f t="shared" si="52"/>
        <v>0</v>
      </c>
      <c r="O88" s="1">
        <f t="shared" si="53"/>
        <v>0</v>
      </c>
      <c r="P88" s="6">
        <f t="shared" si="54"/>
        <v>0</v>
      </c>
      <c r="Q88" s="23"/>
      <c r="R88" s="21">
        <f t="shared" si="50"/>
        <v>0</v>
      </c>
      <c r="S88" s="41" t="str">
        <f t="shared" si="49"/>
        <v>готово</v>
      </c>
    </row>
    <row r="89" spans="1:19" x14ac:dyDescent="0.25">
      <c r="A89" s="1"/>
      <c r="B89" s="1"/>
      <c r="C89" s="3"/>
      <c r="D89" s="5"/>
      <c r="E89" s="1"/>
      <c r="F89" s="1"/>
      <c r="G89" s="6"/>
      <c r="H89" s="10"/>
      <c r="I89" s="4"/>
      <c r="J89" s="1"/>
      <c r="K89" s="1"/>
      <c r="L89" s="6"/>
      <c r="M89" s="5">
        <f t="shared" si="51"/>
        <v>0</v>
      </c>
      <c r="N89" s="1">
        <f t="shared" si="52"/>
        <v>0</v>
      </c>
      <c r="O89" s="1">
        <f t="shared" si="53"/>
        <v>0</v>
      </c>
      <c r="P89" s="6">
        <f t="shared" si="54"/>
        <v>0</v>
      </c>
      <c r="Q89" s="23"/>
      <c r="R89" s="21">
        <f t="shared" si="50"/>
        <v>0</v>
      </c>
      <c r="S89" s="41" t="str">
        <f t="shared" si="49"/>
        <v>готово</v>
      </c>
    </row>
    <row r="90" spans="1:19" x14ac:dyDescent="0.25">
      <c r="A90" s="1"/>
      <c r="B90" s="1"/>
      <c r="C90" s="3"/>
      <c r="D90" s="5"/>
      <c r="E90" s="1"/>
      <c r="F90" s="1"/>
      <c r="G90" s="6"/>
      <c r="H90" s="10"/>
      <c r="I90" s="4"/>
      <c r="J90" s="1"/>
      <c r="K90" s="1"/>
      <c r="L90" s="6"/>
      <c r="M90" s="5">
        <f t="shared" si="51"/>
        <v>0</v>
      </c>
      <c r="N90" s="1">
        <f t="shared" si="52"/>
        <v>0</v>
      </c>
      <c r="O90" s="1">
        <f t="shared" si="53"/>
        <v>0</v>
      </c>
      <c r="P90" s="6">
        <f t="shared" si="54"/>
        <v>0</v>
      </c>
      <c r="Q90" s="23"/>
      <c r="R90" s="21">
        <f t="shared" si="50"/>
        <v>0</v>
      </c>
      <c r="S90" s="41" t="str">
        <f t="shared" si="49"/>
        <v>готово</v>
      </c>
    </row>
    <row r="91" spans="1:19" x14ac:dyDescent="0.25">
      <c r="A91" s="1"/>
      <c r="B91" s="1"/>
      <c r="C91" s="3"/>
      <c r="D91" s="5"/>
      <c r="E91" s="1"/>
      <c r="F91" s="1"/>
      <c r="G91" s="6"/>
      <c r="H91" s="10"/>
      <c r="I91" s="4"/>
      <c r="J91" s="1"/>
      <c r="K91" s="1"/>
      <c r="L91" s="6"/>
      <c r="M91" s="5">
        <f t="shared" si="51"/>
        <v>0</v>
      </c>
      <c r="N91" s="1">
        <f t="shared" si="52"/>
        <v>0</v>
      </c>
      <c r="O91" s="1">
        <f t="shared" si="53"/>
        <v>0</v>
      </c>
      <c r="P91" s="6">
        <f t="shared" si="54"/>
        <v>0</v>
      </c>
      <c r="Q91" s="23"/>
      <c r="R91" s="21">
        <f t="shared" si="50"/>
        <v>0</v>
      </c>
      <c r="S91" s="41" t="str">
        <f t="shared" si="49"/>
        <v>готово</v>
      </c>
    </row>
    <row r="92" spans="1:19" x14ac:dyDescent="0.25">
      <c r="A92" s="1"/>
      <c r="B92" s="1"/>
      <c r="C92" s="3"/>
      <c r="D92" s="5"/>
      <c r="E92" s="1"/>
      <c r="F92" s="1"/>
      <c r="G92" s="6"/>
      <c r="H92" s="10"/>
      <c r="I92" s="4"/>
      <c r="J92" s="1"/>
      <c r="K92" s="1"/>
      <c r="L92" s="6"/>
      <c r="M92" s="5">
        <f t="shared" si="51"/>
        <v>0</v>
      </c>
      <c r="N92" s="1">
        <f t="shared" si="52"/>
        <v>0</v>
      </c>
      <c r="O92" s="1">
        <f t="shared" si="53"/>
        <v>0</v>
      </c>
      <c r="P92" s="6">
        <f t="shared" si="54"/>
        <v>0</v>
      </c>
      <c r="Q92" s="23"/>
      <c r="R92" s="21">
        <f t="shared" si="50"/>
        <v>0</v>
      </c>
      <c r="S92" s="41" t="str">
        <f t="shared" si="49"/>
        <v>готово</v>
      </c>
    </row>
    <row r="93" spans="1:19" x14ac:dyDescent="0.25">
      <c r="A93" s="1"/>
      <c r="B93" s="1"/>
      <c r="C93" s="3"/>
      <c r="D93" s="5"/>
      <c r="E93" s="1"/>
      <c r="F93" s="1"/>
      <c r="G93" s="6"/>
      <c r="H93" s="10"/>
      <c r="I93" s="4"/>
      <c r="J93" s="1"/>
      <c r="K93" s="1"/>
      <c r="L93" s="6"/>
      <c r="M93" s="5">
        <f t="shared" si="51"/>
        <v>0</v>
      </c>
      <c r="N93" s="1">
        <f t="shared" si="52"/>
        <v>0</v>
      </c>
      <c r="O93" s="1">
        <f t="shared" si="53"/>
        <v>0</v>
      </c>
      <c r="P93" s="6">
        <f t="shared" si="54"/>
        <v>0</v>
      </c>
      <c r="Q93" s="23"/>
      <c r="R93" s="21">
        <f t="shared" si="50"/>
        <v>0</v>
      </c>
      <c r="S93" s="41" t="str">
        <f t="shared" si="49"/>
        <v>готово</v>
      </c>
    </row>
    <row r="94" spans="1:19" x14ac:dyDescent="0.25">
      <c r="A94" s="1"/>
      <c r="B94" s="1"/>
      <c r="C94" s="3"/>
      <c r="D94" s="5"/>
      <c r="E94" s="1"/>
      <c r="F94" s="1"/>
      <c r="G94" s="6"/>
      <c r="H94" s="10"/>
      <c r="I94" s="4"/>
      <c r="J94" s="1"/>
      <c r="K94" s="1"/>
      <c r="L94" s="6"/>
      <c r="M94" s="5">
        <f t="shared" si="51"/>
        <v>0</v>
      </c>
      <c r="N94" s="1">
        <f t="shared" si="52"/>
        <v>0</v>
      </c>
      <c r="O94" s="1">
        <f t="shared" si="53"/>
        <v>0</v>
      </c>
      <c r="P94" s="6">
        <f t="shared" si="54"/>
        <v>0</v>
      </c>
      <c r="Q94" s="23"/>
      <c r="R94" s="21">
        <f t="shared" si="50"/>
        <v>0</v>
      </c>
      <c r="S94" s="41" t="str">
        <f t="shared" si="49"/>
        <v>готово</v>
      </c>
    </row>
    <row r="95" spans="1:19" x14ac:dyDescent="0.25">
      <c r="A95" s="1"/>
      <c r="B95" s="1"/>
      <c r="C95" s="3"/>
      <c r="D95" s="5"/>
      <c r="E95" s="1"/>
      <c r="F95" s="1"/>
      <c r="G95" s="6"/>
      <c r="H95" s="10"/>
      <c r="I95" s="4"/>
      <c r="J95" s="1"/>
      <c r="K95" s="1"/>
      <c r="L95" s="6"/>
      <c r="M95" s="5">
        <f t="shared" si="51"/>
        <v>0</v>
      </c>
      <c r="N95" s="1">
        <f t="shared" si="52"/>
        <v>0</v>
      </c>
      <c r="O95" s="1">
        <f t="shared" si="53"/>
        <v>0</v>
      </c>
      <c r="P95" s="6">
        <f t="shared" si="54"/>
        <v>0</v>
      </c>
      <c r="Q95" s="23"/>
      <c r="R95" s="21">
        <f t="shared" si="50"/>
        <v>0</v>
      </c>
      <c r="S95" s="41" t="str">
        <f t="shared" si="49"/>
        <v>готово</v>
      </c>
    </row>
    <row r="96" spans="1:19" x14ac:dyDescent="0.25">
      <c r="A96" s="1"/>
      <c r="B96" s="1"/>
      <c r="C96" s="3"/>
      <c r="D96" s="5"/>
      <c r="E96" s="1"/>
      <c r="F96" s="1"/>
      <c r="G96" s="6"/>
      <c r="H96" s="10"/>
      <c r="I96" s="4"/>
      <c r="J96" s="1"/>
      <c r="K96" s="1"/>
      <c r="L96" s="6"/>
      <c r="M96" s="5">
        <f t="shared" si="51"/>
        <v>0</v>
      </c>
      <c r="N96" s="1">
        <f t="shared" si="52"/>
        <v>0</v>
      </c>
      <c r="O96" s="1">
        <f t="shared" si="53"/>
        <v>0</v>
      </c>
      <c r="P96" s="6">
        <f t="shared" si="54"/>
        <v>0</v>
      </c>
      <c r="Q96" s="23"/>
      <c r="R96" s="21">
        <f t="shared" si="50"/>
        <v>0</v>
      </c>
      <c r="S96" s="41" t="str">
        <f t="shared" si="49"/>
        <v>готово</v>
      </c>
    </row>
    <row r="97" spans="1:19" x14ac:dyDescent="0.25">
      <c r="A97" s="1"/>
      <c r="B97" s="1"/>
      <c r="C97" s="3"/>
      <c r="D97" s="5"/>
      <c r="E97" s="1"/>
      <c r="F97" s="1"/>
      <c r="G97" s="6"/>
      <c r="H97" s="10"/>
      <c r="I97" s="4"/>
      <c r="J97" s="1"/>
      <c r="K97" s="1"/>
      <c r="L97" s="6"/>
      <c r="M97" s="5">
        <f t="shared" si="51"/>
        <v>0</v>
      </c>
      <c r="N97" s="1">
        <f t="shared" si="52"/>
        <v>0</v>
      </c>
      <c r="O97" s="1">
        <f t="shared" si="53"/>
        <v>0</v>
      </c>
      <c r="P97" s="6">
        <f t="shared" si="54"/>
        <v>0</v>
      </c>
      <c r="Q97" s="23"/>
      <c r="R97" s="21">
        <f t="shared" si="50"/>
        <v>0</v>
      </c>
      <c r="S97" s="41" t="str">
        <f t="shared" si="49"/>
        <v>готово</v>
      </c>
    </row>
    <row r="98" spans="1:19" x14ac:dyDescent="0.25">
      <c r="A98" s="1"/>
      <c r="B98" s="1"/>
      <c r="C98" s="3"/>
      <c r="D98" s="5"/>
      <c r="E98" s="1"/>
      <c r="F98" s="1"/>
      <c r="G98" s="6"/>
      <c r="H98" s="10"/>
      <c r="I98" s="4"/>
      <c r="J98" s="1"/>
      <c r="K98" s="1"/>
      <c r="L98" s="6"/>
      <c r="M98" s="5">
        <f t="shared" si="51"/>
        <v>0</v>
      </c>
      <c r="N98" s="1">
        <f t="shared" si="52"/>
        <v>0</v>
      </c>
      <c r="O98" s="1">
        <f t="shared" si="53"/>
        <v>0</v>
      </c>
      <c r="P98" s="6">
        <f t="shared" si="54"/>
        <v>0</v>
      </c>
      <c r="Q98" s="23"/>
      <c r="R98" s="21">
        <f t="shared" si="50"/>
        <v>0</v>
      </c>
      <c r="S98" s="41" t="str">
        <f t="shared" si="49"/>
        <v>готово</v>
      </c>
    </row>
    <row r="99" spans="1:19" x14ac:dyDescent="0.25">
      <c r="A99" s="1"/>
      <c r="B99" s="1"/>
      <c r="C99" s="3"/>
      <c r="D99" s="5"/>
      <c r="E99" s="1"/>
      <c r="F99" s="1"/>
      <c r="G99" s="6"/>
      <c r="H99" s="10"/>
      <c r="I99" s="4"/>
      <c r="J99" s="1"/>
      <c r="K99" s="1"/>
      <c r="L99" s="6"/>
      <c r="M99" s="5">
        <f t="shared" si="51"/>
        <v>0</v>
      </c>
      <c r="N99" s="1">
        <f t="shared" si="52"/>
        <v>0</v>
      </c>
      <c r="O99" s="1">
        <f t="shared" si="53"/>
        <v>0</v>
      </c>
      <c r="P99" s="6">
        <f t="shared" si="54"/>
        <v>0</v>
      </c>
      <c r="Q99" s="23"/>
      <c r="R99" s="21">
        <f t="shared" si="50"/>
        <v>0</v>
      </c>
      <c r="S99" s="41" t="str">
        <f t="shared" si="49"/>
        <v>готово</v>
      </c>
    </row>
    <row r="100" spans="1:19" x14ac:dyDescent="0.25">
      <c r="A100" s="1"/>
      <c r="B100" s="1"/>
      <c r="C100" s="3"/>
      <c r="D100" s="5"/>
      <c r="E100" s="1"/>
      <c r="F100" s="1"/>
      <c r="G100" s="6"/>
      <c r="H100" s="10"/>
      <c r="I100" s="4"/>
      <c r="J100" s="1"/>
      <c r="K100" s="1"/>
      <c r="L100" s="6"/>
      <c r="M100" s="5">
        <f t="shared" si="51"/>
        <v>0</v>
      </c>
      <c r="N100" s="1">
        <f t="shared" si="52"/>
        <v>0</v>
      </c>
      <c r="O100" s="1">
        <f t="shared" si="53"/>
        <v>0</v>
      </c>
      <c r="P100" s="6">
        <f t="shared" si="54"/>
        <v>0</v>
      </c>
      <c r="Q100" s="23"/>
      <c r="R100" s="21">
        <f t="shared" si="50"/>
        <v>0</v>
      </c>
      <c r="S100" s="41" t="str">
        <f t="shared" si="49"/>
        <v>готово</v>
      </c>
    </row>
    <row r="101" spans="1:19" x14ac:dyDescent="0.25">
      <c r="A101" s="1"/>
      <c r="B101" s="1"/>
      <c r="C101" s="3"/>
      <c r="D101" s="5"/>
      <c r="E101" s="1"/>
      <c r="F101" s="1"/>
      <c r="G101" s="6"/>
      <c r="H101" s="10"/>
      <c r="I101" s="4"/>
      <c r="J101" s="1"/>
      <c r="K101" s="1"/>
      <c r="L101" s="6"/>
      <c r="M101" s="5">
        <f t="shared" si="51"/>
        <v>0</v>
      </c>
      <c r="N101" s="1">
        <f t="shared" si="52"/>
        <v>0</v>
      </c>
      <c r="O101" s="1">
        <f t="shared" si="53"/>
        <v>0</v>
      </c>
      <c r="P101" s="6">
        <f t="shared" si="54"/>
        <v>0</v>
      </c>
      <c r="Q101" s="23"/>
      <c r="R101" s="21">
        <f t="shared" si="50"/>
        <v>0</v>
      </c>
      <c r="S101" s="41" t="str">
        <f t="shared" si="49"/>
        <v>готово</v>
      </c>
    </row>
    <row r="102" spans="1:19" x14ac:dyDescent="0.25">
      <c r="A102" s="1"/>
      <c r="B102" s="1"/>
      <c r="C102" s="3"/>
      <c r="D102" s="5"/>
      <c r="E102" s="1"/>
      <c r="F102" s="1"/>
      <c r="G102" s="6"/>
      <c r="H102" s="10"/>
      <c r="I102" s="4"/>
      <c r="J102" s="1"/>
      <c r="K102" s="1"/>
      <c r="L102" s="6"/>
      <c r="M102" s="5">
        <f t="shared" si="51"/>
        <v>0</v>
      </c>
      <c r="N102" s="1">
        <f t="shared" si="52"/>
        <v>0</v>
      </c>
      <c r="O102" s="1">
        <f t="shared" si="53"/>
        <v>0</v>
      </c>
      <c r="P102" s="6">
        <f t="shared" si="54"/>
        <v>0</v>
      </c>
      <c r="Q102" s="23"/>
      <c r="R102" s="21">
        <f t="shared" si="50"/>
        <v>0</v>
      </c>
      <c r="S102" s="41" t="str">
        <f t="shared" si="49"/>
        <v>готово</v>
      </c>
    </row>
    <row r="103" spans="1:19" ht="15.75" thickBot="1" x14ac:dyDescent="0.3">
      <c r="A103" s="1"/>
      <c r="B103" s="1"/>
      <c r="C103" s="3"/>
      <c r="D103" s="7"/>
      <c r="E103" s="8"/>
      <c r="F103" s="8"/>
      <c r="G103" s="9"/>
      <c r="H103" s="11"/>
      <c r="I103" s="12"/>
      <c r="J103" s="8"/>
      <c r="K103" s="8"/>
      <c r="L103" s="9"/>
      <c r="M103" s="5">
        <f t="shared" si="51"/>
        <v>0</v>
      </c>
      <c r="N103" s="1">
        <f t="shared" si="52"/>
        <v>0</v>
      </c>
      <c r="O103" s="1">
        <f t="shared" si="53"/>
        <v>0</v>
      </c>
      <c r="P103" s="6">
        <f t="shared" si="54"/>
        <v>0</v>
      </c>
      <c r="Q103" s="24"/>
      <c r="R103" s="25">
        <f t="shared" si="50"/>
        <v>0</v>
      </c>
      <c r="S103" s="41" t="str">
        <f t="shared" si="49"/>
        <v>готово</v>
      </c>
    </row>
  </sheetData>
  <autoFilter ref="A1:S103">
    <filterColumn colId="3" showButton="0"/>
    <filterColumn colId="4" showButton="0"/>
    <filterColumn colId="5" showButton="0"/>
    <filterColumn colId="8" showButton="0"/>
    <filterColumn colId="9" showButton="0"/>
    <filterColumn colId="10" showButton="0"/>
    <filterColumn colId="12" showButton="0"/>
    <filterColumn colId="13" showButton="0"/>
    <filterColumn colId="14" showButton="0"/>
  </autoFilter>
  <mergeCells count="13">
    <mergeCell ref="A3:H3"/>
    <mergeCell ref="Q3:S3"/>
    <mergeCell ref="T1:W1"/>
    <mergeCell ref="A1:A2"/>
    <mergeCell ref="M1:P1"/>
    <mergeCell ref="Q1:Q2"/>
    <mergeCell ref="B1:B2"/>
    <mergeCell ref="R1:R2"/>
    <mergeCell ref="H1:H2"/>
    <mergeCell ref="D1:G1"/>
    <mergeCell ref="I1:L1"/>
    <mergeCell ref="C1:C2"/>
    <mergeCell ref="S1:S2"/>
  </mergeCells>
  <conditionalFormatting sqref="M24:P28 M4:P11 M13:P14 M37:P37 M39:P42 M44:P103 M17:P17">
    <cfRule type="cellIs" dxfId="37" priority="33" operator="equal">
      <formula>0</formula>
    </cfRule>
    <cfRule type="cellIs" dxfId="36" priority="34" operator="greaterThan">
      <formula>0</formula>
    </cfRule>
  </conditionalFormatting>
  <conditionalFormatting sqref="M18:P20">
    <cfRule type="cellIs" dxfId="35" priority="31" operator="equal">
      <formula>0</formula>
    </cfRule>
    <cfRule type="cellIs" dxfId="34" priority="32" operator="greaterThan">
      <formula>0</formula>
    </cfRule>
  </conditionalFormatting>
  <conditionalFormatting sqref="M20:P20">
    <cfRule type="cellIs" dxfId="33" priority="29" operator="equal">
      <formula>0</formula>
    </cfRule>
    <cfRule type="cellIs" dxfId="32" priority="30" operator="greaterThan">
      <formula>0</formula>
    </cfRule>
  </conditionalFormatting>
  <conditionalFormatting sqref="M21:P21">
    <cfRule type="cellIs" dxfId="31" priority="27" operator="equal">
      <formula>0</formula>
    </cfRule>
    <cfRule type="cellIs" dxfId="30" priority="28" operator="greaterThan">
      <formula>0</formula>
    </cfRule>
  </conditionalFormatting>
  <conditionalFormatting sqref="M29:P29">
    <cfRule type="cellIs" dxfId="29" priority="25" operator="equal">
      <formula>0</formula>
    </cfRule>
    <cfRule type="cellIs" dxfId="28" priority="26" operator="greaterThan">
      <formula>0</formula>
    </cfRule>
  </conditionalFormatting>
  <conditionalFormatting sqref="M31:P31">
    <cfRule type="cellIs" dxfId="27" priority="23" operator="equal">
      <formula>0</formula>
    </cfRule>
    <cfRule type="cellIs" dxfId="26" priority="24" operator="greaterThan">
      <formula>0</formula>
    </cfRule>
  </conditionalFormatting>
  <conditionalFormatting sqref="M22:P23">
    <cfRule type="cellIs" dxfId="25" priority="21" operator="equal">
      <formula>0</formula>
    </cfRule>
    <cfRule type="cellIs" dxfId="24" priority="22" operator="greaterThan">
      <formula>0</formula>
    </cfRule>
  </conditionalFormatting>
  <conditionalFormatting sqref="M15:P15">
    <cfRule type="cellIs" dxfId="23" priority="19" operator="equal">
      <formula>0</formula>
    </cfRule>
    <cfRule type="cellIs" dxfId="22" priority="20" operator="greaterThan">
      <formula>0</formula>
    </cfRule>
  </conditionalFormatting>
  <conditionalFormatting sqref="M16:P16">
    <cfRule type="cellIs" dxfId="21" priority="17" operator="equal">
      <formula>0</formula>
    </cfRule>
    <cfRule type="cellIs" dxfId="20" priority="18" operator="greaterThan">
      <formula>0</formula>
    </cfRule>
  </conditionalFormatting>
  <conditionalFormatting sqref="M12:P12">
    <cfRule type="cellIs" dxfId="19" priority="15" operator="equal">
      <formula>0</formula>
    </cfRule>
    <cfRule type="cellIs" dxfId="18" priority="16" operator="greaterThan">
      <formula>0</formula>
    </cfRule>
  </conditionalFormatting>
  <conditionalFormatting sqref="M32:P32">
    <cfRule type="cellIs" dxfId="17" priority="13" operator="equal">
      <formula>0</formula>
    </cfRule>
    <cfRule type="cellIs" dxfId="16" priority="14" operator="greaterThan">
      <formula>0</formula>
    </cfRule>
  </conditionalFormatting>
  <conditionalFormatting sqref="M30:P30">
    <cfRule type="cellIs" dxfId="15" priority="3" operator="equal">
      <formula>0</formula>
    </cfRule>
    <cfRule type="cellIs" dxfId="14" priority="4" operator="greaterThan">
      <formula>0</formula>
    </cfRule>
  </conditionalFormatting>
  <conditionalFormatting sqref="M34:P34">
    <cfRule type="cellIs" dxfId="13" priority="11" operator="equal">
      <formula>0</formula>
    </cfRule>
    <cfRule type="cellIs" dxfId="12" priority="12" operator="greaterThan">
      <formula>0</formula>
    </cfRule>
  </conditionalFormatting>
  <conditionalFormatting sqref="M35:P36">
    <cfRule type="cellIs" dxfId="11" priority="9" operator="equal">
      <formula>0</formula>
    </cfRule>
    <cfRule type="cellIs" dxfId="10" priority="10" operator="greaterThan">
      <formula>0</formula>
    </cfRule>
  </conditionalFormatting>
  <conditionalFormatting sqref="M38:P38">
    <cfRule type="cellIs" dxfId="9" priority="7" operator="equal">
      <formula>0</formula>
    </cfRule>
    <cfRule type="cellIs" dxfId="8" priority="8" operator="greaterThan">
      <formula>0</formula>
    </cfRule>
  </conditionalFormatting>
  <conditionalFormatting sqref="M33:P33">
    <cfRule type="cellIs" dxfId="7" priority="5" operator="equal">
      <formula>0</formula>
    </cfRule>
    <cfRule type="cellIs" dxfId="6" priority="6" operator="greaterThan">
      <formula>0</formula>
    </cfRule>
  </conditionalFormatting>
  <conditionalFormatting sqref="M43:P43">
    <cfRule type="cellIs" dxfId="5" priority="1" operator="equal">
      <formula>0</formula>
    </cfRule>
    <cfRule type="cellIs" dxfId="4" priority="2" operator="greaterThan">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
  <sheetViews>
    <sheetView workbookViewId="0">
      <pane ySplit="2" topLeftCell="A18" activePane="bottomLeft" state="frozen"/>
      <selection pane="bottomLeft" activeCell="G28" sqref="G28"/>
    </sheetView>
  </sheetViews>
  <sheetFormatPr defaultRowHeight="15" x14ac:dyDescent="0.25"/>
  <cols>
    <col min="1" max="1" width="24.28515625" customWidth="1"/>
    <col min="2" max="2" width="15.85546875" customWidth="1"/>
    <col min="3" max="3" width="49.42578125" customWidth="1"/>
    <col min="10" max="20" width="11" customWidth="1"/>
  </cols>
  <sheetData>
    <row r="1" spans="1:24" ht="17.25" customHeight="1" x14ac:dyDescent="0.25">
      <c r="A1" s="149" t="s">
        <v>86</v>
      </c>
      <c r="B1" s="151" t="s">
        <v>594</v>
      </c>
      <c r="C1" s="147" t="s">
        <v>87</v>
      </c>
      <c r="D1" s="144" t="s">
        <v>5</v>
      </c>
      <c r="E1" s="145"/>
      <c r="F1" s="145"/>
      <c r="G1" s="146"/>
      <c r="H1" s="142" t="s">
        <v>591</v>
      </c>
      <c r="I1" s="142" t="s">
        <v>592</v>
      </c>
      <c r="J1" s="142" t="s">
        <v>593</v>
      </c>
      <c r="K1" s="87"/>
      <c r="L1" s="87"/>
      <c r="M1" s="87"/>
      <c r="N1" s="87"/>
      <c r="O1" s="87"/>
      <c r="P1" s="87"/>
      <c r="Q1" s="87"/>
      <c r="R1" s="87"/>
      <c r="S1" s="87"/>
      <c r="T1" s="87"/>
    </row>
    <row r="2" spans="1:24" ht="18" thickBot="1" x14ac:dyDescent="0.3">
      <c r="A2" s="150"/>
      <c r="B2" s="152"/>
      <c r="C2" s="148"/>
      <c r="D2" s="17" t="s">
        <v>10</v>
      </c>
      <c r="E2" s="16" t="s">
        <v>11</v>
      </c>
      <c r="F2" s="16" t="s">
        <v>12</v>
      </c>
      <c r="G2" s="18" t="s">
        <v>13</v>
      </c>
      <c r="H2" s="143"/>
      <c r="I2" s="143"/>
      <c r="J2" s="143"/>
      <c r="K2" s="87"/>
      <c r="L2" s="87"/>
      <c r="M2" s="87"/>
      <c r="N2" s="87"/>
      <c r="O2" s="87"/>
      <c r="P2" s="87"/>
      <c r="Q2" s="87"/>
      <c r="R2" s="87"/>
      <c r="S2" s="87"/>
      <c r="T2" s="87"/>
      <c r="U2" s="1" t="s">
        <v>10</v>
      </c>
      <c r="V2" s="1" t="s">
        <v>11</v>
      </c>
      <c r="W2" s="1" t="s">
        <v>12</v>
      </c>
      <c r="X2" s="1" t="s">
        <v>13</v>
      </c>
    </row>
    <row r="3" spans="1:24" ht="15.75" thickBot="1" x14ac:dyDescent="0.3">
      <c r="A3" s="30"/>
      <c r="B3" s="31"/>
      <c r="C3" s="32" t="s">
        <v>89</v>
      </c>
      <c r="D3" s="33">
        <f>SUM(D4:D104)</f>
        <v>650</v>
      </c>
      <c r="E3" s="34">
        <f t="shared" ref="E3:G3" si="0">SUM(E4:E104)</f>
        <v>648</v>
      </c>
      <c r="F3" s="34">
        <f t="shared" si="0"/>
        <v>37</v>
      </c>
      <c r="G3" s="35">
        <f t="shared" si="0"/>
        <v>55</v>
      </c>
      <c r="H3" s="36"/>
      <c r="I3" s="88"/>
      <c r="J3" s="88"/>
      <c r="K3" s="88"/>
      <c r="U3">
        <f>D3</f>
        <v>650</v>
      </c>
      <c r="V3">
        <f>E3</f>
        <v>648</v>
      </c>
      <c r="W3">
        <f>F3</f>
        <v>37</v>
      </c>
      <c r="X3">
        <f>G3</f>
        <v>55</v>
      </c>
    </row>
    <row r="4" spans="1:24" x14ac:dyDescent="0.25">
      <c r="A4" s="2" t="s">
        <v>34</v>
      </c>
      <c r="B4" s="19"/>
      <c r="C4" s="26" t="s">
        <v>114</v>
      </c>
      <c r="D4" s="27">
        <v>536</v>
      </c>
      <c r="E4" s="28">
        <v>620</v>
      </c>
      <c r="F4" s="28">
        <v>16</v>
      </c>
      <c r="G4" s="29">
        <v>9</v>
      </c>
      <c r="H4" s="37">
        <f>10*E4+15*F4+50*G4+10*D4</f>
        <v>12250</v>
      </c>
      <c r="I4" s="37">
        <v>6962</v>
      </c>
      <c r="J4" s="122">
        <f>I4</f>
        <v>6962</v>
      </c>
      <c r="U4">
        <f>'Очередь строительства'!I3</f>
        <v>647</v>
      </c>
      <c r="V4">
        <f>'Очередь строительства'!J3</f>
        <v>622</v>
      </c>
      <c r="W4">
        <f>'Очередь строительства'!K3</f>
        <v>37</v>
      </c>
      <c r="X4">
        <f>'Очередь строительства'!L3</f>
        <v>10</v>
      </c>
    </row>
    <row r="5" spans="1:24" x14ac:dyDescent="0.25">
      <c r="A5" s="2" t="s">
        <v>34</v>
      </c>
      <c r="B5" s="6" t="s">
        <v>613</v>
      </c>
      <c r="C5" s="10" t="s">
        <v>595</v>
      </c>
      <c r="D5" s="14"/>
      <c r="E5" s="13"/>
      <c r="F5" s="13"/>
      <c r="G5" s="15"/>
      <c r="H5" s="38">
        <f t="shared" ref="H5:H68" si="1">10*E5+15*F5+50*G5+10*D5</f>
        <v>0</v>
      </c>
      <c r="I5" s="38">
        <v>20</v>
      </c>
      <c r="J5" s="123">
        <f>I5+J4</f>
        <v>6982</v>
      </c>
      <c r="U5">
        <f>U3-U4</f>
        <v>3</v>
      </c>
      <c r="V5">
        <f t="shared" ref="V5:X5" si="2">V3-V4</f>
        <v>26</v>
      </c>
      <c r="W5">
        <f t="shared" si="2"/>
        <v>0</v>
      </c>
      <c r="X5">
        <f t="shared" si="2"/>
        <v>45</v>
      </c>
    </row>
    <row r="6" spans="1:24" x14ac:dyDescent="0.25">
      <c r="A6" s="2" t="s">
        <v>34</v>
      </c>
      <c r="B6" s="6" t="s">
        <v>613</v>
      </c>
      <c r="C6" s="10" t="s">
        <v>596</v>
      </c>
      <c r="D6" s="14"/>
      <c r="E6" s="13"/>
      <c r="F6" s="13"/>
      <c r="G6" s="15"/>
      <c r="H6" s="38">
        <f t="shared" si="1"/>
        <v>0</v>
      </c>
      <c r="I6" s="38">
        <v>6</v>
      </c>
      <c r="J6" s="123">
        <f t="shared" ref="J6:J69" si="3">I6+J5</f>
        <v>6988</v>
      </c>
    </row>
    <row r="7" spans="1:24" x14ac:dyDescent="0.25">
      <c r="A7" s="2" t="s">
        <v>34</v>
      </c>
      <c r="B7" s="6" t="s">
        <v>613</v>
      </c>
      <c r="C7" s="10" t="s">
        <v>597</v>
      </c>
      <c r="D7" s="14">
        <v>105</v>
      </c>
      <c r="E7" s="13"/>
      <c r="F7" s="13"/>
      <c r="G7" s="15"/>
      <c r="H7" s="38">
        <f t="shared" si="1"/>
        <v>1050</v>
      </c>
      <c r="I7" s="38">
        <f>-H7</f>
        <v>-1050</v>
      </c>
      <c r="J7" s="123">
        <f t="shared" si="3"/>
        <v>5938</v>
      </c>
    </row>
    <row r="8" spans="1:24" x14ac:dyDescent="0.25">
      <c r="A8" s="2" t="s">
        <v>34</v>
      </c>
      <c r="B8" s="6" t="s">
        <v>614</v>
      </c>
      <c r="C8" s="10" t="s">
        <v>598</v>
      </c>
      <c r="D8" s="14">
        <v>10</v>
      </c>
      <c r="E8" s="13"/>
      <c r="F8" s="13"/>
      <c r="G8" s="15"/>
      <c r="H8" s="38">
        <f t="shared" si="1"/>
        <v>100</v>
      </c>
      <c r="I8" s="38">
        <f>-H8</f>
        <v>-100</v>
      </c>
      <c r="J8" s="123">
        <f t="shared" si="3"/>
        <v>5838</v>
      </c>
    </row>
    <row r="9" spans="1:24" x14ac:dyDescent="0.25">
      <c r="A9" s="2" t="s">
        <v>34</v>
      </c>
      <c r="B9" s="6" t="s">
        <v>615</v>
      </c>
      <c r="C9" s="10" t="s">
        <v>67</v>
      </c>
      <c r="D9" s="14"/>
      <c r="E9" s="13"/>
      <c r="F9" s="13"/>
      <c r="G9" s="15"/>
      <c r="H9" s="38">
        <f t="shared" si="1"/>
        <v>0</v>
      </c>
      <c r="I9" s="38">
        <v>1485</v>
      </c>
      <c r="J9" s="123">
        <f t="shared" si="3"/>
        <v>7323</v>
      </c>
    </row>
    <row r="10" spans="1:24" x14ac:dyDescent="0.25">
      <c r="A10" s="2" t="s">
        <v>34</v>
      </c>
      <c r="B10" s="6" t="s">
        <v>615</v>
      </c>
      <c r="C10" s="10" t="s">
        <v>599</v>
      </c>
      <c r="D10" s="14"/>
      <c r="E10" s="13"/>
      <c r="F10" s="13"/>
      <c r="G10" s="15"/>
      <c r="H10" s="38">
        <f t="shared" si="1"/>
        <v>0</v>
      </c>
      <c r="I10" s="38">
        <v>880</v>
      </c>
      <c r="J10" s="123">
        <f t="shared" si="3"/>
        <v>8203</v>
      </c>
    </row>
    <row r="11" spans="1:24" x14ac:dyDescent="0.25">
      <c r="A11" s="2" t="s">
        <v>34</v>
      </c>
      <c r="B11" s="6" t="s">
        <v>615</v>
      </c>
      <c r="C11" s="10" t="s">
        <v>600</v>
      </c>
      <c r="D11" s="14"/>
      <c r="E11" s="13"/>
      <c r="F11" s="13"/>
      <c r="G11" s="15"/>
      <c r="H11" s="38">
        <f t="shared" si="1"/>
        <v>0</v>
      </c>
      <c r="I11" s="38">
        <v>480</v>
      </c>
      <c r="J11" s="123">
        <f t="shared" si="3"/>
        <v>8683</v>
      </c>
    </row>
    <row r="12" spans="1:24" ht="17.25" customHeight="1" x14ac:dyDescent="0.25">
      <c r="A12" s="2" t="s">
        <v>34</v>
      </c>
      <c r="B12" s="6"/>
      <c r="C12" s="10" t="s">
        <v>171</v>
      </c>
      <c r="D12" s="14"/>
      <c r="E12" s="13"/>
      <c r="F12" s="13"/>
      <c r="G12" s="15"/>
      <c r="H12" s="38">
        <f t="shared" si="1"/>
        <v>0</v>
      </c>
      <c r="I12" s="38">
        <f>512.5</f>
        <v>512.5</v>
      </c>
      <c r="J12" s="123">
        <f t="shared" si="3"/>
        <v>9195.5</v>
      </c>
    </row>
    <row r="13" spans="1:24" x14ac:dyDescent="0.25">
      <c r="A13" s="2" t="s">
        <v>34</v>
      </c>
      <c r="B13" s="6"/>
      <c r="C13" s="10" t="s">
        <v>172</v>
      </c>
      <c r="D13" s="14"/>
      <c r="E13" s="13"/>
      <c r="F13" s="13"/>
      <c r="G13" s="15"/>
      <c r="H13" s="38">
        <f t="shared" si="1"/>
        <v>0</v>
      </c>
      <c r="I13" s="38">
        <f>1017.5</f>
        <v>1017.5</v>
      </c>
      <c r="J13" s="123">
        <f t="shared" si="3"/>
        <v>10213</v>
      </c>
    </row>
    <row r="14" spans="1:24" x14ac:dyDescent="0.25">
      <c r="A14" s="2" t="s">
        <v>34</v>
      </c>
      <c r="B14" s="6"/>
      <c r="C14" s="10" t="s">
        <v>173</v>
      </c>
      <c r="D14" s="14"/>
      <c r="E14" s="13"/>
      <c r="F14" s="13"/>
      <c r="G14" s="15"/>
      <c r="H14" s="38">
        <f t="shared" si="1"/>
        <v>0</v>
      </c>
      <c r="I14" s="38">
        <f>315*6/2</f>
        <v>945</v>
      </c>
      <c r="J14" s="123">
        <f t="shared" si="3"/>
        <v>11158</v>
      </c>
    </row>
    <row r="15" spans="1:24" x14ac:dyDescent="0.25">
      <c r="A15" s="2" t="s">
        <v>34</v>
      </c>
      <c r="B15" s="6"/>
      <c r="C15" s="10" t="s">
        <v>174</v>
      </c>
      <c r="D15" s="14"/>
      <c r="E15" s="13"/>
      <c r="F15" s="13"/>
      <c r="G15" s="15"/>
      <c r="H15" s="38">
        <f t="shared" si="1"/>
        <v>0</v>
      </c>
      <c r="I15" s="38">
        <v>-825.00000000000011</v>
      </c>
      <c r="J15" s="123">
        <f t="shared" si="3"/>
        <v>10333</v>
      </c>
    </row>
    <row r="16" spans="1:24" x14ac:dyDescent="0.25">
      <c r="A16" s="2" t="s">
        <v>34</v>
      </c>
      <c r="B16" s="6"/>
      <c r="C16" s="10" t="s">
        <v>175</v>
      </c>
      <c r="D16" s="14"/>
      <c r="E16" s="13"/>
      <c r="F16" s="13"/>
      <c r="G16" s="15"/>
      <c r="H16" s="38">
        <f t="shared" si="1"/>
        <v>0</v>
      </c>
      <c r="I16" s="38">
        <v>-4900.5</v>
      </c>
      <c r="J16" s="123">
        <f t="shared" si="3"/>
        <v>5432.5</v>
      </c>
    </row>
    <row r="17" spans="1:10" x14ac:dyDescent="0.25">
      <c r="A17" s="2" t="s">
        <v>34</v>
      </c>
      <c r="B17" s="6"/>
      <c r="C17" s="10" t="s">
        <v>176</v>
      </c>
      <c r="D17" s="14"/>
      <c r="E17" s="1">
        <v>-81</v>
      </c>
      <c r="F17" s="1">
        <v>21</v>
      </c>
      <c r="G17" s="15"/>
      <c r="H17" s="38">
        <f t="shared" si="1"/>
        <v>-495</v>
      </c>
      <c r="I17" s="38">
        <v>0</v>
      </c>
      <c r="J17" s="123">
        <f t="shared" si="3"/>
        <v>5432.5</v>
      </c>
    </row>
    <row r="18" spans="1:10" x14ac:dyDescent="0.25">
      <c r="A18" s="2" t="s">
        <v>34</v>
      </c>
      <c r="B18" s="6"/>
      <c r="C18" s="10" t="s">
        <v>601</v>
      </c>
      <c r="D18" s="14"/>
      <c r="E18" s="13">
        <v>200</v>
      </c>
      <c r="F18" s="13"/>
      <c r="G18" s="15"/>
      <c r="H18" s="38">
        <f t="shared" si="1"/>
        <v>2000</v>
      </c>
      <c r="I18" s="38">
        <f>-H18</f>
        <v>-2000</v>
      </c>
      <c r="J18" s="123">
        <f t="shared" si="3"/>
        <v>3432.5</v>
      </c>
    </row>
    <row r="19" spans="1:10" x14ac:dyDescent="0.25">
      <c r="A19" s="2" t="s">
        <v>34</v>
      </c>
      <c r="B19" s="6"/>
      <c r="C19" s="10" t="s">
        <v>602</v>
      </c>
      <c r="D19" s="62"/>
      <c r="E19" s="13">
        <v>20</v>
      </c>
      <c r="F19" s="13"/>
      <c r="G19" s="15"/>
      <c r="H19" s="38">
        <f t="shared" si="1"/>
        <v>200</v>
      </c>
      <c r="I19" s="38">
        <f t="shared" ref="I19:I26" si="4">-H19</f>
        <v>-200</v>
      </c>
      <c r="J19" s="123">
        <f t="shared" si="3"/>
        <v>3232.5</v>
      </c>
    </row>
    <row r="20" spans="1:10" x14ac:dyDescent="0.25">
      <c r="A20" s="2" t="s">
        <v>34</v>
      </c>
      <c r="B20" s="6"/>
      <c r="C20" s="10" t="s">
        <v>603</v>
      </c>
      <c r="D20" s="14"/>
      <c r="E20" s="13">
        <v>0</v>
      </c>
      <c r="F20" s="13"/>
      <c r="G20" s="15"/>
      <c r="H20" s="38">
        <f t="shared" si="1"/>
        <v>0</v>
      </c>
      <c r="I20" s="38">
        <f t="shared" si="4"/>
        <v>0</v>
      </c>
      <c r="J20" s="123">
        <f t="shared" si="3"/>
        <v>3232.5</v>
      </c>
    </row>
    <row r="21" spans="1:10" x14ac:dyDescent="0.25">
      <c r="A21" s="2" t="s">
        <v>34</v>
      </c>
      <c r="B21" s="6"/>
      <c r="C21" s="10" t="s">
        <v>604</v>
      </c>
      <c r="D21" s="14"/>
      <c r="E21" s="13">
        <v>20</v>
      </c>
      <c r="F21" s="13"/>
      <c r="G21" s="15"/>
      <c r="H21" s="38">
        <f t="shared" si="1"/>
        <v>200</v>
      </c>
      <c r="I21" s="38">
        <f t="shared" si="4"/>
        <v>-200</v>
      </c>
      <c r="J21" s="123">
        <f t="shared" si="3"/>
        <v>3032.5</v>
      </c>
    </row>
    <row r="22" spans="1:10" x14ac:dyDescent="0.25">
      <c r="A22" s="2" t="s">
        <v>34</v>
      </c>
      <c r="B22" s="6"/>
      <c r="C22" s="10" t="s">
        <v>605</v>
      </c>
      <c r="D22" s="14"/>
      <c r="E22" s="13">
        <v>219</v>
      </c>
      <c r="F22" s="13"/>
      <c r="G22" s="15"/>
      <c r="H22" s="38">
        <f t="shared" si="1"/>
        <v>2190</v>
      </c>
      <c r="I22" s="38">
        <f t="shared" si="4"/>
        <v>-2190</v>
      </c>
      <c r="J22" s="123">
        <f t="shared" si="3"/>
        <v>842.5</v>
      </c>
    </row>
    <row r="23" spans="1:10" x14ac:dyDescent="0.25">
      <c r="A23" s="2" t="s">
        <v>34</v>
      </c>
      <c r="B23" s="6"/>
      <c r="C23" s="10" t="s">
        <v>606</v>
      </c>
      <c r="D23" s="14"/>
      <c r="E23" s="13"/>
      <c r="F23" s="13"/>
      <c r="G23" s="15"/>
      <c r="H23" s="38">
        <f t="shared" si="1"/>
        <v>0</v>
      </c>
      <c r="I23" s="38">
        <f t="shared" si="4"/>
        <v>0</v>
      </c>
      <c r="J23" s="123">
        <f t="shared" si="3"/>
        <v>842.5</v>
      </c>
    </row>
    <row r="24" spans="1:10" x14ac:dyDescent="0.25">
      <c r="A24" s="2" t="s">
        <v>34</v>
      </c>
      <c r="B24" s="6"/>
      <c r="C24" s="10" t="s">
        <v>602</v>
      </c>
      <c r="D24" s="14"/>
      <c r="E24" s="13"/>
      <c r="F24" s="13"/>
      <c r="G24" s="15"/>
      <c r="H24" s="38">
        <f t="shared" si="1"/>
        <v>0</v>
      </c>
      <c r="I24" s="38">
        <f t="shared" si="4"/>
        <v>0</v>
      </c>
      <c r="J24" s="123">
        <f t="shared" si="3"/>
        <v>842.5</v>
      </c>
    </row>
    <row r="25" spans="1:10" x14ac:dyDescent="0.25">
      <c r="A25" s="2" t="s">
        <v>34</v>
      </c>
      <c r="B25" s="6"/>
      <c r="C25" s="10" t="s">
        <v>607</v>
      </c>
      <c r="D25" s="14">
        <v>52</v>
      </c>
      <c r="E25" s="13"/>
      <c r="F25" s="13"/>
      <c r="G25" s="15"/>
      <c r="H25" s="38">
        <f t="shared" si="1"/>
        <v>520</v>
      </c>
      <c r="I25" s="38">
        <f t="shared" si="4"/>
        <v>-520</v>
      </c>
      <c r="J25" s="123">
        <f t="shared" si="3"/>
        <v>322.5</v>
      </c>
    </row>
    <row r="26" spans="1:10" x14ac:dyDescent="0.25">
      <c r="A26" s="2" t="s">
        <v>34</v>
      </c>
      <c r="B26" s="6"/>
      <c r="C26" s="10" t="s">
        <v>608</v>
      </c>
      <c r="D26" s="14">
        <v>27</v>
      </c>
      <c r="E26" s="13"/>
      <c r="F26" s="13"/>
      <c r="G26" s="15"/>
      <c r="H26" s="38">
        <f t="shared" si="1"/>
        <v>270</v>
      </c>
      <c r="I26" s="38">
        <f t="shared" si="4"/>
        <v>-270</v>
      </c>
      <c r="J26" s="123">
        <f t="shared" si="3"/>
        <v>52.5</v>
      </c>
    </row>
    <row r="27" spans="1:10" x14ac:dyDescent="0.25">
      <c r="A27" s="2" t="s">
        <v>34</v>
      </c>
      <c r="B27" s="6"/>
      <c r="C27" s="10" t="s">
        <v>616</v>
      </c>
      <c r="D27" s="4">
        <v>-80</v>
      </c>
      <c r="E27" s="1">
        <v>-350</v>
      </c>
      <c r="F27" s="1"/>
      <c r="G27" s="6">
        <f>430/5</f>
        <v>86</v>
      </c>
      <c r="H27" s="39">
        <f t="shared" si="1"/>
        <v>0</v>
      </c>
      <c r="I27" s="39">
        <v>0</v>
      </c>
      <c r="J27" s="124">
        <f t="shared" si="3"/>
        <v>52.5</v>
      </c>
    </row>
    <row r="28" spans="1:10" x14ac:dyDescent="0.25">
      <c r="A28" s="2" t="s">
        <v>618</v>
      </c>
      <c r="B28" s="6"/>
      <c r="C28" s="10" t="s">
        <v>617</v>
      </c>
      <c r="D28" s="4"/>
      <c r="E28" s="1"/>
      <c r="F28" s="1"/>
      <c r="G28" s="6">
        <v>-40</v>
      </c>
      <c r="H28" s="39">
        <f t="shared" si="1"/>
        <v>-2000</v>
      </c>
      <c r="I28" s="39">
        <v>0</v>
      </c>
      <c r="J28" s="124">
        <f t="shared" si="3"/>
        <v>52.5</v>
      </c>
    </row>
    <row r="29" spans="1:10" x14ac:dyDescent="0.25">
      <c r="A29" s="2" t="s">
        <v>34</v>
      </c>
      <c r="B29" s="6"/>
      <c r="C29" s="10"/>
      <c r="D29" s="4"/>
      <c r="E29" s="1"/>
      <c r="F29" s="1"/>
      <c r="G29" s="6"/>
      <c r="H29" s="39">
        <f t="shared" si="1"/>
        <v>0</v>
      </c>
      <c r="I29" s="39"/>
      <c r="J29" s="124">
        <f t="shared" si="3"/>
        <v>52.5</v>
      </c>
    </row>
    <row r="30" spans="1:10" x14ac:dyDescent="0.25">
      <c r="A30" s="2" t="s">
        <v>34</v>
      </c>
      <c r="B30" s="6"/>
      <c r="C30" s="10"/>
      <c r="D30" s="4"/>
      <c r="E30" s="1"/>
      <c r="F30" s="1"/>
      <c r="G30" s="6"/>
      <c r="H30" s="39">
        <f t="shared" si="1"/>
        <v>0</v>
      </c>
      <c r="I30" s="39"/>
      <c r="J30" s="124">
        <f t="shared" si="3"/>
        <v>52.5</v>
      </c>
    </row>
    <row r="31" spans="1:10" x14ac:dyDescent="0.25">
      <c r="A31" s="2" t="s">
        <v>34</v>
      </c>
      <c r="B31" s="6"/>
      <c r="C31" s="10"/>
      <c r="D31" s="4"/>
      <c r="E31" s="1"/>
      <c r="F31" s="1"/>
      <c r="G31" s="6"/>
      <c r="H31" s="39">
        <f t="shared" si="1"/>
        <v>0</v>
      </c>
      <c r="I31" s="39"/>
      <c r="J31" s="124">
        <f t="shared" si="3"/>
        <v>52.5</v>
      </c>
    </row>
    <row r="32" spans="1:10" x14ac:dyDescent="0.25">
      <c r="A32" s="2" t="s">
        <v>34</v>
      </c>
      <c r="B32" s="6"/>
      <c r="C32" s="10"/>
      <c r="D32" s="65"/>
      <c r="E32" s="1"/>
      <c r="F32" s="1"/>
      <c r="G32" s="6"/>
      <c r="H32" s="39">
        <f t="shared" si="1"/>
        <v>0</v>
      </c>
      <c r="I32" s="39"/>
      <c r="J32" s="124">
        <f t="shared" si="3"/>
        <v>52.5</v>
      </c>
    </row>
    <row r="33" spans="1:10" x14ac:dyDescent="0.25">
      <c r="A33" s="2" t="s">
        <v>34</v>
      </c>
      <c r="B33" s="6"/>
      <c r="C33" s="10"/>
      <c r="D33" s="4"/>
      <c r="E33" s="1"/>
      <c r="F33" s="1"/>
      <c r="G33" s="6"/>
      <c r="H33" s="39">
        <f t="shared" si="1"/>
        <v>0</v>
      </c>
      <c r="I33" s="39"/>
      <c r="J33" s="124">
        <f t="shared" si="3"/>
        <v>52.5</v>
      </c>
    </row>
    <row r="34" spans="1:10" x14ac:dyDescent="0.25">
      <c r="A34" s="2" t="s">
        <v>34</v>
      </c>
      <c r="B34" s="6"/>
      <c r="C34" s="10"/>
      <c r="D34" s="4"/>
      <c r="E34" s="66"/>
      <c r="F34" s="1"/>
      <c r="G34" s="6"/>
      <c r="H34" s="39">
        <f t="shared" si="1"/>
        <v>0</v>
      </c>
      <c r="I34" s="39"/>
      <c r="J34" s="124">
        <f t="shared" si="3"/>
        <v>52.5</v>
      </c>
    </row>
    <row r="35" spans="1:10" x14ac:dyDescent="0.25">
      <c r="A35" s="2" t="s">
        <v>34</v>
      </c>
      <c r="B35" s="6" t="s">
        <v>610</v>
      </c>
      <c r="C35" s="10" t="s">
        <v>203</v>
      </c>
      <c r="D35" s="4"/>
      <c r="E35" s="1"/>
      <c r="F35" s="1"/>
      <c r="G35" s="6"/>
      <c r="H35" s="39">
        <f t="shared" si="1"/>
        <v>0</v>
      </c>
      <c r="I35" s="39">
        <v>-22</v>
      </c>
      <c r="J35" s="124">
        <f t="shared" si="3"/>
        <v>30.5</v>
      </c>
    </row>
    <row r="36" spans="1:10" x14ac:dyDescent="0.25">
      <c r="A36" s="2" t="s">
        <v>34</v>
      </c>
      <c r="B36" s="6" t="s">
        <v>611</v>
      </c>
      <c r="C36" s="10" t="s">
        <v>204</v>
      </c>
      <c r="D36" s="4"/>
      <c r="E36" s="1"/>
      <c r="F36" s="1"/>
      <c r="G36" s="6"/>
      <c r="H36" s="39">
        <f t="shared" si="1"/>
        <v>0</v>
      </c>
      <c r="I36" s="39">
        <v>5000</v>
      </c>
      <c r="J36" s="124">
        <f t="shared" si="3"/>
        <v>5030.5</v>
      </c>
    </row>
    <row r="37" spans="1:10" x14ac:dyDescent="0.25">
      <c r="A37" s="2" t="s">
        <v>34</v>
      </c>
      <c r="B37" s="6" t="s">
        <v>611</v>
      </c>
      <c r="C37" s="10" t="s">
        <v>205</v>
      </c>
      <c r="D37" s="4"/>
      <c r="E37" s="1"/>
      <c r="F37" s="1"/>
      <c r="G37" s="6"/>
      <c r="H37" s="39">
        <f t="shared" si="1"/>
        <v>0</v>
      </c>
      <c r="I37" s="39">
        <v>-40</v>
      </c>
      <c r="J37" s="124">
        <f t="shared" si="3"/>
        <v>4990.5</v>
      </c>
    </row>
    <row r="38" spans="1:10" x14ac:dyDescent="0.25">
      <c r="A38" s="2" t="s">
        <v>34</v>
      </c>
      <c r="B38" s="6" t="s">
        <v>612</v>
      </c>
      <c r="C38" s="10" t="s">
        <v>209</v>
      </c>
      <c r="D38" s="4"/>
      <c r="E38" s="1"/>
      <c r="F38" s="1"/>
      <c r="G38" s="6"/>
      <c r="H38" s="39">
        <f t="shared" si="1"/>
        <v>0</v>
      </c>
      <c r="I38" s="39">
        <v>3000</v>
      </c>
      <c r="J38" s="124">
        <f t="shared" si="3"/>
        <v>7990.5</v>
      </c>
    </row>
    <row r="39" spans="1:10" x14ac:dyDescent="0.25">
      <c r="A39" s="2" t="s">
        <v>34</v>
      </c>
      <c r="B39" s="6" t="s">
        <v>609</v>
      </c>
      <c r="C39" s="10" t="s">
        <v>210</v>
      </c>
      <c r="D39" s="4"/>
      <c r="E39" s="1"/>
      <c r="F39" s="1"/>
      <c r="G39" s="6"/>
      <c r="H39" s="39">
        <f t="shared" si="1"/>
        <v>0</v>
      </c>
      <c r="I39" s="39">
        <v>1500</v>
      </c>
      <c r="J39" s="124">
        <f t="shared" si="3"/>
        <v>9490.5</v>
      </c>
    </row>
    <row r="40" spans="1:10" x14ac:dyDescent="0.25">
      <c r="A40" s="1"/>
      <c r="B40" s="6"/>
      <c r="C40" s="10"/>
      <c r="D40" s="4"/>
      <c r="E40" s="1"/>
      <c r="F40" s="1"/>
      <c r="G40" s="6"/>
      <c r="H40" s="39">
        <f t="shared" si="1"/>
        <v>0</v>
      </c>
      <c r="I40" s="39"/>
      <c r="J40" s="124">
        <f t="shared" si="3"/>
        <v>9490.5</v>
      </c>
    </row>
    <row r="41" spans="1:10" x14ac:dyDescent="0.25">
      <c r="A41" s="1"/>
      <c r="B41" s="6"/>
      <c r="C41" s="10"/>
      <c r="D41" s="4"/>
      <c r="E41" s="1"/>
      <c r="F41" s="1"/>
      <c r="G41" s="6"/>
      <c r="H41" s="39">
        <f t="shared" si="1"/>
        <v>0</v>
      </c>
      <c r="I41" s="39"/>
      <c r="J41" s="124">
        <f t="shared" si="3"/>
        <v>9490.5</v>
      </c>
    </row>
    <row r="42" spans="1:10" x14ac:dyDescent="0.25">
      <c r="A42" s="1"/>
      <c r="B42" s="6"/>
      <c r="C42" s="10"/>
      <c r="D42" s="4"/>
      <c r="E42" s="1"/>
      <c r="F42" s="1"/>
      <c r="G42" s="6"/>
      <c r="H42" s="39">
        <f t="shared" si="1"/>
        <v>0</v>
      </c>
      <c r="I42" s="39"/>
      <c r="J42" s="124">
        <f t="shared" si="3"/>
        <v>9490.5</v>
      </c>
    </row>
    <row r="43" spans="1:10" x14ac:dyDescent="0.25">
      <c r="A43" s="1"/>
      <c r="B43" s="6"/>
      <c r="C43" s="10"/>
      <c r="D43" s="4"/>
      <c r="E43" s="1"/>
      <c r="F43" s="1"/>
      <c r="G43" s="6"/>
      <c r="H43" s="39">
        <f t="shared" si="1"/>
        <v>0</v>
      </c>
      <c r="I43" s="39"/>
      <c r="J43" s="124">
        <f t="shared" si="3"/>
        <v>9490.5</v>
      </c>
    </row>
    <row r="44" spans="1:10" x14ac:dyDescent="0.25">
      <c r="A44" s="1"/>
      <c r="B44" s="6"/>
      <c r="C44" s="10"/>
      <c r="D44" s="4"/>
      <c r="E44" s="1"/>
      <c r="F44" s="1"/>
      <c r="G44" s="6"/>
      <c r="H44" s="39">
        <f t="shared" si="1"/>
        <v>0</v>
      </c>
      <c r="I44" s="39"/>
      <c r="J44" s="124">
        <f t="shared" si="3"/>
        <v>9490.5</v>
      </c>
    </row>
    <row r="45" spans="1:10" x14ac:dyDescent="0.25">
      <c r="A45" s="1"/>
      <c r="B45" s="6"/>
      <c r="C45" s="10"/>
      <c r="D45" s="4"/>
      <c r="E45" s="1"/>
      <c r="F45" s="1"/>
      <c r="G45" s="6"/>
      <c r="H45" s="39">
        <f t="shared" si="1"/>
        <v>0</v>
      </c>
      <c r="I45" s="39"/>
      <c r="J45" s="124">
        <f t="shared" si="3"/>
        <v>9490.5</v>
      </c>
    </row>
    <row r="46" spans="1:10" x14ac:dyDescent="0.25">
      <c r="A46" s="1"/>
      <c r="B46" s="6"/>
      <c r="C46" s="10"/>
      <c r="D46" s="4"/>
      <c r="E46" s="1"/>
      <c r="F46" s="1"/>
      <c r="G46" s="6"/>
      <c r="H46" s="39">
        <f t="shared" si="1"/>
        <v>0</v>
      </c>
      <c r="I46" s="39"/>
      <c r="J46" s="124">
        <f t="shared" si="3"/>
        <v>9490.5</v>
      </c>
    </row>
    <row r="47" spans="1:10" x14ac:dyDescent="0.25">
      <c r="A47" s="1"/>
      <c r="B47" s="6"/>
      <c r="C47" s="10"/>
      <c r="D47" s="4"/>
      <c r="E47" s="1"/>
      <c r="F47" s="1"/>
      <c r="G47" s="6"/>
      <c r="H47" s="39">
        <f t="shared" si="1"/>
        <v>0</v>
      </c>
      <c r="I47" s="39"/>
      <c r="J47" s="124">
        <f t="shared" si="3"/>
        <v>9490.5</v>
      </c>
    </row>
    <row r="48" spans="1:10" x14ac:dyDescent="0.25">
      <c r="A48" s="1"/>
      <c r="B48" s="6"/>
      <c r="C48" s="10"/>
      <c r="D48" s="4"/>
      <c r="E48" s="1"/>
      <c r="F48" s="1"/>
      <c r="G48" s="6"/>
      <c r="H48" s="39">
        <f t="shared" si="1"/>
        <v>0</v>
      </c>
      <c r="I48" s="39"/>
      <c r="J48" s="124">
        <f t="shared" si="3"/>
        <v>9490.5</v>
      </c>
    </row>
    <row r="49" spans="1:10" x14ac:dyDescent="0.25">
      <c r="A49" s="1"/>
      <c r="B49" s="6"/>
      <c r="C49" s="10"/>
      <c r="D49" s="4"/>
      <c r="E49" s="1"/>
      <c r="F49" s="1"/>
      <c r="G49" s="6"/>
      <c r="H49" s="39">
        <f t="shared" si="1"/>
        <v>0</v>
      </c>
      <c r="I49" s="39"/>
      <c r="J49" s="124">
        <f t="shared" si="3"/>
        <v>9490.5</v>
      </c>
    </row>
    <row r="50" spans="1:10" x14ac:dyDescent="0.25">
      <c r="A50" s="1"/>
      <c r="B50" s="6"/>
      <c r="C50" s="10"/>
      <c r="D50" s="4"/>
      <c r="E50" s="1"/>
      <c r="F50" s="1"/>
      <c r="G50" s="6"/>
      <c r="H50" s="39">
        <f t="shared" si="1"/>
        <v>0</v>
      </c>
      <c r="I50" s="39"/>
      <c r="J50" s="124">
        <f t="shared" si="3"/>
        <v>9490.5</v>
      </c>
    </row>
    <row r="51" spans="1:10" x14ac:dyDescent="0.25">
      <c r="A51" s="1"/>
      <c r="B51" s="6"/>
      <c r="C51" s="10"/>
      <c r="D51" s="4"/>
      <c r="E51" s="1"/>
      <c r="F51" s="1"/>
      <c r="G51" s="6"/>
      <c r="H51" s="39">
        <f t="shared" si="1"/>
        <v>0</v>
      </c>
      <c r="I51" s="39"/>
      <c r="J51" s="124">
        <f t="shared" si="3"/>
        <v>9490.5</v>
      </c>
    </row>
    <row r="52" spans="1:10" x14ac:dyDescent="0.25">
      <c r="A52" s="1"/>
      <c r="B52" s="6"/>
      <c r="C52" s="10"/>
      <c r="D52" s="4"/>
      <c r="E52" s="1"/>
      <c r="F52" s="1"/>
      <c r="G52" s="6"/>
      <c r="H52" s="39">
        <f t="shared" si="1"/>
        <v>0</v>
      </c>
      <c r="I52" s="39"/>
      <c r="J52" s="124">
        <f t="shared" si="3"/>
        <v>9490.5</v>
      </c>
    </row>
    <row r="53" spans="1:10" x14ac:dyDescent="0.25">
      <c r="A53" s="1"/>
      <c r="B53" s="6"/>
      <c r="C53" s="10"/>
      <c r="D53" s="4"/>
      <c r="E53" s="1"/>
      <c r="F53" s="1"/>
      <c r="G53" s="6"/>
      <c r="H53" s="39">
        <f t="shared" si="1"/>
        <v>0</v>
      </c>
      <c r="I53" s="39"/>
      <c r="J53" s="124">
        <f t="shared" si="3"/>
        <v>9490.5</v>
      </c>
    </row>
    <row r="54" spans="1:10" x14ac:dyDescent="0.25">
      <c r="A54" s="1"/>
      <c r="B54" s="6"/>
      <c r="C54" s="10"/>
      <c r="D54" s="4"/>
      <c r="E54" s="1"/>
      <c r="F54" s="1"/>
      <c r="G54" s="6"/>
      <c r="H54" s="39">
        <f t="shared" si="1"/>
        <v>0</v>
      </c>
      <c r="I54" s="39"/>
      <c r="J54" s="124">
        <f t="shared" si="3"/>
        <v>9490.5</v>
      </c>
    </row>
    <row r="55" spans="1:10" x14ac:dyDescent="0.25">
      <c r="A55" s="1"/>
      <c r="B55" s="6"/>
      <c r="C55" s="10"/>
      <c r="D55" s="4"/>
      <c r="E55" s="1"/>
      <c r="F55" s="1"/>
      <c r="G55" s="6"/>
      <c r="H55" s="39">
        <f t="shared" si="1"/>
        <v>0</v>
      </c>
      <c r="I55" s="39"/>
      <c r="J55" s="124">
        <f t="shared" si="3"/>
        <v>9490.5</v>
      </c>
    </row>
    <row r="56" spans="1:10" x14ac:dyDescent="0.25">
      <c r="A56" s="1"/>
      <c r="B56" s="6"/>
      <c r="C56" s="10"/>
      <c r="D56" s="4"/>
      <c r="E56" s="1"/>
      <c r="F56" s="1"/>
      <c r="G56" s="6"/>
      <c r="H56" s="39">
        <f t="shared" si="1"/>
        <v>0</v>
      </c>
      <c r="I56" s="39"/>
      <c r="J56" s="124">
        <f t="shared" si="3"/>
        <v>9490.5</v>
      </c>
    </row>
    <row r="57" spans="1:10" x14ac:dyDescent="0.25">
      <c r="A57" s="1"/>
      <c r="B57" s="6"/>
      <c r="C57" s="10"/>
      <c r="D57" s="4"/>
      <c r="E57" s="1"/>
      <c r="F57" s="1"/>
      <c r="G57" s="6"/>
      <c r="H57" s="39">
        <f t="shared" si="1"/>
        <v>0</v>
      </c>
      <c r="I57" s="39"/>
      <c r="J57" s="124">
        <f t="shared" si="3"/>
        <v>9490.5</v>
      </c>
    </row>
    <row r="58" spans="1:10" x14ac:dyDescent="0.25">
      <c r="A58" s="1"/>
      <c r="B58" s="6"/>
      <c r="C58" s="10"/>
      <c r="D58" s="4"/>
      <c r="E58" s="1"/>
      <c r="F58" s="1"/>
      <c r="G58" s="6"/>
      <c r="H58" s="39">
        <f t="shared" si="1"/>
        <v>0</v>
      </c>
      <c r="I58" s="39"/>
      <c r="J58" s="124">
        <f t="shared" si="3"/>
        <v>9490.5</v>
      </c>
    </row>
    <row r="59" spans="1:10" x14ac:dyDescent="0.25">
      <c r="A59" s="1"/>
      <c r="B59" s="6"/>
      <c r="C59" s="10"/>
      <c r="D59" s="4"/>
      <c r="E59" s="1"/>
      <c r="F59" s="1"/>
      <c r="G59" s="6"/>
      <c r="H59" s="39">
        <f t="shared" si="1"/>
        <v>0</v>
      </c>
      <c r="I59" s="39"/>
      <c r="J59" s="124">
        <f t="shared" si="3"/>
        <v>9490.5</v>
      </c>
    </row>
    <row r="60" spans="1:10" x14ac:dyDescent="0.25">
      <c r="A60" s="1"/>
      <c r="B60" s="6"/>
      <c r="C60" s="10"/>
      <c r="D60" s="4"/>
      <c r="E60" s="1"/>
      <c r="F60" s="1"/>
      <c r="G60" s="6"/>
      <c r="H60" s="39">
        <f t="shared" si="1"/>
        <v>0</v>
      </c>
      <c r="I60" s="39"/>
      <c r="J60" s="124">
        <f t="shared" si="3"/>
        <v>9490.5</v>
      </c>
    </row>
    <row r="61" spans="1:10" x14ac:dyDescent="0.25">
      <c r="A61" s="82"/>
      <c r="B61" s="83"/>
      <c r="C61" s="84"/>
      <c r="D61" s="85"/>
      <c r="E61" s="82"/>
      <c r="F61" s="82"/>
      <c r="G61" s="83"/>
      <c r="H61" s="86">
        <f t="shared" si="1"/>
        <v>0</v>
      </c>
      <c r="I61" s="86"/>
      <c r="J61" s="125">
        <f t="shared" si="3"/>
        <v>9490.5</v>
      </c>
    </row>
    <row r="62" spans="1:10" x14ac:dyDescent="0.25">
      <c r="A62" s="1"/>
      <c r="B62" s="6"/>
      <c r="C62" s="10"/>
      <c r="D62" s="4"/>
      <c r="E62" s="1"/>
      <c r="F62" s="1"/>
      <c r="G62" s="6"/>
      <c r="H62" s="39">
        <f t="shared" si="1"/>
        <v>0</v>
      </c>
      <c r="I62" s="39"/>
      <c r="J62" s="124">
        <f t="shared" si="3"/>
        <v>9490.5</v>
      </c>
    </row>
    <row r="63" spans="1:10" x14ac:dyDescent="0.25">
      <c r="A63" s="1"/>
      <c r="B63" s="6"/>
      <c r="C63" s="10"/>
      <c r="D63" s="4"/>
      <c r="E63" s="1"/>
      <c r="F63" s="1"/>
      <c r="G63" s="6"/>
      <c r="H63" s="39">
        <f t="shared" si="1"/>
        <v>0</v>
      </c>
      <c r="I63" s="39"/>
      <c r="J63" s="124">
        <f t="shared" si="3"/>
        <v>9490.5</v>
      </c>
    </row>
    <row r="64" spans="1:10" x14ac:dyDescent="0.25">
      <c r="A64" s="1"/>
      <c r="B64" s="6"/>
      <c r="C64" s="10"/>
      <c r="D64" s="4"/>
      <c r="E64" s="1"/>
      <c r="F64" s="1"/>
      <c r="G64" s="6"/>
      <c r="H64" s="39">
        <f t="shared" si="1"/>
        <v>0</v>
      </c>
      <c r="I64" s="39"/>
      <c r="J64" s="124">
        <f t="shared" si="3"/>
        <v>9490.5</v>
      </c>
    </row>
    <row r="65" spans="1:10" x14ac:dyDescent="0.25">
      <c r="A65" s="82"/>
      <c r="B65" s="83"/>
      <c r="C65" s="84"/>
      <c r="D65" s="85"/>
      <c r="E65" s="82"/>
      <c r="F65" s="82"/>
      <c r="G65" s="83"/>
      <c r="H65" s="86">
        <f t="shared" si="1"/>
        <v>0</v>
      </c>
      <c r="I65" s="86"/>
      <c r="J65" s="125">
        <f t="shared" si="3"/>
        <v>9490.5</v>
      </c>
    </row>
    <row r="66" spans="1:10" x14ac:dyDescent="0.25">
      <c r="A66" s="1"/>
      <c r="B66" s="6"/>
      <c r="C66" s="10"/>
      <c r="D66" s="4"/>
      <c r="E66" s="1"/>
      <c r="F66" s="1"/>
      <c r="G66" s="6"/>
      <c r="H66" s="39">
        <f t="shared" si="1"/>
        <v>0</v>
      </c>
      <c r="I66" s="39"/>
      <c r="J66" s="124">
        <f t="shared" si="3"/>
        <v>9490.5</v>
      </c>
    </row>
    <row r="67" spans="1:10" x14ac:dyDescent="0.25">
      <c r="A67" s="1"/>
      <c r="B67" s="6"/>
      <c r="C67" s="10"/>
      <c r="D67" s="4"/>
      <c r="E67" s="1"/>
      <c r="F67" s="1"/>
      <c r="G67" s="6"/>
      <c r="H67" s="39">
        <f t="shared" si="1"/>
        <v>0</v>
      </c>
      <c r="I67" s="39"/>
      <c r="J67" s="124">
        <f t="shared" si="3"/>
        <v>9490.5</v>
      </c>
    </row>
    <row r="68" spans="1:10" x14ac:dyDescent="0.25">
      <c r="A68" s="1"/>
      <c r="B68" s="6"/>
      <c r="C68" s="10"/>
      <c r="D68" s="4"/>
      <c r="E68" s="1"/>
      <c r="F68" s="1"/>
      <c r="G68" s="6"/>
      <c r="H68" s="39">
        <f t="shared" si="1"/>
        <v>0</v>
      </c>
      <c r="I68" s="39"/>
      <c r="J68" s="124">
        <f t="shared" si="3"/>
        <v>9490.5</v>
      </c>
    </row>
    <row r="69" spans="1:10" x14ac:dyDescent="0.25">
      <c r="A69" s="1"/>
      <c r="B69" s="6"/>
      <c r="C69" s="10"/>
      <c r="D69" s="4"/>
      <c r="E69" s="1"/>
      <c r="F69" s="1"/>
      <c r="G69" s="6"/>
      <c r="H69" s="39">
        <f t="shared" ref="H69:H91" si="5">10*E69+15*F69+50*G69+10*D69</f>
        <v>0</v>
      </c>
      <c r="I69" s="39"/>
      <c r="J69" s="124">
        <f t="shared" si="3"/>
        <v>9490.5</v>
      </c>
    </row>
    <row r="70" spans="1:10" x14ac:dyDescent="0.25">
      <c r="A70" s="1"/>
      <c r="B70" s="6"/>
      <c r="C70" s="10"/>
      <c r="D70" s="4"/>
      <c r="E70" s="1"/>
      <c r="F70" s="1"/>
      <c r="G70" s="6"/>
      <c r="H70" s="39">
        <f t="shared" si="5"/>
        <v>0</v>
      </c>
      <c r="I70" s="39"/>
      <c r="J70" s="124">
        <f t="shared" ref="J70:J91" si="6">I70+J69</f>
        <v>9490.5</v>
      </c>
    </row>
    <row r="71" spans="1:10" x14ac:dyDescent="0.25">
      <c r="A71" s="1"/>
      <c r="B71" s="6"/>
      <c r="C71" s="10"/>
      <c r="D71" s="4"/>
      <c r="E71" s="1"/>
      <c r="F71" s="1"/>
      <c r="G71" s="6"/>
      <c r="H71" s="39">
        <f t="shared" si="5"/>
        <v>0</v>
      </c>
      <c r="I71" s="39"/>
      <c r="J71" s="124">
        <f t="shared" si="6"/>
        <v>9490.5</v>
      </c>
    </row>
    <row r="72" spans="1:10" x14ac:dyDescent="0.25">
      <c r="A72" s="1"/>
      <c r="B72" s="6"/>
      <c r="C72" s="10"/>
      <c r="D72" s="4"/>
      <c r="E72" s="1"/>
      <c r="F72" s="1"/>
      <c r="G72" s="6"/>
      <c r="H72" s="39">
        <f t="shared" si="5"/>
        <v>0</v>
      </c>
      <c r="I72" s="39"/>
      <c r="J72" s="124">
        <f t="shared" si="6"/>
        <v>9490.5</v>
      </c>
    </row>
    <row r="73" spans="1:10" x14ac:dyDescent="0.25">
      <c r="A73" s="1"/>
      <c r="B73" s="6"/>
      <c r="C73" s="10"/>
      <c r="D73" s="4"/>
      <c r="E73" s="1"/>
      <c r="F73" s="1"/>
      <c r="G73" s="6"/>
      <c r="H73" s="39">
        <f t="shared" si="5"/>
        <v>0</v>
      </c>
      <c r="I73" s="39"/>
      <c r="J73" s="124">
        <f t="shared" si="6"/>
        <v>9490.5</v>
      </c>
    </row>
    <row r="74" spans="1:10" x14ac:dyDescent="0.25">
      <c r="A74" s="1"/>
      <c r="B74" s="6"/>
      <c r="C74" s="10"/>
      <c r="D74" s="4"/>
      <c r="E74" s="1"/>
      <c r="F74" s="1"/>
      <c r="G74" s="6"/>
      <c r="H74" s="39">
        <f t="shared" si="5"/>
        <v>0</v>
      </c>
      <c r="I74" s="39"/>
      <c r="J74" s="124">
        <f t="shared" si="6"/>
        <v>9490.5</v>
      </c>
    </row>
    <row r="75" spans="1:10" x14ac:dyDescent="0.25">
      <c r="A75" s="1"/>
      <c r="B75" s="6"/>
      <c r="C75" s="10"/>
      <c r="D75" s="4"/>
      <c r="E75" s="1"/>
      <c r="F75" s="1"/>
      <c r="G75" s="6"/>
      <c r="H75" s="39">
        <f t="shared" si="5"/>
        <v>0</v>
      </c>
      <c r="I75" s="39"/>
      <c r="J75" s="124">
        <f t="shared" si="6"/>
        <v>9490.5</v>
      </c>
    </row>
    <row r="76" spans="1:10" x14ac:dyDescent="0.25">
      <c r="A76" s="1"/>
      <c r="B76" s="6"/>
      <c r="C76" s="10"/>
      <c r="D76" s="4"/>
      <c r="E76" s="1"/>
      <c r="F76" s="1"/>
      <c r="G76" s="6"/>
      <c r="H76" s="39">
        <f t="shared" si="5"/>
        <v>0</v>
      </c>
      <c r="I76" s="39"/>
      <c r="J76" s="124">
        <f t="shared" si="6"/>
        <v>9490.5</v>
      </c>
    </row>
    <row r="77" spans="1:10" x14ac:dyDescent="0.25">
      <c r="A77" s="1"/>
      <c r="B77" s="6"/>
      <c r="C77" s="10"/>
      <c r="D77" s="4"/>
      <c r="E77" s="1"/>
      <c r="F77" s="1"/>
      <c r="G77" s="6"/>
      <c r="H77" s="39">
        <f t="shared" si="5"/>
        <v>0</v>
      </c>
      <c r="I77" s="39"/>
      <c r="J77" s="124">
        <f t="shared" si="6"/>
        <v>9490.5</v>
      </c>
    </row>
    <row r="78" spans="1:10" x14ac:dyDescent="0.25">
      <c r="A78" s="1"/>
      <c r="B78" s="6"/>
      <c r="C78" s="10"/>
      <c r="D78" s="4"/>
      <c r="E78" s="1"/>
      <c r="F78" s="1"/>
      <c r="G78" s="6"/>
      <c r="H78" s="39">
        <f t="shared" si="5"/>
        <v>0</v>
      </c>
      <c r="I78" s="39"/>
      <c r="J78" s="124">
        <f t="shared" si="6"/>
        <v>9490.5</v>
      </c>
    </row>
    <row r="79" spans="1:10" x14ac:dyDescent="0.25">
      <c r="A79" s="1"/>
      <c r="B79" s="6"/>
      <c r="C79" s="10"/>
      <c r="D79" s="4"/>
      <c r="E79" s="1"/>
      <c r="F79" s="1"/>
      <c r="G79" s="6"/>
      <c r="H79" s="39">
        <f t="shared" si="5"/>
        <v>0</v>
      </c>
      <c r="I79" s="39"/>
      <c r="J79" s="124">
        <f t="shared" si="6"/>
        <v>9490.5</v>
      </c>
    </row>
    <row r="80" spans="1:10" x14ac:dyDescent="0.25">
      <c r="A80" s="1"/>
      <c r="B80" s="6"/>
      <c r="C80" s="10"/>
      <c r="D80" s="4"/>
      <c r="E80" s="1"/>
      <c r="F80" s="1"/>
      <c r="G80" s="6"/>
      <c r="H80" s="39">
        <f t="shared" si="5"/>
        <v>0</v>
      </c>
      <c r="I80" s="39"/>
      <c r="J80" s="124">
        <f t="shared" si="6"/>
        <v>9490.5</v>
      </c>
    </row>
    <row r="81" spans="1:10" x14ac:dyDescent="0.25">
      <c r="A81" s="1"/>
      <c r="B81" s="6"/>
      <c r="C81" s="10"/>
      <c r="D81" s="4"/>
      <c r="E81" s="1"/>
      <c r="F81" s="1"/>
      <c r="G81" s="6"/>
      <c r="H81" s="39">
        <f t="shared" si="5"/>
        <v>0</v>
      </c>
      <c r="I81" s="39"/>
      <c r="J81" s="124">
        <f t="shared" si="6"/>
        <v>9490.5</v>
      </c>
    </row>
    <row r="82" spans="1:10" x14ac:dyDescent="0.25">
      <c r="A82" s="1"/>
      <c r="B82" s="6"/>
      <c r="C82" s="10"/>
      <c r="D82" s="4"/>
      <c r="E82" s="1"/>
      <c r="F82" s="1"/>
      <c r="G82" s="6"/>
      <c r="H82" s="39">
        <f t="shared" si="5"/>
        <v>0</v>
      </c>
      <c r="I82" s="39"/>
      <c r="J82" s="124">
        <f t="shared" si="6"/>
        <v>9490.5</v>
      </c>
    </row>
    <row r="83" spans="1:10" x14ac:dyDescent="0.25">
      <c r="A83" s="1"/>
      <c r="B83" s="6"/>
      <c r="C83" s="10"/>
      <c r="D83" s="4"/>
      <c r="E83" s="1"/>
      <c r="F83" s="1"/>
      <c r="G83" s="6"/>
      <c r="H83" s="39">
        <f t="shared" si="5"/>
        <v>0</v>
      </c>
      <c r="I83" s="39"/>
      <c r="J83" s="124">
        <f t="shared" si="6"/>
        <v>9490.5</v>
      </c>
    </row>
    <row r="84" spans="1:10" x14ac:dyDescent="0.25">
      <c r="A84" s="1"/>
      <c r="B84" s="6"/>
      <c r="C84" s="10"/>
      <c r="D84" s="4"/>
      <c r="E84" s="1"/>
      <c r="F84" s="1"/>
      <c r="G84" s="6"/>
      <c r="H84" s="39">
        <f t="shared" si="5"/>
        <v>0</v>
      </c>
      <c r="I84" s="39"/>
      <c r="J84" s="124">
        <f t="shared" si="6"/>
        <v>9490.5</v>
      </c>
    </row>
    <row r="85" spans="1:10" x14ac:dyDescent="0.25">
      <c r="A85" s="1"/>
      <c r="B85" s="6"/>
      <c r="C85" s="10"/>
      <c r="D85" s="4"/>
      <c r="E85" s="1"/>
      <c r="F85" s="1"/>
      <c r="G85" s="6"/>
      <c r="H85" s="39">
        <f t="shared" si="5"/>
        <v>0</v>
      </c>
      <c r="I85" s="39"/>
      <c r="J85" s="124">
        <f t="shared" si="6"/>
        <v>9490.5</v>
      </c>
    </row>
    <row r="86" spans="1:10" x14ac:dyDescent="0.25">
      <c r="A86" s="1"/>
      <c r="B86" s="6"/>
      <c r="C86" s="10"/>
      <c r="D86" s="4"/>
      <c r="E86" s="1"/>
      <c r="F86" s="1"/>
      <c r="G86" s="6"/>
      <c r="H86" s="39">
        <f t="shared" si="5"/>
        <v>0</v>
      </c>
      <c r="I86" s="39"/>
      <c r="J86" s="124">
        <f t="shared" si="6"/>
        <v>9490.5</v>
      </c>
    </row>
    <row r="87" spans="1:10" x14ac:dyDescent="0.25">
      <c r="A87" s="1"/>
      <c r="B87" s="6"/>
      <c r="C87" s="10"/>
      <c r="D87" s="4"/>
      <c r="E87" s="1"/>
      <c r="F87" s="1"/>
      <c r="G87" s="6"/>
      <c r="H87" s="39">
        <f t="shared" si="5"/>
        <v>0</v>
      </c>
      <c r="I87" s="39"/>
      <c r="J87" s="124">
        <f t="shared" si="6"/>
        <v>9490.5</v>
      </c>
    </row>
    <row r="88" spans="1:10" x14ac:dyDescent="0.25">
      <c r="A88" s="1"/>
      <c r="B88" s="6"/>
      <c r="C88" s="10"/>
      <c r="D88" s="4"/>
      <c r="E88" s="1"/>
      <c r="F88" s="1"/>
      <c r="G88" s="6"/>
      <c r="H88" s="39">
        <f t="shared" si="5"/>
        <v>0</v>
      </c>
      <c r="I88" s="39"/>
      <c r="J88" s="124">
        <f t="shared" si="6"/>
        <v>9490.5</v>
      </c>
    </row>
    <row r="89" spans="1:10" x14ac:dyDescent="0.25">
      <c r="A89" s="1"/>
      <c r="B89" s="6"/>
      <c r="C89" s="10"/>
      <c r="D89" s="4"/>
      <c r="E89" s="1"/>
      <c r="F89" s="1"/>
      <c r="G89" s="6"/>
      <c r="H89" s="39">
        <f t="shared" si="5"/>
        <v>0</v>
      </c>
      <c r="I89" s="39"/>
      <c r="J89" s="124">
        <f t="shared" si="6"/>
        <v>9490.5</v>
      </c>
    </row>
    <row r="90" spans="1:10" x14ac:dyDescent="0.25">
      <c r="A90" s="1"/>
      <c r="B90" s="6"/>
      <c r="C90" s="10"/>
      <c r="D90" s="4"/>
      <c r="E90" s="1"/>
      <c r="F90" s="1"/>
      <c r="G90" s="6"/>
      <c r="H90" s="39">
        <f t="shared" si="5"/>
        <v>0</v>
      </c>
      <c r="I90" s="39"/>
      <c r="J90" s="124">
        <f t="shared" si="6"/>
        <v>9490.5</v>
      </c>
    </row>
    <row r="91" spans="1:10" ht="15.75" thickBot="1" x14ac:dyDescent="0.3">
      <c r="A91" s="8"/>
      <c r="B91" s="9"/>
      <c r="C91" s="11"/>
      <c r="D91" s="12"/>
      <c r="E91" s="8"/>
      <c r="F91" s="8"/>
      <c r="G91" s="9"/>
      <c r="H91" s="40">
        <f t="shared" si="5"/>
        <v>0</v>
      </c>
      <c r="I91" s="40"/>
      <c r="J91" s="126">
        <f t="shared" si="6"/>
        <v>9490.5</v>
      </c>
    </row>
    <row r="94" spans="1:10" x14ac:dyDescent="0.25">
      <c r="B94" s="71"/>
    </row>
    <row r="95" spans="1:10" x14ac:dyDescent="0.25">
      <c r="B95" s="71"/>
    </row>
    <row r="99" spans="2:2" x14ac:dyDescent="0.25">
      <c r="B99" s="71"/>
    </row>
    <row r="100" spans="2:2" x14ac:dyDescent="0.25">
      <c r="B100" s="71"/>
    </row>
  </sheetData>
  <autoFilter ref="A3:H91"/>
  <mergeCells count="7">
    <mergeCell ref="I1:I2"/>
    <mergeCell ref="J1:J2"/>
    <mergeCell ref="D1:G1"/>
    <mergeCell ref="C1:C2"/>
    <mergeCell ref="A1:A2"/>
    <mergeCell ref="B1:B2"/>
    <mergeCell ref="H1:H2"/>
  </mergeCells>
  <conditionalFormatting sqref="I4:I91">
    <cfRule type="cellIs" dxfId="3" priority="4" operator="greaterThan">
      <formula>0</formula>
    </cfRule>
    <cfRule type="cellIs" dxfId="2" priority="3" operator="lessThan">
      <formula>0</formula>
    </cfRule>
  </conditionalFormatting>
  <conditionalFormatting sqref="J4:J91">
    <cfRule type="cellIs" dxfId="1" priority="2" operator="lessThan">
      <formula>0</formula>
    </cfRule>
    <cfRule type="cellIs" dxfId="0" priority="1" operator="greaterThan">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topLeftCell="A13" workbookViewId="0">
      <selection activeCell="B29" sqref="B29"/>
    </sheetView>
  </sheetViews>
  <sheetFormatPr defaultRowHeight="15" x14ac:dyDescent="0.25"/>
  <cols>
    <col min="2" max="2" width="17.42578125" customWidth="1"/>
    <col min="3" max="3" width="11.140625" bestFit="1" customWidth="1"/>
    <col min="9" max="9" width="20.5703125" customWidth="1"/>
  </cols>
  <sheetData>
    <row r="1" spans="1:17" x14ac:dyDescent="0.25">
      <c r="B1" s="1"/>
      <c r="C1" s="154" t="s">
        <v>2</v>
      </c>
      <c r="D1" s="153" t="s">
        <v>92</v>
      </c>
      <c r="E1" s="153"/>
      <c r="F1" s="153"/>
      <c r="G1" s="153"/>
      <c r="H1" s="153"/>
      <c r="I1" s="156" t="s">
        <v>93</v>
      </c>
      <c r="J1" s="1"/>
      <c r="K1" s="20" t="s">
        <v>88</v>
      </c>
      <c r="L1" s="20" t="s">
        <v>11</v>
      </c>
      <c r="M1" s="20" t="s">
        <v>12</v>
      </c>
      <c r="N1" s="20" t="s">
        <v>94</v>
      </c>
      <c r="O1" s="20" t="s">
        <v>13</v>
      </c>
    </row>
    <row r="2" spans="1:17" x14ac:dyDescent="0.25">
      <c r="B2" s="1"/>
      <c r="C2" s="155"/>
      <c r="D2" s="20" t="s">
        <v>88</v>
      </c>
      <c r="E2" s="20" t="s">
        <v>11</v>
      </c>
      <c r="F2" s="20" t="s">
        <v>12</v>
      </c>
      <c r="G2" s="20" t="s">
        <v>94</v>
      </c>
      <c r="H2" s="20" t="s">
        <v>13</v>
      </c>
      <c r="I2" s="156"/>
      <c r="J2" s="59" t="s">
        <v>95</v>
      </c>
      <c r="K2" s="1">
        <f>SUMIFS(D$4:D$1004,$A$4:$A$1004,"ОТК")</f>
        <v>162</v>
      </c>
      <c r="L2" s="1">
        <f>SUMIFS(E$4:E$1004,$A$4:$A$1004,"ОТК")</f>
        <v>137</v>
      </c>
      <c r="M2" s="1">
        <f>SUMIFS(F$4:F$1004,$A$4:$A$1004,"ОТК")</f>
        <v>33</v>
      </c>
      <c r="N2" s="1">
        <f>SUMIFS(G$4:G$1004,$A$4:$A$1004,"ОТК")</f>
        <v>64</v>
      </c>
      <c r="O2" s="1">
        <f>SUMIFS(H$4:H$1004,$A$4:$A$1004,"ОТК")</f>
        <v>10</v>
      </c>
    </row>
    <row r="3" spans="1:17" x14ac:dyDescent="0.25">
      <c r="B3" s="1"/>
      <c r="C3" s="1"/>
      <c r="D3" s="20">
        <f>SUM(D4:D100)</f>
        <v>162</v>
      </c>
      <c r="E3" s="20">
        <f>SUM(E4:E100)</f>
        <v>137</v>
      </c>
      <c r="F3" s="20">
        <f>SUM(F4:F100)</f>
        <v>33</v>
      </c>
      <c r="G3" s="20">
        <f>SUM(G4:G100)</f>
        <v>64</v>
      </c>
      <c r="H3" s="20">
        <f>SUM(H4:H100)</f>
        <v>10</v>
      </c>
      <c r="I3" s="156"/>
      <c r="J3" s="59" t="s">
        <v>95</v>
      </c>
      <c r="K3" s="1">
        <f>SUMIFS(D$4:D$1004,$A$4:$A$1004,"ОТК",$I$4:$I$1004,K1)</f>
        <v>0</v>
      </c>
      <c r="L3" s="1">
        <f>SUMIFS(E$4:E$1004,$A$4:$A$1004,"ОТК",$I$4:$I$1004,L1)</f>
        <v>85</v>
      </c>
      <c r="M3" s="1">
        <f>SUMIFS(F$4:F$1004,$A$4:$A$1004,"ОТК",$I$4:$I$1004,M1)</f>
        <v>23</v>
      </c>
      <c r="N3" s="1">
        <f>SUMIFS(G$4:G$1004,$A$4:$A$1004,"ОТК",$I$4:$I$1004,N1)</f>
        <v>42</v>
      </c>
      <c r="O3" s="1">
        <f>SUMIFS(H$4:H$1004,$A$4:$A$1004,"ОТК",$I$4:$I$1004,O1)</f>
        <v>10</v>
      </c>
    </row>
    <row r="4" spans="1:17" x14ac:dyDescent="0.25">
      <c r="A4" t="s">
        <v>95</v>
      </c>
      <c r="B4" s="60" t="s">
        <v>24</v>
      </c>
      <c r="C4" s="60" t="s">
        <v>26</v>
      </c>
      <c r="D4" s="61">
        <f>IFERROR(INDEX(Details!N$3:N$122,MATCH(ОТК!$C4,Details!$A$3:$A$122,0)),0)</f>
        <v>2</v>
      </c>
      <c r="E4" s="61">
        <f>IFERROR(INDEX(Details!O$3:O$122,MATCH(ОТК!$C4,Details!$A$3:$A$122,0)),0)</f>
        <v>2</v>
      </c>
      <c r="F4" s="61">
        <f>IFERROR(INDEX(Details!P$3:P$122,MATCH(ОТК!$C4,Details!$A$3:$A$122,0)),0)</f>
        <v>0</v>
      </c>
      <c r="G4" s="61">
        <f>IFERROR(INDEX(Details!Q$3:Q$122,MATCH(ОТК!$C4,Details!$A$3:$A$122,0)),0)</f>
        <v>2</v>
      </c>
      <c r="H4" s="61">
        <f>IFERROR(INDEX(Details!R$3:R$122,MATCH(ОТК!$C4,Details!$A$3:$A$122,0)),0)</f>
        <v>0</v>
      </c>
      <c r="I4" s="64" t="s">
        <v>12</v>
      </c>
    </row>
    <row r="5" spans="1:17" x14ac:dyDescent="0.25">
      <c r="A5" s="1" t="s">
        <v>95</v>
      </c>
      <c r="B5" s="42" t="s">
        <v>27</v>
      </c>
      <c r="C5" s="42" t="s">
        <v>28</v>
      </c>
      <c r="D5" s="1">
        <f>IFERROR(INDEX(Details!N$3:N$122,MATCH(ОТК!$C5,Details!$A$3:$A$122,0)),0)</f>
        <v>2</v>
      </c>
      <c r="E5" s="1">
        <f>IFERROR(INDEX(Details!O$3:O$122,MATCH(ОТК!$C5,Details!$A$3:$A$122,0)),0)</f>
        <v>0</v>
      </c>
      <c r="F5" s="1">
        <f>IFERROR(INDEX(Details!P$3:P$122,MATCH(ОТК!$C5,Details!$A$3:$A$122,0)),0)</f>
        <v>0</v>
      </c>
      <c r="G5" s="1">
        <f>IFERROR(INDEX(Details!Q$3:Q$122,MATCH(ОТК!$C5,Details!$A$3:$A$122,0)),0)</f>
        <v>2</v>
      </c>
      <c r="H5" s="1">
        <f>IFERROR(INDEX(Details!R$3:R$122,MATCH(ОТК!$C5,Details!$A$3:$A$122,0)),0)</f>
        <v>0</v>
      </c>
      <c r="I5" s="64" t="s">
        <v>94</v>
      </c>
    </row>
    <row r="6" spans="1:17" x14ac:dyDescent="0.25">
      <c r="A6" s="1"/>
      <c r="B6" s="42"/>
      <c r="C6" s="42"/>
      <c r="D6" s="1">
        <f>IFERROR(INDEX(Details!N$3:N$122,MATCH(ОТК!$C6,Details!$A$3:$A$122,0)),0)</f>
        <v>0</v>
      </c>
      <c r="E6" s="1">
        <f>IFERROR(INDEX(Details!O$3:O$122,MATCH(ОТК!$C6,Details!$A$3:$A$122,0)),0)</f>
        <v>0</v>
      </c>
      <c r="F6" s="1">
        <f>IFERROR(INDEX(Details!P$3:P$122,MATCH(ОТК!$C6,Details!$A$3:$A$122,0)),0)</f>
        <v>0</v>
      </c>
      <c r="G6" s="1">
        <f>IFERROR(INDEX(Details!Q$3:Q$122,MATCH(ОТК!$C6,Details!$A$3:$A$122,0)),0)</f>
        <v>0</v>
      </c>
      <c r="H6" s="1">
        <f>IFERROR(INDEX(Details!R$3:R$122,MATCH(ОТК!$C6,Details!$A$3:$A$122,0)),0)</f>
        <v>0</v>
      </c>
      <c r="I6" s="64" t="s">
        <v>94</v>
      </c>
    </row>
    <row r="7" spans="1:17" x14ac:dyDescent="0.25">
      <c r="A7" s="1"/>
      <c r="B7" s="42"/>
      <c r="C7" s="42"/>
      <c r="D7" s="1">
        <f>IFERROR(INDEX(Details!N$3:N$122,MATCH(ОТК!$C7,Details!$A$3:$A$122,0)),0)</f>
        <v>0</v>
      </c>
      <c r="E7" s="1">
        <f>IFERROR(INDEX(Details!O$3:O$122,MATCH(ОТК!$C7,Details!$A$3:$A$122,0)),0)</f>
        <v>0</v>
      </c>
      <c r="F7" s="1">
        <f>IFERROR(INDEX(Details!P$3:P$122,MATCH(ОТК!$C7,Details!$A$3:$A$122,0)),0)</f>
        <v>0</v>
      </c>
      <c r="G7" s="1">
        <f>IFERROR(INDEX(Details!Q$3:Q$122,MATCH(ОТК!$C7,Details!$A$3:$A$122,0)),0)</f>
        <v>0</v>
      </c>
      <c r="H7" s="1">
        <f>IFERROR(INDEX(Details!R$3:R$122,MATCH(ОТК!$C7,Details!$A$3:$A$122,0)),0)</f>
        <v>0</v>
      </c>
      <c r="I7" s="64" t="s">
        <v>94</v>
      </c>
    </row>
    <row r="8" spans="1:17" x14ac:dyDescent="0.25">
      <c r="A8" s="1" t="s">
        <v>95</v>
      </c>
      <c r="B8" s="42" t="s">
        <v>42</v>
      </c>
      <c r="C8" s="42" t="s">
        <v>43</v>
      </c>
      <c r="D8" s="1">
        <f>IFERROR(INDEX(Details!N$3:N$122,MATCH(ОТК!$C8,Details!$A$3:$A$122,0)),0)</f>
        <v>5</v>
      </c>
      <c r="E8" s="1">
        <f>IFERROR(INDEX(Details!O$3:O$122,MATCH(ОТК!$C8,Details!$A$3:$A$122,0)),0)</f>
        <v>5</v>
      </c>
      <c r="F8" s="1">
        <f>IFERROR(INDEX(Details!P$3:P$122,MATCH(ОТК!$C8,Details!$A$3:$A$122,0)),0)</f>
        <v>0</v>
      </c>
      <c r="G8" s="1">
        <f>IFERROR(INDEX(Details!Q$3:Q$122,MATCH(ОТК!$C8,Details!$A$3:$A$122,0)),0)</f>
        <v>0</v>
      </c>
      <c r="H8" s="1">
        <f>IFERROR(INDEX(Details!R$3:R$122,MATCH(ОТК!$C8,Details!$A$3:$A$122,0)),0)</f>
        <v>0</v>
      </c>
      <c r="I8" s="64" t="s">
        <v>11</v>
      </c>
    </row>
    <row r="9" spans="1:17" x14ac:dyDescent="0.25">
      <c r="A9" s="1"/>
      <c r="B9" s="42"/>
      <c r="C9" s="42"/>
      <c r="D9" s="1">
        <f>IFERROR(INDEX(Details!N$3:N$122,MATCH(ОТК!$C9,Details!$A$3:$A$122,0)),0)</f>
        <v>0</v>
      </c>
      <c r="E9" s="1">
        <f>IFERROR(INDEX(Details!O$3:O$122,MATCH(ОТК!$C9,Details!$A$3:$A$122,0)),0)</f>
        <v>0</v>
      </c>
      <c r="F9" s="1">
        <f>IFERROR(INDEX(Details!P$3:P$122,MATCH(ОТК!$C9,Details!$A$3:$A$122,0)),0)</f>
        <v>0</v>
      </c>
      <c r="G9" s="1">
        <f>IFERROR(INDEX(Details!Q$3:Q$122,MATCH(ОТК!$C9,Details!$A$3:$A$122,0)),0)</f>
        <v>0</v>
      </c>
      <c r="H9" s="1">
        <f>IFERROR(INDEX(Details!R$3:R$122,MATCH(ОТК!$C9,Details!$A$3:$A$122,0)),0)</f>
        <v>0</v>
      </c>
      <c r="I9" s="64" t="s">
        <v>94</v>
      </c>
      <c r="Q9">
        <f>8*11</f>
        <v>88</v>
      </c>
    </row>
    <row r="10" spans="1:17" x14ac:dyDescent="0.25">
      <c r="A10" s="1" t="s">
        <v>95</v>
      </c>
      <c r="B10" s="42" t="s">
        <v>96</v>
      </c>
      <c r="C10" s="42" t="s">
        <v>32</v>
      </c>
      <c r="D10" s="1">
        <f>IFERROR(INDEX(Details!N$3:N$122,MATCH(ОТК!$C10,Details!$A$3:$A$122,0)),0)</f>
        <v>4</v>
      </c>
      <c r="E10" s="1">
        <f>IFERROR(INDEX(Details!O$3:O$122,MATCH(ОТК!$C10,Details!$A$3:$A$122,0)),0)</f>
        <v>4</v>
      </c>
      <c r="F10" s="1">
        <f>IFERROR(INDEX(Details!P$3:P$122,MATCH(ОТК!$C10,Details!$A$3:$A$122,0)),0)</f>
        <v>0</v>
      </c>
      <c r="G10" s="1">
        <f>IFERROR(INDEX(Details!Q$3:Q$122,MATCH(ОТК!$C10,Details!$A$3:$A$122,0)),0)</f>
        <v>0</v>
      </c>
      <c r="H10" s="1">
        <f>IFERROR(INDEX(Details!R$3:R$122,MATCH(ОТК!$C10,Details!$A$3:$A$122,0)),0)</f>
        <v>0</v>
      </c>
      <c r="I10" s="64" t="s">
        <v>11</v>
      </c>
      <c r="Q10">
        <f>Q9/10</f>
        <v>8.8000000000000007</v>
      </c>
    </row>
    <row r="11" spans="1:17" x14ac:dyDescent="0.25">
      <c r="A11" s="1" t="s">
        <v>95</v>
      </c>
      <c r="B11" s="42" t="s">
        <v>54</v>
      </c>
      <c r="C11" s="43" t="s">
        <v>40</v>
      </c>
      <c r="D11" s="1">
        <f>IFERROR(INDEX(Details!N$3:N$122,MATCH(ОТК!$C11,Details!$A$3:$A$122,0)),0)</f>
        <v>8</v>
      </c>
      <c r="E11" s="1">
        <f>IFERROR(INDEX(Details!O$3:O$122,MATCH(ОТК!$C11,Details!$A$3:$A$122,0)),0)</f>
        <v>8</v>
      </c>
      <c r="F11" s="1">
        <f>IFERROR(INDEX(Details!P$3:P$122,MATCH(ОТК!$C11,Details!$A$3:$A$122,0)),0)</f>
        <v>0</v>
      </c>
      <c r="G11" s="1">
        <f>IFERROR(INDEX(Details!Q$3:Q$122,MATCH(ОТК!$C11,Details!$A$3:$A$122,0)),0)</f>
        <v>0</v>
      </c>
      <c r="H11" s="1">
        <f>IFERROR(INDEX(Details!R$3:R$122,MATCH(ОТК!$C11,Details!$A$3:$A$122,0)),0)</f>
        <v>0</v>
      </c>
      <c r="I11" s="64" t="s">
        <v>11</v>
      </c>
    </row>
    <row r="12" spans="1:17" x14ac:dyDescent="0.25">
      <c r="A12" s="1" t="s">
        <v>95</v>
      </c>
      <c r="B12" s="42" t="s">
        <v>54</v>
      </c>
      <c r="C12" s="43" t="s">
        <v>40</v>
      </c>
      <c r="D12" s="1">
        <f>IFERROR(INDEX(Details!N$3:N$122,MATCH(ОТК!$C12,Details!$A$3:$A$122,0)),0)</f>
        <v>8</v>
      </c>
      <c r="E12" s="1">
        <f>IFERROR(INDEX(Details!O$3:O$122,MATCH(ОТК!$C12,Details!$A$3:$A$122,0)),0)</f>
        <v>8</v>
      </c>
      <c r="F12" s="1">
        <f>IFERROR(INDEX(Details!P$3:P$122,MATCH(ОТК!$C12,Details!$A$3:$A$122,0)),0)</f>
        <v>0</v>
      </c>
      <c r="G12" s="1">
        <f>IFERROR(INDEX(Details!Q$3:Q$122,MATCH(ОТК!$C12,Details!$A$3:$A$122,0)),0)</f>
        <v>0</v>
      </c>
      <c r="H12" s="1">
        <f>IFERROR(INDEX(Details!R$3:R$122,MATCH(ОТК!$C12,Details!$A$3:$A$122,0)),0)</f>
        <v>0</v>
      </c>
      <c r="I12" s="64" t="s">
        <v>11</v>
      </c>
    </row>
    <row r="13" spans="1:17" x14ac:dyDescent="0.25">
      <c r="A13" s="1" t="s">
        <v>95</v>
      </c>
      <c r="B13" s="42" t="s">
        <v>54</v>
      </c>
      <c r="C13" s="43" t="s">
        <v>40</v>
      </c>
      <c r="D13" s="1">
        <f>IFERROR(INDEX(Details!N$3:N$122,MATCH(ОТК!$C13,Details!$A$3:$A$122,0)),0)</f>
        <v>8</v>
      </c>
      <c r="E13" s="1">
        <f>IFERROR(INDEX(Details!O$3:O$122,MATCH(ОТК!$C13,Details!$A$3:$A$122,0)),0)</f>
        <v>8</v>
      </c>
      <c r="F13" s="1">
        <f>IFERROR(INDEX(Details!P$3:P$122,MATCH(ОТК!$C13,Details!$A$3:$A$122,0)),0)</f>
        <v>0</v>
      </c>
      <c r="G13" s="1">
        <f>IFERROR(INDEX(Details!Q$3:Q$122,MATCH(ОТК!$C13,Details!$A$3:$A$122,0)),0)</f>
        <v>0</v>
      </c>
      <c r="H13" s="1">
        <f>IFERROR(INDEX(Details!R$3:R$122,MATCH(ОТК!$C13,Details!$A$3:$A$122,0)),0)</f>
        <v>0</v>
      </c>
      <c r="I13" s="64" t="s">
        <v>11</v>
      </c>
    </row>
    <row r="14" spans="1:17" x14ac:dyDescent="0.25">
      <c r="A14" s="1" t="s">
        <v>95</v>
      </c>
      <c r="B14" s="42" t="s">
        <v>54</v>
      </c>
      <c r="C14" s="43" t="s">
        <v>40</v>
      </c>
      <c r="D14" s="1">
        <f>IFERROR(INDEX(Details!N$3:N$122,MATCH(ОТК!$C14,Details!$A$3:$A$122,0)),0)</f>
        <v>8</v>
      </c>
      <c r="E14" s="1">
        <f>IFERROR(INDEX(Details!O$3:O$122,MATCH(ОТК!$C14,Details!$A$3:$A$122,0)),0)</f>
        <v>8</v>
      </c>
      <c r="F14" s="1">
        <f>IFERROR(INDEX(Details!P$3:P$122,MATCH(ОТК!$C14,Details!$A$3:$A$122,0)),0)</f>
        <v>0</v>
      </c>
      <c r="G14" s="1">
        <f>IFERROR(INDEX(Details!Q$3:Q$122,MATCH(ОТК!$C14,Details!$A$3:$A$122,0)),0)</f>
        <v>0</v>
      </c>
      <c r="H14" s="1">
        <f>IFERROR(INDEX(Details!R$3:R$122,MATCH(ОТК!$C14,Details!$A$3:$A$122,0)),0)</f>
        <v>0</v>
      </c>
      <c r="I14" s="64" t="s">
        <v>11</v>
      </c>
    </row>
    <row r="15" spans="1:17" x14ac:dyDescent="0.25">
      <c r="A15" s="1" t="s">
        <v>95</v>
      </c>
      <c r="B15" s="42" t="s">
        <v>54</v>
      </c>
      <c r="C15" s="43" t="s">
        <v>40</v>
      </c>
      <c r="D15" s="1">
        <f>IFERROR(INDEX(Details!N$3:N$122,MATCH(ОТК!$C15,Details!$A$3:$A$122,0)),0)</f>
        <v>8</v>
      </c>
      <c r="E15" s="1">
        <f>IFERROR(INDEX(Details!O$3:O$122,MATCH(ОТК!$C15,Details!$A$3:$A$122,0)),0)</f>
        <v>8</v>
      </c>
      <c r="F15" s="1">
        <f>IFERROR(INDEX(Details!P$3:P$122,MATCH(ОТК!$C15,Details!$A$3:$A$122,0)),0)</f>
        <v>0</v>
      </c>
      <c r="G15" s="1">
        <f>IFERROR(INDEX(Details!Q$3:Q$122,MATCH(ОТК!$C15,Details!$A$3:$A$122,0)),0)</f>
        <v>0</v>
      </c>
      <c r="H15" s="1">
        <f>IFERROR(INDEX(Details!R$3:R$122,MATCH(ОТК!$C15,Details!$A$3:$A$122,0)),0)</f>
        <v>0</v>
      </c>
      <c r="I15" s="64" t="s">
        <v>11</v>
      </c>
    </row>
    <row r="16" spans="1:17" x14ac:dyDescent="0.25">
      <c r="A16" s="1" t="s">
        <v>95</v>
      </c>
      <c r="B16" s="42" t="s">
        <v>54</v>
      </c>
      <c r="C16" s="43" t="s">
        <v>40</v>
      </c>
      <c r="D16" s="1">
        <f>IFERROR(INDEX(Details!N$3:N$122,MATCH(ОТК!$C16,Details!$A$3:$A$122,0)),0)</f>
        <v>8</v>
      </c>
      <c r="E16" s="1">
        <f>IFERROR(INDEX(Details!O$3:O$122,MATCH(ОТК!$C16,Details!$A$3:$A$122,0)),0)</f>
        <v>8</v>
      </c>
      <c r="F16" s="1">
        <f>IFERROR(INDEX(Details!P$3:P$122,MATCH(ОТК!$C16,Details!$A$3:$A$122,0)),0)</f>
        <v>0</v>
      </c>
      <c r="G16" s="1">
        <f>IFERROR(INDEX(Details!Q$3:Q$122,MATCH(ОТК!$C16,Details!$A$3:$A$122,0)),0)</f>
        <v>0</v>
      </c>
      <c r="H16" s="1">
        <f>IFERROR(INDEX(Details!R$3:R$122,MATCH(ОТК!$C16,Details!$A$3:$A$122,0)),0)</f>
        <v>0</v>
      </c>
      <c r="I16" s="64" t="s">
        <v>11</v>
      </c>
    </row>
    <row r="17" spans="1:9" x14ac:dyDescent="0.25">
      <c r="A17" s="1" t="s">
        <v>95</v>
      </c>
      <c r="B17" s="42" t="s">
        <v>54</v>
      </c>
      <c r="C17" s="43" t="s">
        <v>40</v>
      </c>
      <c r="D17" s="1">
        <f>IFERROR(INDEX(Details!N$3:N$122,MATCH(ОТК!$C17,Details!$A$3:$A$122,0)),0)</f>
        <v>8</v>
      </c>
      <c r="E17" s="1">
        <f>IFERROR(INDEX(Details!O$3:O$122,MATCH(ОТК!$C17,Details!$A$3:$A$122,0)),0)</f>
        <v>8</v>
      </c>
      <c r="F17" s="1">
        <f>IFERROR(INDEX(Details!P$3:P$122,MATCH(ОТК!$C17,Details!$A$3:$A$122,0)),0)</f>
        <v>0</v>
      </c>
      <c r="G17" s="1">
        <f>IFERROR(INDEX(Details!Q$3:Q$122,MATCH(ОТК!$C17,Details!$A$3:$A$122,0)),0)</f>
        <v>0</v>
      </c>
      <c r="H17" s="1">
        <f>IFERROR(INDEX(Details!R$3:R$122,MATCH(ОТК!$C17,Details!$A$3:$A$122,0)),0)</f>
        <v>0</v>
      </c>
      <c r="I17" s="64" t="s">
        <v>11</v>
      </c>
    </row>
    <row r="18" spans="1:9" x14ac:dyDescent="0.25">
      <c r="A18" s="1"/>
      <c r="B18" s="42"/>
      <c r="C18" s="42"/>
      <c r="D18" s="1">
        <f>IFERROR(INDEX(Details!N$3:N$122,MATCH(ОТК!$C18,Details!$A$3:$A$122,0)),0)</f>
        <v>0</v>
      </c>
      <c r="E18" s="1">
        <f>IFERROR(INDEX(Details!O$3:O$122,MATCH(ОТК!$C18,Details!$A$3:$A$122,0)),0)</f>
        <v>0</v>
      </c>
      <c r="F18" s="1">
        <f>IFERROR(INDEX(Details!P$3:P$122,MATCH(ОТК!$C18,Details!$A$3:$A$122,0)),0)</f>
        <v>0</v>
      </c>
      <c r="G18" s="1">
        <f>IFERROR(INDEX(Details!Q$3:Q$122,MATCH(ОТК!$C18,Details!$A$3:$A$122,0)),0)</f>
        <v>0</v>
      </c>
      <c r="H18" s="1">
        <f>IFERROR(INDEX(Details!R$3:R$122,MATCH(ОТК!$C18,Details!$A$3:$A$122,0)),0)</f>
        <v>0</v>
      </c>
      <c r="I18" s="64"/>
    </row>
    <row r="19" spans="1:9" x14ac:dyDescent="0.25">
      <c r="A19" s="1"/>
      <c r="B19" s="42"/>
      <c r="C19" s="42"/>
      <c r="D19" s="1">
        <f>IFERROR(INDEX(Details!N$3:N$122,MATCH(ОТК!$C19,Details!$A$3:$A$122,0)),0)</f>
        <v>0</v>
      </c>
      <c r="E19" s="1">
        <f>IFERROR(INDEX(Details!O$3:O$122,MATCH(ОТК!$C19,Details!$A$3:$A$122,0)),0)</f>
        <v>0</v>
      </c>
      <c r="F19" s="1">
        <f>IFERROR(INDEX(Details!P$3:P$122,MATCH(ОТК!$C19,Details!$A$3:$A$122,0)),0)</f>
        <v>0</v>
      </c>
      <c r="G19" s="1">
        <f>IFERROR(INDEX(Details!Q$3:Q$122,MATCH(ОТК!$C19,Details!$A$3:$A$122,0)),0)</f>
        <v>0</v>
      </c>
      <c r="H19" s="1">
        <f>IFERROR(INDEX(Details!R$3:R$122,MATCH(ОТК!$C19,Details!$A$3:$A$122,0)),0)</f>
        <v>0</v>
      </c>
      <c r="I19" s="64"/>
    </row>
    <row r="20" spans="1:9" x14ac:dyDescent="0.25">
      <c r="A20" s="1"/>
      <c r="B20" s="1"/>
      <c r="C20" s="1"/>
      <c r="D20" s="1">
        <f>IFERROR(INDEX(Details!N$3:N$122,MATCH(ОТК!$C20,Details!$A$3:$A$122,0)),0)</f>
        <v>0</v>
      </c>
      <c r="E20" s="1">
        <f>IFERROR(INDEX(Details!O$3:O$122,MATCH(ОТК!$C20,Details!$A$3:$A$122,0)),0)</f>
        <v>0</v>
      </c>
      <c r="F20" s="1">
        <f>IFERROR(INDEX(Details!P$3:P$122,MATCH(ОТК!$C20,Details!$A$3:$A$122,0)),0)</f>
        <v>0</v>
      </c>
      <c r="G20" s="1">
        <f>IFERROR(INDEX(Details!Q$3:Q$122,MATCH(ОТК!$C20,Details!$A$3:$A$122,0)),0)</f>
        <v>0</v>
      </c>
      <c r="H20" s="1">
        <f>IFERROR(INDEX(Details!R$3:R$122,MATCH(ОТК!$C20,Details!$A$3:$A$122,0)),0)</f>
        <v>0</v>
      </c>
      <c r="I20" s="64"/>
    </row>
    <row r="21" spans="1:9" x14ac:dyDescent="0.25">
      <c r="A21" s="1" t="s">
        <v>95</v>
      </c>
      <c r="B21" s="42" t="s">
        <v>97</v>
      </c>
      <c r="C21" s="43" t="s">
        <v>45</v>
      </c>
      <c r="D21" s="1">
        <f>IFERROR(INDEX(Details!N$3:N$122,MATCH(ОТК!$C21,Details!$A$3:$A$122,0)),0)</f>
        <v>10</v>
      </c>
      <c r="E21" s="1">
        <f>IFERROR(INDEX(Details!O$3:O$122,MATCH(ОТК!$C21,Details!$A$3:$A$122,0)),0)</f>
        <v>10</v>
      </c>
      <c r="F21" s="1">
        <f>IFERROR(INDEX(Details!P$3:P$122,MATCH(ОТК!$C21,Details!$A$3:$A$122,0)),0)</f>
        <v>0</v>
      </c>
      <c r="G21" s="1">
        <f>IFERROR(INDEX(Details!Q$3:Q$122,MATCH(ОТК!$C21,Details!$A$3:$A$122,0)),0)</f>
        <v>0</v>
      </c>
      <c r="H21" s="1">
        <f>IFERROR(INDEX(Details!R$3:R$122,MATCH(ОТК!$C21,Details!$A$3:$A$122,0)),0)</f>
        <v>10</v>
      </c>
      <c r="I21" s="64" t="s">
        <v>13</v>
      </c>
    </row>
    <row r="22" spans="1:9" x14ac:dyDescent="0.25">
      <c r="A22" s="1" t="s">
        <v>95</v>
      </c>
      <c r="B22" s="42" t="s">
        <v>98</v>
      </c>
      <c r="C22" s="43" t="s">
        <v>47</v>
      </c>
      <c r="D22" s="1">
        <f>IFERROR(INDEX(Details!N$3:N$122,MATCH(ОТК!$C22,Details!$A$3:$A$122,0)),0)</f>
        <v>10</v>
      </c>
      <c r="E22" s="1">
        <f>IFERROR(INDEX(Details!O$3:O$122,MATCH(ОТК!$C22,Details!$A$3:$A$122,0)),0)</f>
        <v>10</v>
      </c>
      <c r="F22" s="1">
        <f>IFERROR(INDEX(Details!P$3:P$122,MATCH(ОТК!$C22,Details!$A$3:$A$122,0)),0)</f>
        <v>0</v>
      </c>
      <c r="G22" s="1">
        <f>IFERROR(INDEX(Details!Q$3:Q$122,MATCH(ОТК!$C22,Details!$A$3:$A$122,0)),0)</f>
        <v>0</v>
      </c>
      <c r="H22" s="1">
        <f>IFERROR(INDEX(Details!R$3:R$122,MATCH(ОТК!$C22,Details!$A$3:$A$122,0)),0)</f>
        <v>0</v>
      </c>
      <c r="I22" s="64" t="s">
        <v>11</v>
      </c>
    </row>
    <row r="23" spans="1:9" x14ac:dyDescent="0.25">
      <c r="A23" s="1" t="s">
        <v>95</v>
      </c>
      <c r="B23" s="1" t="s">
        <v>91</v>
      </c>
      <c r="C23" s="1" t="s">
        <v>77</v>
      </c>
      <c r="D23" s="1">
        <f>IFERROR(INDEX(Details!N$3:N$122,MATCH(ОТК!$C23,Details!$A$3:$A$122,0)),0)</f>
        <v>7</v>
      </c>
      <c r="E23" s="1">
        <f>IFERROR(INDEX(Details!O$3:O$122,MATCH(ОТК!$C23,Details!$A$3:$A$122,0)),0)</f>
        <v>0</v>
      </c>
      <c r="F23" s="1">
        <f>IFERROR(INDEX(Details!P$3:P$122,MATCH(ОТК!$C23,Details!$A$3:$A$122,0)),0)</f>
        <v>7</v>
      </c>
      <c r="G23" s="1">
        <f>IFERROR(INDEX(Details!Q$3:Q$122,MATCH(ОТК!$C23,Details!$A$3:$A$122,0)),0)</f>
        <v>7</v>
      </c>
      <c r="H23" s="1">
        <f>IFERROR(INDEX(Details!R$3:R$122,MATCH(ОТК!$C23,Details!$A$3:$A$122,0)),0)</f>
        <v>0</v>
      </c>
      <c r="I23" s="64" t="s">
        <v>12</v>
      </c>
    </row>
    <row r="24" spans="1:9" x14ac:dyDescent="0.25">
      <c r="A24" s="1" t="s">
        <v>95</v>
      </c>
      <c r="B24" s="1" t="s">
        <v>99</v>
      </c>
      <c r="C24" s="1" t="s">
        <v>79</v>
      </c>
      <c r="D24" s="1">
        <f>IFERROR(INDEX(Details!N$3:N$122,MATCH(ОТК!$C24,Details!$A$3:$A$122,0)),0)</f>
        <v>6</v>
      </c>
      <c r="E24" s="1">
        <f>IFERROR(INDEX(Details!O$3:O$122,MATCH(ОТК!$C24,Details!$A$3:$A$122,0)),0)</f>
        <v>0</v>
      </c>
      <c r="F24" s="1">
        <f>IFERROR(INDEX(Details!P$3:P$122,MATCH(ОТК!$C24,Details!$A$3:$A$122,0)),0)</f>
        <v>6</v>
      </c>
      <c r="G24" s="1">
        <f>IFERROR(INDEX(Details!Q$3:Q$122,MATCH(ОТК!$C24,Details!$A$3:$A$122,0)),0)</f>
        <v>6</v>
      </c>
      <c r="H24" s="1">
        <f>IFERROR(INDEX(Details!R$3:R$122,MATCH(ОТК!$C24,Details!$A$3:$A$122,0)),0)</f>
        <v>0</v>
      </c>
      <c r="I24" s="64" t="s">
        <v>12</v>
      </c>
    </row>
    <row r="25" spans="1:9" x14ac:dyDescent="0.25">
      <c r="A25" s="1" t="s">
        <v>95</v>
      </c>
      <c r="B25" s="42" t="s">
        <v>14</v>
      </c>
      <c r="C25" s="42" t="s">
        <v>16</v>
      </c>
      <c r="D25" s="1">
        <f>IFERROR(INDEX(Details!N$3:N$122,MATCH(ОТК!$C25,Details!$A$3:$A$122,0)),0)</f>
        <v>3</v>
      </c>
      <c r="E25" s="1">
        <f>IFERROR(INDEX(Details!O$3:O$122,MATCH(ОТК!$C25,Details!$A$3:$A$122,0)),0)</f>
        <v>0</v>
      </c>
      <c r="F25" s="1">
        <f>IFERROR(INDEX(Details!P$3:P$122,MATCH(ОТК!$C25,Details!$A$3:$A$122,0)),0)</f>
        <v>3</v>
      </c>
      <c r="G25" s="1">
        <f>IFERROR(INDEX(Details!Q$3:Q$122,MATCH(ОТК!$C25,Details!$A$3:$A$122,0)),0)</f>
        <v>0</v>
      </c>
      <c r="H25" s="1">
        <f>IFERROR(INDEX(Details!R$3:R$122,MATCH(ОТК!$C25,Details!$A$3:$A$122,0)),0)</f>
        <v>0</v>
      </c>
      <c r="I25" s="64" t="s">
        <v>12</v>
      </c>
    </row>
    <row r="26" spans="1:9" x14ac:dyDescent="0.25">
      <c r="A26" s="1" t="s">
        <v>95</v>
      </c>
      <c r="B26" s="1" t="s">
        <v>91</v>
      </c>
      <c r="C26" s="1" t="s">
        <v>77</v>
      </c>
      <c r="D26" s="1">
        <f>IFERROR(INDEX(Details!N$3:N$122,MATCH(ОТК!$C26,Details!$A$3:$A$122,0)),0)</f>
        <v>7</v>
      </c>
      <c r="E26" s="1">
        <f>IFERROR(INDEX(Details!O$3:O$122,MATCH(ОТК!$C26,Details!$A$3:$A$122,0)),0)</f>
        <v>0</v>
      </c>
      <c r="F26" s="1">
        <f>IFERROR(INDEX(Details!P$3:P$122,MATCH(ОТК!$C26,Details!$A$3:$A$122,0)),0)</f>
        <v>7</v>
      </c>
      <c r="G26" s="1">
        <f>IFERROR(INDEX(Details!Q$3:Q$122,MATCH(ОТК!$C26,Details!$A$3:$A$122,0)),0)</f>
        <v>7</v>
      </c>
      <c r="H26" s="1">
        <f>IFERROR(INDEX(Details!R$3:R$122,MATCH(ОТК!$C26,Details!$A$3:$A$122,0)),0)</f>
        <v>0</v>
      </c>
      <c r="I26" s="64" t="s">
        <v>12</v>
      </c>
    </row>
    <row r="27" spans="1:9" x14ac:dyDescent="0.25">
      <c r="A27" s="1"/>
      <c r="B27" s="1"/>
      <c r="C27" s="1"/>
      <c r="D27" s="1">
        <f>IFERROR(INDEX(Details!N$3:N$122,MATCH(ОТК!$C27,Details!$A$3:$A$122,0)),0)</f>
        <v>0</v>
      </c>
      <c r="E27" s="1">
        <f>IFERROR(INDEX(Details!O$3:O$122,MATCH(ОТК!$C27,Details!$A$3:$A$122,0)),0)</f>
        <v>0</v>
      </c>
      <c r="F27" s="1">
        <f>IFERROR(INDEX(Details!P$3:P$122,MATCH(ОТК!$C27,Details!$A$3:$A$122,0)),0)</f>
        <v>0</v>
      </c>
      <c r="G27" s="1">
        <f>IFERROR(INDEX(Details!Q$3:Q$122,MATCH(ОТК!$C27,Details!$A$3:$A$122,0)),0)</f>
        <v>0</v>
      </c>
      <c r="H27" s="1">
        <f>IFERROR(INDEX(Details!R$3:R$122,MATCH(ОТК!$C27,Details!$A$3:$A$122,0)),0)</f>
        <v>0</v>
      </c>
    </row>
    <row r="28" spans="1:9" x14ac:dyDescent="0.25">
      <c r="A28" s="1" t="s">
        <v>95</v>
      </c>
      <c r="B28" s="42" t="s">
        <v>90</v>
      </c>
      <c r="C28" s="43" t="s">
        <v>90</v>
      </c>
      <c r="D28" s="1">
        <f>IFERROR(INDEX(Details!N$3:N$122,MATCH(ОТК!$C28,Details!$A$3:$A$122,0)),0)</f>
        <v>10</v>
      </c>
      <c r="E28" s="1">
        <f>IFERROR(INDEX(Details!O$3:O$122,MATCH(ОТК!$C28,Details!$A$3:$A$122,0)),0)</f>
        <v>10</v>
      </c>
      <c r="F28" s="1">
        <f>IFERROR(INDEX(Details!P$3:P$122,MATCH(ОТК!$C28,Details!$A$3:$A$122,0)),0)</f>
        <v>10</v>
      </c>
      <c r="G28" s="93">
        <v>0</v>
      </c>
      <c r="H28" s="1">
        <f>IFERROR(INDEX(Details!R$3:R$122,MATCH(ОТК!$C28,Details!$A$3:$A$122,0)),0)</f>
        <v>0</v>
      </c>
      <c r="I28" s="94" t="s">
        <v>11</v>
      </c>
    </row>
    <row r="29" spans="1:9" x14ac:dyDescent="0.25">
      <c r="A29" s="1"/>
      <c r="B29" s="1"/>
      <c r="C29" s="1"/>
      <c r="D29" s="1">
        <f>IFERROR(INDEX(Details!N$3:N$122,MATCH(ОТК!$C29,Details!$A$3:$A$122,0)),0)</f>
        <v>0</v>
      </c>
      <c r="E29" s="1">
        <f>IFERROR(INDEX(Details!O$3:O$122,MATCH(ОТК!$C29,Details!$A$3:$A$122,0)),0)</f>
        <v>0</v>
      </c>
      <c r="F29" s="1">
        <f>IFERROR(INDEX(Details!P$3:P$122,MATCH(ОТК!$C29,Details!$A$3:$A$122,0)),0)</f>
        <v>0</v>
      </c>
      <c r="G29" s="1">
        <f>IFERROR(INDEX(Details!Q$3:Q$122,MATCH(ОТК!$C29,Details!$A$3:$A$122,0)),0)</f>
        <v>0</v>
      </c>
      <c r="H29" s="1">
        <f>IFERROR(INDEX(Details!R$3:R$122,MATCH(ОТК!$C29,Details!$A$3:$A$122,0)),0)</f>
        <v>0</v>
      </c>
    </row>
    <row r="30" spans="1:9" x14ac:dyDescent="0.25">
      <c r="A30" s="1"/>
      <c r="B30" s="1"/>
      <c r="C30" s="1"/>
      <c r="D30" s="1"/>
      <c r="E30" s="1"/>
      <c r="F30" s="1"/>
      <c r="G30" s="1"/>
      <c r="H30" s="1"/>
      <c r="I30" s="64"/>
    </row>
    <row r="31" spans="1:9" x14ac:dyDescent="0.25">
      <c r="A31" s="1"/>
      <c r="B31" s="1"/>
      <c r="C31" s="1"/>
      <c r="D31" s="1"/>
      <c r="E31" s="1"/>
      <c r="F31" s="1"/>
      <c r="G31" s="1"/>
      <c r="H31" s="1"/>
    </row>
    <row r="32" spans="1:9" x14ac:dyDescent="0.25">
      <c r="A32" s="1" t="s">
        <v>95</v>
      </c>
      <c r="B32" s="42" t="s">
        <v>29</v>
      </c>
      <c r="C32" s="42" t="s">
        <v>30</v>
      </c>
      <c r="D32" s="1">
        <f>IFERROR(INDEX(Details!N$3:N$122,MATCH(ОТК!$C32,Details!$A$3:$A$122,0)),0)</f>
        <v>8</v>
      </c>
      <c r="E32" s="1">
        <f>IFERROR(INDEX(Details!O$3:O$122,MATCH(ОТК!$C32,Details!$A$3:$A$122,0)),0)</f>
        <v>8</v>
      </c>
      <c r="F32" s="1">
        <f>IFERROR(INDEX(Details!P$3:P$122,MATCH(ОТК!$C32,Details!$A$3:$A$122,0)),0)</f>
        <v>0</v>
      </c>
      <c r="G32" s="1">
        <f>IFERROR(INDEX(Details!Q$3:Q$122,MATCH(ОТК!$C32,Details!$A$3:$A$122,0)),0)</f>
        <v>8</v>
      </c>
      <c r="H32" s="1">
        <f>IFERROR(INDEX(Details!R$3:R$122,MATCH(ОТК!$C32,Details!$A$3:$A$122,0)),0)</f>
        <v>0</v>
      </c>
      <c r="I32" s="64" t="s">
        <v>94</v>
      </c>
    </row>
    <row r="33" spans="1:9" x14ac:dyDescent="0.25">
      <c r="A33" s="1" t="s">
        <v>95</v>
      </c>
      <c r="B33" s="42" t="s">
        <v>29</v>
      </c>
      <c r="C33" s="42" t="s">
        <v>30</v>
      </c>
      <c r="D33" s="1">
        <f>IFERROR(INDEX(Details!N$3:N$122,MATCH(ОТК!$C33,Details!$A$3:$A$122,0)),0)</f>
        <v>8</v>
      </c>
      <c r="E33" s="1">
        <f>IFERROR(INDEX(Details!O$3:O$122,MATCH(ОТК!$C33,Details!$A$3:$A$122,0)),0)</f>
        <v>8</v>
      </c>
      <c r="F33" s="1">
        <f>IFERROR(INDEX(Details!P$3:P$122,MATCH(ОТК!$C33,Details!$A$3:$A$122,0)),0)</f>
        <v>0</v>
      </c>
      <c r="G33" s="1">
        <f>IFERROR(INDEX(Details!Q$3:Q$122,MATCH(ОТК!$C33,Details!$A$3:$A$122,0)),0)</f>
        <v>8</v>
      </c>
      <c r="H33" s="1">
        <f>IFERROR(INDEX(Details!R$3:R$122,MATCH(ОТК!$C33,Details!$A$3:$A$122,0)),0)</f>
        <v>0</v>
      </c>
      <c r="I33" s="64" t="s">
        <v>94</v>
      </c>
    </row>
    <row r="34" spans="1:9" x14ac:dyDescent="0.25">
      <c r="A34" s="1" t="s">
        <v>95</v>
      </c>
      <c r="B34" s="42" t="s">
        <v>29</v>
      </c>
      <c r="C34" s="42" t="s">
        <v>30</v>
      </c>
      <c r="D34" s="1">
        <f>IFERROR(INDEX(Details!N$3:N$122,MATCH(ОТК!$C34,Details!$A$3:$A$122,0)),0)</f>
        <v>8</v>
      </c>
      <c r="E34" s="1">
        <f>IFERROR(INDEX(Details!O$3:O$122,MATCH(ОТК!$C34,Details!$A$3:$A$122,0)),0)</f>
        <v>8</v>
      </c>
      <c r="F34" s="1">
        <f>IFERROR(INDEX(Details!P$3:P$122,MATCH(ОТК!$C34,Details!$A$3:$A$122,0)),0)</f>
        <v>0</v>
      </c>
      <c r="G34" s="1">
        <f>IFERROR(INDEX(Details!Q$3:Q$122,MATCH(ОТК!$C34,Details!$A$3:$A$122,0)),0)</f>
        <v>8</v>
      </c>
      <c r="H34" s="1">
        <f>IFERROR(INDEX(Details!R$3:R$122,MATCH(ОТК!$C34,Details!$A$3:$A$122,0)),0)</f>
        <v>0</v>
      </c>
      <c r="I34" s="64" t="s">
        <v>94</v>
      </c>
    </row>
    <row r="35" spans="1:9" x14ac:dyDescent="0.25">
      <c r="A35" s="1" t="s">
        <v>95</v>
      </c>
      <c r="B35" s="42" t="s">
        <v>29</v>
      </c>
      <c r="C35" s="42" t="s">
        <v>30</v>
      </c>
      <c r="D35" s="1">
        <f>IFERROR(INDEX(Details!N$3:N$122,MATCH(ОТК!$C35,Details!$A$3:$A$122,0)),0)</f>
        <v>8</v>
      </c>
      <c r="E35" s="1">
        <f>IFERROR(INDEX(Details!O$3:O$122,MATCH(ОТК!$C35,Details!$A$3:$A$122,0)),0)</f>
        <v>8</v>
      </c>
      <c r="F35" s="1">
        <f>IFERROR(INDEX(Details!P$3:P$122,MATCH(ОТК!$C35,Details!$A$3:$A$122,0)),0)</f>
        <v>0</v>
      </c>
      <c r="G35" s="1">
        <f>IFERROR(INDEX(Details!Q$3:Q$122,MATCH(ОТК!$C35,Details!$A$3:$A$122,0)),0)</f>
        <v>8</v>
      </c>
      <c r="H35" s="1">
        <f>IFERROR(INDEX(Details!R$3:R$122,MATCH(ОТК!$C35,Details!$A$3:$A$122,0)),0)</f>
        <v>0</v>
      </c>
      <c r="I35" s="64" t="s">
        <v>94</v>
      </c>
    </row>
    <row r="36" spans="1:9" x14ac:dyDescent="0.25">
      <c r="A36" s="1" t="s">
        <v>95</v>
      </c>
      <c r="B36" s="42" t="s">
        <v>29</v>
      </c>
      <c r="C36" s="42" t="s">
        <v>30</v>
      </c>
      <c r="D36" s="1">
        <f>IFERROR(INDEX(Details!N$3:N$122,MATCH(ОТК!$C36,Details!$A$3:$A$122,0)),0)</f>
        <v>8</v>
      </c>
      <c r="E36" s="1">
        <f>IFERROR(INDEX(Details!O$3:O$122,MATCH(ОТК!$C36,Details!$A$3:$A$122,0)),0)</f>
        <v>8</v>
      </c>
      <c r="F36" s="1">
        <f>IFERROR(INDEX(Details!P$3:P$122,MATCH(ОТК!$C36,Details!$A$3:$A$122,0)),0)</f>
        <v>0</v>
      </c>
      <c r="G36" s="1">
        <f>IFERROR(INDEX(Details!Q$3:Q$122,MATCH(ОТК!$C36,Details!$A$3:$A$122,0)),0)</f>
        <v>8</v>
      </c>
      <c r="H36" s="1">
        <f>IFERROR(INDEX(Details!R$3:R$122,MATCH(ОТК!$C36,Details!$A$3:$A$122,0)),0)</f>
        <v>0</v>
      </c>
      <c r="I36" s="64" t="s">
        <v>94</v>
      </c>
    </row>
    <row r="37" spans="1:9" x14ac:dyDescent="0.25">
      <c r="D37" s="1">
        <f>IFERROR(INDEX(Details!N$3:N$122,MATCH(ОТК!$C37,Details!$A$3:$A$122,0)),0)</f>
        <v>0</v>
      </c>
      <c r="E37" s="1">
        <f>IFERROR(INDEX(Details!O$3:O$122,MATCH(ОТК!$C37,Details!$A$3:$A$122,0)),0)</f>
        <v>0</v>
      </c>
      <c r="F37" s="1">
        <f>IFERROR(INDEX(Details!P$3:P$122,MATCH(ОТК!$C37,Details!$A$3:$A$122,0)),0)</f>
        <v>0</v>
      </c>
      <c r="G37" s="1">
        <f>IFERROR(INDEX(Details!Q$3:Q$122,MATCH(ОТК!$C37,Details!$A$3:$A$122,0)),0)</f>
        <v>0</v>
      </c>
      <c r="H37" s="1">
        <f>IFERROR(INDEX(Details!R$3:R$122,MATCH(ОТК!$C37,Details!$A$3:$A$122,0)),0)</f>
        <v>0</v>
      </c>
    </row>
  </sheetData>
  <mergeCells count="3">
    <mergeCell ref="D1:H1"/>
    <mergeCell ref="C1:C2"/>
    <mergeCell ref="I1:I3"/>
  </mergeCells>
  <dataValidations count="1">
    <dataValidation type="list" allowBlank="1" showInputMessage="1" showErrorMessage="1" sqref="I4:I26 I32:I36 I28 I30">
      <formula1>$D$2:$H$2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2"/>
  <sheetViews>
    <sheetView tabSelected="1" topLeftCell="A70" workbookViewId="0">
      <selection activeCell="D78" sqref="D78"/>
    </sheetView>
  </sheetViews>
  <sheetFormatPr defaultRowHeight="15" x14ac:dyDescent="0.25"/>
  <cols>
    <col min="1" max="1" width="4.7109375" style="91" customWidth="1"/>
    <col min="2" max="2" width="74.85546875" style="92" customWidth="1"/>
    <col min="3" max="3" width="6.28515625" style="91" customWidth="1"/>
    <col min="4" max="9" width="4.28515625" style="91" customWidth="1"/>
    <col min="10" max="11" width="9.140625" style="91"/>
    <col min="12" max="20" width="9.140625" style="90"/>
  </cols>
  <sheetData>
    <row r="1" spans="1:11" ht="13.5" customHeight="1" x14ac:dyDescent="0.25">
      <c r="A1" s="157" t="s">
        <v>101</v>
      </c>
      <c r="B1" s="157" t="s">
        <v>100</v>
      </c>
      <c r="C1" s="157" t="s">
        <v>102</v>
      </c>
      <c r="D1" s="157"/>
      <c r="E1" s="157"/>
      <c r="F1" s="157"/>
      <c r="G1" s="157"/>
      <c r="H1" s="157"/>
      <c r="I1" s="118" t="s">
        <v>103</v>
      </c>
      <c r="J1" s="157" t="s">
        <v>104</v>
      </c>
      <c r="K1" s="157"/>
    </row>
    <row r="2" spans="1:11" ht="12.75" customHeight="1" x14ac:dyDescent="0.25">
      <c r="A2" s="157"/>
      <c r="B2" s="157"/>
      <c r="C2" s="118" t="s">
        <v>105</v>
      </c>
      <c r="D2" s="118" t="s">
        <v>106</v>
      </c>
      <c r="E2" s="118" t="s">
        <v>107</v>
      </c>
      <c r="F2" s="118" t="s">
        <v>108</v>
      </c>
      <c r="G2" s="118" t="s">
        <v>109</v>
      </c>
      <c r="H2" s="118" t="s">
        <v>110</v>
      </c>
      <c r="I2" s="118" t="s">
        <v>111</v>
      </c>
      <c r="J2" s="118" t="s">
        <v>112</v>
      </c>
      <c r="K2" s="118" t="s">
        <v>113</v>
      </c>
    </row>
    <row r="3" spans="1:11" x14ac:dyDescent="0.25">
      <c r="A3" s="118">
        <v>58</v>
      </c>
      <c r="B3" s="92" t="s">
        <v>114</v>
      </c>
      <c r="C3" s="118">
        <v>0</v>
      </c>
      <c r="D3" s="118">
        <v>6</v>
      </c>
      <c r="E3" s="118">
        <v>80</v>
      </c>
      <c r="F3" s="118">
        <v>0</v>
      </c>
      <c r="G3" s="118">
        <v>3</v>
      </c>
      <c r="H3" s="118" t="s">
        <v>115</v>
      </c>
      <c r="I3" s="118">
        <v>0</v>
      </c>
      <c r="J3" s="118">
        <f>C3</f>
        <v>0</v>
      </c>
      <c r="K3" s="118">
        <f>J3*I3</f>
        <v>0</v>
      </c>
    </row>
    <row r="4" spans="1:11" x14ac:dyDescent="0.25">
      <c r="A4" s="118">
        <f>A3+1</f>
        <v>59</v>
      </c>
      <c r="B4" s="92" t="s">
        <v>116</v>
      </c>
      <c r="C4" s="118">
        <v>6150</v>
      </c>
      <c r="D4" s="118" t="s">
        <v>115</v>
      </c>
      <c r="E4" s="118" t="s">
        <v>115</v>
      </c>
      <c r="F4" s="118" t="s">
        <v>115</v>
      </c>
      <c r="G4" s="118" t="s">
        <v>115</v>
      </c>
      <c r="H4" s="118" t="s">
        <v>115</v>
      </c>
      <c r="I4" s="118">
        <v>1</v>
      </c>
      <c r="J4" s="118">
        <f>J3+C4</f>
        <v>6150</v>
      </c>
      <c r="K4" s="118">
        <f>K3+C4*I4</f>
        <v>6150</v>
      </c>
    </row>
    <row r="5" spans="1:11" x14ac:dyDescent="0.25">
      <c r="A5" s="118">
        <f>A4+1</f>
        <v>60</v>
      </c>
      <c r="B5" s="92" t="s">
        <v>117</v>
      </c>
      <c r="C5" s="118">
        <v>4630</v>
      </c>
      <c r="D5" s="118" t="s">
        <v>115</v>
      </c>
      <c r="E5" s="118" t="s">
        <v>115</v>
      </c>
      <c r="F5" s="118" t="s">
        <v>115</v>
      </c>
      <c r="G5" s="118" t="s">
        <v>115</v>
      </c>
      <c r="H5" s="118" t="s">
        <v>115</v>
      </c>
      <c r="I5" s="118">
        <v>1</v>
      </c>
      <c r="J5" s="118">
        <f>J4+C5</f>
        <v>10780</v>
      </c>
      <c r="K5" s="118">
        <f>K4+C5*I5</f>
        <v>10780</v>
      </c>
    </row>
    <row r="6" spans="1:11" x14ac:dyDescent="0.25">
      <c r="A6" s="118">
        <f t="shared" ref="A6:A29" si="0">A5+1</f>
        <v>61</v>
      </c>
      <c r="B6" s="92" t="s">
        <v>118</v>
      </c>
      <c r="C6" s="118">
        <f>-(31 + 31 + 186)</f>
        <v>-248</v>
      </c>
      <c r="D6" s="118" t="s">
        <v>115</v>
      </c>
      <c r="E6" s="118" t="s">
        <v>115</v>
      </c>
      <c r="F6" s="118" t="s">
        <v>115</v>
      </c>
      <c r="G6" s="118" t="s">
        <v>115</v>
      </c>
      <c r="H6" s="118" t="s">
        <v>115</v>
      </c>
      <c r="I6" s="118">
        <v>1</v>
      </c>
      <c r="J6" s="118">
        <f t="shared" ref="J6:J13" si="1">J5+C6</f>
        <v>10532</v>
      </c>
      <c r="K6" s="118">
        <f t="shared" ref="K6:K13" si="2">K5+C6*I6</f>
        <v>10532</v>
      </c>
    </row>
    <row r="7" spans="1:11" x14ac:dyDescent="0.25">
      <c r="A7" s="118">
        <f t="shared" si="0"/>
        <v>62</v>
      </c>
      <c r="B7" s="92" t="s">
        <v>119</v>
      </c>
      <c r="C7" s="118">
        <v>0</v>
      </c>
      <c r="D7" s="118" t="s">
        <v>115</v>
      </c>
      <c r="E7" s="118" t="s">
        <v>115</v>
      </c>
      <c r="F7" s="118" t="s">
        <v>115</v>
      </c>
      <c r="G7" s="118" t="s">
        <v>115</v>
      </c>
      <c r="H7" s="118" t="s">
        <v>115</v>
      </c>
      <c r="I7" s="118">
        <v>1</v>
      </c>
      <c r="J7" s="118">
        <f t="shared" si="1"/>
        <v>10532</v>
      </c>
      <c r="K7" s="118">
        <f t="shared" si="2"/>
        <v>10532</v>
      </c>
    </row>
    <row r="8" spans="1:11" x14ac:dyDescent="0.25">
      <c r="A8" s="118">
        <f t="shared" si="0"/>
        <v>63</v>
      </c>
      <c r="B8" s="92" t="s">
        <v>120</v>
      </c>
      <c r="C8" s="118">
        <v>0</v>
      </c>
      <c r="D8" s="118">
        <f>-5*5</f>
        <v>-25</v>
      </c>
      <c r="E8" s="118">
        <f>-6*5</f>
        <v>-30</v>
      </c>
      <c r="F8" s="118">
        <f>-1*5</f>
        <v>-5</v>
      </c>
      <c r="G8" s="118" t="s">
        <v>115</v>
      </c>
      <c r="H8" s="118">
        <f>SUM(D8:G8)</f>
        <v>-60</v>
      </c>
      <c r="I8" s="118">
        <v>1</v>
      </c>
      <c r="J8" s="118">
        <f t="shared" si="1"/>
        <v>10532</v>
      </c>
      <c r="K8" s="118">
        <f t="shared" si="2"/>
        <v>10532</v>
      </c>
    </row>
    <row r="9" spans="1:11" x14ac:dyDescent="0.25">
      <c r="A9" s="118">
        <f t="shared" si="0"/>
        <v>64</v>
      </c>
      <c r="B9" s="92" t="s">
        <v>121</v>
      </c>
      <c r="C9" s="118">
        <v>0</v>
      </c>
      <c r="D9" s="118" t="s">
        <v>115</v>
      </c>
      <c r="E9" s="118" t="s">
        <v>115</v>
      </c>
      <c r="F9" s="118" t="s">
        <v>115</v>
      </c>
      <c r="G9" s="118" t="s">
        <v>115</v>
      </c>
      <c r="H9" s="118">
        <v>-16</v>
      </c>
      <c r="I9" s="118">
        <v>1</v>
      </c>
      <c r="J9" s="118">
        <f t="shared" si="1"/>
        <v>10532</v>
      </c>
      <c r="K9" s="118">
        <f t="shared" si="2"/>
        <v>10532</v>
      </c>
    </row>
    <row r="10" spans="1:11" x14ac:dyDescent="0.25">
      <c r="A10" s="118">
        <f t="shared" si="0"/>
        <v>65</v>
      </c>
      <c r="B10" s="92" t="s">
        <v>122</v>
      </c>
      <c r="C10" s="118">
        <v>0</v>
      </c>
      <c r="D10" s="118">
        <v>-10</v>
      </c>
      <c r="E10" s="118">
        <v>-10</v>
      </c>
      <c r="F10" s="118">
        <v>-1</v>
      </c>
      <c r="G10" s="118" t="s">
        <v>115</v>
      </c>
      <c r="H10" s="118">
        <f>SUM(D10:G10)</f>
        <v>-21</v>
      </c>
      <c r="I10" s="118">
        <v>1</v>
      </c>
      <c r="J10" s="118">
        <f t="shared" si="1"/>
        <v>10532</v>
      </c>
      <c r="K10" s="118">
        <f t="shared" si="2"/>
        <v>10532</v>
      </c>
    </row>
    <row r="11" spans="1:11" x14ac:dyDescent="0.25">
      <c r="A11" s="118">
        <f t="shared" si="0"/>
        <v>66</v>
      </c>
      <c r="B11" s="92" t="s">
        <v>123</v>
      </c>
      <c r="C11" s="118">
        <v>0</v>
      </c>
      <c r="D11" s="118">
        <v>-3</v>
      </c>
      <c r="E11" s="118">
        <v>-3</v>
      </c>
      <c r="F11" s="118" t="s">
        <v>115</v>
      </c>
      <c r="G11" s="118" t="s">
        <v>115</v>
      </c>
      <c r="H11" s="118">
        <f t="shared" ref="H11:H13" si="3">SUM(D11:G11)</f>
        <v>-6</v>
      </c>
      <c r="I11" s="118">
        <v>1</v>
      </c>
      <c r="J11" s="118">
        <f t="shared" si="1"/>
        <v>10532</v>
      </c>
      <c r="K11" s="118">
        <f t="shared" si="2"/>
        <v>10532</v>
      </c>
    </row>
    <row r="12" spans="1:11" x14ac:dyDescent="0.25">
      <c r="A12" s="118">
        <f t="shared" si="0"/>
        <v>67</v>
      </c>
      <c r="B12" s="92" t="s">
        <v>124</v>
      </c>
      <c r="C12" s="118">
        <v>0</v>
      </c>
      <c r="D12" s="118">
        <v>-3</v>
      </c>
      <c r="E12" s="118">
        <v>-3</v>
      </c>
      <c r="F12" s="118" t="s">
        <v>115</v>
      </c>
      <c r="G12" s="118" t="s">
        <v>115</v>
      </c>
      <c r="H12" s="118">
        <f t="shared" si="3"/>
        <v>-6</v>
      </c>
      <c r="I12" s="118">
        <v>1</v>
      </c>
      <c r="J12" s="118">
        <f t="shared" si="1"/>
        <v>10532</v>
      </c>
      <c r="K12" s="118">
        <f t="shared" si="2"/>
        <v>10532</v>
      </c>
    </row>
    <row r="13" spans="1:11" x14ac:dyDescent="0.25">
      <c r="A13" s="118">
        <f t="shared" si="0"/>
        <v>68</v>
      </c>
      <c r="B13" s="92" t="s">
        <v>125</v>
      </c>
      <c r="C13" s="118">
        <v>0</v>
      </c>
      <c r="D13" s="118">
        <v>-7</v>
      </c>
      <c r="E13" s="118">
        <v>-8</v>
      </c>
      <c r="F13" s="118" t="s">
        <v>115</v>
      </c>
      <c r="G13" s="118" t="s">
        <v>115</v>
      </c>
      <c r="H13" s="118">
        <f t="shared" si="3"/>
        <v>-15</v>
      </c>
      <c r="I13" s="118">
        <v>1</v>
      </c>
      <c r="J13" s="118">
        <f t="shared" si="1"/>
        <v>10532</v>
      </c>
      <c r="K13" s="118">
        <f t="shared" si="2"/>
        <v>10532</v>
      </c>
    </row>
    <row r="14" spans="1:11" x14ac:dyDescent="0.25">
      <c r="A14" s="118">
        <f t="shared" si="0"/>
        <v>69</v>
      </c>
      <c r="B14" s="92" t="s">
        <v>126</v>
      </c>
      <c r="C14" s="118">
        <v>0</v>
      </c>
      <c r="D14" s="118">
        <v>-19</v>
      </c>
      <c r="E14" s="118">
        <v>-24</v>
      </c>
      <c r="F14" s="118"/>
      <c r="G14" s="118" t="s">
        <v>115</v>
      </c>
      <c r="H14" s="118">
        <f>SUM(D14:G14)</f>
        <v>-43</v>
      </c>
      <c r="I14" s="118">
        <v>1</v>
      </c>
      <c r="J14" s="118">
        <f t="shared" ref="J14:J29" si="4">J13+C14</f>
        <v>10532</v>
      </c>
      <c r="K14" s="118">
        <f t="shared" ref="K14:K29" si="5">K13+C14*I14</f>
        <v>10532</v>
      </c>
    </row>
    <row r="15" spans="1:11" x14ac:dyDescent="0.25">
      <c r="A15" s="118">
        <f t="shared" si="0"/>
        <v>70</v>
      </c>
      <c r="B15" s="92" t="s">
        <v>127</v>
      </c>
      <c r="C15" s="118">
        <v>0</v>
      </c>
      <c r="D15" s="118">
        <v>-11</v>
      </c>
      <c r="E15" s="118">
        <v>-12</v>
      </c>
      <c r="F15" s="118" t="s">
        <v>115</v>
      </c>
      <c r="G15" s="118" t="s">
        <v>115</v>
      </c>
      <c r="H15" s="118">
        <f t="shared" ref="H15:H16" si="6">SUM(D15:G15)</f>
        <v>-23</v>
      </c>
      <c r="I15" s="118">
        <v>1</v>
      </c>
      <c r="J15" s="118">
        <f t="shared" si="4"/>
        <v>10532</v>
      </c>
      <c r="K15" s="118">
        <f t="shared" si="5"/>
        <v>10532</v>
      </c>
    </row>
    <row r="16" spans="1:11" x14ac:dyDescent="0.25">
      <c r="A16" s="118">
        <f t="shared" si="0"/>
        <v>71</v>
      </c>
      <c r="B16" s="92" t="s">
        <v>128</v>
      </c>
      <c r="C16" s="118">
        <v>0</v>
      </c>
      <c r="D16" s="118">
        <v>-52</v>
      </c>
      <c r="E16" s="118">
        <v>-46</v>
      </c>
      <c r="F16" s="118"/>
      <c r="G16" s="118" t="s">
        <v>115</v>
      </c>
      <c r="H16" s="118">
        <f t="shared" si="6"/>
        <v>-98</v>
      </c>
      <c r="I16" s="118">
        <v>1</v>
      </c>
      <c r="J16" s="118">
        <f t="shared" si="4"/>
        <v>10532</v>
      </c>
      <c r="K16" s="118">
        <f t="shared" si="5"/>
        <v>10532</v>
      </c>
    </row>
    <row r="17" spans="1:12" x14ac:dyDescent="0.25">
      <c r="A17" s="118">
        <f t="shared" si="0"/>
        <v>72</v>
      </c>
      <c r="B17" s="92" t="s">
        <v>129</v>
      </c>
      <c r="C17" s="118">
        <v>0</v>
      </c>
      <c r="D17" s="118" t="s">
        <v>115</v>
      </c>
      <c r="E17" s="118" t="s">
        <v>115</v>
      </c>
      <c r="F17" s="118" t="s">
        <v>115</v>
      </c>
      <c r="G17" s="118" t="s">
        <v>115</v>
      </c>
      <c r="H17" s="118" t="s">
        <v>115</v>
      </c>
      <c r="I17" s="118">
        <v>1</v>
      </c>
      <c r="J17" s="118">
        <f t="shared" si="4"/>
        <v>10532</v>
      </c>
      <c r="K17" s="118">
        <f t="shared" si="5"/>
        <v>10532</v>
      </c>
    </row>
    <row r="18" spans="1:12" x14ac:dyDescent="0.25">
      <c r="A18" s="118">
        <f t="shared" si="0"/>
        <v>73</v>
      </c>
      <c r="B18" s="92" t="s">
        <v>130</v>
      </c>
      <c r="C18" s="118">
        <f>-10*D18</f>
        <v>-800</v>
      </c>
      <c r="D18" s="118">
        <f>0.8*5*20</f>
        <v>80</v>
      </c>
      <c r="E18" s="118" t="s">
        <v>115</v>
      </c>
      <c r="F18" s="118" t="s">
        <v>115</v>
      </c>
      <c r="G18" s="118" t="s">
        <v>115</v>
      </c>
      <c r="H18" s="118" t="s">
        <v>115</v>
      </c>
      <c r="I18" s="118">
        <v>1</v>
      </c>
      <c r="J18" s="118">
        <f t="shared" si="4"/>
        <v>9732</v>
      </c>
      <c r="K18" s="118">
        <f t="shared" si="5"/>
        <v>9732</v>
      </c>
    </row>
    <row r="19" spans="1:12" x14ac:dyDescent="0.25">
      <c r="A19" s="118">
        <f t="shared" si="0"/>
        <v>74</v>
      </c>
      <c r="B19" s="92" t="s">
        <v>131</v>
      </c>
      <c r="C19" s="118">
        <f>-10*D19</f>
        <v>-150</v>
      </c>
      <c r="D19" s="118">
        <f>15</f>
        <v>15</v>
      </c>
      <c r="E19" s="118" t="s">
        <v>115</v>
      </c>
      <c r="F19" s="118" t="s">
        <v>115</v>
      </c>
      <c r="G19" s="118" t="s">
        <v>115</v>
      </c>
      <c r="H19" s="118" t="s">
        <v>115</v>
      </c>
      <c r="I19" s="109">
        <v>1</v>
      </c>
      <c r="J19" s="118">
        <f t="shared" si="4"/>
        <v>9582</v>
      </c>
      <c r="K19" s="118">
        <f t="shared" si="5"/>
        <v>9582</v>
      </c>
    </row>
    <row r="20" spans="1:12" x14ac:dyDescent="0.25">
      <c r="A20" s="118">
        <f t="shared" si="0"/>
        <v>75</v>
      </c>
      <c r="B20" s="92" t="s">
        <v>132</v>
      </c>
      <c r="C20" s="118">
        <f>-10*D20</f>
        <v>-120</v>
      </c>
      <c r="D20" s="118">
        <f>0.8*5*3</f>
        <v>12</v>
      </c>
      <c r="E20" s="118" t="s">
        <v>115</v>
      </c>
      <c r="F20" s="118" t="s">
        <v>115</v>
      </c>
      <c r="G20" s="118" t="s">
        <v>115</v>
      </c>
      <c r="H20" s="118" t="s">
        <v>115</v>
      </c>
      <c r="I20" s="118">
        <v>1</v>
      </c>
      <c r="J20" s="118">
        <f t="shared" si="4"/>
        <v>9462</v>
      </c>
      <c r="K20" s="118">
        <f t="shared" si="5"/>
        <v>9462</v>
      </c>
    </row>
    <row r="21" spans="1:12" x14ac:dyDescent="0.25">
      <c r="A21" s="118">
        <f t="shared" si="0"/>
        <v>76</v>
      </c>
      <c r="B21" s="92" t="s">
        <v>133</v>
      </c>
      <c r="C21" s="118">
        <v>0</v>
      </c>
      <c r="D21" s="118" t="s">
        <v>115</v>
      </c>
      <c r="E21" s="118" t="s">
        <v>115</v>
      </c>
      <c r="F21" s="118" t="s">
        <v>115</v>
      </c>
      <c r="G21" s="118" t="s">
        <v>115</v>
      </c>
      <c r="H21" s="118" t="s">
        <v>115</v>
      </c>
      <c r="I21" s="118">
        <v>1</v>
      </c>
      <c r="J21" s="118">
        <f t="shared" si="4"/>
        <v>9462</v>
      </c>
      <c r="K21" s="118">
        <f t="shared" si="5"/>
        <v>9462</v>
      </c>
    </row>
    <row r="22" spans="1:12" x14ac:dyDescent="0.25">
      <c r="A22" s="118">
        <f t="shared" si="0"/>
        <v>77</v>
      </c>
      <c r="B22" s="92" t="s">
        <v>134</v>
      </c>
      <c r="C22" s="118">
        <v>0</v>
      </c>
      <c r="D22" s="118">
        <v>0</v>
      </c>
      <c r="E22" s="118" t="s">
        <v>115</v>
      </c>
      <c r="F22" s="118" t="s">
        <v>115</v>
      </c>
      <c r="G22" s="118" t="s">
        <v>115</v>
      </c>
      <c r="H22" s="118" t="s">
        <v>115</v>
      </c>
      <c r="I22" s="118">
        <v>0</v>
      </c>
      <c r="J22" s="118">
        <f t="shared" si="4"/>
        <v>9462</v>
      </c>
      <c r="K22" s="118">
        <f t="shared" si="5"/>
        <v>9462</v>
      </c>
      <c r="L22" s="90" t="s">
        <v>135</v>
      </c>
    </row>
    <row r="23" spans="1:12" x14ac:dyDescent="0.25">
      <c r="A23" s="118">
        <f t="shared" si="0"/>
        <v>78</v>
      </c>
      <c r="B23" s="92" t="s">
        <v>136</v>
      </c>
      <c r="C23" s="118">
        <v>0</v>
      </c>
      <c r="D23" s="118">
        <v>0</v>
      </c>
      <c r="E23" s="118" t="s">
        <v>115</v>
      </c>
      <c r="F23" s="118" t="s">
        <v>115</v>
      </c>
      <c r="G23" s="118" t="s">
        <v>115</v>
      </c>
      <c r="H23" s="118" t="s">
        <v>115</v>
      </c>
      <c r="I23" s="118">
        <v>0</v>
      </c>
      <c r="J23" s="118">
        <f t="shared" si="4"/>
        <v>9462</v>
      </c>
      <c r="K23" s="118">
        <f t="shared" si="5"/>
        <v>9462</v>
      </c>
    </row>
    <row r="24" spans="1:12" x14ac:dyDescent="0.25">
      <c r="A24" s="118">
        <f t="shared" si="0"/>
        <v>79</v>
      </c>
      <c r="B24" s="92" t="s">
        <v>137</v>
      </c>
      <c r="C24" s="118">
        <f>-10*D24</f>
        <v>-150</v>
      </c>
      <c r="D24" s="118">
        <f>15</f>
        <v>15</v>
      </c>
      <c r="E24" s="118" t="s">
        <v>115</v>
      </c>
      <c r="F24" s="118" t="s">
        <v>115</v>
      </c>
      <c r="G24" s="118" t="s">
        <v>115</v>
      </c>
      <c r="H24" s="118" t="s">
        <v>115</v>
      </c>
      <c r="I24" s="118">
        <v>1</v>
      </c>
      <c r="J24" s="118">
        <f t="shared" si="4"/>
        <v>9312</v>
      </c>
      <c r="K24" s="118">
        <f t="shared" si="5"/>
        <v>9312</v>
      </c>
    </row>
    <row r="25" spans="1:12" x14ac:dyDescent="0.25">
      <c r="A25" s="118">
        <f t="shared" si="0"/>
        <v>80</v>
      </c>
      <c r="B25" s="92" t="s">
        <v>138</v>
      </c>
      <c r="C25" s="118">
        <f>-10*E25</f>
        <v>-200</v>
      </c>
      <c r="D25" s="118" t="s">
        <v>115</v>
      </c>
      <c r="E25" s="118">
        <f>1*20</f>
        <v>20</v>
      </c>
      <c r="F25" s="118" t="s">
        <v>115</v>
      </c>
      <c r="G25" s="118" t="s">
        <v>115</v>
      </c>
      <c r="H25" s="118" t="s">
        <v>115</v>
      </c>
      <c r="I25" s="118">
        <v>1</v>
      </c>
      <c r="J25" s="118">
        <f t="shared" si="4"/>
        <v>9112</v>
      </c>
      <c r="K25" s="118">
        <f t="shared" si="5"/>
        <v>9112</v>
      </c>
    </row>
    <row r="26" spans="1:12" x14ac:dyDescent="0.25">
      <c r="A26" s="118">
        <f t="shared" si="0"/>
        <v>81</v>
      </c>
      <c r="B26" s="92" t="s">
        <v>139</v>
      </c>
      <c r="C26" s="118">
        <f>-10*E26</f>
        <v>-450</v>
      </c>
      <c r="D26" s="118" t="s">
        <v>115</v>
      </c>
      <c r="E26" s="118">
        <f>0.6*5*15</f>
        <v>45</v>
      </c>
      <c r="F26" s="118" t="s">
        <v>115</v>
      </c>
      <c r="G26" s="118" t="s">
        <v>115</v>
      </c>
      <c r="H26" s="118" t="s">
        <v>115</v>
      </c>
      <c r="I26" s="118">
        <v>1</v>
      </c>
      <c r="J26" s="118">
        <f t="shared" si="4"/>
        <v>8662</v>
      </c>
      <c r="K26" s="118">
        <f t="shared" si="5"/>
        <v>8662</v>
      </c>
    </row>
    <row r="27" spans="1:12" x14ac:dyDescent="0.25">
      <c r="A27" s="118">
        <f>A26+1</f>
        <v>82</v>
      </c>
      <c r="B27" s="92" t="s">
        <v>140</v>
      </c>
      <c r="C27" s="118">
        <f>-10*E27</f>
        <v>-1380</v>
      </c>
      <c r="D27" s="118" t="s">
        <v>115</v>
      </c>
      <c r="E27" s="118">
        <f>(0.8*8+0.5)*20</f>
        <v>138</v>
      </c>
      <c r="F27" s="118" t="s">
        <v>115</v>
      </c>
      <c r="G27" s="118" t="s">
        <v>115</v>
      </c>
      <c r="H27" s="118" t="s">
        <v>115</v>
      </c>
      <c r="I27" s="118">
        <v>1</v>
      </c>
      <c r="J27" s="118">
        <f>J26+C27</f>
        <v>7282</v>
      </c>
      <c r="K27" s="118">
        <f>K26+C27*I27</f>
        <v>7282</v>
      </c>
    </row>
    <row r="28" spans="1:12" x14ac:dyDescent="0.25">
      <c r="A28" s="118">
        <f t="shared" si="0"/>
        <v>83</v>
      </c>
      <c r="B28" s="92" t="s">
        <v>131</v>
      </c>
      <c r="C28" s="118">
        <f>-10*E28</f>
        <v>-150</v>
      </c>
      <c r="D28" s="118" t="s">
        <v>115</v>
      </c>
      <c r="E28" s="118">
        <f>15</f>
        <v>15</v>
      </c>
      <c r="F28" s="118" t="s">
        <v>115</v>
      </c>
      <c r="G28" s="118" t="s">
        <v>115</v>
      </c>
      <c r="H28" s="118" t="s">
        <v>115</v>
      </c>
      <c r="I28" s="118">
        <v>1</v>
      </c>
      <c r="J28" s="118">
        <f t="shared" si="4"/>
        <v>7132</v>
      </c>
      <c r="K28" s="118">
        <f t="shared" si="5"/>
        <v>7132</v>
      </c>
    </row>
    <row r="29" spans="1:12" x14ac:dyDescent="0.25">
      <c r="A29" s="118">
        <f t="shared" si="0"/>
        <v>84</v>
      </c>
      <c r="B29" s="92" t="s">
        <v>141</v>
      </c>
      <c r="C29" s="118">
        <f>-10*E29</f>
        <v>-20</v>
      </c>
      <c r="D29" s="118" t="s">
        <v>115</v>
      </c>
      <c r="E29" s="118">
        <f>0.1*20</f>
        <v>2</v>
      </c>
      <c r="F29" s="118" t="s">
        <v>115</v>
      </c>
      <c r="G29" s="118" t="s">
        <v>115</v>
      </c>
      <c r="H29" s="118" t="s">
        <v>115</v>
      </c>
      <c r="I29" s="118">
        <v>1</v>
      </c>
      <c r="J29" s="118">
        <f t="shared" si="4"/>
        <v>7112</v>
      </c>
      <c r="K29" s="118">
        <f t="shared" si="5"/>
        <v>7112</v>
      </c>
    </row>
    <row r="30" spans="1:12" x14ac:dyDescent="0.25">
      <c r="A30" s="118">
        <f t="shared" ref="A30:A44" si="7">A29+1</f>
        <v>85</v>
      </c>
      <c r="B30" s="92" t="s">
        <v>142</v>
      </c>
      <c r="C30" s="118">
        <f>-15*F30</f>
        <v>-150</v>
      </c>
      <c r="D30" s="118" t="s">
        <v>115</v>
      </c>
      <c r="E30" s="118" t="s">
        <v>115</v>
      </c>
      <c r="F30" s="118">
        <f>2*5</f>
        <v>10</v>
      </c>
      <c r="G30" s="118" t="s">
        <v>115</v>
      </c>
      <c r="H30" s="118" t="s">
        <v>115</v>
      </c>
      <c r="I30" s="118">
        <v>1</v>
      </c>
      <c r="J30" s="118">
        <f t="shared" ref="J30:J44" si="8">J29+C30</f>
        <v>6962</v>
      </c>
      <c r="K30" s="118">
        <f t="shared" ref="K30:K44" si="9">K29+C30*I30</f>
        <v>6962</v>
      </c>
    </row>
    <row r="31" spans="1:12" x14ac:dyDescent="0.25">
      <c r="A31" s="119"/>
      <c r="C31" s="119">
        <f t="shared" ref="C31:H31" si="10">SUM(C3:C30)</f>
        <v>6962</v>
      </c>
      <c r="D31" s="119">
        <f>SUM(D3:D30)</f>
        <v>-2</v>
      </c>
      <c r="E31" s="119">
        <f t="shared" si="10"/>
        <v>164</v>
      </c>
      <c r="F31" s="119">
        <f t="shared" si="10"/>
        <v>4</v>
      </c>
      <c r="G31" s="119">
        <f t="shared" si="10"/>
        <v>3</v>
      </c>
      <c r="H31" s="119">
        <f t="shared" si="10"/>
        <v>-288</v>
      </c>
      <c r="I31" s="119"/>
      <c r="J31" s="119"/>
      <c r="K31" s="119"/>
    </row>
    <row r="32" spans="1:12" x14ac:dyDescent="0.25">
      <c r="A32" s="118">
        <f>A30+1</f>
        <v>86</v>
      </c>
      <c r="B32" s="95" t="s">
        <v>143</v>
      </c>
      <c r="C32" s="121">
        <v>0</v>
      </c>
      <c r="D32" s="121" t="s">
        <v>115</v>
      </c>
      <c r="E32" s="121" t="s">
        <v>115</v>
      </c>
      <c r="F32" s="121" t="s">
        <v>115</v>
      </c>
      <c r="G32" s="121" t="s">
        <v>115</v>
      </c>
      <c r="H32" s="121" t="s">
        <v>115</v>
      </c>
      <c r="I32" s="121">
        <v>1</v>
      </c>
      <c r="J32" s="121">
        <f>J30+C32</f>
        <v>6962</v>
      </c>
      <c r="K32" s="121">
        <f>K30+C32*I32</f>
        <v>6962</v>
      </c>
    </row>
    <row r="33" spans="1:12" x14ac:dyDescent="0.25">
      <c r="A33" s="118">
        <f t="shared" si="7"/>
        <v>87</v>
      </c>
      <c r="B33" s="92" t="s">
        <v>144</v>
      </c>
      <c r="C33" s="118">
        <f>1*20</f>
        <v>20</v>
      </c>
      <c r="D33" s="118" t="s">
        <v>115</v>
      </c>
      <c r="E33" s="118" t="s">
        <v>115</v>
      </c>
      <c r="F33" s="118" t="s">
        <v>115</v>
      </c>
      <c r="G33" s="118" t="s">
        <v>115</v>
      </c>
      <c r="H33" s="118" t="s">
        <v>115</v>
      </c>
      <c r="I33" s="118">
        <v>1</v>
      </c>
      <c r="J33" s="118">
        <f t="shared" si="8"/>
        <v>6982</v>
      </c>
      <c r="K33" s="118">
        <f t="shared" si="9"/>
        <v>6982</v>
      </c>
      <c r="L33" s="90" t="s">
        <v>145</v>
      </c>
    </row>
    <row r="34" spans="1:12" x14ac:dyDescent="0.25">
      <c r="A34" s="118">
        <f t="shared" si="7"/>
        <v>88</v>
      </c>
      <c r="B34" s="92" t="s">
        <v>146</v>
      </c>
      <c r="C34" s="118">
        <f>0.4*15</f>
        <v>6</v>
      </c>
      <c r="D34" s="118" t="s">
        <v>115</v>
      </c>
      <c r="E34" s="118" t="s">
        <v>115</v>
      </c>
      <c r="F34" s="118" t="s">
        <v>115</v>
      </c>
      <c r="G34" s="118" t="s">
        <v>115</v>
      </c>
      <c r="H34" s="118" t="s">
        <v>115</v>
      </c>
      <c r="I34" s="118">
        <v>1</v>
      </c>
      <c r="J34" s="118">
        <f t="shared" si="8"/>
        <v>6988</v>
      </c>
      <c r="K34" s="118">
        <f t="shared" si="9"/>
        <v>6988</v>
      </c>
      <c r="L34" s="90" t="s">
        <v>145</v>
      </c>
    </row>
    <row r="35" spans="1:12" x14ac:dyDescent="0.25">
      <c r="A35" s="118">
        <f t="shared" si="7"/>
        <v>89</v>
      </c>
      <c r="B35" s="92" t="s">
        <v>147</v>
      </c>
      <c r="C35" s="118">
        <f>-10*D35</f>
        <v>-1050</v>
      </c>
      <c r="D35" s="118">
        <f>0.7*10*15</f>
        <v>105</v>
      </c>
      <c r="E35" s="118" t="s">
        <v>115</v>
      </c>
      <c r="F35" s="118" t="s">
        <v>115</v>
      </c>
      <c r="G35" s="118" t="s">
        <v>115</v>
      </c>
      <c r="H35" s="118" t="s">
        <v>115</v>
      </c>
      <c r="I35" s="118">
        <v>1</v>
      </c>
      <c r="J35" s="118">
        <f t="shared" si="8"/>
        <v>5938</v>
      </c>
      <c r="K35" s="118">
        <f t="shared" si="9"/>
        <v>5938</v>
      </c>
    </row>
    <row r="36" spans="1:12" x14ac:dyDescent="0.25">
      <c r="A36" s="118">
        <f t="shared" si="7"/>
        <v>90</v>
      </c>
      <c r="B36" s="92" t="s">
        <v>148</v>
      </c>
      <c r="C36" s="118">
        <f>-10*D36</f>
        <v>-100</v>
      </c>
      <c r="D36" s="118">
        <f>2*5</f>
        <v>10</v>
      </c>
      <c r="E36" s="118" t="s">
        <v>115</v>
      </c>
      <c r="F36" s="118" t="s">
        <v>115</v>
      </c>
      <c r="G36" s="118" t="s">
        <v>115</v>
      </c>
      <c r="H36" s="118" t="s">
        <v>115</v>
      </c>
      <c r="I36" s="118">
        <v>1</v>
      </c>
      <c r="J36" s="118">
        <f>J35+C36</f>
        <v>5838</v>
      </c>
      <c r="K36" s="118">
        <f>K35+C36*I36</f>
        <v>5838</v>
      </c>
    </row>
    <row r="37" spans="1:12" x14ac:dyDescent="0.25">
      <c r="A37" s="118">
        <f t="shared" si="7"/>
        <v>91</v>
      </c>
      <c r="B37" s="92" t="s">
        <v>149</v>
      </c>
      <c r="C37" s="118">
        <v>0</v>
      </c>
      <c r="D37" s="118" t="s">
        <v>115</v>
      </c>
      <c r="E37" s="118" t="s">
        <v>115</v>
      </c>
      <c r="F37" s="118" t="s">
        <v>115</v>
      </c>
      <c r="G37" s="118" t="s">
        <v>115</v>
      </c>
      <c r="H37" s="118" t="s">
        <v>115</v>
      </c>
      <c r="I37" s="118">
        <v>1</v>
      </c>
      <c r="J37" s="118">
        <f>J36+C37</f>
        <v>5838</v>
      </c>
      <c r="K37" s="118">
        <f>K36+C37*I37</f>
        <v>5838</v>
      </c>
    </row>
    <row r="38" spans="1:12" x14ac:dyDescent="0.25">
      <c r="A38" s="118">
        <f t="shared" si="7"/>
        <v>92</v>
      </c>
      <c r="B38" s="92" t="s">
        <v>150</v>
      </c>
      <c r="C38" s="118">
        <f>495*3</f>
        <v>1485</v>
      </c>
      <c r="D38" s="118" t="s">
        <v>115</v>
      </c>
      <c r="E38" s="118" t="s">
        <v>115</v>
      </c>
      <c r="F38" s="118" t="s">
        <v>115</v>
      </c>
      <c r="G38" s="118" t="s">
        <v>115</v>
      </c>
      <c r="H38" s="118" t="s">
        <v>115</v>
      </c>
      <c r="I38" s="118">
        <v>1</v>
      </c>
      <c r="J38" s="118">
        <f>J37+C38</f>
        <v>7323</v>
      </c>
      <c r="K38" s="118">
        <f>K37+C38*I38</f>
        <v>7323</v>
      </c>
    </row>
    <row r="39" spans="1:12" x14ac:dyDescent="0.25">
      <c r="A39" s="118">
        <f t="shared" si="7"/>
        <v>93</v>
      </c>
      <c r="B39" s="92" t="s">
        <v>151</v>
      </c>
      <c r="C39" s="118">
        <f>220*4</f>
        <v>880</v>
      </c>
      <c r="D39" s="118" t="s">
        <v>115</v>
      </c>
      <c r="E39" s="118" t="s">
        <v>115</v>
      </c>
      <c r="F39" s="118" t="s">
        <v>115</v>
      </c>
      <c r="G39" s="118" t="s">
        <v>115</v>
      </c>
      <c r="H39" s="118" t="s">
        <v>115</v>
      </c>
      <c r="I39" s="118">
        <v>1</v>
      </c>
      <c r="J39" s="118">
        <f>J38+C39</f>
        <v>8203</v>
      </c>
      <c r="K39" s="118">
        <f>K38+C39*I39</f>
        <v>8203</v>
      </c>
    </row>
    <row r="40" spans="1:12" x14ac:dyDescent="0.25">
      <c r="A40" s="118">
        <f t="shared" si="7"/>
        <v>94</v>
      </c>
      <c r="B40" s="92" t="s">
        <v>152</v>
      </c>
      <c r="C40" s="118">
        <f>120*4</f>
        <v>480</v>
      </c>
      <c r="D40" s="118" t="s">
        <v>115</v>
      </c>
      <c r="E40" s="118" t="s">
        <v>115</v>
      </c>
      <c r="F40" s="118" t="s">
        <v>115</v>
      </c>
      <c r="G40" s="118" t="s">
        <v>115</v>
      </c>
      <c r="H40" s="118" t="s">
        <v>115</v>
      </c>
      <c r="I40" s="118">
        <v>1</v>
      </c>
      <c r="J40" s="118">
        <f>J39+C40</f>
        <v>8683</v>
      </c>
      <c r="K40" s="118">
        <f>K39+C40*I40</f>
        <v>8683</v>
      </c>
    </row>
    <row r="41" spans="1:12" x14ac:dyDescent="0.25">
      <c r="A41" s="118">
        <f t="shared" si="7"/>
        <v>95</v>
      </c>
      <c r="B41" s="95" t="s">
        <v>153</v>
      </c>
      <c r="C41" s="118">
        <f>110*I41</f>
        <v>110</v>
      </c>
      <c r="D41" s="118" t="s">
        <v>115</v>
      </c>
      <c r="E41" s="118" t="s">
        <v>115</v>
      </c>
      <c r="F41" s="118" t="s">
        <v>115</v>
      </c>
      <c r="G41" s="118" t="s">
        <v>115</v>
      </c>
      <c r="H41" s="118" t="s">
        <v>115</v>
      </c>
      <c r="I41" s="118">
        <v>1</v>
      </c>
      <c r="J41" s="118">
        <f t="shared" si="8"/>
        <v>8793</v>
      </c>
      <c r="K41" s="118">
        <f t="shared" si="9"/>
        <v>8793</v>
      </c>
    </row>
    <row r="42" spans="1:12" x14ac:dyDescent="0.25">
      <c r="A42" s="118">
        <f t="shared" si="7"/>
        <v>96</v>
      </c>
      <c r="B42" s="95" t="s">
        <v>154</v>
      </c>
      <c r="C42" s="118">
        <f>600*I42</f>
        <v>0</v>
      </c>
      <c r="D42" s="118" t="s">
        <v>115</v>
      </c>
      <c r="E42" s="118" t="s">
        <v>115</v>
      </c>
      <c r="F42" s="118" t="s">
        <v>115</v>
      </c>
      <c r="G42" s="118" t="s">
        <v>115</v>
      </c>
      <c r="H42" s="118" t="s">
        <v>115</v>
      </c>
      <c r="I42" s="118">
        <v>0</v>
      </c>
      <c r="J42" s="118">
        <f t="shared" si="8"/>
        <v>8793</v>
      </c>
      <c r="K42" s="118">
        <f t="shared" si="9"/>
        <v>8793</v>
      </c>
    </row>
    <row r="43" spans="1:12" x14ac:dyDescent="0.25">
      <c r="A43" s="118">
        <f t="shared" si="7"/>
        <v>97</v>
      </c>
      <c r="B43" s="95" t="s">
        <v>155</v>
      </c>
      <c r="C43" s="118">
        <v>0</v>
      </c>
      <c r="D43" s="118" t="s">
        <v>115</v>
      </c>
      <c r="E43" s="118" t="s">
        <v>115</v>
      </c>
      <c r="F43" s="118" t="s">
        <v>115</v>
      </c>
      <c r="G43" s="118" t="s">
        <v>115</v>
      </c>
      <c r="H43" s="118" t="s">
        <v>115</v>
      </c>
      <c r="I43" s="118">
        <v>0</v>
      </c>
      <c r="J43" s="118">
        <f t="shared" si="8"/>
        <v>8793</v>
      </c>
      <c r="K43" s="118">
        <f t="shared" si="9"/>
        <v>8793</v>
      </c>
    </row>
    <row r="44" spans="1:12" x14ac:dyDescent="0.25">
      <c r="A44" s="118">
        <f t="shared" si="7"/>
        <v>98</v>
      </c>
      <c r="B44" s="95" t="s">
        <v>156</v>
      </c>
      <c r="C44" s="118">
        <v>0</v>
      </c>
      <c r="D44" s="118" t="s">
        <v>115</v>
      </c>
      <c r="E44" s="118" t="s">
        <v>115</v>
      </c>
      <c r="F44" s="118" t="s">
        <v>115</v>
      </c>
      <c r="G44" s="118" t="s">
        <v>115</v>
      </c>
      <c r="H44" s="118" t="s">
        <v>115</v>
      </c>
      <c r="I44" s="118">
        <v>0</v>
      </c>
      <c r="J44" s="118">
        <f t="shared" si="8"/>
        <v>8793</v>
      </c>
      <c r="K44" s="118">
        <f t="shared" si="9"/>
        <v>8793</v>
      </c>
    </row>
    <row r="45" spans="1:12" x14ac:dyDescent="0.25">
      <c r="A45" s="118">
        <f t="shared" ref="A45:A101" si="11">A44+1</f>
        <v>99</v>
      </c>
      <c r="B45" s="92" t="s">
        <v>157</v>
      </c>
      <c r="C45" s="118">
        <v>0</v>
      </c>
      <c r="D45" s="118">
        <f>-5*I45</f>
        <v>0</v>
      </c>
      <c r="E45" s="118">
        <f>-5*I45</f>
        <v>0</v>
      </c>
      <c r="F45" s="118" t="s">
        <v>115</v>
      </c>
      <c r="G45" s="118" t="s">
        <v>115</v>
      </c>
      <c r="H45" s="118">
        <f t="shared" ref="H45:H51" si="12">SUM(D45:G45)</f>
        <v>0</v>
      </c>
      <c r="I45" s="118">
        <v>0</v>
      </c>
      <c r="J45" s="118">
        <f t="shared" ref="J45:J51" si="13">J44+C45</f>
        <v>8793</v>
      </c>
      <c r="K45" s="118">
        <f t="shared" ref="K45:K51" si="14">K44+C45*I45</f>
        <v>8793</v>
      </c>
    </row>
    <row r="46" spans="1:12" x14ac:dyDescent="0.25">
      <c r="A46" s="118">
        <f t="shared" si="11"/>
        <v>100</v>
      </c>
      <c r="B46" s="92" t="s">
        <v>158</v>
      </c>
      <c r="C46" s="118">
        <v>0</v>
      </c>
      <c r="D46" s="118">
        <f>-2*I46</f>
        <v>0</v>
      </c>
      <c r="E46" s="118" t="s">
        <v>115</v>
      </c>
      <c r="F46" s="118">
        <f>-1*I46</f>
        <v>0</v>
      </c>
      <c r="G46" s="118" t="s">
        <v>115</v>
      </c>
      <c r="H46" s="118">
        <f t="shared" si="12"/>
        <v>0</v>
      </c>
      <c r="I46" s="118">
        <v>0</v>
      </c>
      <c r="J46" s="118">
        <f t="shared" si="13"/>
        <v>8793</v>
      </c>
      <c r="K46" s="118">
        <f t="shared" si="14"/>
        <v>8793</v>
      </c>
    </row>
    <row r="47" spans="1:12" x14ac:dyDescent="0.25">
      <c r="A47" s="118">
        <f t="shared" si="11"/>
        <v>101</v>
      </c>
      <c r="B47" s="92" t="s">
        <v>159</v>
      </c>
      <c r="C47" s="118">
        <v>0</v>
      </c>
      <c r="D47" s="118" t="s">
        <v>115</v>
      </c>
      <c r="E47" s="118" t="s">
        <v>115</v>
      </c>
      <c r="F47" s="118" t="s">
        <v>115</v>
      </c>
      <c r="G47" s="118" t="s">
        <v>115</v>
      </c>
      <c r="H47" s="118" t="s">
        <v>115</v>
      </c>
      <c r="I47" s="118">
        <v>1</v>
      </c>
      <c r="J47" s="118">
        <f t="shared" si="13"/>
        <v>8793</v>
      </c>
      <c r="K47" s="118">
        <f t="shared" si="14"/>
        <v>8793</v>
      </c>
    </row>
    <row r="48" spans="1:12" x14ac:dyDescent="0.25">
      <c r="A48" s="118">
        <f t="shared" si="11"/>
        <v>102</v>
      </c>
      <c r="B48" s="95" t="s">
        <v>160</v>
      </c>
      <c r="C48" s="118">
        <v>0</v>
      </c>
      <c r="D48" s="118" t="s">
        <v>161</v>
      </c>
      <c r="E48" s="118" t="s">
        <v>161</v>
      </c>
      <c r="F48" s="118" t="s">
        <v>161</v>
      </c>
      <c r="G48" s="118" t="s">
        <v>161</v>
      </c>
      <c r="H48" s="118">
        <f t="shared" si="12"/>
        <v>0</v>
      </c>
      <c r="I48" s="118">
        <v>0</v>
      </c>
      <c r="J48" s="118">
        <f t="shared" si="13"/>
        <v>8793</v>
      </c>
      <c r="K48" s="118">
        <f t="shared" si="14"/>
        <v>8793</v>
      </c>
    </row>
    <row r="49" spans="1:11" x14ac:dyDescent="0.25">
      <c r="A49" s="118">
        <f t="shared" si="11"/>
        <v>103</v>
      </c>
      <c r="B49" s="92" t="s">
        <v>162</v>
      </c>
      <c r="C49" s="118">
        <v>0</v>
      </c>
      <c r="D49" s="109">
        <f>-7*4</f>
        <v>-28</v>
      </c>
      <c r="E49" s="109">
        <f>-8*4</f>
        <v>-32</v>
      </c>
      <c r="F49" s="109">
        <f>-2*4</f>
        <v>-8</v>
      </c>
      <c r="G49" s="109">
        <f>-1*4</f>
        <v>-4</v>
      </c>
      <c r="H49" s="109">
        <f t="shared" si="12"/>
        <v>-72</v>
      </c>
      <c r="I49" s="118">
        <v>1</v>
      </c>
      <c r="J49" s="118">
        <f t="shared" si="13"/>
        <v>8793</v>
      </c>
      <c r="K49" s="118">
        <f t="shared" si="14"/>
        <v>8793</v>
      </c>
    </row>
    <row r="50" spans="1:11" x14ac:dyDescent="0.25">
      <c r="A50" s="118">
        <f t="shared" si="11"/>
        <v>104</v>
      </c>
      <c r="B50" s="92" t="s">
        <v>163</v>
      </c>
      <c r="C50" s="118">
        <v>0</v>
      </c>
      <c r="D50" s="109">
        <f>-4*2</f>
        <v>-8</v>
      </c>
      <c r="E50" s="109">
        <f>-5*2</f>
        <v>-10</v>
      </c>
      <c r="F50" s="109" t="s">
        <v>115</v>
      </c>
      <c r="G50" s="109" t="s">
        <v>115</v>
      </c>
      <c r="H50" s="109">
        <f t="shared" si="12"/>
        <v>-18</v>
      </c>
      <c r="I50" s="118">
        <v>1</v>
      </c>
      <c r="J50" s="118">
        <f t="shared" si="13"/>
        <v>8793</v>
      </c>
      <c r="K50" s="118">
        <f t="shared" si="14"/>
        <v>8793</v>
      </c>
    </row>
    <row r="51" spans="1:11" x14ac:dyDescent="0.25">
      <c r="A51" s="118">
        <f t="shared" si="11"/>
        <v>105</v>
      </c>
      <c r="B51" s="92" t="s">
        <v>164</v>
      </c>
      <c r="C51" s="118">
        <v>0</v>
      </c>
      <c r="D51" s="109">
        <f>-5*5</f>
        <v>-25</v>
      </c>
      <c r="E51" s="109">
        <f>-6*5</f>
        <v>-30</v>
      </c>
      <c r="F51" s="109">
        <f>-1*5</f>
        <v>-5</v>
      </c>
      <c r="G51" s="109" t="s">
        <v>115</v>
      </c>
      <c r="H51" s="109">
        <f t="shared" si="12"/>
        <v>-60</v>
      </c>
      <c r="I51" s="118">
        <v>1</v>
      </c>
      <c r="J51" s="118">
        <f t="shared" si="13"/>
        <v>8793</v>
      </c>
      <c r="K51" s="118">
        <f t="shared" si="14"/>
        <v>8793</v>
      </c>
    </row>
    <row r="52" spans="1:11" x14ac:dyDescent="0.25">
      <c r="A52" s="118">
        <f t="shared" si="11"/>
        <v>106</v>
      </c>
      <c r="B52" s="92" t="s">
        <v>165</v>
      </c>
      <c r="C52" s="118">
        <v>0</v>
      </c>
      <c r="D52" s="118" t="s">
        <v>115</v>
      </c>
      <c r="E52" s="118" t="s">
        <v>115</v>
      </c>
      <c r="F52" s="118" t="s">
        <v>115</v>
      </c>
      <c r="G52" s="118" t="s">
        <v>115</v>
      </c>
      <c r="H52" s="118" t="s">
        <v>115</v>
      </c>
      <c r="I52" s="109">
        <v>1</v>
      </c>
      <c r="J52" s="118">
        <f t="shared" ref="J52:J61" si="15">J51+C52</f>
        <v>8793</v>
      </c>
      <c r="K52" s="118">
        <f t="shared" ref="K52:K61" si="16">K51+C52*I52</f>
        <v>8793</v>
      </c>
    </row>
    <row r="53" spans="1:11" x14ac:dyDescent="0.25">
      <c r="A53" s="118">
        <f t="shared" si="11"/>
        <v>107</v>
      </c>
      <c r="B53" s="95" t="s">
        <v>166</v>
      </c>
      <c r="C53" s="118">
        <v>-5</v>
      </c>
      <c r="D53" s="118" t="s">
        <v>115</v>
      </c>
      <c r="E53" s="118" t="s">
        <v>115</v>
      </c>
      <c r="F53" s="118" t="s">
        <v>115</v>
      </c>
      <c r="G53" s="118" t="s">
        <v>115</v>
      </c>
      <c r="H53" s="118" t="s">
        <v>115</v>
      </c>
      <c r="I53" s="118">
        <v>0</v>
      </c>
      <c r="J53" s="118">
        <f t="shared" si="15"/>
        <v>8788</v>
      </c>
      <c r="K53" s="118">
        <f t="shared" si="16"/>
        <v>8793</v>
      </c>
    </row>
    <row r="54" spans="1:11" x14ac:dyDescent="0.25">
      <c r="A54" s="118">
        <f t="shared" si="11"/>
        <v>108</v>
      </c>
      <c r="B54" s="95" t="s">
        <v>167</v>
      </c>
      <c r="C54" s="118">
        <v>0</v>
      </c>
      <c r="D54" s="118" t="s">
        <v>115</v>
      </c>
      <c r="E54" s="118" t="s">
        <v>115</v>
      </c>
      <c r="F54" s="118" t="s">
        <v>115</v>
      </c>
      <c r="G54" s="118" t="s">
        <v>115</v>
      </c>
      <c r="H54" s="118" t="s">
        <v>115</v>
      </c>
      <c r="I54" s="118">
        <v>0</v>
      </c>
      <c r="J54" s="118">
        <f t="shared" si="15"/>
        <v>8788</v>
      </c>
      <c r="K54" s="118">
        <f t="shared" si="16"/>
        <v>8793</v>
      </c>
    </row>
    <row r="55" spans="1:11" x14ac:dyDescent="0.25">
      <c r="A55" s="118">
        <f t="shared" si="11"/>
        <v>109</v>
      </c>
      <c r="B55" s="95" t="s">
        <v>168</v>
      </c>
      <c r="C55" s="118">
        <v>0</v>
      </c>
      <c r="D55" s="118" t="s">
        <v>115</v>
      </c>
      <c r="E55" s="118" t="s">
        <v>115</v>
      </c>
      <c r="F55" s="118" t="s">
        <v>115</v>
      </c>
      <c r="G55" s="118" t="s">
        <v>115</v>
      </c>
      <c r="H55" s="118" t="s">
        <v>115</v>
      </c>
      <c r="I55" s="118">
        <v>0</v>
      </c>
      <c r="J55" s="118">
        <f t="shared" si="15"/>
        <v>8788</v>
      </c>
      <c r="K55" s="118">
        <f t="shared" si="16"/>
        <v>8793</v>
      </c>
    </row>
    <row r="56" spans="1:11" x14ac:dyDescent="0.25">
      <c r="A56" s="118">
        <f t="shared" si="11"/>
        <v>110</v>
      </c>
      <c r="B56" s="95" t="s">
        <v>169</v>
      </c>
      <c r="C56" s="118">
        <v>0</v>
      </c>
      <c r="D56" s="118" t="s">
        <v>115</v>
      </c>
      <c r="E56" s="118" t="s">
        <v>115</v>
      </c>
      <c r="F56" s="118" t="s">
        <v>115</v>
      </c>
      <c r="G56" s="118" t="s">
        <v>115</v>
      </c>
      <c r="H56" s="118" t="s">
        <v>115</v>
      </c>
      <c r="I56" s="118">
        <v>0</v>
      </c>
      <c r="J56" s="118">
        <f t="shared" si="15"/>
        <v>8788</v>
      </c>
      <c r="K56" s="118">
        <f t="shared" si="16"/>
        <v>8793</v>
      </c>
    </row>
    <row r="57" spans="1:11" x14ac:dyDescent="0.25">
      <c r="A57" s="118">
        <f t="shared" si="11"/>
        <v>111</v>
      </c>
      <c r="B57" s="92" t="s">
        <v>170</v>
      </c>
      <c r="C57" s="118">
        <v>-10</v>
      </c>
      <c r="D57" s="118" t="s">
        <v>115</v>
      </c>
      <c r="E57" s="118" t="s">
        <v>115</v>
      </c>
      <c r="F57" s="118" t="s">
        <v>115</v>
      </c>
      <c r="G57" s="118" t="s">
        <v>115</v>
      </c>
      <c r="H57" s="118" t="s">
        <v>115</v>
      </c>
      <c r="I57" s="114">
        <v>1</v>
      </c>
      <c r="J57" s="118">
        <f t="shared" si="15"/>
        <v>8778</v>
      </c>
      <c r="K57" s="118">
        <f t="shared" si="16"/>
        <v>8783</v>
      </c>
    </row>
    <row r="58" spans="1:11" x14ac:dyDescent="0.25">
      <c r="A58" s="118">
        <f t="shared" si="11"/>
        <v>112</v>
      </c>
      <c r="B58" s="92" t="s">
        <v>171</v>
      </c>
      <c r="C58" s="118">
        <f>(25+1000)/2</f>
        <v>512.5</v>
      </c>
      <c r="D58" s="118" t="s">
        <v>115</v>
      </c>
      <c r="E58" s="118" t="s">
        <v>115</v>
      </c>
      <c r="F58" s="118" t="s">
        <v>115</v>
      </c>
      <c r="G58" s="118" t="s">
        <v>115</v>
      </c>
      <c r="H58" s="118" t="s">
        <v>115</v>
      </c>
      <c r="I58" s="118">
        <v>1</v>
      </c>
      <c r="J58" s="118">
        <f t="shared" si="15"/>
        <v>9290.5</v>
      </c>
      <c r="K58" s="118">
        <f t="shared" si="16"/>
        <v>9295.5</v>
      </c>
    </row>
    <row r="59" spans="1:11" x14ac:dyDescent="0.25">
      <c r="A59" s="118">
        <f t="shared" si="11"/>
        <v>113</v>
      </c>
      <c r="B59" s="92" t="s">
        <v>172</v>
      </c>
      <c r="C59" s="118">
        <f>(35+2000)/2</f>
        <v>1017.5</v>
      </c>
      <c r="D59" s="118" t="s">
        <v>115</v>
      </c>
      <c r="E59" s="118" t="s">
        <v>115</v>
      </c>
      <c r="F59" s="118" t="s">
        <v>115</v>
      </c>
      <c r="G59" s="118" t="s">
        <v>115</v>
      </c>
      <c r="H59" s="118" t="s">
        <v>115</v>
      </c>
      <c r="I59" s="118">
        <v>1</v>
      </c>
      <c r="J59" s="118">
        <f t="shared" si="15"/>
        <v>10308</v>
      </c>
      <c r="K59" s="118">
        <f t="shared" si="16"/>
        <v>10313</v>
      </c>
    </row>
    <row r="60" spans="1:11" x14ac:dyDescent="0.25">
      <c r="A60" s="118">
        <f t="shared" si="11"/>
        <v>114</v>
      </c>
      <c r="B60" s="92" t="s">
        <v>173</v>
      </c>
      <c r="C60" s="118">
        <f>315*6/2</f>
        <v>945</v>
      </c>
      <c r="D60" s="118" t="s">
        <v>115</v>
      </c>
      <c r="E60" s="118" t="s">
        <v>115</v>
      </c>
      <c r="F60" s="118" t="s">
        <v>115</v>
      </c>
      <c r="G60" s="118" t="s">
        <v>115</v>
      </c>
      <c r="H60" s="118" t="s">
        <v>115</v>
      </c>
      <c r="I60" s="118">
        <v>1</v>
      </c>
      <c r="J60" s="118">
        <f t="shared" si="15"/>
        <v>11253</v>
      </c>
      <c r="K60" s="118">
        <f t="shared" si="16"/>
        <v>11258</v>
      </c>
    </row>
    <row r="61" spans="1:11" x14ac:dyDescent="0.25">
      <c r="A61" s="118">
        <f t="shared" si="11"/>
        <v>115</v>
      </c>
      <c r="B61" s="92" t="s">
        <v>174</v>
      </c>
      <c r="C61" s="118">
        <f>-750*1.1</f>
        <v>-825.00000000000011</v>
      </c>
      <c r="D61" s="118" t="s">
        <v>115</v>
      </c>
      <c r="E61" s="118" t="s">
        <v>115</v>
      </c>
      <c r="F61" s="118" t="s">
        <v>115</v>
      </c>
      <c r="G61" s="118" t="s">
        <v>115</v>
      </c>
      <c r="H61" s="118" t="s">
        <v>115</v>
      </c>
      <c r="I61" s="118">
        <v>1</v>
      </c>
      <c r="J61" s="118">
        <f t="shared" si="15"/>
        <v>10428</v>
      </c>
      <c r="K61" s="118">
        <f t="shared" si="16"/>
        <v>10433</v>
      </c>
    </row>
    <row r="62" spans="1:11" x14ac:dyDescent="0.25">
      <c r="A62" s="118">
        <f t="shared" si="11"/>
        <v>116</v>
      </c>
      <c r="B62" s="92" t="s">
        <v>175</v>
      </c>
      <c r="C62" s="118">
        <f>-750*9*33/50*1.1</f>
        <v>-4900.5</v>
      </c>
      <c r="D62" s="118" t="s">
        <v>115</v>
      </c>
      <c r="E62" s="118" t="s">
        <v>115</v>
      </c>
      <c r="F62" s="118" t="s">
        <v>115</v>
      </c>
      <c r="G62" s="118" t="s">
        <v>115</v>
      </c>
      <c r="H62" s="118" t="s">
        <v>115</v>
      </c>
      <c r="I62" s="118">
        <v>1</v>
      </c>
      <c r="J62" s="118">
        <f t="shared" ref="J62:J63" si="17">J61+C62</f>
        <v>5527.5</v>
      </c>
      <c r="K62" s="118">
        <f t="shared" ref="K62:K63" si="18">K61+C62*I62</f>
        <v>5532.5</v>
      </c>
    </row>
    <row r="63" spans="1:11" x14ac:dyDescent="0.25">
      <c r="A63" s="118">
        <f t="shared" si="11"/>
        <v>117</v>
      </c>
      <c r="B63" s="92" t="s">
        <v>176</v>
      </c>
      <c r="C63" s="118">
        <v>0</v>
      </c>
      <c r="D63" s="118">
        <v>0</v>
      </c>
      <c r="E63" s="118">
        <v>-81</v>
      </c>
      <c r="F63" s="118">
        <f>-E63/3</f>
        <v>27</v>
      </c>
      <c r="G63" s="118">
        <v>0</v>
      </c>
      <c r="H63" s="118">
        <f>E63</f>
        <v>-81</v>
      </c>
      <c r="I63" s="109">
        <v>1</v>
      </c>
      <c r="J63" s="118">
        <f t="shared" si="17"/>
        <v>5527.5</v>
      </c>
      <c r="K63" s="118">
        <f t="shared" si="18"/>
        <v>5532.5</v>
      </c>
    </row>
    <row r="64" spans="1:11" x14ac:dyDescent="0.25">
      <c r="A64" s="118">
        <f t="shared" si="11"/>
        <v>118</v>
      </c>
      <c r="B64" s="92" t="s">
        <v>177</v>
      </c>
      <c r="C64" s="118">
        <v>0</v>
      </c>
      <c r="D64" s="118" t="s">
        <v>115</v>
      </c>
      <c r="E64" s="118" t="s">
        <v>115</v>
      </c>
      <c r="F64" s="118" t="s">
        <v>115</v>
      </c>
      <c r="G64" s="118" t="s">
        <v>115</v>
      </c>
      <c r="H64" s="118" t="s">
        <v>115</v>
      </c>
      <c r="I64" s="118"/>
      <c r="J64" s="118">
        <f t="shared" ref="J64:J82" si="19">J63+C64</f>
        <v>5527.5</v>
      </c>
      <c r="K64" s="118">
        <f t="shared" ref="K64:K82" si="20">K63+C64*I64</f>
        <v>5532.5</v>
      </c>
    </row>
    <row r="65" spans="1:11" x14ac:dyDescent="0.25">
      <c r="A65" s="118">
        <f t="shared" si="11"/>
        <v>119</v>
      </c>
      <c r="B65" s="92" t="s">
        <v>178</v>
      </c>
      <c r="C65" s="118">
        <f>-10*E65</f>
        <v>-2000</v>
      </c>
      <c r="D65" s="118" t="s">
        <v>115</v>
      </c>
      <c r="E65" s="118">
        <f>0.8*10*25</f>
        <v>200</v>
      </c>
      <c r="F65" s="118" t="s">
        <v>115</v>
      </c>
      <c r="G65" s="118" t="s">
        <v>115</v>
      </c>
      <c r="H65" s="118" t="s">
        <v>115</v>
      </c>
      <c r="I65" s="118">
        <v>1</v>
      </c>
      <c r="J65" s="118">
        <f t="shared" si="19"/>
        <v>3527.5</v>
      </c>
      <c r="K65" s="118">
        <f t="shared" si="20"/>
        <v>3532.5</v>
      </c>
    </row>
    <row r="66" spans="1:11" x14ac:dyDescent="0.25">
      <c r="A66" s="118">
        <f t="shared" si="11"/>
        <v>120</v>
      </c>
      <c r="B66" s="92" t="s">
        <v>179</v>
      </c>
      <c r="C66" s="118">
        <f t="shared" ref="C66" si="21">-10*E66</f>
        <v>-200</v>
      </c>
      <c r="D66" s="118" t="s">
        <v>115</v>
      </c>
      <c r="E66" s="118">
        <f>20</f>
        <v>20</v>
      </c>
      <c r="F66" s="118" t="s">
        <v>115</v>
      </c>
      <c r="G66" s="118" t="s">
        <v>115</v>
      </c>
      <c r="H66" s="118" t="s">
        <v>115</v>
      </c>
      <c r="I66" s="118">
        <v>1</v>
      </c>
      <c r="J66" s="118">
        <f t="shared" si="19"/>
        <v>3327.5</v>
      </c>
      <c r="K66" s="118">
        <f t="shared" si="20"/>
        <v>3332.5</v>
      </c>
    </row>
    <row r="67" spans="1:11" x14ac:dyDescent="0.25">
      <c r="A67" s="118">
        <f t="shared" si="11"/>
        <v>121</v>
      </c>
      <c r="B67" s="92" t="s">
        <v>180</v>
      </c>
      <c r="C67" s="118">
        <f t="shared" ref="C67:C68" si="22">-10*E67</f>
        <v>0</v>
      </c>
      <c r="D67" s="118" t="s">
        <v>115</v>
      </c>
      <c r="E67" s="118">
        <f>0</f>
        <v>0</v>
      </c>
      <c r="F67" s="118" t="s">
        <v>115</v>
      </c>
      <c r="G67" s="118" t="s">
        <v>115</v>
      </c>
      <c r="H67" s="118" t="s">
        <v>115</v>
      </c>
      <c r="I67" s="118">
        <v>1</v>
      </c>
      <c r="J67" s="118">
        <f t="shared" si="19"/>
        <v>3327.5</v>
      </c>
      <c r="K67" s="118">
        <f t="shared" si="20"/>
        <v>3332.5</v>
      </c>
    </row>
    <row r="68" spans="1:11" x14ac:dyDescent="0.25">
      <c r="A68" s="118">
        <f t="shared" si="11"/>
        <v>122</v>
      </c>
      <c r="B68" s="92" t="s">
        <v>181</v>
      </c>
      <c r="C68" s="118">
        <f t="shared" si="22"/>
        <v>-200</v>
      </c>
      <c r="D68" s="118" t="s">
        <v>115</v>
      </c>
      <c r="E68" s="118">
        <f>20</f>
        <v>20</v>
      </c>
      <c r="F68" s="118" t="s">
        <v>115</v>
      </c>
      <c r="G68" s="118" t="s">
        <v>115</v>
      </c>
      <c r="H68" s="118" t="s">
        <v>115</v>
      </c>
      <c r="I68" s="118">
        <v>1</v>
      </c>
      <c r="J68" s="118">
        <f t="shared" si="19"/>
        <v>3127.5</v>
      </c>
      <c r="K68" s="118">
        <f t="shared" si="20"/>
        <v>3132.5</v>
      </c>
    </row>
    <row r="69" spans="1:11" x14ac:dyDescent="0.25">
      <c r="A69" s="118">
        <f t="shared" si="11"/>
        <v>123</v>
      </c>
      <c r="B69" s="92" t="s">
        <v>182</v>
      </c>
      <c r="C69" s="118">
        <f>-10*E69</f>
        <v>-2190</v>
      </c>
      <c r="D69" s="118" t="s">
        <v>115</v>
      </c>
      <c r="E69" s="118">
        <f>INT((0.8*8+0.5)*25+1*20+0.8*2*17)</f>
        <v>219</v>
      </c>
      <c r="F69" s="118" t="s">
        <v>115</v>
      </c>
      <c r="G69" s="118" t="s">
        <v>115</v>
      </c>
      <c r="H69" s="118" t="s">
        <v>115</v>
      </c>
      <c r="I69" s="118">
        <v>1</v>
      </c>
      <c r="J69" s="118">
        <f t="shared" si="19"/>
        <v>937.5</v>
      </c>
      <c r="K69" s="118">
        <f t="shared" si="20"/>
        <v>942.5</v>
      </c>
    </row>
    <row r="70" spans="1:11" x14ac:dyDescent="0.25">
      <c r="A70" s="118">
        <f t="shared" si="11"/>
        <v>124</v>
      </c>
      <c r="B70" s="92" t="s">
        <v>183</v>
      </c>
      <c r="C70" s="118">
        <v>0</v>
      </c>
      <c r="D70" s="118" t="s">
        <v>115</v>
      </c>
      <c r="E70" s="118" t="s">
        <v>184</v>
      </c>
      <c r="F70" s="118" t="s">
        <v>115</v>
      </c>
      <c r="G70" s="118" t="s">
        <v>115</v>
      </c>
      <c r="H70" s="118" t="s">
        <v>115</v>
      </c>
      <c r="I70" s="118">
        <v>1</v>
      </c>
      <c r="J70" s="118">
        <f t="shared" si="19"/>
        <v>937.5</v>
      </c>
      <c r="K70" s="118">
        <f t="shared" si="20"/>
        <v>942.5</v>
      </c>
    </row>
    <row r="71" spans="1:11" x14ac:dyDescent="0.25">
      <c r="A71" s="118">
        <f t="shared" si="11"/>
        <v>125</v>
      </c>
      <c r="B71" s="92" t="s">
        <v>179</v>
      </c>
      <c r="C71" s="118">
        <v>0</v>
      </c>
      <c r="D71" s="118" t="s">
        <v>115</v>
      </c>
      <c r="E71" s="118" t="s">
        <v>184</v>
      </c>
      <c r="F71" s="118" t="s">
        <v>115</v>
      </c>
      <c r="G71" s="118" t="s">
        <v>115</v>
      </c>
      <c r="H71" s="118" t="s">
        <v>115</v>
      </c>
      <c r="I71" s="118">
        <v>1</v>
      </c>
      <c r="J71" s="118">
        <f t="shared" si="19"/>
        <v>937.5</v>
      </c>
      <c r="K71" s="118">
        <f t="shared" si="20"/>
        <v>942.5</v>
      </c>
    </row>
    <row r="72" spans="1:11" x14ac:dyDescent="0.25">
      <c r="A72" s="118">
        <f t="shared" si="11"/>
        <v>126</v>
      </c>
      <c r="B72" s="164" t="s">
        <v>185</v>
      </c>
      <c r="C72" s="165">
        <f>-50*G72</f>
        <v>-1250</v>
      </c>
      <c r="D72" s="165" t="s">
        <v>115</v>
      </c>
      <c r="E72" s="165" t="s">
        <v>115</v>
      </c>
      <c r="F72" s="165" t="s">
        <v>115</v>
      </c>
      <c r="G72" s="165">
        <f>25</f>
        <v>25</v>
      </c>
      <c r="H72" s="165" t="s">
        <v>115</v>
      </c>
      <c r="I72" s="165">
        <v>0</v>
      </c>
      <c r="J72" s="165">
        <f t="shared" si="19"/>
        <v>-312.5</v>
      </c>
      <c r="K72" s="118">
        <f t="shared" si="20"/>
        <v>942.5</v>
      </c>
    </row>
    <row r="73" spans="1:11" x14ac:dyDescent="0.25">
      <c r="A73" s="118">
        <f t="shared" si="11"/>
        <v>127</v>
      </c>
      <c r="B73" s="164" t="s">
        <v>186</v>
      </c>
      <c r="C73" s="165">
        <f>-50*G73</f>
        <v>-1000</v>
      </c>
      <c r="D73" s="165" t="s">
        <v>115</v>
      </c>
      <c r="E73" s="165" t="s">
        <v>115</v>
      </c>
      <c r="F73" s="165" t="s">
        <v>115</v>
      </c>
      <c r="G73" s="165">
        <f>0.5*2*20</f>
        <v>20</v>
      </c>
      <c r="H73" s="165" t="s">
        <v>115</v>
      </c>
      <c r="I73" s="165">
        <v>0</v>
      </c>
      <c r="J73" s="165">
        <f t="shared" si="19"/>
        <v>-1312.5</v>
      </c>
      <c r="K73" s="118">
        <f t="shared" si="20"/>
        <v>942.5</v>
      </c>
    </row>
    <row r="74" spans="1:11" x14ac:dyDescent="0.25">
      <c r="A74" s="118">
        <f t="shared" si="11"/>
        <v>128</v>
      </c>
      <c r="B74" s="164" t="s">
        <v>187</v>
      </c>
      <c r="C74" s="165">
        <f>-50*G74</f>
        <v>0</v>
      </c>
      <c r="D74" s="165" t="s">
        <v>115</v>
      </c>
      <c r="E74" s="165" t="s">
        <v>115</v>
      </c>
      <c r="F74" s="165" t="s">
        <v>115</v>
      </c>
      <c r="G74" s="165">
        <v>0</v>
      </c>
      <c r="H74" s="165" t="s">
        <v>115</v>
      </c>
      <c r="I74" s="165">
        <v>0</v>
      </c>
      <c r="J74" s="165">
        <f t="shared" si="19"/>
        <v>-1312.5</v>
      </c>
      <c r="K74" s="118">
        <f t="shared" si="20"/>
        <v>942.5</v>
      </c>
    </row>
    <row r="75" spans="1:11" x14ac:dyDescent="0.25">
      <c r="A75" s="118">
        <f t="shared" si="11"/>
        <v>129</v>
      </c>
      <c r="B75" s="164" t="s">
        <v>188</v>
      </c>
      <c r="C75" s="165">
        <f t="shared" ref="C75" si="23">-10*D75</f>
        <v>-1760</v>
      </c>
      <c r="D75" s="165">
        <f>(0.6*3 + 0.7*10)*20</f>
        <v>176</v>
      </c>
      <c r="E75" s="165" t="s">
        <v>115</v>
      </c>
      <c r="F75" s="165" t="s">
        <v>115</v>
      </c>
      <c r="G75" s="165" t="s">
        <v>115</v>
      </c>
      <c r="H75" s="165" t="s">
        <v>115</v>
      </c>
      <c r="I75" s="165">
        <v>0</v>
      </c>
      <c r="J75" s="165">
        <f t="shared" si="19"/>
        <v>-3072.5</v>
      </c>
      <c r="K75" s="118">
        <f t="shared" si="20"/>
        <v>942.5</v>
      </c>
    </row>
    <row r="76" spans="1:11" x14ac:dyDescent="0.25">
      <c r="A76" s="118">
        <f t="shared" si="11"/>
        <v>130</v>
      </c>
      <c r="B76" s="164" t="s">
        <v>189</v>
      </c>
      <c r="C76" s="165">
        <f>-10*D76</f>
        <v>-520</v>
      </c>
      <c r="D76" s="165">
        <f>0.8*5*13</f>
        <v>52</v>
      </c>
      <c r="E76" s="165" t="s">
        <v>115</v>
      </c>
      <c r="F76" s="165" t="s">
        <v>115</v>
      </c>
      <c r="G76" s="165" t="s">
        <v>115</v>
      </c>
      <c r="H76" s="165" t="s">
        <v>115</v>
      </c>
      <c r="I76" s="165">
        <v>1</v>
      </c>
      <c r="J76" s="165">
        <f t="shared" si="19"/>
        <v>-3592.5</v>
      </c>
      <c r="K76" s="118">
        <f t="shared" si="20"/>
        <v>422.5</v>
      </c>
    </row>
    <row r="77" spans="1:11" x14ac:dyDescent="0.25">
      <c r="A77" s="118">
        <f t="shared" si="11"/>
        <v>131</v>
      </c>
      <c r="B77" s="164" t="s">
        <v>190</v>
      </c>
      <c r="C77" s="165">
        <f>-10*D77</f>
        <v>-300</v>
      </c>
      <c r="D77" s="165">
        <f>2*15</f>
        <v>30</v>
      </c>
      <c r="E77" s="165" t="s">
        <v>115</v>
      </c>
      <c r="F77" s="165" t="s">
        <v>115</v>
      </c>
      <c r="G77" s="165" t="s">
        <v>115</v>
      </c>
      <c r="H77" s="165" t="s">
        <v>115</v>
      </c>
      <c r="I77" s="165">
        <v>1</v>
      </c>
      <c r="J77" s="165">
        <f t="shared" si="19"/>
        <v>-3892.5</v>
      </c>
      <c r="K77" s="118">
        <f t="shared" si="20"/>
        <v>122.5</v>
      </c>
    </row>
    <row r="78" spans="1:11" x14ac:dyDescent="0.25">
      <c r="A78" s="118">
        <f t="shared" si="11"/>
        <v>132</v>
      </c>
      <c r="B78" s="164" t="s">
        <v>191</v>
      </c>
      <c r="C78" s="165">
        <f>-15*F78</f>
        <v>-150</v>
      </c>
      <c r="D78" s="165" t="s">
        <v>115</v>
      </c>
      <c r="E78" s="165" t="s">
        <v>115</v>
      </c>
      <c r="F78" s="165">
        <f>2*5</f>
        <v>10</v>
      </c>
      <c r="G78" s="165" t="s">
        <v>115</v>
      </c>
      <c r="H78" s="165" t="s">
        <v>115</v>
      </c>
      <c r="I78" s="165">
        <v>0</v>
      </c>
      <c r="J78" s="165">
        <f t="shared" si="19"/>
        <v>-4042.5</v>
      </c>
      <c r="K78" s="118">
        <f t="shared" si="20"/>
        <v>122.5</v>
      </c>
    </row>
    <row r="79" spans="1:11" x14ac:dyDescent="0.25">
      <c r="A79" s="118">
        <f t="shared" si="11"/>
        <v>133</v>
      </c>
      <c r="B79" s="164" t="s">
        <v>192</v>
      </c>
      <c r="C79" s="165">
        <f>-15*F79</f>
        <v>-420</v>
      </c>
      <c r="D79" s="165" t="s">
        <v>115</v>
      </c>
      <c r="E79" s="165" t="s">
        <v>115</v>
      </c>
      <c r="F79" s="165">
        <f>INT(0.8*4*9)</f>
        <v>28</v>
      </c>
      <c r="G79" s="165" t="s">
        <v>115</v>
      </c>
      <c r="H79" s="165" t="s">
        <v>115</v>
      </c>
      <c r="I79" s="165">
        <v>0</v>
      </c>
      <c r="J79" s="165">
        <f t="shared" si="19"/>
        <v>-4462.5</v>
      </c>
      <c r="K79" s="118">
        <f t="shared" si="20"/>
        <v>122.5</v>
      </c>
    </row>
    <row r="80" spans="1:11" x14ac:dyDescent="0.25">
      <c r="A80" s="118">
        <f t="shared" si="11"/>
        <v>134</v>
      </c>
      <c r="B80" s="164" t="s">
        <v>193</v>
      </c>
      <c r="C80" s="165">
        <f>-15*F80</f>
        <v>-90</v>
      </c>
      <c r="D80" s="165" t="s">
        <v>115</v>
      </c>
      <c r="E80" s="165" t="s">
        <v>115</v>
      </c>
      <c r="F80" s="165">
        <f>2*1+2*2</f>
        <v>6</v>
      </c>
      <c r="G80" s="165" t="s">
        <v>115</v>
      </c>
      <c r="H80" s="165" t="s">
        <v>115</v>
      </c>
      <c r="I80" s="165">
        <v>1</v>
      </c>
      <c r="J80" s="165">
        <f t="shared" si="19"/>
        <v>-4552.5</v>
      </c>
      <c r="K80" s="118">
        <f t="shared" si="20"/>
        <v>32.5</v>
      </c>
    </row>
    <row r="81" spans="1:11" x14ac:dyDescent="0.25">
      <c r="A81" s="118">
        <f t="shared" si="11"/>
        <v>135</v>
      </c>
      <c r="B81" s="164" t="s">
        <v>194</v>
      </c>
      <c r="C81" s="165">
        <v>0</v>
      </c>
      <c r="D81" s="165" t="s">
        <v>161</v>
      </c>
      <c r="E81" s="165" t="s">
        <v>161</v>
      </c>
      <c r="F81" s="165" t="s">
        <v>161</v>
      </c>
      <c r="G81" s="165" t="s">
        <v>161</v>
      </c>
      <c r="H81" s="165" t="s">
        <v>115</v>
      </c>
      <c r="I81" s="165">
        <v>0</v>
      </c>
      <c r="J81" s="165">
        <f t="shared" si="19"/>
        <v>-4552.5</v>
      </c>
      <c r="K81" s="118">
        <f t="shared" si="20"/>
        <v>32.5</v>
      </c>
    </row>
    <row r="82" spans="1:11" x14ac:dyDescent="0.25">
      <c r="A82" s="118">
        <f t="shared" si="11"/>
        <v>136</v>
      </c>
      <c r="B82" s="164" t="s">
        <v>195</v>
      </c>
      <c r="C82" s="165">
        <v>0</v>
      </c>
      <c r="D82" s="165" t="s">
        <v>115</v>
      </c>
      <c r="E82" s="165" t="s">
        <v>115</v>
      </c>
      <c r="F82" s="165" t="s">
        <v>115</v>
      </c>
      <c r="G82" s="165" t="s">
        <v>115</v>
      </c>
      <c r="H82" s="165" t="s">
        <v>115</v>
      </c>
      <c r="I82" s="165">
        <v>0</v>
      </c>
      <c r="J82" s="165">
        <f t="shared" si="19"/>
        <v>-4552.5</v>
      </c>
      <c r="K82" s="118">
        <f t="shared" si="20"/>
        <v>32.5</v>
      </c>
    </row>
    <row r="83" spans="1:11" x14ac:dyDescent="0.25">
      <c r="A83" s="118">
        <f t="shared" si="11"/>
        <v>137</v>
      </c>
      <c r="B83" s="164" t="s">
        <v>196</v>
      </c>
      <c r="C83" s="165">
        <v>0</v>
      </c>
      <c r="D83" s="165">
        <f>-10*2</f>
        <v>-20</v>
      </c>
      <c r="E83" s="165">
        <f>-10*2</f>
        <v>-20</v>
      </c>
      <c r="F83" s="165">
        <f>-1*2</f>
        <v>-2</v>
      </c>
      <c r="G83" s="165" t="s">
        <v>115</v>
      </c>
      <c r="H83" s="165">
        <f t="shared" ref="H83:H86" si="24">SUM(D83:G83)</f>
        <v>-42</v>
      </c>
      <c r="I83" s="165">
        <v>1</v>
      </c>
      <c r="J83" s="165">
        <f t="shared" ref="J83:J101" si="25">J82+C83</f>
        <v>-4552.5</v>
      </c>
      <c r="K83" s="118">
        <f t="shared" ref="K83:K101" si="26">K82+C83*I83</f>
        <v>32.5</v>
      </c>
    </row>
    <row r="84" spans="1:11" x14ac:dyDescent="0.25">
      <c r="A84" s="118">
        <f t="shared" si="11"/>
        <v>138</v>
      </c>
      <c r="B84" s="164" t="s">
        <v>197</v>
      </c>
      <c r="C84" s="165">
        <v>0</v>
      </c>
      <c r="D84" s="165">
        <f>-3*2</f>
        <v>-6</v>
      </c>
      <c r="E84" s="165">
        <f>-5*2</f>
        <v>-10</v>
      </c>
      <c r="F84" s="165" t="s">
        <v>115</v>
      </c>
      <c r="G84" s="165" t="s">
        <v>115</v>
      </c>
      <c r="H84" s="165">
        <f t="shared" si="24"/>
        <v>-16</v>
      </c>
      <c r="I84" s="165">
        <v>1</v>
      </c>
      <c r="J84" s="165">
        <f t="shared" si="25"/>
        <v>-4552.5</v>
      </c>
      <c r="K84" s="118">
        <f t="shared" si="26"/>
        <v>32.5</v>
      </c>
    </row>
    <row r="85" spans="1:11" x14ac:dyDescent="0.25">
      <c r="A85" s="118">
        <f t="shared" si="11"/>
        <v>139</v>
      </c>
      <c r="B85" s="164" t="s">
        <v>198</v>
      </c>
      <c r="C85" s="165">
        <v>0</v>
      </c>
      <c r="D85" s="165">
        <f>-6*5</f>
        <v>-30</v>
      </c>
      <c r="E85" s="165">
        <f>-4*5</f>
        <v>-20</v>
      </c>
      <c r="F85" s="165">
        <f>-4*5</f>
        <v>-20</v>
      </c>
      <c r="G85" s="165" t="s">
        <v>115</v>
      </c>
      <c r="H85" s="165">
        <f t="shared" si="24"/>
        <v>-70</v>
      </c>
      <c r="I85" s="165">
        <v>1</v>
      </c>
      <c r="J85" s="165">
        <f t="shared" si="25"/>
        <v>-4552.5</v>
      </c>
      <c r="K85" s="118">
        <f t="shared" si="26"/>
        <v>32.5</v>
      </c>
    </row>
    <row r="86" spans="1:11" x14ac:dyDescent="0.25">
      <c r="A86" s="118">
        <f t="shared" si="11"/>
        <v>140</v>
      </c>
      <c r="B86" s="164" t="s">
        <v>199</v>
      </c>
      <c r="C86" s="165">
        <v>0</v>
      </c>
      <c r="D86" s="165">
        <f>-5*5</f>
        <v>-25</v>
      </c>
      <c r="E86" s="165">
        <f>-6*5</f>
        <v>-30</v>
      </c>
      <c r="F86" s="165">
        <f>-3*5</f>
        <v>-15</v>
      </c>
      <c r="G86" s="165" t="s">
        <v>115</v>
      </c>
      <c r="H86" s="165">
        <f t="shared" si="24"/>
        <v>-70</v>
      </c>
      <c r="I86" s="165">
        <v>1</v>
      </c>
      <c r="J86" s="165">
        <f t="shared" si="25"/>
        <v>-4552.5</v>
      </c>
      <c r="K86" s="118">
        <f t="shared" si="26"/>
        <v>32.5</v>
      </c>
    </row>
    <row r="87" spans="1:11" x14ac:dyDescent="0.25">
      <c r="A87" s="118">
        <f t="shared" si="11"/>
        <v>141</v>
      </c>
      <c r="B87" s="164" t="s">
        <v>200</v>
      </c>
      <c r="C87" s="165">
        <v>0</v>
      </c>
      <c r="D87" s="165">
        <v>-200</v>
      </c>
      <c r="E87" s="165">
        <v>-350</v>
      </c>
      <c r="F87" s="165" t="s">
        <v>115</v>
      </c>
      <c r="G87" s="165">
        <f>-(D87+E87)/5</f>
        <v>110</v>
      </c>
      <c r="H87" s="165">
        <v>0</v>
      </c>
      <c r="I87" s="165">
        <v>1</v>
      </c>
      <c r="J87" s="165">
        <f t="shared" si="25"/>
        <v>-4552.5</v>
      </c>
      <c r="K87" s="118">
        <f t="shared" si="26"/>
        <v>32.5</v>
      </c>
    </row>
    <row r="88" spans="1:11" x14ac:dyDescent="0.25">
      <c r="A88" s="118">
        <f t="shared" si="11"/>
        <v>142</v>
      </c>
      <c r="B88" s="164" t="s">
        <v>201</v>
      </c>
      <c r="C88" s="165">
        <v>0</v>
      </c>
      <c r="D88" s="165" t="s">
        <v>115</v>
      </c>
      <c r="E88" s="165" t="s">
        <v>115</v>
      </c>
      <c r="F88" s="165" t="s">
        <v>115</v>
      </c>
      <c r="G88" s="165">
        <v>-40</v>
      </c>
      <c r="H88" s="165">
        <f t="shared" ref="H88:H89" si="27">SUM(D88:G88)</f>
        <v>-40</v>
      </c>
      <c r="I88" s="165">
        <v>1</v>
      </c>
      <c r="J88" s="165">
        <f t="shared" si="25"/>
        <v>-4552.5</v>
      </c>
      <c r="K88" s="118">
        <f t="shared" si="26"/>
        <v>32.5</v>
      </c>
    </row>
    <row r="89" spans="1:11" x14ac:dyDescent="0.25">
      <c r="A89" s="118">
        <f t="shared" si="11"/>
        <v>143</v>
      </c>
      <c r="B89" s="164" t="s">
        <v>202</v>
      </c>
      <c r="C89" s="165">
        <v>0</v>
      </c>
      <c r="D89" s="165" t="s">
        <v>115</v>
      </c>
      <c r="E89" s="165" t="s">
        <v>115</v>
      </c>
      <c r="F89" s="165" t="s">
        <v>115</v>
      </c>
      <c r="G89" s="165" t="s">
        <v>115</v>
      </c>
      <c r="H89" s="165">
        <f t="shared" si="27"/>
        <v>0</v>
      </c>
      <c r="I89" s="165">
        <v>1</v>
      </c>
      <c r="J89" s="165">
        <f t="shared" si="25"/>
        <v>-4552.5</v>
      </c>
      <c r="K89" s="118">
        <f t="shared" si="26"/>
        <v>32.5</v>
      </c>
    </row>
    <row r="90" spans="1:11" x14ac:dyDescent="0.25">
      <c r="A90" s="118">
        <f t="shared" si="11"/>
        <v>144</v>
      </c>
      <c r="B90" s="164" t="s">
        <v>203</v>
      </c>
      <c r="C90" s="165">
        <v>-22</v>
      </c>
      <c r="D90" s="165" t="s">
        <v>115</v>
      </c>
      <c r="E90" s="165" t="s">
        <v>115</v>
      </c>
      <c r="F90" s="165" t="s">
        <v>115</v>
      </c>
      <c r="G90" s="165" t="s">
        <v>115</v>
      </c>
      <c r="H90" s="165">
        <f t="shared" ref="H90:H101" si="28">SUM(D90:G90)</f>
        <v>0</v>
      </c>
      <c r="I90" s="165">
        <v>1</v>
      </c>
      <c r="J90" s="165">
        <f t="shared" si="25"/>
        <v>-4574.5</v>
      </c>
      <c r="K90" s="118">
        <f t="shared" si="26"/>
        <v>10.5</v>
      </c>
    </row>
    <row r="91" spans="1:11" x14ac:dyDescent="0.25">
      <c r="A91" s="118">
        <f t="shared" si="11"/>
        <v>145</v>
      </c>
      <c r="B91" s="92" t="s">
        <v>204</v>
      </c>
      <c r="C91" s="118">
        <v>5000</v>
      </c>
      <c r="D91" s="118" t="s">
        <v>115</v>
      </c>
      <c r="E91" s="118" t="s">
        <v>115</v>
      </c>
      <c r="F91" s="118" t="s">
        <v>115</v>
      </c>
      <c r="G91" s="118" t="s">
        <v>115</v>
      </c>
      <c r="H91" s="118">
        <f t="shared" si="28"/>
        <v>0</v>
      </c>
      <c r="I91" s="118">
        <v>1</v>
      </c>
      <c r="J91" s="118">
        <f t="shared" si="25"/>
        <v>425.5</v>
      </c>
      <c r="K91" s="118">
        <f t="shared" si="26"/>
        <v>5010.5</v>
      </c>
    </row>
    <row r="92" spans="1:11" x14ac:dyDescent="0.25">
      <c r="A92" s="118">
        <f t="shared" si="11"/>
        <v>146</v>
      </c>
      <c r="B92" s="92" t="s">
        <v>205</v>
      </c>
      <c r="C92" s="118">
        <v>-20</v>
      </c>
      <c r="D92" s="118" t="s">
        <v>115</v>
      </c>
      <c r="E92" s="118" t="s">
        <v>115</v>
      </c>
      <c r="F92" s="118" t="s">
        <v>115</v>
      </c>
      <c r="G92" s="118" t="s">
        <v>115</v>
      </c>
      <c r="H92" s="118">
        <f t="shared" si="28"/>
        <v>0</v>
      </c>
      <c r="I92" s="118">
        <v>1</v>
      </c>
      <c r="J92" s="118">
        <f t="shared" si="25"/>
        <v>405.5</v>
      </c>
      <c r="K92" s="118">
        <f t="shared" si="26"/>
        <v>4990.5</v>
      </c>
    </row>
    <row r="93" spans="1:11" x14ac:dyDescent="0.25">
      <c r="A93" s="118">
        <f t="shared" si="11"/>
        <v>147</v>
      </c>
      <c r="B93" s="95" t="s">
        <v>206</v>
      </c>
      <c r="C93" s="121">
        <v>0</v>
      </c>
      <c r="D93" s="121" t="s">
        <v>115</v>
      </c>
      <c r="E93" s="121" t="s">
        <v>115</v>
      </c>
      <c r="F93" s="121" t="s">
        <v>115</v>
      </c>
      <c r="G93" s="121" t="s">
        <v>115</v>
      </c>
      <c r="H93" s="121">
        <f t="shared" si="28"/>
        <v>0</v>
      </c>
      <c r="I93" s="121">
        <v>0</v>
      </c>
      <c r="J93" s="118">
        <f t="shared" si="25"/>
        <v>405.5</v>
      </c>
      <c r="K93" s="118">
        <f t="shared" si="26"/>
        <v>4990.5</v>
      </c>
    </row>
    <row r="94" spans="1:11" x14ac:dyDescent="0.25">
      <c r="A94" s="118">
        <f t="shared" si="11"/>
        <v>148</v>
      </c>
      <c r="B94" s="95" t="s">
        <v>207</v>
      </c>
      <c r="C94" s="121">
        <v>0</v>
      </c>
      <c r="D94" s="121" t="s">
        <v>115</v>
      </c>
      <c r="E94" s="121" t="s">
        <v>115</v>
      </c>
      <c r="F94" s="121" t="s">
        <v>115</v>
      </c>
      <c r="G94" s="121" t="s">
        <v>115</v>
      </c>
      <c r="H94" s="121">
        <f t="shared" si="28"/>
        <v>0</v>
      </c>
      <c r="I94" s="121">
        <v>0</v>
      </c>
      <c r="J94" s="118">
        <f t="shared" si="25"/>
        <v>405.5</v>
      </c>
      <c r="K94" s="118">
        <f t="shared" si="26"/>
        <v>4990.5</v>
      </c>
    </row>
    <row r="95" spans="1:11" x14ac:dyDescent="0.25">
      <c r="A95" s="118">
        <f t="shared" si="11"/>
        <v>149</v>
      </c>
      <c r="B95" s="95" t="s">
        <v>208</v>
      </c>
      <c r="C95" s="121">
        <v>0</v>
      </c>
      <c r="D95" s="121" t="s">
        <v>115</v>
      </c>
      <c r="E95" s="121" t="s">
        <v>115</v>
      </c>
      <c r="F95" s="121" t="s">
        <v>115</v>
      </c>
      <c r="G95" s="121" t="s">
        <v>115</v>
      </c>
      <c r="H95" s="121">
        <f t="shared" si="28"/>
        <v>0</v>
      </c>
      <c r="I95" s="121">
        <v>0</v>
      </c>
      <c r="J95" s="118">
        <f t="shared" si="25"/>
        <v>405.5</v>
      </c>
      <c r="K95" s="118">
        <f t="shared" si="26"/>
        <v>4990.5</v>
      </c>
    </row>
    <row r="96" spans="1:11" x14ac:dyDescent="0.25">
      <c r="A96" s="118">
        <f t="shared" si="11"/>
        <v>150</v>
      </c>
      <c r="B96" s="92" t="s">
        <v>209</v>
      </c>
      <c r="C96" s="118">
        <v>3000</v>
      </c>
      <c r="D96" s="118" t="s">
        <v>115</v>
      </c>
      <c r="E96" s="118" t="s">
        <v>115</v>
      </c>
      <c r="F96" s="118" t="s">
        <v>115</v>
      </c>
      <c r="G96" s="118" t="s">
        <v>115</v>
      </c>
      <c r="H96" s="118">
        <f t="shared" si="28"/>
        <v>0</v>
      </c>
      <c r="I96" s="118">
        <v>1</v>
      </c>
      <c r="J96" s="118">
        <f t="shared" si="25"/>
        <v>3405.5</v>
      </c>
      <c r="K96" s="118">
        <f t="shared" si="26"/>
        <v>7990.5</v>
      </c>
    </row>
    <row r="97" spans="1:11" x14ac:dyDescent="0.25">
      <c r="A97" s="118">
        <f t="shared" si="11"/>
        <v>151</v>
      </c>
      <c r="B97" s="92" t="s">
        <v>210</v>
      </c>
      <c r="C97" s="118">
        <v>1500</v>
      </c>
      <c r="D97" s="118" t="s">
        <v>115</v>
      </c>
      <c r="E97" s="118" t="s">
        <v>115</v>
      </c>
      <c r="F97" s="118" t="s">
        <v>115</v>
      </c>
      <c r="G97" s="118" t="s">
        <v>115</v>
      </c>
      <c r="H97" s="118">
        <f t="shared" si="28"/>
        <v>0</v>
      </c>
      <c r="I97" s="118">
        <v>1</v>
      </c>
      <c r="J97" s="118">
        <f t="shared" si="25"/>
        <v>4905.5</v>
      </c>
      <c r="K97" s="118">
        <f t="shared" si="26"/>
        <v>9490.5</v>
      </c>
    </row>
    <row r="98" spans="1:11" x14ac:dyDescent="0.25">
      <c r="A98" s="118">
        <f t="shared" si="11"/>
        <v>152</v>
      </c>
      <c r="C98" s="118"/>
      <c r="D98" s="118"/>
      <c r="E98" s="118"/>
      <c r="F98" s="118"/>
      <c r="G98" s="118"/>
      <c r="H98" s="118">
        <f t="shared" si="28"/>
        <v>0</v>
      </c>
      <c r="I98" s="118"/>
      <c r="J98" s="118">
        <f t="shared" si="25"/>
        <v>4905.5</v>
      </c>
      <c r="K98" s="118">
        <f t="shared" si="26"/>
        <v>9490.5</v>
      </c>
    </row>
    <row r="99" spans="1:11" x14ac:dyDescent="0.25">
      <c r="A99" s="118">
        <f t="shared" si="11"/>
        <v>153</v>
      </c>
      <c r="C99" s="118"/>
      <c r="D99" s="118"/>
      <c r="E99" s="118"/>
      <c r="F99" s="118"/>
      <c r="G99" s="118"/>
      <c r="H99" s="118">
        <f t="shared" si="28"/>
        <v>0</v>
      </c>
      <c r="I99" s="118"/>
      <c r="J99" s="118">
        <f t="shared" si="25"/>
        <v>4905.5</v>
      </c>
      <c r="K99" s="118">
        <f t="shared" si="26"/>
        <v>9490.5</v>
      </c>
    </row>
    <row r="100" spans="1:11" x14ac:dyDescent="0.25">
      <c r="A100" s="118">
        <f t="shared" si="11"/>
        <v>154</v>
      </c>
      <c r="C100" s="118"/>
      <c r="D100" s="118"/>
      <c r="E100" s="118"/>
      <c r="F100" s="118"/>
      <c r="G100" s="118"/>
      <c r="H100" s="118">
        <f t="shared" si="28"/>
        <v>0</v>
      </c>
      <c r="I100" s="118"/>
      <c r="J100" s="118">
        <f t="shared" si="25"/>
        <v>4905.5</v>
      </c>
      <c r="K100" s="118">
        <f t="shared" si="26"/>
        <v>9490.5</v>
      </c>
    </row>
    <row r="101" spans="1:11" x14ac:dyDescent="0.25">
      <c r="A101" s="118">
        <f t="shared" si="11"/>
        <v>155</v>
      </c>
      <c r="C101" s="118"/>
      <c r="D101" s="118"/>
      <c r="E101" s="118"/>
      <c r="F101" s="118"/>
      <c r="G101" s="118"/>
      <c r="H101" s="118">
        <f t="shared" si="28"/>
        <v>0</v>
      </c>
      <c r="I101" s="118"/>
      <c r="J101" s="118">
        <f t="shared" si="25"/>
        <v>4905.5</v>
      </c>
      <c r="K101" s="118">
        <f t="shared" si="26"/>
        <v>9490.5</v>
      </c>
    </row>
    <row r="102" spans="1:11" x14ac:dyDescent="0.25">
      <c r="A102" s="118" t="s">
        <v>211</v>
      </c>
      <c r="B102" s="92" t="s">
        <v>212</v>
      </c>
      <c r="C102" s="118" t="s">
        <v>213</v>
      </c>
      <c r="D102" s="118">
        <f>SUM(D3:D101)</f>
        <v>27</v>
      </c>
      <c r="E102" s="118">
        <f>SUM(E3:E101)</f>
        <v>204</v>
      </c>
      <c r="F102" s="118">
        <f>SUM(F3:F101)</f>
        <v>29</v>
      </c>
      <c r="G102" s="118">
        <f>SUM(G3:G101)</f>
        <v>117</v>
      </c>
      <c r="H102" s="118">
        <f>SUM(H3:H101)</f>
        <v>-1045</v>
      </c>
      <c r="I102" s="118"/>
      <c r="J102" s="118">
        <f>J101</f>
        <v>4905.5</v>
      </c>
      <c r="K102" s="118">
        <f>K101</f>
        <v>9490.5</v>
      </c>
    </row>
  </sheetData>
  <mergeCells count="4">
    <mergeCell ref="J1:K1"/>
    <mergeCell ref="B1:B2"/>
    <mergeCell ref="A1:A2"/>
    <mergeCell ref="C1:H1"/>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9"/>
  <sheetViews>
    <sheetView topLeftCell="A118" workbookViewId="0">
      <selection activeCell="D63" sqref="D63"/>
    </sheetView>
  </sheetViews>
  <sheetFormatPr defaultRowHeight="15" x14ac:dyDescent="0.25"/>
  <cols>
    <col min="1" max="1" width="39.5703125" customWidth="1"/>
    <col min="4" max="4" width="10.28515625" customWidth="1"/>
  </cols>
  <sheetData>
    <row r="1" spans="1:4" x14ac:dyDescent="0.25">
      <c r="A1" s="108" t="s">
        <v>0</v>
      </c>
      <c r="B1" s="108" t="s">
        <v>342</v>
      </c>
      <c r="C1" s="108" t="s">
        <v>343</v>
      </c>
      <c r="D1" s="108" t="s">
        <v>3</v>
      </c>
    </row>
    <row r="2" spans="1:4" x14ac:dyDescent="0.25">
      <c r="A2" t="s">
        <v>344</v>
      </c>
    </row>
    <row r="3" spans="1:4" x14ac:dyDescent="0.25">
      <c r="A3" s="106" t="s">
        <v>345</v>
      </c>
      <c r="B3" s="106"/>
      <c r="C3" s="106"/>
      <c r="D3" s="106"/>
    </row>
    <row r="4" spans="1:4" x14ac:dyDescent="0.25">
      <c r="A4" t="s">
        <v>346</v>
      </c>
    </row>
    <row r="5" spans="1:4" x14ac:dyDescent="0.25">
      <c r="A5" t="s">
        <v>347</v>
      </c>
    </row>
    <row r="6" spans="1:4" x14ac:dyDescent="0.25">
      <c r="A6" t="s">
        <v>348</v>
      </c>
    </row>
    <row r="7" spans="1:4" x14ac:dyDescent="0.25">
      <c r="A7" t="s">
        <v>349</v>
      </c>
      <c r="B7">
        <v>2</v>
      </c>
    </row>
    <row r="8" spans="1:4" x14ac:dyDescent="0.25">
      <c r="A8" t="s">
        <v>350</v>
      </c>
    </row>
    <row r="9" spans="1:4" x14ac:dyDescent="0.25">
      <c r="A9" t="s">
        <v>351</v>
      </c>
    </row>
    <row r="10" spans="1:4" x14ac:dyDescent="0.25">
      <c r="A10" t="s">
        <v>352</v>
      </c>
    </row>
    <row r="11" spans="1:4" x14ac:dyDescent="0.25">
      <c r="A11" t="s">
        <v>353</v>
      </c>
    </row>
    <row r="12" spans="1:4" x14ac:dyDescent="0.25">
      <c r="A12" t="s">
        <v>354</v>
      </c>
      <c r="B12">
        <v>3</v>
      </c>
    </row>
    <row r="13" spans="1:4" x14ac:dyDescent="0.25">
      <c r="A13" t="s">
        <v>355</v>
      </c>
    </row>
    <row r="14" spans="1:4" x14ac:dyDescent="0.25">
      <c r="A14" t="s">
        <v>356</v>
      </c>
    </row>
    <row r="15" spans="1:4" x14ac:dyDescent="0.25">
      <c r="A15" t="s">
        <v>357</v>
      </c>
    </row>
    <row r="16" spans="1:4" x14ac:dyDescent="0.25">
      <c r="A16" t="s">
        <v>358</v>
      </c>
    </row>
    <row r="17" spans="1:2" x14ac:dyDescent="0.25">
      <c r="A17" t="s">
        <v>359</v>
      </c>
      <c r="B17">
        <v>5</v>
      </c>
    </row>
    <row r="18" spans="1:2" x14ac:dyDescent="0.25">
      <c r="A18" t="s">
        <v>360</v>
      </c>
      <c r="B18">
        <v>10</v>
      </c>
    </row>
    <row r="19" spans="1:2" x14ac:dyDescent="0.25">
      <c r="A19" t="s">
        <v>361</v>
      </c>
    </row>
    <row r="20" spans="1:2" x14ac:dyDescent="0.25">
      <c r="A20" t="s">
        <v>362</v>
      </c>
    </row>
    <row r="21" spans="1:2" x14ac:dyDescent="0.25">
      <c r="A21" t="s">
        <v>363</v>
      </c>
      <c r="B21">
        <v>10</v>
      </c>
    </row>
    <row r="22" spans="1:2" x14ac:dyDescent="0.25">
      <c r="A22" t="s">
        <v>364</v>
      </c>
      <c r="B22">
        <v>5</v>
      </c>
    </row>
    <row r="23" spans="1:2" x14ac:dyDescent="0.25">
      <c r="A23" t="s">
        <v>365</v>
      </c>
    </row>
    <row r="24" spans="1:2" x14ac:dyDescent="0.25">
      <c r="A24" t="s">
        <v>366</v>
      </c>
      <c r="B24">
        <v>2</v>
      </c>
    </row>
    <row r="25" spans="1:2" x14ac:dyDescent="0.25">
      <c r="A25" t="s">
        <v>367</v>
      </c>
      <c r="B25">
        <v>10</v>
      </c>
    </row>
    <row r="26" spans="1:2" x14ac:dyDescent="0.25">
      <c r="A26" t="s">
        <v>368</v>
      </c>
      <c r="B26">
        <v>11</v>
      </c>
    </row>
    <row r="27" spans="1:2" x14ac:dyDescent="0.25">
      <c r="A27" t="s">
        <v>369</v>
      </c>
      <c r="B27">
        <v>12</v>
      </c>
    </row>
    <row r="28" spans="1:2" x14ac:dyDescent="0.25">
      <c r="A28" t="s">
        <v>370</v>
      </c>
      <c r="B28">
        <v>12</v>
      </c>
    </row>
    <row r="29" spans="1:2" x14ac:dyDescent="0.25">
      <c r="A29" t="s">
        <v>371</v>
      </c>
      <c r="B29">
        <v>12</v>
      </c>
    </row>
    <row r="30" spans="1:2" x14ac:dyDescent="0.25">
      <c r="A30" t="s">
        <v>372</v>
      </c>
      <c r="B30">
        <v>13</v>
      </c>
    </row>
    <row r="31" spans="1:2" x14ac:dyDescent="0.25">
      <c r="A31" t="s">
        <v>373</v>
      </c>
      <c r="B31">
        <v>60</v>
      </c>
    </row>
    <row r="32" spans="1:2" x14ac:dyDescent="0.25">
      <c r="A32" t="s">
        <v>374</v>
      </c>
      <c r="B32">
        <v>14</v>
      </c>
    </row>
    <row r="33" spans="1:4" x14ac:dyDescent="0.25">
      <c r="A33" t="s">
        <v>375</v>
      </c>
      <c r="B33">
        <v>61</v>
      </c>
    </row>
    <row r="34" spans="1:4" x14ac:dyDescent="0.25">
      <c r="A34" t="s">
        <v>376</v>
      </c>
      <c r="B34">
        <v>13</v>
      </c>
    </row>
    <row r="35" spans="1:4" x14ac:dyDescent="0.25">
      <c r="A35" t="s">
        <v>377</v>
      </c>
    </row>
    <row r="38" spans="1:4" x14ac:dyDescent="0.25">
      <c r="A38" s="106" t="s">
        <v>378</v>
      </c>
      <c r="B38" s="106"/>
      <c r="C38" s="106"/>
      <c r="D38" s="106"/>
    </row>
    <row r="39" spans="1:4" x14ac:dyDescent="0.25">
      <c r="A39" t="s">
        <v>379</v>
      </c>
    </row>
    <row r="40" spans="1:4" x14ac:dyDescent="0.25">
      <c r="A40" t="s">
        <v>380</v>
      </c>
    </row>
    <row r="43" spans="1:4" x14ac:dyDescent="0.25">
      <c r="A43" t="s">
        <v>384</v>
      </c>
    </row>
    <row r="44" spans="1:4" x14ac:dyDescent="0.25">
      <c r="A44" s="108" t="s">
        <v>385</v>
      </c>
      <c r="B44" s="108"/>
    </row>
    <row r="46" spans="1:4" x14ac:dyDescent="0.25">
      <c r="A46" t="s">
        <v>386</v>
      </c>
      <c r="B46">
        <v>12</v>
      </c>
    </row>
    <row r="47" spans="1:4" x14ac:dyDescent="0.25">
      <c r="A47" t="s">
        <v>387</v>
      </c>
    </row>
    <row r="49" spans="1:2" x14ac:dyDescent="0.25">
      <c r="A49" t="s">
        <v>389</v>
      </c>
    </row>
    <row r="50" spans="1:2" x14ac:dyDescent="0.25">
      <c r="A50" t="s">
        <v>390</v>
      </c>
    </row>
    <row r="51" spans="1:2" x14ac:dyDescent="0.25">
      <c r="A51" t="s">
        <v>391</v>
      </c>
    </row>
    <row r="55" spans="1:2" x14ac:dyDescent="0.25">
      <c r="A55" s="108"/>
      <c r="B55" s="108"/>
    </row>
    <row r="56" spans="1:2" x14ac:dyDescent="0.25">
      <c r="A56" s="110" t="s">
        <v>395</v>
      </c>
      <c r="B56" t="s">
        <v>396</v>
      </c>
    </row>
    <row r="57" spans="1:2" x14ac:dyDescent="0.25">
      <c r="A57" t="s">
        <v>397</v>
      </c>
    </row>
    <row r="58" spans="1:2" x14ac:dyDescent="0.25">
      <c r="A58" t="s">
        <v>398</v>
      </c>
    </row>
    <row r="60" spans="1:2" x14ac:dyDescent="0.25">
      <c r="A60" t="s">
        <v>400</v>
      </c>
    </row>
    <row r="61" spans="1:2" x14ac:dyDescent="0.25">
      <c r="A61" s="110" t="s">
        <v>401</v>
      </c>
      <c r="B61" t="s">
        <v>396</v>
      </c>
    </row>
    <row r="66" spans="1:2" x14ac:dyDescent="0.25">
      <c r="A66" s="108" t="s">
        <v>404</v>
      </c>
      <c r="B66" s="108"/>
    </row>
    <row r="67" spans="1:2" x14ac:dyDescent="0.25">
      <c r="A67" t="s">
        <v>405</v>
      </c>
    </row>
    <row r="68" spans="1:2" x14ac:dyDescent="0.25">
      <c r="A68" s="108" t="s">
        <v>406</v>
      </c>
      <c r="B68" s="108"/>
    </row>
    <row r="69" spans="1:2" x14ac:dyDescent="0.25">
      <c r="A69" s="108" t="s">
        <v>407</v>
      </c>
      <c r="B69" s="108"/>
    </row>
    <row r="70" spans="1:2" x14ac:dyDescent="0.25">
      <c r="A70" s="108" t="s">
        <v>408</v>
      </c>
      <c r="B70" s="108"/>
    </row>
    <row r="71" spans="1:2" x14ac:dyDescent="0.25">
      <c r="A71" s="110" t="s">
        <v>409</v>
      </c>
      <c r="B71" t="s">
        <v>396</v>
      </c>
    </row>
    <row r="74" spans="1:2" x14ac:dyDescent="0.25">
      <c r="A74" t="s">
        <v>412</v>
      </c>
    </row>
    <row r="75" spans="1:2" x14ac:dyDescent="0.25">
      <c r="A75" s="108" t="s">
        <v>413</v>
      </c>
      <c r="B75" s="108"/>
    </row>
    <row r="76" spans="1:2" x14ac:dyDescent="0.25">
      <c r="A76" t="s">
        <v>414</v>
      </c>
    </row>
    <row r="78" spans="1:2" x14ac:dyDescent="0.25">
      <c r="A78" s="110" t="s">
        <v>415</v>
      </c>
      <c r="B78" s="113" t="s">
        <v>416</v>
      </c>
    </row>
    <row r="79" spans="1:2" x14ac:dyDescent="0.25">
      <c r="A79" s="108" t="s">
        <v>417</v>
      </c>
      <c r="B79" s="108"/>
    </row>
    <row r="83" spans="1:4" x14ac:dyDescent="0.25">
      <c r="A83" s="106" t="s">
        <v>419</v>
      </c>
      <c r="B83" s="106"/>
      <c r="C83" s="106"/>
      <c r="D83" s="106"/>
    </row>
    <row r="84" spans="1:4" x14ac:dyDescent="0.25">
      <c r="A84" t="s">
        <v>420</v>
      </c>
    </row>
    <row r="85" spans="1:4" x14ac:dyDescent="0.25">
      <c r="A85" t="s">
        <v>421</v>
      </c>
      <c r="B85">
        <v>2</v>
      </c>
    </row>
    <row r="86" spans="1:4" x14ac:dyDescent="0.25">
      <c r="A86" t="s">
        <v>422</v>
      </c>
    </row>
    <row r="87" spans="1:4" x14ac:dyDescent="0.25">
      <c r="A87" s="110" t="s">
        <v>423</v>
      </c>
      <c r="B87">
        <v>11</v>
      </c>
      <c r="C87" t="s">
        <v>424</v>
      </c>
    </row>
    <row r="88" spans="1:4" x14ac:dyDescent="0.25">
      <c r="A88" t="s">
        <v>425</v>
      </c>
      <c r="B88">
        <v>2</v>
      </c>
    </row>
    <row r="90" spans="1:4" x14ac:dyDescent="0.25">
      <c r="A90" t="s">
        <v>427</v>
      </c>
      <c r="B90">
        <v>10</v>
      </c>
    </row>
    <row r="92" spans="1:4" x14ac:dyDescent="0.25">
      <c r="A92" t="s">
        <v>428</v>
      </c>
      <c r="B92">
        <v>50</v>
      </c>
    </row>
    <row r="93" spans="1:4" x14ac:dyDescent="0.25">
      <c r="A93" s="110" t="s">
        <v>429</v>
      </c>
      <c r="C93" t="s">
        <v>430</v>
      </c>
    </row>
    <row r="94" spans="1:4" x14ac:dyDescent="0.25">
      <c r="A94" t="s">
        <v>431</v>
      </c>
    </row>
    <row r="95" spans="1:4" x14ac:dyDescent="0.25">
      <c r="A95" t="s">
        <v>432</v>
      </c>
    </row>
    <row r="96" spans="1:4" x14ac:dyDescent="0.25">
      <c r="A96" t="s">
        <v>433</v>
      </c>
      <c r="B96">
        <v>920</v>
      </c>
    </row>
    <row r="97" spans="1:4" x14ac:dyDescent="0.25">
      <c r="A97" t="s">
        <v>434</v>
      </c>
    </row>
    <row r="98" spans="1:4" x14ac:dyDescent="0.25">
      <c r="A98" t="s">
        <v>435</v>
      </c>
    </row>
    <row r="99" spans="1:4" x14ac:dyDescent="0.25">
      <c r="A99" t="s">
        <v>436</v>
      </c>
    </row>
    <row r="102" spans="1:4" x14ac:dyDescent="0.25">
      <c r="A102" s="106" t="s">
        <v>437</v>
      </c>
      <c r="B102" s="106"/>
      <c r="C102" s="106"/>
      <c r="D102" s="106"/>
    </row>
    <row r="103" spans="1:4" x14ac:dyDescent="0.25">
      <c r="A103" t="s">
        <v>438</v>
      </c>
    </row>
    <row r="104" spans="1:4" x14ac:dyDescent="0.25">
      <c r="A104" t="s">
        <v>439</v>
      </c>
    </row>
    <row r="105" spans="1:4" x14ac:dyDescent="0.25">
      <c r="A105" t="s">
        <v>440</v>
      </c>
      <c r="B105">
        <v>2</v>
      </c>
    </row>
    <row r="106" spans="1:4" x14ac:dyDescent="0.25">
      <c r="A106" t="s">
        <v>441</v>
      </c>
    </row>
    <row r="107" spans="1:4" x14ac:dyDescent="0.25">
      <c r="A107" t="s">
        <v>442</v>
      </c>
      <c r="B107">
        <v>12</v>
      </c>
    </row>
    <row r="108" spans="1:4" x14ac:dyDescent="0.25">
      <c r="A108" t="s">
        <v>443</v>
      </c>
    </row>
    <row r="109" spans="1:4" x14ac:dyDescent="0.25">
      <c r="A109" t="s">
        <v>444</v>
      </c>
      <c r="B109">
        <v>4</v>
      </c>
    </row>
    <row r="110" spans="1:4" x14ac:dyDescent="0.25">
      <c r="A110" t="s">
        <v>445</v>
      </c>
      <c r="B110">
        <v>5</v>
      </c>
    </row>
    <row r="111" spans="1:4" x14ac:dyDescent="0.25">
      <c r="A111" t="s">
        <v>446</v>
      </c>
      <c r="B111">
        <v>5</v>
      </c>
    </row>
    <row r="112" spans="1:4" x14ac:dyDescent="0.25">
      <c r="A112" t="s">
        <v>447</v>
      </c>
    </row>
    <row r="113" spans="1:12" x14ac:dyDescent="0.25">
      <c r="A113" t="s">
        <v>448</v>
      </c>
    </row>
    <row r="118" spans="1:12" x14ac:dyDescent="0.25">
      <c r="A118" s="106" t="s">
        <v>449</v>
      </c>
      <c r="B118" s="106"/>
      <c r="C118" s="106"/>
      <c r="D118" s="106"/>
    </row>
    <row r="119" spans="1:12" x14ac:dyDescent="0.25">
      <c r="A119" t="s">
        <v>450</v>
      </c>
    </row>
    <row r="120" spans="1:12" x14ac:dyDescent="0.25">
      <c r="A120" t="s">
        <v>451</v>
      </c>
      <c r="B120">
        <v>2</v>
      </c>
    </row>
    <row r="121" spans="1:12" x14ac:dyDescent="0.25">
      <c r="A121" t="s">
        <v>452</v>
      </c>
      <c r="B121">
        <v>1</v>
      </c>
    </row>
    <row r="122" spans="1:12" x14ac:dyDescent="0.25">
      <c r="A122" t="s">
        <v>453</v>
      </c>
      <c r="B122">
        <v>4</v>
      </c>
    </row>
    <row r="123" spans="1:12" x14ac:dyDescent="0.25">
      <c r="A123" t="s">
        <v>454</v>
      </c>
    </row>
    <row r="126" spans="1:12" x14ac:dyDescent="0.25">
      <c r="A126" s="106" t="s">
        <v>455</v>
      </c>
      <c r="B126" s="106"/>
      <c r="C126" s="106"/>
      <c r="D126" s="106"/>
    </row>
    <row r="127" spans="1:12" x14ac:dyDescent="0.25">
      <c r="A127" s="108" t="s">
        <v>456</v>
      </c>
      <c r="B127" s="108">
        <v>2</v>
      </c>
      <c r="H127" s="108" t="s">
        <v>456</v>
      </c>
      <c r="I127" s="108">
        <v>2</v>
      </c>
      <c r="J127">
        <v>300</v>
      </c>
      <c r="K127">
        <v>10</v>
      </c>
      <c r="L127">
        <f>I127*J127+K127</f>
        <v>610</v>
      </c>
    </row>
    <row r="128" spans="1:12" x14ac:dyDescent="0.25">
      <c r="A128" s="108" t="s">
        <v>457</v>
      </c>
      <c r="B128" s="108"/>
      <c r="H128" s="108" t="s">
        <v>457</v>
      </c>
      <c r="I128" s="108">
        <v>1</v>
      </c>
      <c r="J128">
        <v>300</v>
      </c>
      <c r="K128">
        <v>8</v>
      </c>
      <c r="L128">
        <f t="shared" ref="L128:L144" si="0">I128*J128+K128</f>
        <v>308</v>
      </c>
    </row>
    <row r="129" spans="1:12" x14ac:dyDescent="0.25">
      <c r="A129" s="108" t="s">
        <v>458</v>
      </c>
      <c r="B129" s="108"/>
      <c r="H129" s="108" t="s">
        <v>458</v>
      </c>
      <c r="I129" s="108">
        <v>1</v>
      </c>
      <c r="J129">
        <v>150</v>
      </c>
      <c r="L129">
        <f t="shared" si="0"/>
        <v>150</v>
      </c>
    </row>
    <row r="130" spans="1:12" x14ac:dyDescent="0.25">
      <c r="A130" s="108" t="s">
        <v>459</v>
      </c>
      <c r="B130" s="108"/>
      <c r="H130" s="108" t="s">
        <v>459</v>
      </c>
      <c r="I130" s="108">
        <v>1</v>
      </c>
      <c r="J130">
        <v>300</v>
      </c>
      <c r="K130">
        <v>1</v>
      </c>
      <c r="L130">
        <f t="shared" si="0"/>
        <v>301</v>
      </c>
    </row>
    <row r="131" spans="1:12" x14ac:dyDescent="0.25">
      <c r="A131" s="108" t="s">
        <v>460</v>
      </c>
      <c r="B131" s="108"/>
      <c r="H131" s="108" t="s">
        <v>460</v>
      </c>
      <c r="I131" s="108">
        <v>1</v>
      </c>
      <c r="J131">
        <v>300</v>
      </c>
      <c r="K131">
        <v>35</v>
      </c>
      <c r="L131">
        <f t="shared" si="0"/>
        <v>335</v>
      </c>
    </row>
    <row r="132" spans="1:12" x14ac:dyDescent="0.25">
      <c r="A132" s="108" t="s">
        <v>461</v>
      </c>
      <c r="B132" s="108"/>
      <c r="H132" s="108" t="s">
        <v>461</v>
      </c>
      <c r="I132" s="108">
        <v>1</v>
      </c>
      <c r="J132">
        <v>150</v>
      </c>
      <c r="K132">
        <v>25</v>
      </c>
      <c r="L132">
        <f t="shared" si="0"/>
        <v>175</v>
      </c>
    </row>
    <row r="133" spans="1:12" x14ac:dyDescent="0.25">
      <c r="A133" s="108" t="s">
        <v>462</v>
      </c>
      <c r="B133" s="108">
        <v>20</v>
      </c>
      <c r="H133" s="108" t="s">
        <v>462</v>
      </c>
      <c r="I133" s="108">
        <v>20</v>
      </c>
      <c r="J133">
        <v>0</v>
      </c>
      <c r="K133">
        <v>1</v>
      </c>
      <c r="L133">
        <f t="shared" si="0"/>
        <v>1</v>
      </c>
    </row>
    <row r="134" spans="1:12" x14ac:dyDescent="0.25">
      <c r="A134" s="108" t="s">
        <v>463</v>
      </c>
      <c r="B134" s="108">
        <v>8</v>
      </c>
      <c r="H134" s="108" t="s">
        <v>463</v>
      </c>
      <c r="I134" s="108">
        <v>8</v>
      </c>
      <c r="J134">
        <v>0</v>
      </c>
      <c r="K134">
        <v>2</v>
      </c>
      <c r="L134">
        <f t="shared" si="0"/>
        <v>2</v>
      </c>
    </row>
    <row r="135" spans="1:12" x14ac:dyDescent="0.25">
      <c r="A135" s="108" t="s">
        <v>464</v>
      </c>
      <c r="B135" s="108">
        <v>3</v>
      </c>
      <c r="H135" s="108" t="s">
        <v>464</v>
      </c>
      <c r="I135" s="108">
        <v>3</v>
      </c>
      <c r="J135">
        <v>0</v>
      </c>
      <c r="K135">
        <v>30</v>
      </c>
      <c r="L135">
        <f t="shared" si="0"/>
        <v>30</v>
      </c>
    </row>
    <row r="136" spans="1:12" x14ac:dyDescent="0.25">
      <c r="A136" s="108" t="s">
        <v>465</v>
      </c>
      <c r="B136" s="108">
        <v>16</v>
      </c>
      <c r="H136" s="108" t="s">
        <v>465</v>
      </c>
      <c r="I136" s="108">
        <v>16</v>
      </c>
      <c r="J136">
        <v>0</v>
      </c>
      <c r="K136">
        <v>1</v>
      </c>
      <c r="L136">
        <f t="shared" si="0"/>
        <v>1</v>
      </c>
    </row>
    <row r="137" spans="1:12" x14ac:dyDescent="0.25">
      <c r="A137" s="108" t="s">
        <v>466</v>
      </c>
      <c r="B137" s="108">
        <v>3</v>
      </c>
      <c r="H137" s="108" t="s">
        <v>466</v>
      </c>
      <c r="I137" s="108">
        <v>3</v>
      </c>
      <c r="J137">
        <v>0</v>
      </c>
      <c r="K137">
        <v>10</v>
      </c>
      <c r="L137">
        <f t="shared" si="0"/>
        <v>10</v>
      </c>
    </row>
    <row r="138" spans="1:12" x14ac:dyDescent="0.25">
      <c r="A138" s="108" t="s">
        <v>467</v>
      </c>
      <c r="B138" s="108">
        <v>9</v>
      </c>
      <c r="H138" s="108" t="s">
        <v>467</v>
      </c>
      <c r="I138" s="108">
        <v>9</v>
      </c>
      <c r="J138">
        <v>0</v>
      </c>
      <c r="K138">
        <v>0</v>
      </c>
      <c r="L138">
        <f t="shared" si="0"/>
        <v>0</v>
      </c>
    </row>
    <row r="139" spans="1:12" x14ac:dyDescent="0.25">
      <c r="A139" s="113" t="s">
        <v>468</v>
      </c>
      <c r="B139" s="113">
        <v>4</v>
      </c>
      <c r="H139" s="113"/>
      <c r="I139" s="113"/>
      <c r="L139">
        <f t="shared" si="0"/>
        <v>0</v>
      </c>
    </row>
    <row r="140" spans="1:12" x14ac:dyDescent="0.25">
      <c r="A140" s="108" t="s">
        <v>469</v>
      </c>
      <c r="B140" s="108"/>
      <c r="H140" s="108" t="s">
        <v>469</v>
      </c>
      <c r="I140" s="108">
        <v>1</v>
      </c>
      <c r="J140">
        <v>0</v>
      </c>
      <c r="K140">
        <v>15</v>
      </c>
      <c r="L140">
        <f t="shared" si="0"/>
        <v>15</v>
      </c>
    </row>
    <row r="141" spans="1:12" x14ac:dyDescent="0.25">
      <c r="A141" s="108" t="s">
        <v>470</v>
      </c>
      <c r="B141" s="108"/>
      <c r="H141" s="108" t="s">
        <v>470</v>
      </c>
      <c r="I141" s="108">
        <v>1</v>
      </c>
      <c r="J141">
        <v>0</v>
      </c>
      <c r="K141">
        <v>75</v>
      </c>
      <c r="L141">
        <f t="shared" si="0"/>
        <v>75</v>
      </c>
    </row>
    <row r="142" spans="1:12" x14ac:dyDescent="0.25">
      <c r="A142" s="108" t="s">
        <v>471</v>
      </c>
      <c r="B142" s="108"/>
      <c r="H142" s="108" t="s">
        <v>471</v>
      </c>
      <c r="I142" s="108">
        <v>1</v>
      </c>
      <c r="J142">
        <v>0</v>
      </c>
      <c r="K142">
        <v>30</v>
      </c>
      <c r="L142">
        <f t="shared" si="0"/>
        <v>30</v>
      </c>
    </row>
    <row r="143" spans="1:12" x14ac:dyDescent="0.25">
      <c r="A143" s="108" t="s">
        <v>472</v>
      </c>
      <c r="B143" s="108">
        <v>2</v>
      </c>
      <c r="H143" s="108" t="s">
        <v>472</v>
      </c>
      <c r="I143" s="108">
        <v>2</v>
      </c>
      <c r="J143">
        <v>0</v>
      </c>
      <c r="K143">
        <v>75</v>
      </c>
      <c r="L143">
        <f t="shared" si="0"/>
        <v>75</v>
      </c>
    </row>
    <row r="144" spans="1:12" x14ac:dyDescent="0.25">
      <c r="A144" s="108" t="s">
        <v>473</v>
      </c>
      <c r="B144" s="108">
        <v>7</v>
      </c>
      <c r="H144" s="108" t="s">
        <v>473</v>
      </c>
      <c r="I144" s="108">
        <v>7</v>
      </c>
      <c r="J144">
        <v>0</v>
      </c>
      <c r="K144">
        <v>25</v>
      </c>
      <c r="L144">
        <f t="shared" si="0"/>
        <v>25</v>
      </c>
    </row>
    <row r="145" spans="1:12" x14ac:dyDescent="0.25">
      <c r="L145">
        <f>SUM(L127:L144)</f>
        <v>2143</v>
      </c>
    </row>
    <row r="146" spans="1:12" x14ac:dyDescent="0.25">
      <c r="L146">
        <f>L145/2</f>
        <v>1071.5</v>
      </c>
    </row>
    <row r="147" spans="1:12" x14ac:dyDescent="0.25">
      <c r="A147" s="106" t="s">
        <v>474</v>
      </c>
      <c r="B147" s="106"/>
      <c r="C147" s="106"/>
      <c r="D147" s="106"/>
    </row>
    <row r="148" spans="1:12" x14ac:dyDescent="0.25">
      <c r="A148" t="s">
        <v>475</v>
      </c>
    </row>
    <row r="150" spans="1:12" x14ac:dyDescent="0.25">
      <c r="A150" s="106" t="s">
        <v>476</v>
      </c>
      <c r="B150" s="106"/>
      <c r="C150" s="106"/>
      <c r="D150" s="106"/>
    </row>
    <row r="151" spans="1:12" x14ac:dyDescent="0.25">
      <c r="A151" s="110" t="s">
        <v>477</v>
      </c>
      <c r="C151" t="s">
        <v>396</v>
      </c>
    </row>
    <row r="152" spans="1:12" x14ac:dyDescent="0.25">
      <c r="A152" t="s">
        <v>478</v>
      </c>
      <c r="B152">
        <v>0</v>
      </c>
    </row>
    <row r="153" spans="1:12" x14ac:dyDescent="0.25">
      <c r="A153" t="s">
        <v>479</v>
      </c>
    </row>
    <row r="154" spans="1:12" x14ac:dyDescent="0.25">
      <c r="A154" t="s">
        <v>480</v>
      </c>
    </row>
    <row r="155" spans="1:12" x14ac:dyDescent="0.25">
      <c r="A155" t="s">
        <v>481</v>
      </c>
    </row>
    <row r="156" spans="1:12" x14ac:dyDescent="0.25">
      <c r="A156" t="s">
        <v>482</v>
      </c>
    </row>
    <row r="157" spans="1:12" x14ac:dyDescent="0.25">
      <c r="A157" t="s">
        <v>483</v>
      </c>
    </row>
    <row r="158" spans="1:12" x14ac:dyDescent="0.25">
      <c r="A158" t="s">
        <v>484</v>
      </c>
      <c r="B158">
        <v>12</v>
      </c>
      <c r="G158" s="113"/>
    </row>
    <row r="159" spans="1:12" x14ac:dyDescent="0.25">
      <c r="A159" t="s">
        <v>485</v>
      </c>
      <c r="B159">
        <v>5</v>
      </c>
    </row>
    <row r="160" spans="1:12" x14ac:dyDescent="0.25">
      <c r="A160" s="110" t="s">
        <v>486</v>
      </c>
      <c r="C160" t="s">
        <v>396</v>
      </c>
    </row>
    <row r="161" spans="1:3" x14ac:dyDescent="0.25">
      <c r="A161" t="s">
        <v>487</v>
      </c>
      <c r="B161">
        <v>0</v>
      </c>
    </row>
    <row r="162" spans="1:3" x14ac:dyDescent="0.25">
      <c r="A162" s="110" t="s">
        <v>488</v>
      </c>
      <c r="B162">
        <v>8</v>
      </c>
      <c r="C162" t="s">
        <v>489</v>
      </c>
    </row>
    <row r="163" spans="1:3" x14ac:dyDescent="0.25">
      <c r="A163" t="s">
        <v>490</v>
      </c>
      <c r="B163">
        <v>2</v>
      </c>
    </row>
    <row r="164" spans="1:3" x14ac:dyDescent="0.25">
      <c r="A164" t="s">
        <v>491</v>
      </c>
      <c r="B164">
        <v>5</v>
      </c>
    </row>
    <row r="165" spans="1:3" x14ac:dyDescent="0.25">
      <c r="A165" t="s">
        <v>492</v>
      </c>
      <c r="B165">
        <v>18</v>
      </c>
    </row>
    <row r="166" spans="1:3" x14ac:dyDescent="0.25">
      <c r="A166" s="110" t="s">
        <v>493</v>
      </c>
      <c r="C166" t="s">
        <v>396</v>
      </c>
    </row>
    <row r="167" spans="1:3" x14ac:dyDescent="0.25">
      <c r="A167" t="s">
        <v>494</v>
      </c>
    </row>
    <row r="168" spans="1:3" x14ac:dyDescent="0.25">
      <c r="A168" t="s">
        <v>495</v>
      </c>
    </row>
    <row r="169" spans="1:3" x14ac:dyDescent="0.25">
      <c r="A169" t="s">
        <v>496</v>
      </c>
      <c r="B169">
        <v>2</v>
      </c>
    </row>
    <row r="170" spans="1:3" x14ac:dyDescent="0.25">
      <c r="A170" t="s">
        <v>497</v>
      </c>
    </row>
    <row r="171" spans="1:3" x14ac:dyDescent="0.25">
      <c r="A171" t="s">
        <v>498</v>
      </c>
    </row>
    <row r="172" spans="1:3" x14ac:dyDescent="0.25">
      <c r="A172" t="s">
        <v>499</v>
      </c>
    </row>
    <row r="173" spans="1:3" x14ac:dyDescent="0.25">
      <c r="A173" t="s">
        <v>500</v>
      </c>
    </row>
    <row r="174" spans="1:3" x14ac:dyDescent="0.25">
      <c r="A174" t="s">
        <v>501</v>
      </c>
    </row>
    <row r="176" spans="1:3" x14ac:dyDescent="0.25">
      <c r="A176" t="s">
        <v>502</v>
      </c>
    </row>
    <row r="177" spans="1:4" x14ac:dyDescent="0.25">
      <c r="A177" t="s">
        <v>503</v>
      </c>
    </row>
    <row r="178" spans="1:4" x14ac:dyDescent="0.25">
      <c r="A178" t="s">
        <v>504</v>
      </c>
    </row>
    <row r="179" spans="1:4" x14ac:dyDescent="0.25">
      <c r="A179" t="s">
        <v>505</v>
      </c>
    </row>
    <row r="188" spans="1:4" x14ac:dyDescent="0.25">
      <c r="A188" s="106" t="s">
        <v>506</v>
      </c>
      <c r="B188" s="106"/>
      <c r="C188" s="106"/>
      <c r="D188" s="106"/>
    </row>
    <row r="189" spans="1:4" x14ac:dyDescent="0.25">
      <c r="A189" t="s">
        <v>507</v>
      </c>
      <c r="B189">
        <v>2</v>
      </c>
    </row>
    <row r="190" spans="1:4" x14ac:dyDescent="0.25">
      <c r="A190" t="s">
        <v>508</v>
      </c>
      <c r="B190">
        <v>14</v>
      </c>
    </row>
    <row r="191" spans="1:4" x14ac:dyDescent="0.25">
      <c r="A191" t="s">
        <v>509</v>
      </c>
      <c r="B191">
        <v>6</v>
      </c>
    </row>
    <row r="192" spans="1:4" x14ac:dyDescent="0.25">
      <c r="A192" t="s">
        <v>510</v>
      </c>
      <c r="B192">
        <v>12</v>
      </c>
    </row>
    <row r="194" spans="1:4" x14ac:dyDescent="0.25">
      <c r="A194" t="s">
        <v>511</v>
      </c>
    </row>
    <row r="195" spans="1:4" x14ac:dyDescent="0.25">
      <c r="A195" t="s">
        <v>512</v>
      </c>
      <c r="B195">
        <v>48</v>
      </c>
    </row>
    <row r="196" spans="1:4" x14ac:dyDescent="0.25">
      <c r="A196" t="s">
        <v>513</v>
      </c>
      <c r="B196">
        <v>7</v>
      </c>
    </row>
    <row r="197" spans="1:4" x14ac:dyDescent="0.25">
      <c r="A197" t="s">
        <v>514</v>
      </c>
      <c r="B197">
        <v>17</v>
      </c>
    </row>
    <row r="198" spans="1:4" x14ac:dyDescent="0.25">
      <c r="A198" t="s">
        <v>515</v>
      </c>
      <c r="B198">
        <v>60</v>
      </c>
    </row>
    <row r="199" spans="1:4" x14ac:dyDescent="0.25">
      <c r="A199" t="s">
        <v>516</v>
      </c>
    </row>
    <row r="200" spans="1:4" x14ac:dyDescent="0.25">
      <c r="A200" t="s">
        <v>517</v>
      </c>
    </row>
    <row r="201" spans="1:4" x14ac:dyDescent="0.25">
      <c r="A201" s="110" t="s">
        <v>518</v>
      </c>
      <c r="B201">
        <v>19</v>
      </c>
      <c r="C201" t="s">
        <v>424</v>
      </c>
    </row>
    <row r="202" spans="1:4" x14ac:dyDescent="0.25">
      <c r="A202" t="s">
        <v>519</v>
      </c>
    </row>
    <row r="203" spans="1:4" x14ac:dyDescent="0.25">
      <c r="A203" t="s">
        <v>520</v>
      </c>
    </row>
    <row r="205" spans="1:4" x14ac:dyDescent="0.25">
      <c r="A205" s="106" t="s">
        <v>521</v>
      </c>
      <c r="B205" s="106"/>
      <c r="C205" s="106"/>
      <c r="D205" s="106"/>
    </row>
    <row r="206" spans="1:4" x14ac:dyDescent="0.25">
      <c r="A206" t="s">
        <v>522</v>
      </c>
    </row>
    <row r="207" spans="1:4" x14ac:dyDescent="0.25">
      <c r="A207" t="s">
        <v>523</v>
      </c>
    </row>
    <row r="208" spans="1:4" x14ac:dyDescent="0.25">
      <c r="A208" t="s">
        <v>524</v>
      </c>
    </row>
    <row r="209" spans="1:3" x14ac:dyDescent="0.25">
      <c r="A209" t="s">
        <v>525</v>
      </c>
    </row>
    <row r="210" spans="1:3" x14ac:dyDescent="0.25">
      <c r="A210" s="110" t="s">
        <v>526</v>
      </c>
      <c r="C210" t="s">
        <v>396</v>
      </c>
    </row>
    <row r="211" spans="1:3" x14ac:dyDescent="0.25">
      <c r="A211" t="s">
        <v>527</v>
      </c>
    </row>
    <row r="212" spans="1:3" x14ac:dyDescent="0.25">
      <c r="A212" s="110" t="s">
        <v>528</v>
      </c>
      <c r="C212" t="s">
        <v>396</v>
      </c>
    </row>
    <row r="213" spans="1:3" x14ac:dyDescent="0.25">
      <c r="A213" t="s">
        <v>529</v>
      </c>
    </row>
    <row r="216" spans="1:3" x14ac:dyDescent="0.25">
      <c r="A216" t="s">
        <v>530</v>
      </c>
    </row>
    <row r="217" spans="1:3" x14ac:dyDescent="0.25">
      <c r="A217" s="112" t="s">
        <v>531</v>
      </c>
    </row>
    <row r="218" spans="1:3" x14ac:dyDescent="0.25">
      <c r="A218" s="110" t="s">
        <v>532</v>
      </c>
      <c r="C218" t="s">
        <v>396</v>
      </c>
    </row>
    <row r="219" spans="1:3" x14ac:dyDescent="0.25">
      <c r="A219" s="110" t="s">
        <v>533</v>
      </c>
      <c r="C219" t="s">
        <v>396</v>
      </c>
    </row>
    <row r="220" spans="1:3" x14ac:dyDescent="0.25">
      <c r="A220" s="110" t="s">
        <v>534</v>
      </c>
      <c r="C220" t="s">
        <v>396</v>
      </c>
    </row>
    <row r="221" spans="1:3" x14ac:dyDescent="0.25">
      <c r="A221" s="110" t="s">
        <v>535</v>
      </c>
      <c r="C221" t="s">
        <v>396</v>
      </c>
    </row>
    <row r="222" spans="1:3" x14ac:dyDescent="0.25">
      <c r="A222" t="s">
        <v>536</v>
      </c>
    </row>
    <row r="223" spans="1:3" x14ac:dyDescent="0.25">
      <c r="A223" t="s">
        <v>537</v>
      </c>
    </row>
    <row r="226" spans="1:4" x14ac:dyDescent="0.25">
      <c r="A226" s="106" t="s">
        <v>538</v>
      </c>
      <c r="B226" s="106"/>
      <c r="C226" s="106"/>
      <c r="D226" s="106"/>
    </row>
    <row r="227" spans="1:4" x14ac:dyDescent="0.25">
      <c r="A227" t="s">
        <v>539</v>
      </c>
    </row>
    <row r="228" spans="1:4" x14ac:dyDescent="0.25">
      <c r="A228" t="s">
        <v>540</v>
      </c>
    </row>
    <row r="229" spans="1:4" x14ac:dyDescent="0.25">
      <c r="A229" t="s">
        <v>541</v>
      </c>
    </row>
    <row r="230" spans="1:4" x14ac:dyDescent="0.25">
      <c r="A230" t="s">
        <v>542</v>
      </c>
    </row>
    <row r="231" spans="1:4" x14ac:dyDescent="0.25">
      <c r="A231" t="s">
        <v>543</v>
      </c>
    </row>
    <row r="232" spans="1:4" x14ac:dyDescent="0.25">
      <c r="A232" t="s">
        <v>544</v>
      </c>
    </row>
    <row r="233" spans="1:4" x14ac:dyDescent="0.25">
      <c r="A233" t="s">
        <v>545</v>
      </c>
    </row>
    <row r="234" spans="1:4" x14ac:dyDescent="0.25">
      <c r="A234" t="s">
        <v>546</v>
      </c>
    </row>
    <row r="235" spans="1:4" x14ac:dyDescent="0.25">
      <c r="A235" t="s">
        <v>547</v>
      </c>
    </row>
    <row r="236" spans="1:4" x14ac:dyDescent="0.25">
      <c r="A236" t="s">
        <v>548</v>
      </c>
    </row>
    <row r="237" spans="1:4" x14ac:dyDescent="0.25">
      <c r="A237" t="s">
        <v>549</v>
      </c>
    </row>
    <row r="238" spans="1:4" x14ac:dyDescent="0.25">
      <c r="A238" t="s">
        <v>550</v>
      </c>
    </row>
    <row r="239" spans="1:4" x14ac:dyDescent="0.25">
      <c r="A239" t="s">
        <v>551</v>
      </c>
    </row>
    <row r="240" spans="1:4" ht="90" x14ac:dyDescent="0.25">
      <c r="A240" s="107" t="s">
        <v>552</v>
      </c>
    </row>
    <row r="241" spans="1:4" x14ac:dyDescent="0.25">
      <c r="A241" t="s">
        <v>553</v>
      </c>
    </row>
    <row r="242" spans="1:4" x14ac:dyDescent="0.25">
      <c r="A242" t="s">
        <v>554</v>
      </c>
    </row>
    <row r="243" spans="1:4" x14ac:dyDescent="0.25">
      <c r="A243" t="s">
        <v>555</v>
      </c>
    </row>
    <row r="244" spans="1:4" x14ac:dyDescent="0.25">
      <c r="A244" t="s">
        <v>556</v>
      </c>
    </row>
    <row r="245" spans="1:4" x14ac:dyDescent="0.25">
      <c r="A245" t="s">
        <v>557</v>
      </c>
    </row>
    <row r="246" spans="1:4" x14ac:dyDescent="0.25">
      <c r="A246" t="s">
        <v>558</v>
      </c>
    </row>
    <row r="247" spans="1:4" x14ac:dyDescent="0.25">
      <c r="A247" t="s">
        <v>559</v>
      </c>
      <c r="B247">
        <v>2</v>
      </c>
    </row>
    <row r="248" spans="1:4" x14ac:dyDescent="0.25">
      <c r="A248" t="s">
        <v>560</v>
      </c>
    </row>
    <row r="249" spans="1:4" x14ac:dyDescent="0.25">
      <c r="A249" s="107"/>
    </row>
    <row r="250" spans="1:4" x14ac:dyDescent="0.25">
      <c r="A250" s="106" t="s">
        <v>561</v>
      </c>
      <c r="B250" s="106"/>
      <c r="C250" s="106"/>
      <c r="D250" s="106"/>
    </row>
    <row r="251" spans="1:4" ht="315" x14ac:dyDescent="0.25">
      <c r="A251" s="107" t="s">
        <v>562</v>
      </c>
    </row>
    <row r="253" spans="1:4" ht="150" x14ac:dyDescent="0.25">
      <c r="A253" s="111" t="s">
        <v>563</v>
      </c>
      <c r="C253" t="s">
        <v>564</v>
      </c>
    </row>
    <row r="255" spans="1:4" ht="180" x14ac:dyDescent="0.25">
      <c r="A255" s="107" t="s">
        <v>565</v>
      </c>
    </row>
    <row r="257" spans="1:1" ht="135" x14ac:dyDescent="0.25">
      <c r="A257" s="107" t="s">
        <v>566</v>
      </c>
    </row>
    <row r="259" spans="1:1" ht="409.5" x14ac:dyDescent="0.25">
      <c r="A259" s="107" t="s">
        <v>567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opLeftCell="A7" workbookViewId="0">
      <selection activeCell="E20" sqref="E20"/>
    </sheetView>
  </sheetViews>
  <sheetFormatPr defaultRowHeight="15" x14ac:dyDescent="0.25"/>
  <cols>
    <col min="1" max="1" width="10" bestFit="1" customWidth="1"/>
    <col min="2" max="6" width="15.7109375" customWidth="1"/>
  </cols>
  <sheetData>
    <row r="1" spans="1:6" x14ac:dyDescent="0.25">
      <c r="A1" s="1"/>
      <c r="B1" s="73" t="s">
        <v>583</v>
      </c>
      <c r="C1" s="73" t="s">
        <v>393</v>
      </c>
      <c r="D1" s="73" t="s">
        <v>382</v>
      </c>
      <c r="E1" s="73" t="s">
        <v>584</v>
      </c>
      <c r="F1" s="73" t="s">
        <v>585</v>
      </c>
    </row>
    <row r="2" spans="1:6" x14ac:dyDescent="0.25">
      <c r="A2" s="73" t="s">
        <v>568</v>
      </c>
      <c r="B2" s="1" t="s">
        <v>410</v>
      </c>
      <c r="C2" s="1" t="s">
        <v>587</v>
      </c>
      <c r="D2" s="1" t="s">
        <v>381</v>
      </c>
      <c r="E2" s="1" t="s">
        <v>402</v>
      </c>
      <c r="F2" s="1"/>
    </row>
    <row r="3" spans="1:6" x14ac:dyDescent="0.25">
      <c r="A3" s="73" t="s">
        <v>569</v>
      </c>
      <c r="B3" s="1"/>
      <c r="C3" s="1"/>
      <c r="D3" s="1"/>
      <c r="E3" s="1"/>
      <c r="F3" s="1"/>
    </row>
    <row r="4" spans="1:6" x14ac:dyDescent="0.25">
      <c r="A4" s="73" t="s">
        <v>570</v>
      </c>
      <c r="B4" s="1"/>
      <c r="C4" s="1"/>
      <c r="D4" s="1"/>
      <c r="E4" s="1"/>
      <c r="F4" s="1"/>
    </row>
    <row r="5" spans="1:6" x14ac:dyDescent="0.25">
      <c r="A5" s="73" t="s">
        <v>571</v>
      </c>
      <c r="B5" s="1"/>
      <c r="C5" s="1"/>
      <c r="D5" s="1"/>
      <c r="E5" s="1"/>
      <c r="F5" s="1"/>
    </row>
    <row r="6" spans="1:6" x14ac:dyDescent="0.25">
      <c r="A6" s="73" t="s">
        <v>572</v>
      </c>
      <c r="B6" s="1"/>
      <c r="C6" s="1"/>
      <c r="D6" s="1"/>
      <c r="E6" s="1"/>
      <c r="F6" s="1"/>
    </row>
    <row r="7" spans="1:6" x14ac:dyDescent="0.25">
      <c r="A7" s="73" t="s">
        <v>573</v>
      </c>
      <c r="B7" s="1"/>
      <c r="C7" s="1"/>
      <c r="D7" s="1"/>
      <c r="E7" s="1"/>
      <c r="F7" s="1"/>
    </row>
    <row r="8" spans="1:6" x14ac:dyDescent="0.25">
      <c r="A8" s="73" t="s">
        <v>574</v>
      </c>
      <c r="B8" s="1"/>
      <c r="C8" s="1"/>
      <c r="D8" s="1"/>
      <c r="E8" s="1"/>
      <c r="F8" s="1"/>
    </row>
    <row r="9" spans="1:6" x14ac:dyDescent="0.25">
      <c r="A9" s="73" t="s">
        <v>575</v>
      </c>
      <c r="B9" s="1"/>
      <c r="C9" s="1"/>
      <c r="D9" s="1" t="s">
        <v>399</v>
      </c>
      <c r="E9" s="1"/>
      <c r="F9" s="1"/>
    </row>
    <row r="10" spans="1:6" x14ac:dyDescent="0.25">
      <c r="A10" s="73" t="s">
        <v>576</v>
      </c>
      <c r="B10" s="1"/>
      <c r="C10" s="1" t="s">
        <v>394</v>
      </c>
      <c r="D10" s="1"/>
      <c r="E10" s="1"/>
      <c r="F10" s="1"/>
    </row>
    <row r="11" spans="1:6" x14ac:dyDescent="0.25">
      <c r="A11" s="73" t="s">
        <v>577</v>
      </c>
      <c r="B11" s="1"/>
      <c r="C11" s="1"/>
      <c r="D11" s="1"/>
      <c r="E11" s="1"/>
      <c r="F11" s="1"/>
    </row>
    <row r="12" spans="1:6" x14ac:dyDescent="0.25">
      <c r="A12" s="73" t="s">
        <v>578</v>
      </c>
      <c r="B12" s="1"/>
      <c r="C12" s="1"/>
      <c r="D12" s="1"/>
      <c r="E12" s="1"/>
      <c r="F12" s="1"/>
    </row>
    <row r="13" spans="1:6" x14ac:dyDescent="0.25">
      <c r="A13" s="73" t="s">
        <v>578</v>
      </c>
      <c r="B13" s="1"/>
      <c r="C13" s="1"/>
      <c r="D13" s="1"/>
      <c r="E13" s="1"/>
      <c r="F13" s="1"/>
    </row>
    <row r="14" spans="1:6" x14ac:dyDescent="0.25">
      <c r="A14" s="73" t="s">
        <v>579</v>
      </c>
      <c r="B14" s="1"/>
      <c r="C14" s="1" t="s">
        <v>403</v>
      </c>
      <c r="D14" s="1"/>
      <c r="E14" s="1"/>
      <c r="F14" s="1"/>
    </row>
    <row r="15" spans="1:6" x14ac:dyDescent="0.25">
      <c r="A15" s="73" t="s">
        <v>580</v>
      </c>
      <c r="B15" s="1"/>
      <c r="C15" s="1"/>
      <c r="D15" s="1"/>
      <c r="E15" s="1"/>
      <c r="F15" s="1"/>
    </row>
    <row r="16" spans="1:6" x14ac:dyDescent="0.25">
      <c r="A16" s="73" t="s">
        <v>581</v>
      </c>
      <c r="B16" s="1"/>
      <c r="C16" s="1"/>
      <c r="D16" s="1"/>
      <c r="E16" s="1"/>
      <c r="F16" s="1"/>
    </row>
    <row r="17" spans="1:6" x14ac:dyDescent="0.25">
      <c r="A17" s="158" t="s">
        <v>582</v>
      </c>
      <c r="B17" s="120" t="s">
        <v>388</v>
      </c>
      <c r="C17" s="1" t="s">
        <v>411</v>
      </c>
      <c r="D17" s="1" t="s">
        <v>383</v>
      </c>
      <c r="E17" s="1" t="s">
        <v>418</v>
      </c>
      <c r="F17" s="1"/>
    </row>
    <row r="18" spans="1:6" x14ac:dyDescent="0.25">
      <c r="A18" s="158"/>
      <c r="B18" s="120"/>
      <c r="C18" s="1"/>
      <c r="D18" s="1" t="s">
        <v>425</v>
      </c>
      <c r="E18" s="1" t="s">
        <v>426</v>
      </c>
      <c r="F18" s="1"/>
    </row>
    <row r="19" spans="1:6" x14ac:dyDescent="0.25">
      <c r="A19" s="158"/>
      <c r="B19" s="120"/>
      <c r="C19" s="1"/>
      <c r="D19" s="1"/>
      <c r="E19" s="1" t="s">
        <v>590</v>
      </c>
      <c r="F19" s="1"/>
    </row>
    <row r="20" spans="1:6" x14ac:dyDescent="0.25">
      <c r="A20" s="158"/>
      <c r="B20" s="120"/>
      <c r="C20" s="1"/>
      <c r="D20" s="1"/>
      <c r="E20" s="1"/>
      <c r="F20" s="1"/>
    </row>
    <row r="21" spans="1:6" x14ac:dyDescent="0.25">
      <c r="A21" s="158"/>
      <c r="B21" s="120"/>
      <c r="C21" s="1"/>
      <c r="D21" s="1"/>
      <c r="E21" s="1"/>
      <c r="F21" s="1"/>
    </row>
    <row r="22" spans="1:6" x14ac:dyDescent="0.25">
      <c r="A22" s="158" t="s">
        <v>586</v>
      </c>
      <c r="B22" s="1"/>
      <c r="C22" s="1" t="s">
        <v>392</v>
      </c>
      <c r="D22" s="1"/>
      <c r="E22" s="1"/>
      <c r="F22" s="1"/>
    </row>
    <row r="23" spans="1:6" x14ac:dyDescent="0.25">
      <c r="A23" s="158"/>
      <c r="B23" s="1"/>
      <c r="C23" s="1" t="s">
        <v>588</v>
      </c>
      <c r="D23" s="1"/>
      <c r="E23" s="1"/>
      <c r="F23" s="1"/>
    </row>
    <row r="24" spans="1:6" x14ac:dyDescent="0.25">
      <c r="A24" s="158"/>
      <c r="B24" s="1" t="s">
        <v>589</v>
      </c>
      <c r="C24" s="1" t="s">
        <v>589</v>
      </c>
      <c r="D24" s="1" t="s">
        <v>589</v>
      </c>
      <c r="E24" s="1" t="s">
        <v>589</v>
      </c>
      <c r="F24" s="1"/>
    </row>
    <row r="25" spans="1:6" x14ac:dyDescent="0.25">
      <c r="A25" s="158"/>
      <c r="B25" s="1"/>
      <c r="C25" s="1"/>
      <c r="D25" s="1"/>
      <c r="E25" s="1"/>
      <c r="F25" s="1"/>
    </row>
    <row r="26" spans="1:6" x14ac:dyDescent="0.25">
      <c r="A26" s="158"/>
      <c r="B26" s="1"/>
      <c r="C26" s="1"/>
      <c r="D26" s="1"/>
      <c r="E26" s="1"/>
      <c r="F26" s="1"/>
    </row>
    <row r="27" spans="1:6" x14ac:dyDescent="0.25">
      <c r="A27" s="158"/>
      <c r="B27" s="1"/>
      <c r="C27" s="1"/>
      <c r="D27" s="1"/>
      <c r="E27" s="1"/>
      <c r="F27" s="1"/>
    </row>
    <row r="28" spans="1:6" x14ac:dyDescent="0.25">
      <c r="A28" s="158"/>
      <c r="B28" s="1"/>
      <c r="C28" s="1"/>
      <c r="D28" s="1"/>
      <c r="E28" s="1"/>
      <c r="F28" s="1"/>
    </row>
    <row r="29" spans="1:6" x14ac:dyDescent="0.25">
      <c r="A29" s="158"/>
      <c r="B29" s="1"/>
      <c r="C29" s="1"/>
      <c r="D29" s="1"/>
      <c r="E29" s="1"/>
      <c r="F29" s="1"/>
    </row>
    <row r="30" spans="1:6" x14ac:dyDescent="0.25">
      <c r="A30" s="158"/>
      <c r="B30" s="1"/>
      <c r="C30" s="1"/>
      <c r="D30" s="1"/>
      <c r="E30" s="1"/>
      <c r="F30" s="1"/>
    </row>
    <row r="31" spans="1:6" x14ac:dyDescent="0.25">
      <c r="A31" s="158"/>
      <c r="B31" s="1"/>
      <c r="C31" s="1"/>
      <c r="D31" s="1"/>
      <c r="E31" s="1"/>
      <c r="F31" s="1"/>
    </row>
    <row r="32" spans="1:6" x14ac:dyDescent="0.25">
      <c r="A32" s="158"/>
      <c r="B32" s="1"/>
      <c r="C32" s="1"/>
      <c r="D32" s="1"/>
      <c r="E32" s="1"/>
      <c r="F32" s="1"/>
    </row>
    <row r="33" spans="1:6" x14ac:dyDescent="0.25">
      <c r="A33" s="158"/>
      <c r="B33" s="1"/>
      <c r="C33" s="1"/>
      <c r="D33" s="1"/>
      <c r="E33" s="1"/>
      <c r="F33" s="1"/>
    </row>
    <row r="34" spans="1:6" x14ac:dyDescent="0.25">
      <c r="A34" s="158"/>
      <c r="B34" s="1"/>
      <c r="C34" s="1"/>
      <c r="D34" s="1"/>
      <c r="E34" s="1"/>
      <c r="F34" s="1"/>
    </row>
    <row r="35" spans="1:6" x14ac:dyDescent="0.25">
      <c r="A35" s="158"/>
      <c r="B35" s="1"/>
      <c r="C35" s="1"/>
      <c r="D35" s="1"/>
      <c r="E35" s="1"/>
      <c r="F35" s="1"/>
    </row>
    <row r="36" spans="1:6" x14ac:dyDescent="0.25">
      <c r="A36" s="158"/>
      <c r="B36" s="1"/>
      <c r="C36" s="1"/>
      <c r="D36" s="1"/>
      <c r="E36" s="1"/>
      <c r="F36" s="1"/>
    </row>
    <row r="37" spans="1:6" x14ac:dyDescent="0.25">
      <c r="A37" s="158"/>
      <c r="B37" s="1"/>
      <c r="C37" s="1"/>
      <c r="D37" s="1"/>
      <c r="E37" s="1"/>
      <c r="F37" s="1"/>
    </row>
    <row r="38" spans="1:6" x14ac:dyDescent="0.25">
      <c r="A38" s="158"/>
      <c r="B38" s="1"/>
      <c r="C38" s="1"/>
      <c r="D38" s="1"/>
      <c r="E38" s="1"/>
      <c r="F38" s="1"/>
    </row>
  </sheetData>
  <mergeCells count="2">
    <mergeCell ref="A17:A21"/>
    <mergeCell ref="A22:A3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3"/>
  <sheetViews>
    <sheetView topLeftCell="A82" workbookViewId="0">
      <selection activeCell="H71" sqref="H71"/>
    </sheetView>
  </sheetViews>
  <sheetFormatPr defaultRowHeight="15" x14ac:dyDescent="0.25"/>
  <sheetData>
    <row r="1" spans="1:23" x14ac:dyDescent="0.25">
      <c r="A1" s="1"/>
      <c r="B1" s="1"/>
      <c r="C1" s="1"/>
      <c r="D1" s="1"/>
      <c r="E1" s="1"/>
      <c r="F1" s="161" t="s">
        <v>214</v>
      </c>
      <c r="G1" s="161"/>
      <c r="H1" s="161"/>
      <c r="I1" s="161"/>
      <c r="J1" s="154" t="s">
        <v>215</v>
      </c>
      <c r="K1" s="116"/>
      <c r="L1" s="162" t="s">
        <v>216</v>
      </c>
      <c r="M1" s="162" t="s">
        <v>217</v>
      </c>
      <c r="N1" s="153" t="s">
        <v>92</v>
      </c>
      <c r="O1" s="153"/>
      <c r="P1" s="153"/>
      <c r="Q1" s="153"/>
      <c r="R1" s="153"/>
      <c r="S1" s="159" t="s">
        <v>218</v>
      </c>
    </row>
    <row r="2" spans="1:23" x14ac:dyDescent="0.25">
      <c r="A2" s="20"/>
      <c r="B2" s="20"/>
      <c r="C2" s="20"/>
      <c r="D2" s="20"/>
      <c r="E2" s="20"/>
      <c r="F2" s="20" t="s">
        <v>11</v>
      </c>
      <c r="G2" s="20" t="s">
        <v>12</v>
      </c>
      <c r="H2" s="20" t="s">
        <v>94</v>
      </c>
      <c r="I2" s="20" t="s">
        <v>13</v>
      </c>
      <c r="J2" s="155"/>
      <c r="K2" s="117"/>
      <c r="L2" s="163"/>
      <c r="M2" s="163"/>
      <c r="N2" s="20" t="s">
        <v>88</v>
      </c>
      <c r="O2" s="20" t="s">
        <v>11</v>
      </c>
      <c r="P2" s="20" t="s">
        <v>12</v>
      </c>
      <c r="Q2" s="20" t="s">
        <v>94</v>
      </c>
      <c r="R2" s="20" t="s">
        <v>13</v>
      </c>
      <c r="S2" s="160"/>
      <c r="U2" s="59" t="s">
        <v>219</v>
      </c>
      <c r="V2" s="59" t="s">
        <v>220</v>
      </c>
      <c r="W2" s="59" t="s">
        <v>221</v>
      </c>
    </row>
    <row r="3" spans="1:23" x14ac:dyDescent="0.25">
      <c r="A3" s="58" t="s">
        <v>45</v>
      </c>
      <c r="B3" s="58" t="s">
        <v>222</v>
      </c>
      <c r="C3" s="20" t="s">
        <v>223</v>
      </c>
      <c r="D3" s="20" t="s">
        <v>224</v>
      </c>
      <c r="E3" s="20"/>
      <c r="F3" s="96">
        <v>8</v>
      </c>
      <c r="G3" s="96">
        <v>1</v>
      </c>
      <c r="H3" s="96">
        <v>5</v>
      </c>
      <c r="I3" s="96">
        <v>1</v>
      </c>
      <c r="J3" s="20">
        <v>16</v>
      </c>
      <c r="K3" s="20"/>
      <c r="L3" s="20">
        <f>F3*10+G3*15+H3*10+I3*50</f>
        <v>195</v>
      </c>
      <c r="M3" s="20">
        <f>L3*2</f>
        <v>390</v>
      </c>
      <c r="N3" s="20">
        <v>10</v>
      </c>
      <c r="O3" s="20">
        <v>10</v>
      </c>
      <c r="P3" s="20"/>
      <c r="Q3" s="20"/>
      <c r="R3" s="20">
        <v>10</v>
      </c>
      <c r="S3" s="72">
        <f>N3/M3</f>
        <v>2.564102564102564E-2</v>
      </c>
      <c r="U3" s="1"/>
      <c r="V3" s="1"/>
      <c r="W3" s="1"/>
    </row>
    <row r="4" spans="1:23" x14ac:dyDescent="0.25">
      <c r="A4" s="1" t="s">
        <v>225</v>
      </c>
      <c r="B4" s="1" t="s">
        <v>226</v>
      </c>
      <c r="C4" s="20" t="s">
        <v>223</v>
      </c>
      <c r="D4" s="20" t="s">
        <v>224</v>
      </c>
      <c r="E4" s="20"/>
      <c r="F4" s="96">
        <v>2</v>
      </c>
      <c r="G4" s="96">
        <v>1</v>
      </c>
      <c r="H4" s="96">
        <v>2</v>
      </c>
      <c r="I4" s="96">
        <v>1</v>
      </c>
      <c r="J4" s="20">
        <v>4</v>
      </c>
      <c r="K4" s="20"/>
      <c r="L4" s="20">
        <f t="shared" ref="L4:L67" si="0">F4*10+G4*15+H4*10+I4*50</f>
        <v>105</v>
      </c>
      <c r="M4" s="20">
        <f t="shared" ref="M4:M67" si="1">L4*2</f>
        <v>210</v>
      </c>
      <c r="N4" s="20"/>
      <c r="O4" s="20"/>
      <c r="P4" s="20">
        <v>3</v>
      </c>
      <c r="Q4" s="20"/>
      <c r="R4" s="20"/>
      <c r="S4" s="72">
        <f t="shared" ref="S4:S67" si="2">N4/M4</f>
        <v>0</v>
      </c>
      <c r="U4" s="1" t="s">
        <v>227</v>
      </c>
      <c r="V4" s="1">
        <v>4</v>
      </c>
      <c r="W4" s="1">
        <v>3</v>
      </c>
    </row>
    <row r="5" spans="1:23" x14ac:dyDescent="0.25">
      <c r="A5" s="1" t="s">
        <v>30</v>
      </c>
      <c r="B5" s="1"/>
      <c r="C5" s="20" t="s">
        <v>223</v>
      </c>
      <c r="D5" s="20" t="s">
        <v>224</v>
      </c>
      <c r="E5" s="20"/>
      <c r="F5" s="96">
        <v>6</v>
      </c>
      <c r="G5" s="96">
        <v>1</v>
      </c>
      <c r="H5" s="96">
        <v>5</v>
      </c>
      <c r="I5" s="96"/>
      <c r="J5" s="20">
        <v>16</v>
      </c>
      <c r="K5" s="20"/>
      <c r="L5" s="20">
        <f t="shared" si="0"/>
        <v>125</v>
      </c>
      <c r="M5" s="20">
        <f t="shared" si="1"/>
        <v>250</v>
      </c>
      <c r="N5" s="20">
        <v>8</v>
      </c>
      <c r="O5" s="20">
        <v>8</v>
      </c>
      <c r="P5" s="20"/>
      <c r="Q5" s="20">
        <v>8</v>
      </c>
      <c r="R5" s="20"/>
      <c r="S5" s="72">
        <f t="shared" si="2"/>
        <v>3.2000000000000001E-2</v>
      </c>
      <c r="U5" s="1" t="s">
        <v>228</v>
      </c>
      <c r="V5" s="1">
        <v>3</v>
      </c>
      <c r="W5" s="1">
        <v>3</v>
      </c>
    </row>
    <row r="6" spans="1:23" x14ac:dyDescent="0.25">
      <c r="A6" s="1" t="s">
        <v>229</v>
      </c>
      <c r="B6" s="1"/>
      <c r="C6" s="20" t="s">
        <v>223</v>
      </c>
      <c r="D6" s="20" t="s">
        <v>224</v>
      </c>
      <c r="E6" s="20"/>
      <c r="F6" s="96">
        <v>9</v>
      </c>
      <c r="G6" s="96">
        <v>3</v>
      </c>
      <c r="H6" s="96">
        <v>6</v>
      </c>
      <c r="I6" s="96"/>
      <c r="J6" s="20">
        <v>16</v>
      </c>
      <c r="K6" s="20"/>
      <c r="L6" s="20">
        <f t="shared" si="0"/>
        <v>195</v>
      </c>
      <c r="M6" s="20">
        <f t="shared" si="1"/>
        <v>390</v>
      </c>
      <c r="N6" s="20"/>
      <c r="O6" s="20"/>
      <c r="P6" s="20"/>
      <c r="Q6" s="20"/>
      <c r="R6" s="20"/>
      <c r="S6" s="72">
        <f t="shared" si="2"/>
        <v>0</v>
      </c>
      <c r="U6" s="1" t="s">
        <v>230</v>
      </c>
      <c r="V6" s="1">
        <v>5</v>
      </c>
      <c r="W6" s="1">
        <v>3</v>
      </c>
    </row>
    <row r="7" spans="1:23" x14ac:dyDescent="0.25">
      <c r="A7" s="1" t="s">
        <v>53</v>
      </c>
      <c r="B7" s="1"/>
      <c r="C7" s="20" t="s">
        <v>223</v>
      </c>
      <c r="D7" s="20" t="s">
        <v>224</v>
      </c>
      <c r="E7" s="20"/>
      <c r="F7" s="96">
        <v>9</v>
      </c>
      <c r="G7" s="96">
        <v>9</v>
      </c>
      <c r="H7" s="96"/>
      <c r="I7" s="96"/>
      <c r="J7" s="20">
        <v>20</v>
      </c>
      <c r="K7" s="20"/>
      <c r="L7" s="20">
        <f t="shared" si="0"/>
        <v>225</v>
      </c>
      <c r="M7" s="20">
        <f t="shared" si="1"/>
        <v>450</v>
      </c>
      <c r="N7" s="20">
        <v>10</v>
      </c>
      <c r="O7" s="20">
        <v>10</v>
      </c>
      <c r="P7" s="20">
        <v>10</v>
      </c>
      <c r="Q7" s="20"/>
      <c r="R7" s="20"/>
      <c r="S7" s="72">
        <f t="shared" si="2"/>
        <v>2.2222222222222223E-2</v>
      </c>
      <c r="U7" s="1" t="s">
        <v>231</v>
      </c>
      <c r="V7" s="1">
        <v>5</v>
      </c>
      <c r="W7" s="1">
        <v>3</v>
      </c>
    </row>
    <row r="8" spans="1:23" x14ac:dyDescent="0.25">
      <c r="A8" s="1" t="s">
        <v>232</v>
      </c>
      <c r="B8" s="1"/>
      <c r="C8" s="20" t="s">
        <v>223</v>
      </c>
      <c r="D8" s="20" t="s">
        <v>224</v>
      </c>
      <c r="E8" s="20"/>
      <c r="F8" s="96">
        <v>19</v>
      </c>
      <c r="G8" s="96">
        <v>1</v>
      </c>
      <c r="H8" s="96">
        <v>25</v>
      </c>
      <c r="I8" s="96"/>
      <c r="J8" s="20">
        <v>40</v>
      </c>
      <c r="K8" s="20"/>
      <c r="L8" s="20">
        <f t="shared" si="0"/>
        <v>455</v>
      </c>
      <c r="M8" s="20">
        <f t="shared" si="1"/>
        <v>910</v>
      </c>
      <c r="N8" s="20">
        <v>15</v>
      </c>
      <c r="O8" s="20"/>
      <c r="P8" s="20">
        <v>15</v>
      </c>
      <c r="Q8" s="20"/>
      <c r="R8" s="20"/>
      <c r="S8" s="72">
        <f t="shared" si="2"/>
        <v>1.6483516483516484E-2</v>
      </c>
      <c r="U8" s="1" t="s">
        <v>233</v>
      </c>
      <c r="V8" s="1">
        <v>3</v>
      </c>
      <c r="W8" s="1">
        <v>3</v>
      </c>
    </row>
    <row r="9" spans="1:23" x14ac:dyDescent="0.25">
      <c r="A9" s="1" t="s">
        <v>234</v>
      </c>
      <c r="B9" s="1"/>
      <c r="C9" s="20" t="s">
        <v>223</v>
      </c>
      <c r="D9" s="20" t="s">
        <v>224</v>
      </c>
      <c r="E9" s="20"/>
      <c r="F9" s="96">
        <v>19</v>
      </c>
      <c r="G9" s="96"/>
      <c r="H9" s="96">
        <v>19</v>
      </c>
      <c r="I9" s="96"/>
      <c r="J9" s="20">
        <v>40</v>
      </c>
      <c r="K9" s="20"/>
      <c r="L9" s="20">
        <f t="shared" si="0"/>
        <v>380</v>
      </c>
      <c r="M9" s="20">
        <f t="shared" si="1"/>
        <v>760</v>
      </c>
      <c r="N9" s="20">
        <v>10</v>
      </c>
      <c r="O9" s="20"/>
      <c r="P9" s="20">
        <v>10</v>
      </c>
      <c r="Q9" s="20"/>
      <c r="R9" s="20"/>
      <c r="S9" s="72">
        <f t="shared" si="2"/>
        <v>1.3157894736842105E-2</v>
      </c>
      <c r="U9" s="1" t="s">
        <v>233</v>
      </c>
      <c r="V9" s="1">
        <v>5</v>
      </c>
      <c r="W9" s="1">
        <v>3</v>
      </c>
    </row>
    <row r="10" spans="1:23" x14ac:dyDescent="0.25">
      <c r="A10" s="1" t="s">
        <v>60</v>
      </c>
      <c r="B10" s="1"/>
      <c r="C10" s="1" t="s">
        <v>223</v>
      </c>
      <c r="D10" s="20" t="s">
        <v>224</v>
      </c>
      <c r="E10" s="20"/>
      <c r="F10" s="58">
        <v>6</v>
      </c>
      <c r="G10" s="58">
        <v>1</v>
      </c>
      <c r="H10" s="58">
        <v>5</v>
      </c>
      <c r="I10" s="58"/>
      <c r="J10" s="73">
        <v>16</v>
      </c>
      <c r="K10" s="73"/>
      <c r="L10" s="20">
        <f t="shared" si="0"/>
        <v>125</v>
      </c>
      <c r="M10" s="20">
        <f t="shared" si="1"/>
        <v>250</v>
      </c>
      <c r="N10" s="1">
        <v>10</v>
      </c>
      <c r="O10" s="1"/>
      <c r="P10" s="20">
        <v>10</v>
      </c>
      <c r="Q10" s="1"/>
      <c r="R10" s="1"/>
      <c r="S10" s="72">
        <f t="shared" si="2"/>
        <v>0.04</v>
      </c>
      <c r="U10" s="1" t="s">
        <v>235</v>
      </c>
      <c r="V10" s="1">
        <v>3</v>
      </c>
      <c r="W10" s="1">
        <v>3</v>
      </c>
    </row>
    <row r="11" spans="1:23" x14ac:dyDescent="0.25">
      <c r="A11" s="1" t="s">
        <v>236</v>
      </c>
      <c r="B11" s="1"/>
      <c r="C11" s="1" t="s">
        <v>223</v>
      </c>
      <c r="D11" s="20" t="s">
        <v>224</v>
      </c>
      <c r="E11" s="20"/>
      <c r="F11" s="58">
        <v>3</v>
      </c>
      <c r="G11" s="58">
        <v>1</v>
      </c>
      <c r="H11" s="58">
        <v>2</v>
      </c>
      <c r="I11" s="58"/>
      <c r="J11" s="73">
        <v>8</v>
      </c>
      <c r="K11" s="73"/>
      <c r="L11" s="20">
        <f t="shared" si="0"/>
        <v>65</v>
      </c>
      <c r="M11" s="20">
        <f t="shared" si="1"/>
        <v>130</v>
      </c>
      <c r="N11" s="1">
        <v>3</v>
      </c>
      <c r="O11" s="1"/>
      <c r="P11" s="20">
        <v>3</v>
      </c>
      <c r="Q11" s="1"/>
      <c r="R11" s="1"/>
      <c r="S11" s="72">
        <f t="shared" si="2"/>
        <v>2.3076923076923078E-2</v>
      </c>
      <c r="U11" s="1" t="s">
        <v>237</v>
      </c>
      <c r="V11" s="1">
        <v>2</v>
      </c>
      <c r="W11" s="1">
        <v>3</v>
      </c>
    </row>
    <row r="12" spans="1:23" x14ac:dyDescent="0.25">
      <c r="A12" s="1" t="s">
        <v>238</v>
      </c>
      <c r="B12" s="1"/>
      <c r="C12" s="1" t="s">
        <v>223</v>
      </c>
      <c r="D12" s="20" t="s">
        <v>224</v>
      </c>
      <c r="E12" s="20"/>
      <c r="F12" s="58">
        <v>18</v>
      </c>
      <c r="G12" s="58">
        <v>4</v>
      </c>
      <c r="H12" s="58">
        <v>16</v>
      </c>
      <c r="I12" s="58"/>
      <c r="J12" s="73">
        <v>40</v>
      </c>
      <c r="K12" s="73"/>
      <c r="L12" s="20">
        <f t="shared" si="0"/>
        <v>400</v>
      </c>
      <c r="M12" s="20">
        <f t="shared" si="1"/>
        <v>800</v>
      </c>
      <c r="N12" s="1">
        <v>15</v>
      </c>
      <c r="O12" s="1"/>
      <c r="P12" s="20">
        <v>15</v>
      </c>
      <c r="Q12" s="1"/>
      <c r="R12" s="1"/>
      <c r="S12" s="72">
        <f t="shared" si="2"/>
        <v>1.8749999999999999E-2</v>
      </c>
      <c r="U12" s="1" t="s">
        <v>239</v>
      </c>
      <c r="V12" s="1">
        <v>4</v>
      </c>
      <c r="W12" s="1">
        <v>3</v>
      </c>
    </row>
    <row r="13" spans="1:23" x14ac:dyDescent="0.25">
      <c r="A13" s="1" t="s">
        <v>240</v>
      </c>
      <c r="B13" s="1"/>
      <c r="C13" s="1" t="s">
        <v>223</v>
      </c>
      <c r="D13" s="20" t="s">
        <v>224</v>
      </c>
      <c r="E13" s="20"/>
      <c r="F13" s="58">
        <v>8</v>
      </c>
      <c r="G13" s="58">
        <v>7</v>
      </c>
      <c r="H13" s="58"/>
      <c r="I13" s="58"/>
      <c r="J13" s="73">
        <v>20</v>
      </c>
      <c r="K13" s="73"/>
      <c r="L13" s="20">
        <f t="shared" si="0"/>
        <v>185</v>
      </c>
      <c r="M13" s="20">
        <f t="shared" si="1"/>
        <v>370</v>
      </c>
      <c r="N13" s="1">
        <v>3</v>
      </c>
      <c r="O13" s="1"/>
      <c r="P13" s="20">
        <v>3</v>
      </c>
      <c r="Q13" s="1"/>
      <c r="R13" s="1"/>
      <c r="S13" s="72">
        <f t="shared" si="2"/>
        <v>8.1081081081081086E-3</v>
      </c>
      <c r="U13" s="1" t="s">
        <v>241</v>
      </c>
      <c r="V13" s="1">
        <v>4</v>
      </c>
      <c r="W13" s="1">
        <v>3</v>
      </c>
    </row>
    <row r="14" spans="1:23" x14ac:dyDescent="0.25">
      <c r="A14" s="1" t="s">
        <v>242</v>
      </c>
      <c r="B14" s="1"/>
      <c r="C14" s="1" t="s">
        <v>223</v>
      </c>
      <c r="D14" s="20" t="s">
        <v>224</v>
      </c>
      <c r="E14" s="20"/>
      <c r="F14" s="58">
        <v>11</v>
      </c>
      <c r="G14" s="58">
        <v>3</v>
      </c>
      <c r="H14" s="58">
        <v>7</v>
      </c>
      <c r="I14" s="58"/>
      <c r="J14" s="73">
        <v>28</v>
      </c>
      <c r="K14" s="73"/>
      <c r="L14" s="20">
        <f t="shared" si="0"/>
        <v>225</v>
      </c>
      <c r="M14" s="20">
        <f t="shared" si="1"/>
        <v>450</v>
      </c>
      <c r="N14" s="1">
        <v>1</v>
      </c>
      <c r="O14" s="1">
        <v>1</v>
      </c>
      <c r="P14" s="20">
        <v>1</v>
      </c>
      <c r="Q14" s="1">
        <v>1</v>
      </c>
      <c r="R14" s="1">
        <v>1</v>
      </c>
      <c r="S14" s="72">
        <f t="shared" si="2"/>
        <v>2.2222222222222222E-3</v>
      </c>
      <c r="U14" s="1" t="s">
        <v>243</v>
      </c>
      <c r="V14" s="1">
        <v>4</v>
      </c>
      <c r="W14" s="1">
        <v>3</v>
      </c>
    </row>
    <row r="15" spans="1:23" x14ac:dyDescent="0.25">
      <c r="A15" s="1" t="s">
        <v>244</v>
      </c>
      <c r="B15" s="1"/>
      <c r="C15" s="1" t="s">
        <v>223</v>
      </c>
      <c r="D15" s="20" t="s">
        <v>224</v>
      </c>
      <c r="E15" s="20"/>
      <c r="F15" s="58">
        <v>8</v>
      </c>
      <c r="G15" s="58">
        <v>2</v>
      </c>
      <c r="H15" s="58">
        <v>7</v>
      </c>
      <c r="I15" s="58">
        <v>1</v>
      </c>
      <c r="J15" s="73">
        <v>16</v>
      </c>
      <c r="K15" s="73"/>
      <c r="L15" s="20">
        <f t="shared" si="0"/>
        <v>230</v>
      </c>
      <c r="M15" s="20">
        <f t="shared" si="1"/>
        <v>460</v>
      </c>
      <c r="N15" s="1">
        <v>8</v>
      </c>
      <c r="O15" s="1"/>
      <c r="P15" s="20">
        <v>8</v>
      </c>
      <c r="Q15" s="1"/>
      <c r="R15" s="1"/>
      <c r="S15" s="72">
        <f t="shared" si="2"/>
        <v>1.7391304347826087E-2</v>
      </c>
      <c r="U15" s="1" t="s">
        <v>245</v>
      </c>
      <c r="V15" s="1">
        <v>2</v>
      </c>
      <c r="W15" s="1">
        <v>3</v>
      </c>
    </row>
    <row r="16" spans="1:23" x14ac:dyDescent="0.25">
      <c r="A16" s="1" t="s">
        <v>246</v>
      </c>
      <c r="B16" s="1"/>
      <c r="C16" s="1" t="s">
        <v>223</v>
      </c>
      <c r="D16" s="20" t="s">
        <v>224</v>
      </c>
      <c r="E16" s="20"/>
      <c r="F16" s="58">
        <v>9</v>
      </c>
      <c r="G16" s="58">
        <v>2</v>
      </c>
      <c r="H16" s="58">
        <v>7</v>
      </c>
      <c r="I16" s="58"/>
      <c r="J16" s="73">
        <v>16</v>
      </c>
      <c r="K16" s="73"/>
      <c r="L16" s="20">
        <f t="shared" si="0"/>
        <v>190</v>
      </c>
      <c r="M16" s="20">
        <f t="shared" si="1"/>
        <v>380</v>
      </c>
      <c r="N16" s="1">
        <v>10</v>
      </c>
      <c r="O16" s="1"/>
      <c r="P16" s="20">
        <v>10</v>
      </c>
      <c r="Q16" s="1"/>
      <c r="R16" s="1"/>
      <c r="S16" s="72">
        <f t="shared" si="2"/>
        <v>2.6315789473684209E-2</v>
      </c>
      <c r="U16" s="1" t="s">
        <v>247</v>
      </c>
      <c r="V16" s="1">
        <v>3</v>
      </c>
      <c r="W16" s="1">
        <v>3</v>
      </c>
    </row>
    <row r="17" spans="1:23" x14ac:dyDescent="0.25">
      <c r="A17" s="1" t="s">
        <v>19</v>
      </c>
      <c r="B17" s="1"/>
      <c r="C17" s="1" t="s">
        <v>223</v>
      </c>
      <c r="D17" s="20" t="s">
        <v>224</v>
      </c>
      <c r="E17" s="20"/>
      <c r="F17" s="1">
        <v>7</v>
      </c>
      <c r="G17" s="1">
        <v>4</v>
      </c>
      <c r="H17" s="1">
        <v>7</v>
      </c>
      <c r="I17" s="1"/>
      <c r="J17" s="1">
        <v>24</v>
      </c>
      <c r="K17" s="1"/>
      <c r="L17" s="20">
        <f t="shared" si="0"/>
        <v>200</v>
      </c>
      <c r="M17" s="20">
        <f t="shared" si="1"/>
        <v>400</v>
      </c>
      <c r="N17" s="1">
        <v>8</v>
      </c>
      <c r="O17" s="1"/>
      <c r="P17" s="20"/>
      <c r="Q17" s="1">
        <v>8</v>
      </c>
      <c r="R17" s="1"/>
      <c r="S17" s="72">
        <f t="shared" si="2"/>
        <v>0.02</v>
      </c>
      <c r="U17" s="1" t="s">
        <v>248</v>
      </c>
      <c r="V17" s="1">
        <v>2</v>
      </c>
      <c r="W17" s="1">
        <v>3</v>
      </c>
    </row>
    <row r="18" spans="1:23" x14ac:dyDescent="0.25">
      <c r="A18" s="1" t="s">
        <v>249</v>
      </c>
      <c r="B18" s="1"/>
      <c r="C18" s="1" t="s">
        <v>223</v>
      </c>
      <c r="D18" s="20" t="s">
        <v>224</v>
      </c>
      <c r="E18" s="20"/>
      <c r="F18" s="1">
        <v>4</v>
      </c>
      <c r="G18" s="1">
        <v>3</v>
      </c>
      <c r="H18" s="1">
        <v>4</v>
      </c>
      <c r="I18" s="1">
        <v>1</v>
      </c>
      <c r="J18" s="1">
        <v>8</v>
      </c>
      <c r="K18" s="1"/>
      <c r="L18" s="20">
        <f t="shared" si="0"/>
        <v>175</v>
      </c>
      <c r="M18" s="20">
        <f t="shared" si="1"/>
        <v>350</v>
      </c>
      <c r="N18" s="1">
        <v>4</v>
      </c>
      <c r="O18" s="1"/>
      <c r="P18" s="20">
        <v>4</v>
      </c>
      <c r="Q18" s="1"/>
      <c r="R18" s="1"/>
      <c r="S18" s="72">
        <f t="shared" si="2"/>
        <v>1.1428571428571429E-2</v>
      </c>
      <c r="U18" s="1" t="s">
        <v>250</v>
      </c>
      <c r="V18" s="1">
        <v>2</v>
      </c>
      <c r="W18" s="1">
        <v>3</v>
      </c>
    </row>
    <row r="19" spans="1:23" x14ac:dyDescent="0.25">
      <c r="A19" s="1" t="s">
        <v>251</v>
      </c>
      <c r="B19" s="1"/>
      <c r="C19" s="1" t="s">
        <v>223</v>
      </c>
      <c r="D19" s="20" t="s">
        <v>224</v>
      </c>
      <c r="E19" s="20"/>
      <c r="F19" s="1">
        <v>5</v>
      </c>
      <c r="G19" s="1">
        <v>4</v>
      </c>
      <c r="H19" s="1"/>
      <c r="I19" s="1"/>
      <c r="J19" s="1">
        <v>16</v>
      </c>
      <c r="K19" s="1"/>
      <c r="L19" s="20">
        <f t="shared" si="0"/>
        <v>110</v>
      </c>
      <c r="M19" s="20">
        <f t="shared" si="1"/>
        <v>220</v>
      </c>
      <c r="N19" s="1"/>
      <c r="O19" s="1"/>
      <c r="P19" s="20"/>
      <c r="Q19" s="1"/>
      <c r="R19" s="1"/>
      <c r="S19" s="72">
        <f t="shared" si="2"/>
        <v>0</v>
      </c>
      <c r="U19" s="1" t="s">
        <v>252</v>
      </c>
      <c r="V19" s="1">
        <v>2</v>
      </c>
      <c r="W19" s="1">
        <v>3</v>
      </c>
    </row>
    <row r="20" spans="1:23" x14ac:dyDescent="0.25">
      <c r="A20" s="1" t="s">
        <v>253</v>
      </c>
      <c r="B20" s="1"/>
      <c r="C20" s="1" t="s">
        <v>223</v>
      </c>
      <c r="D20" s="20" t="s">
        <v>224</v>
      </c>
      <c r="E20" s="20"/>
      <c r="F20" s="1">
        <v>16</v>
      </c>
      <c r="G20" s="1">
        <v>2</v>
      </c>
      <c r="H20" s="1">
        <v>15</v>
      </c>
      <c r="I20" s="1">
        <v>5</v>
      </c>
      <c r="J20" s="1">
        <v>40</v>
      </c>
      <c r="K20" s="1"/>
      <c r="L20" s="20">
        <f t="shared" si="0"/>
        <v>590</v>
      </c>
      <c r="M20" s="20">
        <f t="shared" si="1"/>
        <v>1180</v>
      </c>
      <c r="N20" s="1">
        <v>10</v>
      </c>
      <c r="O20" s="1">
        <v>10</v>
      </c>
      <c r="P20" s="20">
        <v>10</v>
      </c>
      <c r="Q20" s="1">
        <v>10</v>
      </c>
      <c r="R20" s="1">
        <v>10</v>
      </c>
      <c r="S20" s="72">
        <f t="shared" si="2"/>
        <v>8.4745762711864406E-3</v>
      </c>
      <c r="U20" s="1" t="s">
        <v>254</v>
      </c>
      <c r="V20" s="1">
        <v>2</v>
      </c>
      <c r="W20" s="1">
        <v>3</v>
      </c>
    </row>
    <row r="21" spans="1:23" x14ac:dyDescent="0.25">
      <c r="A21" s="1" t="s">
        <v>255</v>
      </c>
      <c r="B21" s="1"/>
      <c r="C21" s="1" t="s">
        <v>223</v>
      </c>
      <c r="D21" s="20" t="s">
        <v>224</v>
      </c>
      <c r="E21" s="20"/>
      <c r="F21" s="1">
        <v>6</v>
      </c>
      <c r="G21" s="1">
        <v>1</v>
      </c>
      <c r="H21" s="1">
        <v>5</v>
      </c>
      <c r="I21" s="1"/>
      <c r="J21" s="1">
        <v>14</v>
      </c>
      <c r="K21" s="1"/>
      <c r="L21" s="20">
        <f t="shared" si="0"/>
        <v>125</v>
      </c>
      <c r="M21" s="20">
        <f t="shared" si="1"/>
        <v>250</v>
      </c>
      <c r="N21" s="1">
        <v>8</v>
      </c>
      <c r="O21" s="1">
        <v>8</v>
      </c>
      <c r="P21" s="20">
        <v>8</v>
      </c>
      <c r="Q21" s="1">
        <v>8</v>
      </c>
      <c r="R21" s="1">
        <v>8</v>
      </c>
      <c r="S21" s="72">
        <f t="shared" si="2"/>
        <v>3.2000000000000001E-2</v>
      </c>
    </row>
    <row r="22" spans="1:23" x14ac:dyDescent="0.25">
      <c r="A22" s="1" t="s">
        <v>256</v>
      </c>
      <c r="B22" s="1"/>
      <c r="C22" s="1" t="s">
        <v>223</v>
      </c>
      <c r="D22" s="20" t="s">
        <v>224</v>
      </c>
      <c r="E22" s="20"/>
      <c r="F22" s="1">
        <v>9</v>
      </c>
      <c r="G22" s="1"/>
      <c r="H22" s="1">
        <v>9</v>
      </c>
      <c r="I22" s="1"/>
      <c r="J22" s="1">
        <v>20</v>
      </c>
      <c r="K22" s="1"/>
      <c r="L22" s="20">
        <f t="shared" si="0"/>
        <v>180</v>
      </c>
      <c r="M22" s="20">
        <f t="shared" si="1"/>
        <v>360</v>
      </c>
      <c r="N22" s="1">
        <v>10</v>
      </c>
      <c r="O22" s="1">
        <v>10</v>
      </c>
      <c r="P22" s="20"/>
      <c r="Q22" s="1">
        <v>10</v>
      </c>
      <c r="R22" s="1"/>
      <c r="S22" s="72">
        <f t="shared" si="2"/>
        <v>2.7777777777777776E-2</v>
      </c>
    </row>
    <row r="23" spans="1:23" x14ac:dyDescent="0.25">
      <c r="A23" s="1" t="s">
        <v>257</v>
      </c>
      <c r="B23" s="1"/>
      <c r="C23" s="1" t="s">
        <v>223</v>
      </c>
      <c r="D23" s="20" t="s">
        <v>224</v>
      </c>
      <c r="E23" s="20"/>
      <c r="F23" s="1">
        <v>7</v>
      </c>
      <c r="G23" s="1"/>
      <c r="H23" s="1">
        <v>8</v>
      </c>
      <c r="I23" s="1"/>
      <c r="J23" s="1">
        <v>16</v>
      </c>
      <c r="K23" s="1"/>
      <c r="L23" s="20">
        <f t="shared" si="0"/>
        <v>150</v>
      </c>
      <c r="M23" s="20">
        <f t="shared" si="1"/>
        <v>300</v>
      </c>
      <c r="N23" s="1">
        <v>7</v>
      </c>
      <c r="O23" s="1"/>
      <c r="P23" s="20">
        <v>7</v>
      </c>
      <c r="Q23" s="1"/>
      <c r="R23" s="1"/>
      <c r="S23" s="72">
        <f t="shared" si="2"/>
        <v>2.3333333333333334E-2</v>
      </c>
    </row>
    <row r="24" spans="1:23" x14ac:dyDescent="0.25">
      <c r="A24" s="1" t="s">
        <v>258</v>
      </c>
      <c r="B24" s="1"/>
      <c r="C24" s="1" t="s">
        <v>223</v>
      </c>
      <c r="D24" s="20" t="s">
        <v>224</v>
      </c>
      <c r="E24" s="20"/>
      <c r="F24" s="1">
        <v>2</v>
      </c>
      <c r="G24" s="1"/>
      <c r="H24" s="1">
        <v>3</v>
      </c>
      <c r="I24" s="1"/>
      <c r="J24" s="1">
        <v>4</v>
      </c>
      <c r="K24" s="1"/>
      <c r="L24" s="20">
        <f t="shared" si="0"/>
        <v>50</v>
      </c>
      <c r="M24" s="20">
        <f t="shared" si="1"/>
        <v>100</v>
      </c>
      <c r="N24" s="1"/>
      <c r="O24" s="1"/>
      <c r="P24" s="20"/>
      <c r="Q24" s="1"/>
      <c r="R24" s="1"/>
      <c r="S24" s="72">
        <f t="shared" si="2"/>
        <v>0</v>
      </c>
    </row>
    <row r="25" spans="1:23" x14ac:dyDescent="0.25">
      <c r="A25" s="1" t="s">
        <v>259</v>
      </c>
      <c r="B25" s="1"/>
      <c r="C25" s="1" t="s">
        <v>223</v>
      </c>
      <c r="D25" s="20" t="s">
        <v>224</v>
      </c>
      <c r="E25" s="20"/>
      <c r="F25" s="1">
        <v>4</v>
      </c>
      <c r="G25" s="1"/>
      <c r="H25" s="1">
        <v>5</v>
      </c>
      <c r="I25" s="1"/>
      <c r="J25" s="1">
        <v>24</v>
      </c>
      <c r="K25" s="1"/>
      <c r="L25" s="20">
        <f t="shared" si="0"/>
        <v>90</v>
      </c>
      <c r="M25" s="20">
        <f t="shared" si="1"/>
        <v>180</v>
      </c>
      <c r="N25" s="1">
        <v>5</v>
      </c>
      <c r="O25" s="1">
        <v>5</v>
      </c>
      <c r="P25" s="1">
        <v>5</v>
      </c>
      <c r="Q25" s="1">
        <v>5</v>
      </c>
      <c r="R25" s="20">
        <v>5</v>
      </c>
      <c r="S25" s="72">
        <f t="shared" si="2"/>
        <v>2.7777777777777776E-2</v>
      </c>
    </row>
    <row r="26" spans="1:23" x14ac:dyDescent="0.25">
      <c r="A26" s="1" t="s">
        <v>260</v>
      </c>
      <c r="B26" s="1"/>
      <c r="C26" s="1" t="s">
        <v>223</v>
      </c>
      <c r="D26" s="20" t="s">
        <v>224</v>
      </c>
      <c r="E26" s="20"/>
      <c r="F26" s="1">
        <v>5</v>
      </c>
      <c r="G26" s="1">
        <v>3</v>
      </c>
      <c r="H26" s="1">
        <v>5</v>
      </c>
      <c r="I26" s="1">
        <v>2</v>
      </c>
      <c r="J26" s="1">
        <v>16</v>
      </c>
      <c r="K26" s="1"/>
      <c r="L26" s="20">
        <f t="shared" si="0"/>
        <v>245</v>
      </c>
      <c r="M26" s="20">
        <f t="shared" si="1"/>
        <v>490</v>
      </c>
      <c r="N26" s="1">
        <v>5</v>
      </c>
      <c r="O26" s="1"/>
      <c r="P26" s="1">
        <v>5</v>
      </c>
      <c r="Q26" s="1"/>
      <c r="R26" s="20">
        <v>5</v>
      </c>
      <c r="S26" s="72">
        <f t="shared" si="2"/>
        <v>1.020408163265306E-2</v>
      </c>
    </row>
    <row r="27" spans="1:23" x14ac:dyDescent="0.25">
      <c r="A27" s="1" t="s">
        <v>261</v>
      </c>
      <c r="B27" s="1"/>
      <c r="C27" s="1" t="s">
        <v>223</v>
      </c>
      <c r="D27" s="20" t="s">
        <v>224</v>
      </c>
      <c r="E27" s="20"/>
      <c r="F27" s="1">
        <v>5</v>
      </c>
      <c r="G27" s="1">
        <v>2</v>
      </c>
      <c r="H27" s="1">
        <v>5</v>
      </c>
      <c r="I27" s="1"/>
      <c r="J27" s="1">
        <v>12</v>
      </c>
      <c r="K27" s="1"/>
      <c r="L27" s="20">
        <f t="shared" si="0"/>
        <v>130</v>
      </c>
      <c r="M27" s="20">
        <f t="shared" si="1"/>
        <v>260</v>
      </c>
      <c r="N27" s="1"/>
      <c r="O27" s="1"/>
      <c r="P27" s="1"/>
      <c r="Q27" s="1"/>
      <c r="R27" s="1"/>
      <c r="S27" s="72">
        <f t="shared" si="2"/>
        <v>0</v>
      </c>
    </row>
    <row r="28" spans="1:23" x14ac:dyDescent="0.25">
      <c r="A28" s="1" t="s">
        <v>262</v>
      </c>
      <c r="B28" s="1"/>
      <c r="C28" s="1" t="s">
        <v>223</v>
      </c>
      <c r="D28" s="20" t="s">
        <v>224</v>
      </c>
      <c r="E28" s="20"/>
      <c r="F28" s="1">
        <v>7</v>
      </c>
      <c r="G28" s="1">
        <v>2</v>
      </c>
      <c r="H28" s="1">
        <v>6</v>
      </c>
      <c r="I28" s="1"/>
      <c r="J28" s="1">
        <v>20</v>
      </c>
      <c r="K28" s="1"/>
      <c r="L28" s="20">
        <f t="shared" si="0"/>
        <v>160</v>
      </c>
      <c r="M28" s="20">
        <f t="shared" si="1"/>
        <v>320</v>
      </c>
      <c r="N28" s="1">
        <v>12</v>
      </c>
      <c r="O28" s="1">
        <v>12</v>
      </c>
      <c r="P28" s="1">
        <v>12</v>
      </c>
      <c r="Q28" s="1">
        <v>12</v>
      </c>
      <c r="R28" s="1"/>
      <c r="S28" s="72">
        <f t="shared" si="2"/>
        <v>3.7499999999999999E-2</v>
      </c>
    </row>
    <row r="29" spans="1:23" x14ac:dyDescent="0.25">
      <c r="A29" s="1" t="s">
        <v>23</v>
      </c>
      <c r="B29" s="1"/>
      <c r="C29" s="1" t="s">
        <v>223</v>
      </c>
      <c r="D29" s="20" t="s">
        <v>224</v>
      </c>
      <c r="E29" s="20"/>
      <c r="F29" s="1">
        <v>7</v>
      </c>
      <c r="G29" s="1">
        <v>1</v>
      </c>
      <c r="H29" s="1">
        <v>7</v>
      </c>
      <c r="I29" s="1"/>
      <c r="J29" s="1">
        <v>20</v>
      </c>
      <c r="K29" s="1"/>
      <c r="L29" s="20">
        <f t="shared" si="0"/>
        <v>155</v>
      </c>
      <c r="M29" s="20">
        <f t="shared" si="1"/>
        <v>310</v>
      </c>
      <c r="N29" s="1">
        <v>8</v>
      </c>
      <c r="O29" s="1"/>
      <c r="P29" s="1">
        <v>8</v>
      </c>
      <c r="Q29" s="1">
        <v>8</v>
      </c>
      <c r="R29" s="1"/>
      <c r="S29" s="72">
        <f t="shared" si="2"/>
        <v>2.5806451612903226E-2</v>
      </c>
    </row>
    <row r="30" spans="1:23" x14ac:dyDescent="0.25">
      <c r="A30" s="1" t="s">
        <v>263</v>
      </c>
      <c r="B30" s="1"/>
      <c r="C30" s="1" t="s">
        <v>223</v>
      </c>
      <c r="D30" s="20" t="s">
        <v>224</v>
      </c>
      <c r="E30" s="20"/>
      <c r="F30" s="1">
        <v>8</v>
      </c>
      <c r="G30" s="1">
        <v>2</v>
      </c>
      <c r="H30" s="1">
        <v>5</v>
      </c>
      <c r="I30" s="1"/>
      <c r="J30" s="1">
        <v>6</v>
      </c>
      <c r="K30" s="1"/>
      <c r="L30" s="20">
        <f t="shared" si="0"/>
        <v>160</v>
      </c>
      <c r="M30" s="20">
        <f t="shared" si="1"/>
        <v>320</v>
      </c>
      <c r="N30" s="1"/>
      <c r="O30" s="1"/>
      <c r="P30" s="1"/>
      <c r="Q30" s="1"/>
      <c r="R30" s="1"/>
      <c r="S30" s="72">
        <f t="shared" si="2"/>
        <v>0</v>
      </c>
    </row>
    <row r="31" spans="1:23" x14ac:dyDescent="0.25">
      <c r="A31" s="1" t="s">
        <v>264</v>
      </c>
      <c r="B31" s="1"/>
      <c r="C31" s="1" t="s">
        <v>223</v>
      </c>
      <c r="D31" s="20" t="s">
        <v>224</v>
      </c>
      <c r="E31" s="20"/>
      <c r="F31" s="1">
        <v>9</v>
      </c>
      <c r="G31" s="1"/>
      <c r="H31" s="1">
        <v>9</v>
      </c>
      <c r="I31" s="1"/>
      <c r="J31" s="1">
        <v>16</v>
      </c>
      <c r="K31" s="1"/>
      <c r="L31" s="20">
        <f t="shared" si="0"/>
        <v>180</v>
      </c>
      <c r="M31" s="20">
        <f t="shared" si="1"/>
        <v>360</v>
      </c>
      <c r="N31" s="1"/>
      <c r="O31" s="1"/>
      <c r="P31" s="1"/>
      <c r="Q31" s="1"/>
      <c r="R31" s="1"/>
      <c r="S31" s="72">
        <f t="shared" si="2"/>
        <v>0</v>
      </c>
    </row>
    <row r="32" spans="1:23" x14ac:dyDescent="0.25">
      <c r="A32" s="1" t="s">
        <v>265</v>
      </c>
      <c r="B32" s="1"/>
      <c r="C32" s="1" t="s">
        <v>223</v>
      </c>
      <c r="D32" s="20" t="s">
        <v>224</v>
      </c>
      <c r="E32" s="20"/>
      <c r="F32" s="1">
        <v>4</v>
      </c>
      <c r="G32" s="1">
        <v>1</v>
      </c>
      <c r="H32" s="1">
        <v>4</v>
      </c>
      <c r="I32" s="1"/>
      <c r="J32" s="1">
        <v>12</v>
      </c>
      <c r="K32" s="1"/>
      <c r="L32" s="20">
        <f t="shared" si="0"/>
        <v>95</v>
      </c>
      <c r="M32" s="20">
        <f t="shared" si="1"/>
        <v>190</v>
      </c>
      <c r="N32" s="1">
        <v>2</v>
      </c>
      <c r="O32" s="1">
        <v>2</v>
      </c>
      <c r="P32" s="1"/>
      <c r="Q32" s="1"/>
      <c r="R32" s="1"/>
      <c r="S32" s="72">
        <f t="shared" si="2"/>
        <v>1.0526315789473684E-2</v>
      </c>
    </row>
    <row r="33" spans="1:19" x14ac:dyDescent="0.25">
      <c r="A33" s="1" t="s">
        <v>41</v>
      </c>
      <c r="B33" s="1"/>
      <c r="C33" s="1" t="s">
        <v>223</v>
      </c>
      <c r="D33" s="20" t="s">
        <v>224</v>
      </c>
      <c r="E33" s="20"/>
      <c r="F33" s="1">
        <v>15</v>
      </c>
      <c r="G33" s="1"/>
      <c r="H33" s="1">
        <v>15</v>
      </c>
      <c r="I33" s="1"/>
      <c r="J33" s="1">
        <v>20</v>
      </c>
      <c r="K33" s="1"/>
      <c r="L33" s="20">
        <f t="shared" si="0"/>
        <v>300</v>
      </c>
      <c r="M33" s="20">
        <f t="shared" si="1"/>
        <v>600</v>
      </c>
      <c r="N33" s="1">
        <v>10</v>
      </c>
      <c r="O33" s="1">
        <v>10</v>
      </c>
      <c r="P33" s="1"/>
      <c r="Q33" s="1"/>
      <c r="R33" s="1"/>
      <c r="S33" s="72">
        <f t="shared" si="2"/>
        <v>1.6666666666666666E-2</v>
      </c>
    </row>
    <row r="34" spans="1:19" x14ac:dyDescent="0.25">
      <c r="A34" s="1" t="s">
        <v>47</v>
      </c>
      <c r="B34" s="1"/>
      <c r="C34" s="1" t="s">
        <v>223</v>
      </c>
      <c r="D34" s="20" t="s">
        <v>224</v>
      </c>
      <c r="E34" s="20"/>
      <c r="F34" s="1">
        <v>9</v>
      </c>
      <c r="G34" s="1">
        <v>1</v>
      </c>
      <c r="H34" s="1">
        <v>8</v>
      </c>
      <c r="I34" s="1"/>
      <c r="J34" s="1">
        <v>20</v>
      </c>
      <c r="K34" s="1"/>
      <c r="L34" s="20">
        <f t="shared" si="0"/>
        <v>185</v>
      </c>
      <c r="M34" s="20">
        <f t="shared" si="1"/>
        <v>370</v>
      </c>
      <c r="N34" s="1">
        <v>10</v>
      </c>
      <c r="O34" s="1">
        <v>10</v>
      </c>
      <c r="P34" s="20"/>
      <c r="Q34" s="1"/>
      <c r="R34" s="1"/>
      <c r="S34" s="72">
        <f t="shared" si="2"/>
        <v>2.7027027027027029E-2</v>
      </c>
    </row>
    <row r="35" spans="1:19" x14ac:dyDescent="0.25">
      <c r="A35" s="1" t="s">
        <v>266</v>
      </c>
      <c r="B35" s="1"/>
      <c r="C35" s="1" t="s">
        <v>223</v>
      </c>
      <c r="D35" s="20" t="s">
        <v>224</v>
      </c>
      <c r="E35" s="20"/>
      <c r="F35" s="1">
        <v>8</v>
      </c>
      <c r="G35" s="1"/>
      <c r="H35" s="1">
        <v>7</v>
      </c>
      <c r="I35" s="1"/>
      <c r="J35" s="1">
        <v>16</v>
      </c>
      <c r="K35" s="1"/>
      <c r="L35" s="20">
        <f t="shared" si="0"/>
        <v>150</v>
      </c>
      <c r="M35" s="20">
        <f t="shared" si="1"/>
        <v>300</v>
      </c>
      <c r="N35" s="1">
        <v>10</v>
      </c>
      <c r="O35" s="1"/>
      <c r="P35" s="20"/>
      <c r="Q35" s="1"/>
      <c r="R35" s="1"/>
      <c r="S35" s="72">
        <f t="shared" si="2"/>
        <v>3.3333333333333333E-2</v>
      </c>
    </row>
    <row r="36" spans="1:19" x14ac:dyDescent="0.25">
      <c r="A36" s="1" t="s">
        <v>40</v>
      </c>
      <c r="B36" s="1"/>
      <c r="C36" s="1" t="s">
        <v>223</v>
      </c>
      <c r="D36" s="20" t="s">
        <v>224</v>
      </c>
      <c r="E36" s="20"/>
      <c r="F36" s="1">
        <v>5</v>
      </c>
      <c r="G36" s="1"/>
      <c r="H36" s="1">
        <v>4</v>
      </c>
      <c r="I36" s="1"/>
      <c r="J36" s="1">
        <v>12</v>
      </c>
      <c r="K36" s="1"/>
      <c r="L36" s="20">
        <f t="shared" si="0"/>
        <v>90</v>
      </c>
      <c r="M36" s="20">
        <f t="shared" si="1"/>
        <v>180</v>
      </c>
      <c r="N36" s="1">
        <v>8</v>
      </c>
      <c r="O36" s="20">
        <v>8</v>
      </c>
      <c r="P36" s="1"/>
      <c r="Q36" s="1"/>
      <c r="R36" s="1"/>
      <c r="S36" s="72">
        <f t="shared" si="2"/>
        <v>4.4444444444444446E-2</v>
      </c>
    </row>
    <row r="37" spans="1:19" x14ac:dyDescent="0.25">
      <c r="A37" s="1" t="s">
        <v>267</v>
      </c>
      <c r="B37" s="1"/>
      <c r="C37" s="1" t="s">
        <v>223</v>
      </c>
      <c r="D37" s="20" t="s">
        <v>224</v>
      </c>
      <c r="E37" s="20"/>
      <c r="F37" s="1">
        <v>15</v>
      </c>
      <c r="G37" s="1">
        <v>3</v>
      </c>
      <c r="H37" s="1">
        <v>12</v>
      </c>
      <c r="I37" s="1"/>
      <c r="J37" s="1">
        <v>40</v>
      </c>
      <c r="K37" s="1"/>
      <c r="L37" s="20">
        <f t="shared" si="0"/>
        <v>315</v>
      </c>
      <c r="M37" s="20">
        <f t="shared" si="1"/>
        <v>630</v>
      </c>
      <c r="N37" s="1"/>
      <c r="O37" s="1"/>
      <c r="P37" s="1"/>
      <c r="Q37" s="1"/>
      <c r="R37" s="1"/>
      <c r="S37" s="72">
        <f t="shared" si="2"/>
        <v>0</v>
      </c>
    </row>
    <row r="38" spans="1:19" x14ac:dyDescent="0.25">
      <c r="A38" s="1" t="s">
        <v>268</v>
      </c>
      <c r="B38" s="1"/>
      <c r="C38" s="1" t="s">
        <v>223</v>
      </c>
      <c r="D38" s="20" t="s">
        <v>224</v>
      </c>
      <c r="E38" s="20"/>
      <c r="F38" s="1">
        <v>4</v>
      </c>
      <c r="G38" s="1"/>
      <c r="H38" s="1">
        <v>4</v>
      </c>
      <c r="I38" s="1"/>
      <c r="J38" s="1">
        <v>10</v>
      </c>
      <c r="K38" s="1"/>
      <c r="L38" s="20">
        <f t="shared" si="0"/>
        <v>80</v>
      </c>
      <c r="M38" s="20">
        <f t="shared" si="1"/>
        <v>160</v>
      </c>
      <c r="N38" s="1"/>
      <c r="O38" s="1"/>
      <c r="P38" s="1"/>
      <c r="Q38" s="1"/>
      <c r="R38" s="1"/>
      <c r="S38" s="72">
        <f t="shared" si="2"/>
        <v>0</v>
      </c>
    </row>
    <row r="39" spans="1:19" x14ac:dyDescent="0.25">
      <c r="A39" s="1" t="s">
        <v>269</v>
      </c>
      <c r="B39" s="1"/>
      <c r="C39" s="1" t="s">
        <v>223</v>
      </c>
      <c r="D39" s="20" t="s">
        <v>224</v>
      </c>
      <c r="E39" s="20"/>
      <c r="F39" s="1">
        <v>8</v>
      </c>
      <c r="G39" s="1"/>
      <c r="H39" s="1">
        <v>7</v>
      </c>
      <c r="I39" s="1"/>
      <c r="J39" s="1">
        <v>16</v>
      </c>
      <c r="K39" s="1"/>
      <c r="L39" s="20">
        <f t="shared" si="0"/>
        <v>150</v>
      </c>
      <c r="M39" s="20">
        <f t="shared" si="1"/>
        <v>300</v>
      </c>
      <c r="N39" s="1">
        <v>12</v>
      </c>
      <c r="O39" s="1">
        <v>12</v>
      </c>
      <c r="P39" s="1"/>
      <c r="Q39" s="1">
        <v>12</v>
      </c>
      <c r="R39" s="1"/>
      <c r="S39" s="72">
        <f t="shared" si="2"/>
        <v>0.04</v>
      </c>
    </row>
    <row r="40" spans="1:19" x14ac:dyDescent="0.25">
      <c r="A40" s="1" t="s">
        <v>270</v>
      </c>
      <c r="B40" s="1"/>
      <c r="C40" s="1" t="s">
        <v>223</v>
      </c>
      <c r="D40" s="20" t="s">
        <v>224</v>
      </c>
      <c r="E40" s="20"/>
      <c r="F40" s="1">
        <v>7</v>
      </c>
      <c r="G40" s="1">
        <v>2</v>
      </c>
      <c r="H40" s="1">
        <v>6</v>
      </c>
      <c r="I40" s="1"/>
      <c r="J40" s="1">
        <v>20</v>
      </c>
      <c r="K40" s="1"/>
      <c r="L40" s="20">
        <f t="shared" si="0"/>
        <v>160</v>
      </c>
      <c r="M40" s="20">
        <f t="shared" si="1"/>
        <v>320</v>
      </c>
      <c r="N40" s="1">
        <v>4</v>
      </c>
      <c r="O40" s="1">
        <v>4</v>
      </c>
      <c r="P40" s="1"/>
      <c r="Q40" s="1"/>
      <c r="R40" s="1"/>
      <c r="S40" s="72">
        <f t="shared" si="2"/>
        <v>1.2500000000000001E-2</v>
      </c>
    </row>
    <row r="41" spans="1:19" x14ac:dyDescent="0.25">
      <c r="A41" s="1" t="s">
        <v>271</v>
      </c>
      <c r="B41" s="1"/>
      <c r="C41" s="1" t="s">
        <v>223</v>
      </c>
      <c r="D41" s="20" t="s">
        <v>224</v>
      </c>
      <c r="E41" s="20"/>
      <c r="F41" s="1">
        <v>18</v>
      </c>
      <c r="G41" s="1">
        <v>3</v>
      </c>
      <c r="H41" s="1">
        <v>17</v>
      </c>
      <c r="I41" s="1"/>
      <c r="J41" s="1">
        <v>40</v>
      </c>
      <c r="K41" s="1"/>
      <c r="L41" s="20">
        <f t="shared" si="0"/>
        <v>395</v>
      </c>
      <c r="M41" s="20">
        <f t="shared" si="1"/>
        <v>790</v>
      </c>
      <c r="N41" s="1">
        <v>12</v>
      </c>
      <c r="O41" s="1"/>
      <c r="P41" s="1">
        <v>12</v>
      </c>
      <c r="Q41" s="1"/>
      <c r="R41" s="1"/>
      <c r="S41" s="72">
        <f t="shared" si="2"/>
        <v>1.5189873417721518E-2</v>
      </c>
    </row>
    <row r="42" spans="1:19" x14ac:dyDescent="0.25">
      <c r="A42" s="1" t="s">
        <v>43</v>
      </c>
      <c r="B42" s="1"/>
      <c r="C42" s="1" t="s">
        <v>223</v>
      </c>
      <c r="D42" s="20" t="s">
        <v>224</v>
      </c>
      <c r="E42" s="20"/>
      <c r="F42" s="1">
        <v>4</v>
      </c>
      <c r="G42" s="1">
        <v>1</v>
      </c>
      <c r="H42" s="1">
        <v>3</v>
      </c>
      <c r="I42" s="1"/>
      <c r="J42" s="1">
        <v>10</v>
      </c>
      <c r="K42" s="1"/>
      <c r="L42" s="20">
        <f t="shared" si="0"/>
        <v>85</v>
      </c>
      <c r="M42" s="20">
        <f t="shared" si="1"/>
        <v>170</v>
      </c>
      <c r="N42" s="1">
        <v>5</v>
      </c>
      <c r="O42" s="1">
        <v>5</v>
      </c>
      <c r="P42" s="1"/>
      <c r="Q42" s="1"/>
      <c r="R42" s="1"/>
      <c r="S42" s="72">
        <f t="shared" si="2"/>
        <v>2.9411764705882353E-2</v>
      </c>
    </row>
    <row r="43" spans="1:19" x14ac:dyDescent="0.25">
      <c r="A43" s="1" t="s">
        <v>272</v>
      </c>
      <c r="B43" s="1"/>
      <c r="C43" s="1" t="s">
        <v>223</v>
      </c>
      <c r="D43" s="20" t="s">
        <v>224</v>
      </c>
      <c r="E43" s="20"/>
      <c r="F43" s="1">
        <v>6</v>
      </c>
      <c r="G43" s="1">
        <v>1</v>
      </c>
      <c r="H43" s="1">
        <v>6</v>
      </c>
      <c r="I43" s="1">
        <v>1</v>
      </c>
      <c r="J43" s="1">
        <v>16</v>
      </c>
      <c r="K43" s="1"/>
      <c r="L43" s="20">
        <f t="shared" si="0"/>
        <v>185</v>
      </c>
      <c r="M43" s="20">
        <f t="shared" si="1"/>
        <v>370</v>
      </c>
      <c r="N43" s="1">
        <v>8</v>
      </c>
      <c r="O43" s="1"/>
      <c r="P43" s="1">
        <v>8</v>
      </c>
      <c r="Q43" s="1"/>
      <c r="R43" s="1"/>
      <c r="S43" s="72">
        <f t="shared" si="2"/>
        <v>2.1621621621621623E-2</v>
      </c>
    </row>
    <row r="44" spans="1:19" x14ac:dyDescent="0.25">
      <c r="A44" s="1" t="s">
        <v>273</v>
      </c>
      <c r="B44" s="1"/>
      <c r="C44" s="1" t="s">
        <v>223</v>
      </c>
      <c r="D44" s="20" t="s">
        <v>224</v>
      </c>
      <c r="E44" s="20"/>
      <c r="F44" s="1">
        <v>4</v>
      </c>
      <c r="G44" s="1"/>
      <c r="H44" s="1">
        <v>4</v>
      </c>
      <c r="I44" s="1"/>
      <c r="J44" s="1">
        <v>12</v>
      </c>
      <c r="K44" s="1"/>
      <c r="L44" s="20">
        <f t="shared" si="0"/>
        <v>80</v>
      </c>
      <c r="M44" s="20">
        <f t="shared" si="1"/>
        <v>160</v>
      </c>
      <c r="N44" s="1">
        <v>4</v>
      </c>
      <c r="O44" s="20">
        <v>4</v>
      </c>
      <c r="P44" s="1"/>
      <c r="Q44" s="1"/>
      <c r="R44" s="1"/>
      <c r="S44" s="72">
        <f t="shared" si="2"/>
        <v>2.5000000000000001E-2</v>
      </c>
    </row>
    <row r="45" spans="1:19" x14ac:dyDescent="0.25">
      <c r="A45" s="1" t="s">
        <v>274</v>
      </c>
      <c r="B45" s="1"/>
      <c r="C45" s="1" t="s">
        <v>223</v>
      </c>
      <c r="D45" s="20" t="s">
        <v>224</v>
      </c>
      <c r="E45" s="20"/>
      <c r="F45" s="1">
        <v>15</v>
      </c>
      <c r="G45" s="1"/>
      <c r="H45" s="1">
        <v>15</v>
      </c>
      <c r="I45" s="1"/>
      <c r="J45" s="1">
        <v>12</v>
      </c>
      <c r="K45" s="1"/>
      <c r="L45" s="20">
        <f t="shared" si="0"/>
        <v>300</v>
      </c>
      <c r="M45" s="20">
        <f t="shared" si="1"/>
        <v>600</v>
      </c>
      <c r="N45" s="1">
        <v>5</v>
      </c>
      <c r="O45" s="1"/>
      <c r="P45" s="20">
        <v>5</v>
      </c>
      <c r="Q45" s="1"/>
      <c r="R45" s="1"/>
      <c r="S45" s="72">
        <f t="shared" si="2"/>
        <v>8.3333333333333332E-3</v>
      </c>
    </row>
    <row r="46" spans="1:19" x14ac:dyDescent="0.25">
      <c r="A46" s="1" t="s">
        <v>275</v>
      </c>
      <c r="B46" s="1"/>
      <c r="C46" s="1" t="s">
        <v>223</v>
      </c>
      <c r="D46" s="20" t="s">
        <v>224</v>
      </c>
      <c r="E46" s="20"/>
      <c r="F46" s="1">
        <v>3</v>
      </c>
      <c r="G46" s="1"/>
      <c r="H46" s="1">
        <v>3</v>
      </c>
      <c r="I46" s="1"/>
      <c r="J46" s="1">
        <v>8</v>
      </c>
      <c r="K46" s="1"/>
      <c r="L46" s="20">
        <f t="shared" si="0"/>
        <v>60</v>
      </c>
      <c r="M46" s="20">
        <f t="shared" si="1"/>
        <v>120</v>
      </c>
      <c r="N46" s="1">
        <v>3</v>
      </c>
      <c r="O46" s="20">
        <v>3</v>
      </c>
      <c r="P46" s="1"/>
      <c r="Q46" s="1"/>
      <c r="R46" s="1"/>
      <c r="S46" s="72">
        <f t="shared" si="2"/>
        <v>2.5000000000000001E-2</v>
      </c>
    </row>
    <row r="47" spans="1:19" x14ac:dyDescent="0.25">
      <c r="A47" s="1" t="s">
        <v>276</v>
      </c>
      <c r="B47" s="1"/>
      <c r="C47" s="1" t="s">
        <v>223</v>
      </c>
      <c r="D47" s="20" t="s">
        <v>224</v>
      </c>
      <c r="E47" s="20"/>
      <c r="F47" s="1">
        <v>3</v>
      </c>
      <c r="G47" s="1"/>
      <c r="H47" s="1">
        <v>3</v>
      </c>
      <c r="I47" s="1"/>
      <c r="J47" s="1">
        <v>4</v>
      </c>
      <c r="K47" s="1"/>
      <c r="L47" s="20">
        <f t="shared" si="0"/>
        <v>60</v>
      </c>
      <c r="M47" s="20">
        <f t="shared" si="1"/>
        <v>120</v>
      </c>
      <c r="N47" s="1"/>
      <c r="O47" s="1"/>
      <c r="P47" s="1"/>
      <c r="Q47" s="1"/>
      <c r="R47" s="1"/>
      <c r="S47" s="72">
        <f t="shared" si="2"/>
        <v>0</v>
      </c>
    </row>
    <row r="48" spans="1:19" x14ac:dyDescent="0.25">
      <c r="A48" s="1" t="s">
        <v>277</v>
      </c>
      <c r="B48" s="1"/>
      <c r="C48" s="1" t="s">
        <v>223</v>
      </c>
      <c r="D48" s="20" t="s">
        <v>224</v>
      </c>
      <c r="E48" s="20"/>
      <c r="F48" s="1">
        <v>7</v>
      </c>
      <c r="G48" s="1">
        <v>1</v>
      </c>
      <c r="H48" s="1">
        <v>7</v>
      </c>
      <c r="I48" s="1"/>
      <c r="J48" s="1">
        <v>16</v>
      </c>
      <c r="K48" s="1"/>
      <c r="L48" s="20">
        <f t="shared" si="0"/>
        <v>155</v>
      </c>
      <c r="M48" s="20">
        <f t="shared" si="1"/>
        <v>310</v>
      </c>
      <c r="N48" s="1">
        <v>10</v>
      </c>
      <c r="O48" s="1">
        <v>10</v>
      </c>
      <c r="P48" s="1"/>
      <c r="Q48" s="1"/>
      <c r="R48" s="1"/>
      <c r="S48" s="72">
        <f t="shared" si="2"/>
        <v>3.2258064516129031E-2</v>
      </c>
    </row>
    <row r="49" spans="1:19" x14ac:dyDescent="0.25">
      <c r="A49" s="1" t="s">
        <v>80</v>
      </c>
      <c r="B49" s="1"/>
      <c r="C49" s="1" t="s">
        <v>223</v>
      </c>
      <c r="D49" s="20" t="s">
        <v>224</v>
      </c>
      <c r="E49" s="20"/>
      <c r="F49" s="1">
        <v>10</v>
      </c>
      <c r="G49" s="1">
        <v>1</v>
      </c>
      <c r="H49" s="1">
        <v>10</v>
      </c>
      <c r="I49" s="1"/>
      <c r="J49" s="1">
        <v>30</v>
      </c>
      <c r="K49" s="1"/>
      <c r="L49" s="20">
        <f t="shared" si="0"/>
        <v>215</v>
      </c>
      <c r="M49" s="20">
        <f t="shared" si="1"/>
        <v>430</v>
      </c>
      <c r="N49" s="20">
        <v>12</v>
      </c>
      <c r="O49" s="1"/>
      <c r="P49" s="1"/>
      <c r="Q49" s="1"/>
      <c r="R49" s="1"/>
      <c r="S49" s="72">
        <f t="shared" si="2"/>
        <v>2.7906976744186046E-2</v>
      </c>
    </row>
    <row r="50" spans="1:19" x14ac:dyDescent="0.25">
      <c r="A50" s="1" t="s">
        <v>278</v>
      </c>
      <c r="B50" s="1"/>
      <c r="C50" s="1" t="s">
        <v>223</v>
      </c>
      <c r="D50" s="20" t="s">
        <v>224</v>
      </c>
      <c r="E50" s="20"/>
      <c r="F50" s="1">
        <v>9</v>
      </c>
      <c r="G50" s="1">
        <v>3</v>
      </c>
      <c r="H50" s="1">
        <v>8</v>
      </c>
      <c r="I50" s="1"/>
      <c r="J50" s="1">
        <v>20</v>
      </c>
      <c r="K50" s="1"/>
      <c r="L50" s="20">
        <f t="shared" si="0"/>
        <v>215</v>
      </c>
      <c r="M50" s="20">
        <f t="shared" si="1"/>
        <v>430</v>
      </c>
      <c r="N50" s="20">
        <v>12</v>
      </c>
      <c r="O50" s="1"/>
      <c r="P50" s="1">
        <v>12</v>
      </c>
      <c r="Q50" s="1"/>
      <c r="R50" s="1">
        <v>12</v>
      </c>
      <c r="S50" s="72">
        <f t="shared" si="2"/>
        <v>2.7906976744186046E-2</v>
      </c>
    </row>
    <row r="51" spans="1:19" x14ac:dyDescent="0.25">
      <c r="A51" s="1" t="s">
        <v>279</v>
      </c>
      <c r="B51" s="1"/>
      <c r="C51" s="1" t="s">
        <v>223</v>
      </c>
      <c r="D51" s="20" t="s">
        <v>224</v>
      </c>
      <c r="E51" s="20"/>
      <c r="F51" s="1">
        <v>8</v>
      </c>
      <c r="G51" s="1"/>
      <c r="H51" s="1">
        <v>7</v>
      </c>
      <c r="I51" s="1"/>
      <c r="J51" s="1">
        <v>20</v>
      </c>
      <c r="K51" s="1"/>
      <c r="L51" s="20">
        <f t="shared" si="0"/>
        <v>150</v>
      </c>
      <c r="M51" s="20">
        <f t="shared" si="1"/>
        <v>300</v>
      </c>
      <c r="N51" s="20">
        <v>8</v>
      </c>
      <c r="O51" s="1">
        <v>8</v>
      </c>
      <c r="P51" s="1"/>
      <c r="Q51" s="1"/>
      <c r="R51" s="1"/>
      <c r="S51" s="72">
        <f t="shared" si="2"/>
        <v>2.6666666666666668E-2</v>
      </c>
    </row>
    <row r="52" spans="1:19" x14ac:dyDescent="0.25">
      <c r="A52" s="1" t="s">
        <v>280</v>
      </c>
      <c r="B52" s="1"/>
      <c r="C52" s="1" t="s">
        <v>223</v>
      </c>
      <c r="D52" s="20" t="s">
        <v>224</v>
      </c>
      <c r="E52" s="20"/>
      <c r="F52" s="1">
        <v>6</v>
      </c>
      <c r="G52" s="1">
        <v>1</v>
      </c>
      <c r="H52" s="1">
        <v>5</v>
      </c>
      <c r="I52" s="1"/>
      <c r="J52" s="1">
        <v>14</v>
      </c>
      <c r="K52" s="1"/>
      <c r="L52" s="20">
        <f t="shared" si="0"/>
        <v>125</v>
      </c>
      <c r="M52" s="20">
        <f t="shared" si="1"/>
        <v>250</v>
      </c>
      <c r="N52" s="20">
        <v>6</v>
      </c>
      <c r="O52" s="1"/>
      <c r="P52" s="1">
        <v>6</v>
      </c>
      <c r="Q52" s="1"/>
      <c r="R52" s="1"/>
      <c r="S52" s="72">
        <f t="shared" si="2"/>
        <v>2.4E-2</v>
      </c>
    </row>
    <row r="53" spans="1:19" x14ac:dyDescent="0.25">
      <c r="A53" s="1" t="s">
        <v>281</v>
      </c>
      <c r="B53" s="1"/>
      <c r="C53" s="1" t="s">
        <v>223</v>
      </c>
      <c r="D53" s="20" t="s">
        <v>224</v>
      </c>
      <c r="E53" s="20"/>
      <c r="F53" s="1">
        <v>8</v>
      </c>
      <c r="G53" s="1"/>
      <c r="H53" s="1">
        <v>9</v>
      </c>
      <c r="I53" s="1">
        <v>1</v>
      </c>
      <c r="J53" s="1">
        <v>20</v>
      </c>
      <c r="K53" s="1"/>
      <c r="L53" s="20">
        <f t="shared" si="0"/>
        <v>220</v>
      </c>
      <c r="M53" s="20">
        <f t="shared" si="1"/>
        <v>440</v>
      </c>
      <c r="N53" s="20">
        <v>5</v>
      </c>
      <c r="O53" s="1"/>
      <c r="P53" s="1">
        <v>5</v>
      </c>
      <c r="Q53" s="1"/>
      <c r="R53" s="1">
        <v>5</v>
      </c>
      <c r="S53" s="72">
        <f t="shared" si="2"/>
        <v>1.1363636363636364E-2</v>
      </c>
    </row>
    <row r="54" spans="1:19" x14ac:dyDescent="0.25">
      <c r="A54" s="1" t="s">
        <v>81</v>
      </c>
      <c r="B54" s="1"/>
      <c r="C54" s="1" t="s">
        <v>223</v>
      </c>
      <c r="D54" s="20" t="s">
        <v>224</v>
      </c>
      <c r="E54" s="20"/>
      <c r="F54" s="1">
        <v>3</v>
      </c>
      <c r="G54" s="1"/>
      <c r="H54" s="1">
        <v>3</v>
      </c>
      <c r="I54" s="1"/>
      <c r="J54" s="1">
        <v>8</v>
      </c>
      <c r="K54" s="1"/>
      <c r="L54" s="20">
        <f t="shared" si="0"/>
        <v>60</v>
      </c>
      <c r="M54" s="20">
        <f t="shared" si="1"/>
        <v>120</v>
      </c>
      <c r="N54" s="1"/>
      <c r="O54" s="1"/>
      <c r="P54" s="1"/>
      <c r="Q54" s="1"/>
      <c r="R54" s="1"/>
      <c r="S54" s="72">
        <f t="shared" si="2"/>
        <v>0</v>
      </c>
    </row>
    <row r="55" spans="1:19" x14ac:dyDescent="0.25">
      <c r="A55" s="1" t="s">
        <v>282</v>
      </c>
      <c r="B55" s="1"/>
      <c r="C55" s="1" t="s">
        <v>223</v>
      </c>
      <c r="D55" s="20" t="s">
        <v>224</v>
      </c>
      <c r="E55" s="20"/>
      <c r="F55" s="1">
        <v>1</v>
      </c>
      <c r="G55" s="1"/>
      <c r="H55" s="1">
        <v>1</v>
      </c>
      <c r="I55" s="1"/>
      <c r="J55" s="1">
        <v>2</v>
      </c>
      <c r="K55" s="1"/>
      <c r="L55" s="20">
        <f t="shared" si="0"/>
        <v>20</v>
      </c>
      <c r="M55" s="20">
        <f t="shared" si="1"/>
        <v>40</v>
      </c>
      <c r="N55" s="1">
        <v>1</v>
      </c>
      <c r="O55" s="1"/>
      <c r="P55" s="1"/>
      <c r="Q55" s="1">
        <v>1</v>
      </c>
      <c r="R55" s="1"/>
      <c r="S55" s="72">
        <f t="shared" si="2"/>
        <v>2.5000000000000001E-2</v>
      </c>
    </row>
    <row r="56" spans="1:19" x14ac:dyDescent="0.25">
      <c r="A56" s="1" t="s">
        <v>283</v>
      </c>
      <c r="B56" s="1"/>
      <c r="C56" s="1" t="s">
        <v>223</v>
      </c>
      <c r="D56" s="20" t="s">
        <v>224</v>
      </c>
      <c r="E56" s="20"/>
      <c r="F56" s="1">
        <v>9</v>
      </c>
      <c r="G56" s="1">
        <v>2</v>
      </c>
      <c r="H56" s="1">
        <v>7</v>
      </c>
      <c r="I56" s="1"/>
      <c r="J56" s="1">
        <v>20</v>
      </c>
      <c r="K56" s="1"/>
      <c r="L56" s="20">
        <f t="shared" si="0"/>
        <v>190</v>
      </c>
      <c r="M56" s="20">
        <f t="shared" si="1"/>
        <v>380</v>
      </c>
      <c r="N56" s="1">
        <v>8</v>
      </c>
      <c r="O56" s="1">
        <v>8</v>
      </c>
      <c r="P56" s="1">
        <v>8</v>
      </c>
      <c r="Q56" s="1">
        <v>8</v>
      </c>
      <c r="R56" s="1"/>
      <c r="S56" s="72">
        <f t="shared" si="2"/>
        <v>2.1052631578947368E-2</v>
      </c>
    </row>
    <row r="57" spans="1:19" x14ac:dyDescent="0.25">
      <c r="A57" s="1" t="s">
        <v>284</v>
      </c>
      <c r="B57" s="1"/>
      <c r="C57" s="1" t="s">
        <v>223</v>
      </c>
      <c r="D57" s="20" t="s">
        <v>224</v>
      </c>
      <c r="E57" s="20"/>
      <c r="F57" s="1">
        <v>4</v>
      </c>
      <c r="G57" s="1"/>
      <c r="H57" s="1">
        <v>4</v>
      </c>
      <c r="I57" s="1">
        <v>1</v>
      </c>
      <c r="J57" s="1">
        <v>12</v>
      </c>
      <c r="K57" s="1"/>
      <c r="L57" s="20">
        <f t="shared" si="0"/>
        <v>130</v>
      </c>
      <c r="M57" s="20">
        <f t="shared" si="1"/>
        <v>260</v>
      </c>
      <c r="N57" s="1">
        <v>5</v>
      </c>
      <c r="O57" s="1"/>
      <c r="P57" s="1">
        <v>5</v>
      </c>
      <c r="Q57" s="1"/>
      <c r="R57" s="1"/>
      <c r="S57" s="72">
        <f t="shared" si="2"/>
        <v>1.9230769230769232E-2</v>
      </c>
    </row>
    <row r="58" spans="1:19" x14ac:dyDescent="0.25">
      <c r="A58" s="1" t="s">
        <v>285</v>
      </c>
      <c r="B58" s="1"/>
      <c r="C58" s="1" t="s">
        <v>223</v>
      </c>
      <c r="D58" s="20" t="s">
        <v>224</v>
      </c>
      <c r="E58" s="20"/>
      <c r="F58" s="1">
        <v>2</v>
      </c>
      <c r="G58" s="1">
        <v>1</v>
      </c>
      <c r="H58" s="1">
        <v>1</v>
      </c>
      <c r="I58" s="1">
        <v>1</v>
      </c>
      <c r="J58" s="1">
        <v>6</v>
      </c>
      <c r="K58" s="1"/>
      <c r="L58" s="20">
        <f t="shared" si="0"/>
        <v>95</v>
      </c>
      <c r="M58" s="20">
        <f t="shared" si="1"/>
        <v>190</v>
      </c>
      <c r="N58" s="1"/>
      <c r="O58" s="1"/>
      <c r="P58" s="1"/>
      <c r="Q58" s="1"/>
      <c r="R58" s="1"/>
      <c r="S58" s="72">
        <f t="shared" si="2"/>
        <v>0</v>
      </c>
    </row>
    <row r="59" spans="1:19" x14ac:dyDescent="0.25">
      <c r="A59" s="1" t="s">
        <v>16</v>
      </c>
      <c r="B59" s="1"/>
      <c r="C59" s="1" t="s">
        <v>223</v>
      </c>
      <c r="D59" s="20" t="s">
        <v>224</v>
      </c>
      <c r="E59" s="20"/>
      <c r="F59" s="1">
        <v>3</v>
      </c>
      <c r="G59" s="1"/>
      <c r="H59" s="1">
        <v>3</v>
      </c>
      <c r="I59" s="1"/>
      <c r="J59" s="1">
        <v>8</v>
      </c>
      <c r="K59" s="1"/>
      <c r="L59" s="20">
        <f t="shared" si="0"/>
        <v>60</v>
      </c>
      <c r="M59" s="20">
        <f t="shared" si="1"/>
        <v>120</v>
      </c>
      <c r="N59" s="1">
        <v>3</v>
      </c>
      <c r="O59" s="1"/>
      <c r="P59" s="1">
        <v>3</v>
      </c>
      <c r="Q59" s="1"/>
      <c r="R59" s="1"/>
      <c r="S59" s="72">
        <f t="shared" si="2"/>
        <v>2.5000000000000001E-2</v>
      </c>
    </row>
    <row r="60" spans="1:19" x14ac:dyDescent="0.25">
      <c r="A60" s="1" t="s">
        <v>286</v>
      </c>
      <c r="B60" s="1"/>
      <c r="C60" s="1" t="s">
        <v>223</v>
      </c>
      <c r="D60" s="20" t="s">
        <v>224</v>
      </c>
      <c r="E60" s="20"/>
      <c r="F60" s="1">
        <v>7</v>
      </c>
      <c r="G60" s="1">
        <v>2</v>
      </c>
      <c r="H60" s="1">
        <v>6</v>
      </c>
      <c r="I60" s="1"/>
      <c r="J60" s="1">
        <v>16</v>
      </c>
      <c r="K60" s="1"/>
      <c r="L60" s="20">
        <f t="shared" si="0"/>
        <v>160</v>
      </c>
      <c r="M60" s="20">
        <f t="shared" si="1"/>
        <v>320</v>
      </c>
      <c r="N60" s="1">
        <v>5</v>
      </c>
      <c r="O60" s="1">
        <v>5</v>
      </c>
      <c r="P60" s="1">
        <v>5</v>
      </c>
      <c r="Q60" s="1">
        <v>5</v>
      </c>
      <c r="R60" s="1">
        <v>5</v>
      </c>
      <c r="S60" s="72">
        <f t="shared" si="2"/>
        <v>1.5625E-2</v>
      </c>
    </row>
    <row r="61" spans="1:19" x14ac:dyDescent="0.25">
      <c r="A61" s="1" t="s">
        <v>287</v>
      </c>
      <c r="B61" s="1"/>
      <c r="C61" s="1" t="s">
        <v>223</v>
      </c>
      <c r="D61" s="20" t="s">
        <v>224</v>
      </c>
      <c r="E61" s="20"/>
      <c r="F61" s="1">
        <v>6</v>
      </c>
      <c r="G61" s="1">
        <v>1</v>
      </c>
      <c r="H61" s="1">
        <v>5</v>
      </c>
      <c r="I61" s="1">
        <v>3</v>
      </c>
      <c r="J61" s="1">
        <v>16</v>
      </c>
      <c r="K61" s="1"/>
      <c r="L61" s="20">
        <f t="shared" si="0"/>
        <v>275</v>
      </c>
      <c r="M61" s="20">
        <f t="shared" si="1"/>
        <v>550</v>
      </c>
      <c r="N61" s="1">
        <v>2</v>
      </c>
      <c r="O61" s="1"/>
      <c r="P61" s="1">
        <v>2</v>
      </c>
      <c r="Q61" s="1"/>
      <c r="R61" s="1"/>
      <c r="S61" s="72">
        <f t="shared" si="2"/>
        <v>3.6363636363636364E-3</v>
      </c>
    </row>
    <row r="62" spans="1:19" x14ac:dyDescent="0.25">
      <c r="A62" s="1" t="s">
        <v>288</v>
      </c>
      <c r="B62" s="1"/>
      <c r="C62" s="1" t="s">
        <v>223</v>
      </c>
      <c r="D62" s="20" t="s">
        <v>224</v>
      </c>
      <c r="E62" s="20"/>
      <c r="F62" s="1">
        <v>5</v>
      </c>
      <c r="G62" s="1"/>
      <c r="H62" s="1">
        <v>6</v>
      </c>
      <c r="I62" s="1"/>
      <c r="J62" s="1">
        <v>16</v>
      </c>
      <c r="K62" s="1"/>
      <c r="L62" s="20">
        <f t="shared" si="0"/>
        <v>110</v>
      </c>
      <c r="M62" s="20">
        <f t="shared" si="1"/>
        <v>220</v>
      </c>
      <c r="N62" s="1"/>
      <c r="O62" s="1"/>
      <c r="P62" s="1"/>
      <c r="Q62" s="1"/>
      <c r="R62" s="1"/>
      <c r="S62" s="72">
        <f t="shared" si="2"/>
        <v>0</v>
      </c>
    </row>
    <row r="63" spans="1:19" x14ac:dyDescent="0.25">
      <c r="A63" s="1" t="s">
        <v>289</v>
      </c>
      <c r="B63" s="1"/>
      <c r="C63" s="1" t="s">
        <v>223</v>
      </c>
      <c r="D63" s="20" t="s">
        <v>224</v>
      </c>
      <c r="E63" s="20"/>
      <c r="F63" s="1">
        <v>2</v>
      </c>
      <c r="G63" s="1">
        <v>1</v>
      </c>
      <c r="H63" s="1">
        <v>2</v>
      </c>
      <c r="I63" s="1"/>
      <c r="J63" s="1">
        <v>4</v>
      </c>
      <c r="K63" s="1"/>
      <c r="L63" s="20">
        <f t="shared" si="0"/>
        <v>55</v>
      </c>
      <c r="M63" s="20">
        <f t="shared" si="1"/>
        <v>110</v>
      </c>
      <c r="N63" s="1"/>
      <c r="O63" s="1"/>
      <c r="P63" s="1"/>
      <c r="Q63" s="1"/>
      <c r="R63" s="1"/>
      <c r="S63" s="72">
        <f t="shared" si="2"/>
        <v>0</v>
      </c>
    </row>
    <row r="64" spans="1:19" x14ac:dyDescent="0.25">
      <c r="A64" s="1" t="s">
        <v>290</v>
      </c>
      <c r="B64" s="1"/>
      <c r="C64" s="1" t="s">
        <v>223</v>
      </c>
      <c r="D64" s="20" t="s">
        <v>224</v>
      </c>
      <c r="E64" s="20"/>
      <c r="F64" s="1">
        <v>8</v>
      </c>
      <c r="G64" s="1"/>
      <c r="H64" s="1">
        <v>7</v>
      </c>
      <c r="I64" s="1"/>
      <c r="J64" s="1">
        <v>16</v>
      </c>
      <c r="K64" s="1"/>
      <c r="L64" s="20">
        <f t="shared" si="0"/>
        <v>150</v>
      </c>
      <c r="M64" s="20">
        <f t="shared" si="1"/>
        <v>300</v>
      </c>
      <c r="N64" s="1">
        <v>10</v>
      </c>
      <c r="O64" s="1">
        <v>10</v>
      </c>
      <c r="P64" s="1">
        <v>10</v>
      </c>
      <c r="Q64" s="1"/>
      <c r="R64" s="1"/>
      <c r="S64" s="72">
        <f t="shared" si="2"/>
        <v>3.3333333333333333E-2</v>
      </c>
    </row>
    <row r="65" spans="1:19" x14ac:dyDescent="0.25">
      <c r="A65" s="1" t="s">
        <v>291</v>
      </c>
      <c r="B65" s="1"/>
      <c r="C65" s="1" t="s">
        <v>223</v>
      </c>
      <c r="D65" s="20" t="s">
        <v>224</v>
      </c>
      <c r="E65" s="20"/>
      <c r="F65" s="1">
        <v>3</v>
      </c>
      <c r="G65" s="1"/>
      <c r="H65" s="1">
        <v>2</v>
      </c>
      <c r="I65" s="1"/>
      <c r="J65" s="1">
        <v>3</v>
      </c>
      <c r="K65" s="1"/>
      <c r="L65" s="20">
        <f t="shared" si="0"/>
        <v>50</v>
      </c>
      <c r="M65" s="20">
        <f t="shared" si="1"/>
        <v>100</v>
      </c>
      <c r="N65" s="1"/>
      <c r="O65" s="1"/>
      <c r="P65" s="1"/>
      <c r="Q65" s="1"/>
      <c r="R65" s="1"/>
      <c r="S65" s="72">
        <f t="shared" si="2"/>
        <v>0</v>
      </c>
    </row>
    <row r="66" spans="1:19" x14ac:dyDescent="0.25">
      <c r="A66" s="1" t="s">
        <v>292</v>
      </c>
      <c r="B66" s="1"/>
      <c r="C66" s="1" t="s">
        <v>223</v>
      </c>
      <c r="D66" s="20" t="s">
        <v>224</v>
      </c>
      <c r="E66" s="20"/>
      <c r="F66" s="1">
        <v>12</v>
      </c>
      <c r="G66" s="1"/>
      <c r="H66" s="1">
        <v>12</v>
      </c>
      <c r="I66" s="1"/>
      <c r="J66" s="1">
        <v>24</v>
      </c>
      <c r="K66" s="1"/>
      <c r="L66" s="20">
        <f t="shared" si="0"/>
        <v>240</v>
      </c>
      <c r="M66" s="20">
        <f t="shared" si="1"/>
        <v>480</v>
      </c>
      <c r="N66" s="1"/>
      <c r="O66" s="1"/>
      <c r="P66" s="20">
        <v>4</v>
      </c>
      <c r="Q66" s="1"/>
      <c r="R66" s="1"/>
      <c r="S66" s="72">
        <f t="shared" si="2"/>
        <v>0</v>
      </c>
    </row>
    <row r="67" spans="1:19" x14ac:dyDescent="0.25">
      <c r="A67" s="1" t="s">
        <v>293</v>
      </c>
      <c r="B67" s="1"/>
      <c r="C67" s="1" t="s">
        <v>223</v>
      </c>
      <c r="D67" s="20" t="s">
        <v>224</v>
      </c>
      <c r="E67" s="20"/>
      <c r="F67" s="1">
        <v>17</v>
      </c>
      <c r="G67" s="1">
        <v>3</v>
      </c>
      <c r="H67" s="1">
        <v>18</v>
      </c>
      <c r="I67" s="1"/>
      <c r="J67" s="1">
        <v>20</v>
      </c>
      <c r="K67" s="1"/>
      <c r="L67" s="20">
        <f t="shared" si="0"/>
        <v>395</v>
      </c>
      <c r="M67" s="20">
        <f t="shared" si="1"/>
        <v>790</v>
      </c>
      <c r="N67" s="1">
        <v>10</v>
      </c>
      <c r="O67" s="1"/>
      <c r="P67" s="20">
        <v>10</v>
      </c>
      <c r="Q67" s="1"/>
      <c r="R67" s="1"/>
      <c r="S67" s="72">
        <f t="shared" si="2"/>
        <v>1.2658227848101266E-2</v>
      </c>
    </row>
    <row r="68" spans="1:19" x14ac:dyDescent="0.25">
      <c r="A68" s="1" t="s">
        <v>75</v>
      </c>
      <c r="B68" s="1"/>
      <c r="C68" s="1" t="s">
        <v>223</v>
      </c>
      <c r="D68" s="20" t="s">
        <v>224</v>
      </c>
      <c r="E68" s="20"/>
      <c r="F68" s="1">
        <v>6</v>
      </c>
      <c r="G68" s="1">
        <v>1</v>
      </c>
      <c r="H68" s="1">
        <v>5</v>
      </c>
      <c r="I68" s="1"/>
      <c r="J68" s="1">
        <v>16</v>
      </c>
      <c r="K68" s="1"/>
      <c r="L68" s="20">
        <f t="shared" ref="L68:L102" si="3">F68*10+G68*15+H68*10+I68*50</f>
        <v>125</v>
      </c>
      <c r="M68" s="20">
        <f t="shared" ref="M68:M102" si="4">L68*2</f>
        <v>250</v>
      </c>
      <c r="N68" s="1">
        <v>8</v>
      </c>
      <c r="O68" s="1">
        <v>8</v>
      </c>
      <c r="P68" s="1"/>
      <c r="Q68" s="20">
        <v>8</v>
      </c>
      <c r="R68" s="1"/>
      <c r="S68" s="72">
        <f t="shared" ref="S68:S102" si="5">N68/M68</f>
        <v>3.2000000000000001E-2</v>
      </c>
    </row>
    <row r="69" spans="1:19" x14ac:dyDescent="0.25">
      <c r="A69" s="1" t="s">
        <v>294</v>
      </c>
      <c r="B69" s="1"/>
      <c r="C69" s="1" t="s">
        <v>223</v>
      </c>
      <c r="D69" s="20" t="s">
        <v>224</v>
      </c>
      <c r="E69" s="20"/>
      <c r="F69" s="1">
        <v>1</v>
      </c>
      <c r="G69" s="1"/>
      <c r="H69" s="1">
        <v>2</v>
      </c>
      <c r="I69" s="1"/>
      <c r="J69" s="1">
        <v>2</v>
      </c>
      <c r="K69" s="1"/>
      <c r="L69" s="20">
        <f t="shared" si="3"/>
        <v>30</v>
      </c>
      <c r="M69" s="20">
        <f t="shared" si="4"/>
        <v>60</v>
      </c>
      <c r="N69" s="1">
        <v>1</v>
      </c>
      <c r="O69" s="1"/>
      <c r="P69" s="20">
        <v>1</v>
      </c>
      <c r="Q69" s="1"/>
      <c r="R69" s="1"/>
      <c r="S69" s="72">
        <f t="shared" si="5"/>
        <v>1.6666666666666666E-2</v>
      </c>
    </row>
    <row r="70" spans="1:19" x14ac:dyDescent="0.25">
      <c r="A70" s="1" t="s">
        <v>82</v>
      </c>
      <c r="B70" s="1"/>
      <c r="C70" s="1" t="s">
        <v>223</v>
      </c>
      <c r="D70" s="20" t="s">
        <v>224</v>
      </c>
      <c r="E70" s="20"/>
      <c r="F70" s="1">
        <v>3</v>
      </c>
      <c r="G70" s="1"/>
      <c r="H70" s="1">
        <v>3</v>
      </c>
      <c r="I70" s="1"/>
      <c r="J70" s="1">
        <v>8</v>
      </c>
      <c r="K70" s="1"/>
      <c r="L70" s="20">
        <f t="shared" si="3"/>
        <v>60</v>
      </c>
      <c r="M70" s="20">
        <f t="shared" si="4"/>
        <v>120</v>
      </c>
      <c r="N70" s="1">
        <v>2</v>
      </c>
      <c r="O70" s="1"/>
      <c r="P70" s="1"/>
      <c r="Q70" s="1"/>
      <c r="R70" s="1"/>
      <c r="S70" s="72">
        <f t="shared" si="5"/>
        <v>1.6666666666666666E-2</v>
      </c>
    </row>
    <row r="71" spans="1:19" x14ac:dyDescent="0.25">
      <c r="A71" s="1" t="s">
        <v>85</v>
      </c>
      <c r="B71" s="1"/>
      <c r="C71" s="1" t="s">
        <v>223</v>
      </c>
      <c r="D71" s="20" t="s">
        <v>224</v>
      </c>
      <c r="E71" s="20"/>
      <c r="F71" s="1">
        <v>5</v>
      </c>
      <c r="G71" s="1">
        <v>1</v>
      </c>
      <c r="H71" s="1">
        <v>3</v>
      </c>
      <c r="I71" s="1"/>
      <c r="J71" s="1">
        <v>12</v>
      </c>
      <c r="K71" s="1"/>
      <c r="L71" s="20">
        <f t="shared" si="3"/>
        <v>95</v>
      </c>
      <c r="M71" s="20">
        <f t="shared" si="4"/>
        <v>190</v>
      </c>
      <c r="N71" s="1">
        <v>5</v>
      </c>
      <c r="O71" s="1">
        <v>5</v>
      </c>
      <c r="P71" s="1">
        <v>5</v>
      </c>
      <c r="Q71" s="1">
        <v>5</v>
      </c>
      <c r="R71" s="1">
        <v>5</v>
      </c>
      <c r="S71" s="72">
        <f t="shared" si="5"/>
        <v>2.6315789473684209E-2</v>
      </c>
    </row>
    <row r="72" spans="1:19" x14ac:dyDescent="0.25">
      <c r="A72" s="1" t="s">
        <v>295</v>
      </c>
      <c r="B72" s="1"/>
      <c r="C72" s="1" t="s">
        <v>223</v>
      </c>
      <c r="D72" s="20" t="s">
        <v>224</v>
      </c>
      <c r="E72" s="20"/>
      <c r="F72" s="1">
        <v>11</v>
      </c>
      <c r="G72" s="1">
        <v>4</v>
      </c>
      <c r="H72" s="1">
        <v>10</v>
      </c>
      <c r="I72" s="1">
        <v>5</v>
      </c>
      <c r="J72" s="1">
        <v>28</v>
      </c>
      <c r="K72" s="1"/>
      <c r="L72" s="20">
        <f t="shared" si="3"/>
        <v>520</v>
      </c>
      <c r="M72" s="20">
        <f t="shared" si="4"/>
        <v>1040</v>
      </c>
      <c r="N72" s="1"/>
      <c r="O72" s="1"/>
      <c r="P72" s="1"/>
      <c r="Q72" s="1"/>
      <c r="R72" s="1">
        <v>3</v>
      </c>
      <c r="S72" s="72">
        <f t="shared" si="5"/>
        <v>0</v>
      </c>
    </row>
    <row r="73" spans="1:19" x14ac:dyDescent="0.25">
      <c r="A73" s="1" t="s">
        <v>296</v>
      </c>
      <c r="B73" s="1"/>
      <c r="C73" s="1" t="s">
        <v>223</v>
      </c>
      <c r="D73" s="20" t="s">
        <v>224</v>
      </c>
      <c r="E73" s="20"/>
      <c r="F73" s="1">
        <v>25</v>
      </c>
      <c r="G73" s="1">
        <v>5</v>
      </c>
      <c r="H73" s="1">
        <v>25</v>
      </c>
      <c r="I73" s="1">
        <v>5</v>
      </c>
      <c r="J73" s="1">
        <v>40</v>
      </c>
      <c r="K73" s="1"/>
      <c r="L73" s="20">
        <f t="shared" si="3"/>
        <v>825</v>
      </c>
      <c r="M73" s="20">
        <f t="shared" si="4"/>
        <v>1650</v>
      </c>
      <c r="N73" s="1"/>
      <c r="O73" s="1"/>
      <c r="P73" s="1">
        <v>15</v>
      </c>
      <c r="Q73" s="1"/>
      <c r="R73" s="1"/>
      <c r="S73" s="72">
        <f t="shared" si="5"/>
        <v>0</v>
      </c>
    </row>
    <row r="74" spans="1:19" x14ac:dyDescent="0.25">
      <c r="A74" s="1" t="s">
        <v>32</v>
      </c>
      <c r="B74" s="1"/>
      <c r="C74" s="1" t="s">
        <v>223</v>
      </c>
      <c r="D74" s="20" t="s">
        <v>224</v>
      </c>
      <c r="E74" s="20"/>
      <c r="F74" s="1">
        <v>2</v>
      </c>
      <c r="G74" s="1">
        <v>1</v>
      </c>
      <c r="H74" s="1">
        <v>2</v>
      </c>
      <c r="I74" s="1"/>
      <c r="J74" s="1">
        <v>6</v>
      </c>
      <c r="K74" s="1"/>
      <c r="L74" s="20">
        <f t="shared" si="3"/>
        <v>55</v>
      </c>
      <c r="M74" s="20">
        <f t="shared" si="4"/>
        <v>110</v>
      </c>
      <c r="N74" s="1">
        <v>4</v>
      </c>
      <c r="O74" s="1">
        <v>4</v>
      </c>
      <c r="P74" s="1"/>
      <c r="Q74" s="1"/>
      <c r="R74" s="1"/>
      <c r="S74" s="72">
        <f t="shared" si="5"/>
        <v>3.6363636363636362E-2</v>
      </c>
    </row>
    <row r="75" spans="1:19" x14ac:dyDescent="0.25">
      <c r="A75" s="1" t="s">
        <v>297</v>
      </c>
      <c r="B75" s="1"/>
      <c r="C75" s="1" t="s">
        <v>223</v>
      </c>
      <c r="D75" s="20" t="s">
        <v>224</v>
      </c>
      <c r="E75" s="20"/>
      <c r="F75" s="1">
        <v>7</v>
      </c>
      <c r="G75" s="1">
        <v>3</v>
      </c>
      <c r="H75" s="1">
        <v>5</v>
      </c>
      <c r="I75" s="1"/>
      <c r="J75" s="1">
        <v>20</v>
      </c>
      <c r="K75" s="1"/>
      <c r="L75" s="20">
        <f t="shared" si="3"/>
        <v>165</v>
      </c>
      <c r="M75" s="20">
        <f t="shared" si="4"/>
        <v>330</v>
      </c>
      <c r="N75" s="1"/>
      <c r="O75" s="1"/>
      <c r="P75" s="1"/>
      <c r="Q75" s="1"/>
      <c r="R75" s="1"/>
      <c r="S75" s="72">
        <f t="shared" si="5"/>
        <v>0</v>
      </c>
    </row>
    <row r="76" spans="1:19" x14ac:dyDescent="0.25">
      <c r="A76" s="1" t="s">
        <v>298</v>
      </c>
      <c r="B76" s="1"/>
      <c r="C76" s="1" t="s">
        <v>223</v>
      </c>
      <c r="D76" s="20" t="s">
        <v>224</v>
      </c>
      <c r="E76" s="20"/>
      <c r="F76" s="1"/>
      <c r="G76" s="1"/>
      <c r="H76" s="1"/>
      <c r="I76" s="1"/>
      <c r="J76" s="1"/>
      <c r="K76" s="1"/>
      <c r="L76" s="20">
        <f t="shared" si="3"/>
        <v>0</v>
      </c>
      <c r="M76" s="20">
        <f t="shared" si="4"/>
        <v>0</v>
      </c>
      <c r="N76" s="1"/>
      <c r="O76" s="1"/>
      <c r="P76" s="1"/>
      <c r="Q76" s="1"/>
      <c r="R76" s="1"/>
      <c r="S76" s="72" t="e">
        <f t="shared" si="5"/>
        <v>#DIV/0!</v>
      </c>
    </row>
    <row r="77" spans="1:19" x14ac:dyDescent="0.25">
      <c r="A77" s="1" t="s">
        <v>299</v>
      </c>
      <c r="B77" s="1"/>
      <c r="C77" s="1" t="s">
        <v>223</v>
      </c>
      <c r="D77" s="20" t="s">
        <v>224</v>
      </c>
      <c r="E77" s="20"/>
      <c r="F77" s="1">
        <v>6</v>
      </c>
      <c r="G77" s="1">
        <v>1</v>
      </c>
      <c r="H77" s="1">
        <v>5</v>
      </c>
      <c r="I77" s="1"/>
      <c r="J77" s="1">
        <v>16</v>
      </c>
      <c r="K77" s="1"/>
      <c r="L77" s="20">
        <f t="shared" si="3"/>
        <v>125</v>
      </c>
      <c r="M77" s="20">
        <f t="shared" si="4"/>
        <v>250</v>
      </c>
      <c r="N77" s="1">
        <v>5</v>
      </c>
      <c r="O77" s="1"/>
      <c r="P77" s="20">
        <v>5</v>
      </c>
      <c r="Q77" s="1"/>
      <c r="R77" s="1"/>
      <c r="S77" s="72">
        <f t="shared" si="5"/>
        <v>0.02</v>
      </c>
    </row>
    <row r="78" spans="1:19" x14ac:dyDescent="0.25">
      <c r="A78" s="1" t="s">
        <v>83</v>
      </c>
      <c r="B78" s="1"/>
      <c r="C78" s="1" t="s">
        <v>223</v>
      </c>
      <c r="D78" s="20" t="s">
        <v>224</v>
      </c>
      <c r="E78" s="20"/>
      <c r="F78" s="1">
        <v>6</v>
      </c>
      <c r="G78" s="1">
        <v>1</v>
      </c>
      <c r="H78" s="1">
        <v>5</v>
      </c>
      <c r="I78" s="1"/>
      <c r="J78" s="1">
        <v>16</v>
      </c>
      <c r="K78" s="1"/>
      <c r="L78" s="20">
        <f t="shared" si="3"/>
        <v>125</v>
      </c>
      <c r="M78" s="20">
        <f t="shared" si="4"/>
        <v>250</v>
      </c>
      <c r="N78" s="1"/>
      <c r="O78" s="1"/>
      <c r="P78" s="1"/>
      <c r="Q78" s="1"/>
      <c r="R78" s="1"/>
      <c r="S78" s="72">
        <f t="shared" si="5"/>
        <v>0</v>
      </c>
    </row>
    <row r="79" spans="1:19" x14ac:dyDescent="0.25">
      <c r="A79" s="1" t="s">
        <v>300</v>
      </c>
      <c r="B79" s="1"/>
      <c r="C79" s="1" t="s">
        <v>223</v>
      </c>
      <c r="D79" s="20" t="s">
        <v>224</v>
      </c>
      <c r="E79" s="20"/>
      <c r="F79" s="1">
        <v>8</v>
      </c>
      <c r="G79" s="1"/>
      <c r="H79" s="1">
        <v>7</v>
      </c>
      <c r="I79" s="1"/>
      <c r="J79" s="1">
        <v>16</v>
      </c>
      <c r="K79" s="1"/>
      <c r="L79" s="20">
        <f t="shared" si="3"/>
        <v>150</v>
      </c>
      <c r="M79" s="20">
        <f t="shared" si="4"/>
        <v>300</v>
      </c>
      <c r="N79" s="1"/>
      <c r="O79" s="1"/>
      <c r="P79" s="1"/>
      <c r="Q79" s="1"/>
      <c r="R79" s="1"/>
      <c r="S79" s="72">
        <f t="shared" si="5"/>
        <v>0</v>
      </c>
    </row>
    <row r="80" spans="1:19" x14ac:dyDescent="0.25">
      <c r="A80" s="1" t="s">
        <v>301</v>
      </c>
      <c r="B80" s="1"/>
      <c r="C80" s="1" t="s">
        <v>223</v>
      </c>
      <c r="D80" s="20" t="s">
        <v>224</v>
      </c>
      <c r="E80" s="20"/>
      <c r="F80" s="1">
        <v>8</v>
      </c>
      <c r="G80" s="1"/>
      <c r="H80" s="1">
        <v>7</v>
      </c>
      <c r="I80" s="1"/>
      <c r="J80" s="1">
        <v>17</v>
      </c>
      <c r="K80" s="1"/>
      <c r="L80" s="20">
        <f t="shared" si="3"/>
        <v>150</v>
      </c>
      <c r="M80" s="20">
        <f t="shared" si="4"/>
        <v>300</v>
      </c>
      <c r="N80" s="1">
        <v>8</v>
      </c>
      <c r="O80" s="1">
        <v>8</v>
      </c>
      <c r="P80" s="1">
        <v>8</v>
      </c>
      <c r="Q80" s="1"/>
      <c r="R80" s="1"/>
      <c r="S80" s="72">
        <f t="shared" si="5"/>
        <v>2.6666666666666668E-2</v>
      </c>
    </row>
    <row r="81" spans="1:19" x14ac:dyDescent="0.25">
      <c r="A81" s="1" t="s">
        <v>302</v>
      </c>
      <c r="B81" s="1"/>
      <c r="C81" s="1" t="s">
        <v>303</v>
      </c>
      <c r="D81" s="59" t="s">
        <v>304</v>
      </c>
      <c r="E81" s="59"/>
      <c r="F81" s="1">
        <v>2</v>
      </c>
      <c r="G81" s="1">
        <v>2</v>
      </c>
      <c r="H81" s="1">
        <v>2</v>
      </c>
      <c r="I81" s="1">
        <v>3</v>
      </c>
      <c r="J81" s="1">
        <v>3</v>
      </c>
      <c r="K81" s="1" t="s">
        <v>305</v>
      </c>
      <c r="L81" s="20">
        <f t="shared" si="3"/>
        <v>220</v>
      </c>
      <c r="M81" s="20">
        <f t="shared" si="4"/>
        <v>440</v>
      </c>
      <c r="N81" s="1">
        <v>4</v>
      </c>
      <c r="O81" s="1"/>
      <c r="P81" s="1">
        <v>4</v>
      </c>
      <c r="Q81" s="1"/>
      <c r="R81" s="1">
        <v>4</v>
      </c>
      <c r="S81" s="72">
        <f t="shared" si="5"/>
        <v>9.0909090909090905E-3</v>
      </c>
    </row>
    <row r="82" spans="1:19" x14ac:dyDescent="0.25">
      <c r="A82" s="1" t="s">
        <v>69</v>
      </c>
      <c r="B82" s="1"/>
      <c r="C82" s="1" t="s">
        <v>303</v>
      </c>
      <c r="D82" s="1" t="s">
        <v>304</v>
      </c>
      <c r="E82" s="1"/>
      <c r="F82" s="1">
        <v>2</v>
      </c>
      <c r="G82" s="1">
        <v>2</v>
      </c>
      <c r="H82" s="1">
        <v>1</v>
      </c>
      <c r="I82" s="1">
        <v>4</v>
      </c>
      <c r="J82" s="1">
        <v>3</v>
      </c>
      <c r="K82" s="1" t="s">
        <v>305</v>
      </c>
      <c r="L82" s="20">
        <f t="shared" si="3"/>
        <v>260</v>
      </c>
      <c r="M82" s="20">
        <f t="shared" si="4"/>
        <v>520</v>
      </c>
      <c r="N82" s="1">
        <v>4</v>
      </c>
      <c r="O82" s="1"/>
      <c r="P82" s="1">
        <v>4</v>
      </c>
      <c r="Q82" s="1"/>
      <c r="R82" s="1">
        <v>4</v>
      </c>
      <c r="S82" s="72">
        <f t="shared" si="5"/>
        <v>7.6923076923076927E-3</v>
      </c>
    </row>
    <row r="83" spans="1:19" x14ac:dyDescent="0.25">
      <c r="A83" s="1" t="s">
        <v>306</v>
      </c>
      <c r="B83" s="1"/>
      <c r="C83" s="1" t="s">
        <v>303</v>
      </c>
      <c r="D83" s="1" t="s">
        <v>304</v>
      </c>
      <c r="E83" s="1"/>
      <c r="F83" s="1">
        <v>4</v>
      </c>
      <c r="G83" s="1">
        <v>3</v>
      </c>
      <c r="H83" s="1">
        <v>7</v>
      </c>
      <c r="I83" s="1"/>
      <c r="J83" s="1">
        <v>4</v>
      </c>
      <c r="K83" s="1" t="s">
        <v>307</v>
      </c>
      <c r="L83" s="20">
        <f t="shared" si="3"/>
        <v>155</v>
      </c>
      <c r="M83" s="20">
        <f t="shared" si="4"/>
        <v>310</v>
      </c>
      <c r="N83" s="1">
        <v>6</v>
      </c>
      <c r="O83" s="1"/>
      <c r="P83" s="1">
        <v>6</v>
      </c>
      <c r="Q83" s="1">
        <v>6</v>
      </c>
      <c r="R83" s="1"/>
      <c r="S83" s="72">
        <f t="shared" si="5"/>
        <v>1.935483870967742E-2</v>
      </c>
    </row>
    <row r="84" spans="1:19" x14ac:dyDescent="0.25">
      <c r="A84" s="1" t="s">
        <v>308</v>
      </c>
      <c r="B84" s="1"/>
      <c r="C84" s="1" t="s">
        <v>303</v>
      </c>
      <c r="D84" s="1" t="s">
        <v>304</v>
      </c>
      <c r="E84" s="1"/>
      <c r="F84" s="1">
        <v>2</v>
      </c>
      <c r="G84" s="1">
        <v>4</v>
      </c>
      <c r="H84" s="1">
        <v>2</v>
      </c>
      <c r="I84" s="1"/>
      <c r="J84" s="1">
        <v>2</v>
      </c>
      <c r="K84" s="1" t="s">
        <v>307</v>
      </c>
      <c r="L84" s="20">
        <f t="shared" si="3"/>
        <v>100</v>
      </c>
      <c r="M84" s="20">
        <f t="shared" si="4"/>
        <v>200</v>
      </c>
      <c r="N84" s="1">
        <v>4</v>
      </c>
      <c r="O84" s="1"/>
      <c r="P84" s="1">
        <v>4</v>
      </c>
      <c r="Q84" s="1"/>
      <c r="R84" s="1"/>
      <c r="S84" s="72">
        <f t="shared" si="5"/>
        <v>0.02</v>
      </c>
    </row>
    <row r="85" spans="1:19" x14ac:dyDescent="0.25">
      <c r="A85" s="1" t="s">
        <v>309</v>
      </c>
      <c r="B85" s="1"/>
      <c r="C85" s="1" t="s">
        <v>303</v>
      </c>
      <c r="D85" s="1" t="s">
        <v>304</v>
      </c>
      <c r="E85" s="1"/>
      <c r="F85">
        <v>40</v>
      </c>
      <c r="G85">
        <v>15</v>
      </c>
      <c r="H85">
        <v>40</v>
      </c>
      <c r="I85" s="1"/>
      <c r="J85" s="1">
        <v>6</v>
      </c>
      <c r="K85" s="1" t="s">
        <v>307</v>
      </c>
      <c r="L85" s="20">
        <f t="shared" si="3"/>
        <v>1025</v>
      </c>
      <c r="M85" s="20">
        <f t="shared" si="4"/>
        <v>2050</v>
      </c>
      <c r="N85" s="1">
        <v>7</v>
      </c>
      <c r="O85" s="1"/>
      <c r="P85" s="1">
        <v>7</v>
      </c>
      <c r="Q85" s="1">
        <v>7</v>
      </c>
      <c r="R85" s="1"/>
      <c r="S85" s="72">
        <f t="shared" si="5"/>
        <v>3.4146341463414634E-3</v>
      </c>
    </row>
    <row r="86" spans="1:19" x14ac:dyDescent="0.25">
      <c r="A86" s="1" t="s">
        <v>310</v>
      </c>
      <c r="B86" s="1"/>
      <c r="C86" s="1" t="s">
        <v>303</v>
      </c>
      <c r="D86" s="1" t="s">
        <v>304</v>
      </c>
      <c r="E86" s="1"/>
      <c r="F86">
        <v>45</v>
      </c>
      <c r="G86">
        <v>15</v>
      </c>
      <c r="H86">
        <v>50</v>
      </c>
      <c r="I86" s="1"/>
      <c r="J86" s="1">
        <v>7</v>
      </c>
      <c r="K86" s="1" t="s">
        <v>307</v>
      </c>
      <c r="L86" s="20">
        <f t="shared" si="3"/>
        <v>1175</v>
      </c>
      <c r="M86" s="20">
        <f t="shared" si="4"/>
        <v>2350</v>
      </c>
      <c r="N86" s="1">
        <v>8</v>
      </c>
      <c r="O86" s="1"/>
      <c r="P86" s="1">
        <v>8</v>
      </c>
      <c r="Q86" s="1">
        <v>8</v>
      </c>
      <c r="R86" s="1"/>
      <c r="S86" s="72">
        <f t="shared" si="5"/>
        <v>3.4042553191489361E-3</v>
      </c>
    </row>
    <row r="87" spans="1:19" x14ac:dyDescent="0.25">
      <c r="A87" s="1" t="s">
        <v>311</v>
      </c>
      <c r="B87" s="1"/>
      <c r="C87" s="1" t="s">
        <v>303</v>
      </c>
      <c r="D87" s="1" t="s">
        <v>304</v>
      </c>
      <c r="E87" s="1"/>
      <c r="F87" s="1">
        <v>3</v>
      </c>
      <c r="G87" s="1">
        <v>2</v>
      </c>
      <c r="H87" s="1">
        <v>4</v>
      </c>
      <c r="I87" s="1"/>
      <c r="J87" s="1">
        <v>2</v>
      </c>
      <c r="K87" s="1" t="s">
        <v>312</v>
      </c>
      <c r="L87" s="20">
        <f t="shared" si="3"/>
        <v>100</v>
      </c>
      <c r="M87" s="20">
        <f t="shared" si="4"/>
        <v>200</v>
      </c>
      <c r="N87" s="1">
        <v>4</v>
      </c>
      <c r="O87" s="1">
        <v>4</v>
      </c>
      <c r="P87" s="1"/>
      <c r="Q87" s="1">
        <v>4</v>
      </c>
      <c r="R87" s="1"/>
      <c r="S87" s="72">
        <f t="shared" si="5"/>
        <v>0.02</v>
      </c>
    </row>
    <row r="88" spans="1:19" x14ac:dyDescent="0.25">
      <c r="A88" s="1" t="s">
        <v>313</v>
      </c>
      <c r="B88" s="1"/>
      <c r="C88" s="1" t="s">
        <v>303</v>
      </c>
      <c r="D88" s="1" t="s">
        <v>304</v>
      </c>
      <c r="E88" s="1"/>
      <c r="F88" s="1">
        <v>3</v>
      </c>
      <c r="G88" s="1">
        <v>1</v>
      </c>
      <c r="H88" s="1"/>
      <c r="I88" s="1"/>
      <c r="J88" s="1">
        <v>1</v>
      </c>
      <c r="K88" s="1" t="s">
        <v>307</v>
      </c>
      <c r="L88" s="20">
        <f t="shared" si="3"/>
        <v>45</v>
      </c>
      <c r="M88" s="20">
        <f t="shared" si="4"/>
        <v>90</v>
      </c>
      <c r="N88" s="1">
        <v>3</v>
      </c>
      <c r="O88" s="1">
        <v>3</v>
      </c>
      <c r="P88" s="1"/>
      <c r="Q88" s="1">
        <v>3</v>
      </c>
      <c r="R88" s="1"/>
      <c r="S88" s="72">
        <f t="shared" si="5"/>
        <v>3.3333333333333333E-2</v>
      </c>
    </row>
    <row r="89" spans="1:19" x14ac:dyDescent="0.25">
      <c r="A89" s="1" t="s">
        <v>26</v>
      </c>
      <c r="B89" s="1"/>
      <c r="C89" s="1" t="s">
        <v>303</v>
      </c>
      <c r="D89" s="1" t="s">
        <v>304</v>
      </c>
      <c r="E89" s="1"/>
      <c r="F89" s="1">
        <v>2</v>
      </c>
      <c r="G89" s="1">
        <v>1</v>
      </c>
      <c r="H89" s="1">
        <v>1</v>
      </c>
      <c r="I89" s="1"/>
      <c r="J89" s="1">
        <v>0</v>
      </c>
      <c r="K89" s="1" t="s">
        <v>305</v>
      </c>
      <c r="L89" s="20">
        <f t="shared" si="3"/>
        <v>45</v>
      </c>
      <c r="M89" s="20">
        <f t="shared" si="4"/>
        <v>90</v>
      </c>
      <c r="N89" s="1">
        <v>2</v>
      </c>
      <c r="O89" s="1">
        <v>2</v>
      </c>
      <c r="P89" s="1"/>
      <c r="Q89" s="1">
        <v>2</v>
      </c>
      <c r="R89" s="1"/>
      <c r="S89" s="72">
        <f t="shared" si="5"/>
        <v>2.2222222222222223E-2</v>
      </c>
    </row>
    <row r="90" spans="1:19" x14ac:dyDescent="0.25">
      <c r="A90" s="1" t="s">
        <v>77</v>
      </c>
      <c r="B90" s="1"/>
      <c r="C90" s="1" t="s">
        <v>303</v>
      </c>
      <c r="D90" s="1" t="s">
        <v>304</v>
      </c>
      <c r="E90" s="1"/>
      <c r="F90">
        <v>20</v>
      </c>
      <c r="G90">
        <v>20</v>
      </c>
      <c r="H90">
        <v>30</v>
      </c>
      <c r="I90" s="1"/>
      <c r="J90" s="1">
        <v>6</v>
      </c>
      <c r="K90" s="1" t="s">
        <v>307</v>
      </c>
      <c r="L90" s="20">
        <f t="shared" si="3"/>
        <v>800</v>
      </c>
      <c r="M90" s="20">
        <f t="shared" si="4"/>
        <v>1600</v>
      </c>
      <c r="N90" s="1">
        <v>7</v>
      </c>
      <c r="O90" s="1"/>
      <c r="P90" s="1">
        <v>7</v>
      </c>
      <c r="Q90" s="1">
        <v>7</v>
      </c>
      <c r="R90" s="1"/>
      <c r="S90" s="72">
        <f t="shared" si="5"/>
        <v>4.3750000000000004E-3</v>
      </c>
    </row>
    <row r="91" spans="1:19" x14ac:dyDescent="0.25">
      <c r="A91" s="1" t="s">
        <v>64</v>
      </c>
      <c r="B91" s="1"/>
      <c r="C91" s="1" t="s">
        <v>303</v>
      </c>
      <c r="D91" s="1" t="s">
        <v>304</v>
      </c>
      <c r="E91" s="1"/>
      <c r="F91">
        <v>30</v>
      </c>
      <c r="G91">
        <v>15</v>
      </c>
      <c r="H91">
        <v>25</v>
      </c>
      <c r="I91" s="1"/>
      <c r="J91" s="1">
        <v>2</v>
      </c>
      <c r="K91" s="1" t="s">
        <v>307</v>
      </c>
      <c r="L91" s="20">
        <f t="shared" si="3"/>
        <v>775</v>
      </c>
      <c r="M91" s="20">
        <f t="shared" si="4"/>
        <v>1550</v>
      </c>
      <c r="N91" s="1">
        <v>4</v>
      </c>
      <c r="O91" s="1"/>
      <c r="P91" s="1">
        <v>4</v>
      </c>
      <c r="Q91" s="1">
        <v>4</v>
      </c>
      <c r="R91" s="1"/>
      <c r="S91" s="72">
        <f t="shared" si="5"/>
        <v>2.5806451612903226E-3</v>
      </c>
    </row>
    <row r="92" spans="1:19" x14ac:dyDescent="0.25">
      <c r="A92" s="1" t="s">
        <v>79</v>
      </c>
      <c r="B92" s="1"/>
      <c r="C92" s="1" t="s">
        <v>303</v>
      </c>
      <c r="D92" s="1" t="s">
        <v>304</v>
      </c>
      <c r="E92" s="1"/>
      <c r="F92">
        <v>30</v>
      </c>
      <c r="G92">
        <v>15</v>
      </c>
      <c r="H92">
        <v>25</v>
      </c>
      <c r="I92" s="1"/>
      <c r="J92" s="1">
        <v>5</v>
      </c>
      <c r="K92" s="1" t="s">
        <v>307</v>
      </c>
      <c r="L92" s="20">
        <f t="shared" si="3"/>
        <v>775</v>
      </c>
      <c r="M92" s="20">
        <f t="shared" si="4"/>
        <v>1550</v>
      </c>
      <c r="N92" s="1">
        <v>6</v>
      </c>
      <c r="O92" s="1"/>
      <c r="P92" s="1">
        <v>6</v>
      </c>
      <c r="Q92" s="1">
        <v>6</v>
      </c>
      <c r="R92" s="1"/>
      <c r="S92" s="72">
        <f t="shared" si="5"/>
        <v>3.8709677419354839E-3</v>
      </c>
    </row>
    <row r="93" spans="1:19" x14ac:dyDescent="0.25">
      <c r="A93" s="1" t="s">
        <v>51</v>
      </c>
      <c r="B93" s="1"/>
      <c r="C93" s="1" t="s">
        <v>303</v>
      </c>
      <c r="D93" s="1" t="s">
        <v>304</v>
      </c>
      <c r="E93" s="1"/>
      <c r="F93">
        <v>10</v>
      </c>
      <c r="G93">
        <v>0</v>
      </c>
      <c r="H93">
        <v>15</v>
      </c>
      <c r="I93" s="1"/>
      <c r="J93" s="1">
        <v>1</v>
      </c>
      <c r="K93" s="1" t="s">
        <v>307</v>
      </c>
      <c r="L93" s="20">
        <f t="shared" si="3"/>
        <v>250</v>
      </c>
      <c r="M93" s="20">
        <f t="shared" si="4"/>
        <v>500</v>
      </c>
      <c r="N93" s="1">
        <v>2</v>
      </c>
      <c r="O93" s="1"/>
      <c r="P93" s="1">
        <v>2</v>
      </c>
      <c r="Q93" s="1">
        <v>2</v>
      </c>
      <c r="R93" s="1"/>
      <c r="S93" s="72">
        <f t="shared" si="5"/>
        <v>4.0000000000000001E-3</v>
      </c>
    </row>
    <row r="94" spans="1:19" x14ac:dyDescent="0.25">
      <c r="A94" s="1" t="s">
        <v>28</v>
      </c>
      <c r="B94" s="1"/>
      <c r="C94" s="1" t="s">
        <v>303</v>
      </c>
      <c r="D94" s="1" t="s">
        <v>304</v>
      </c>
      <c r="E94" s="1"/>
      <c r="F94" s="1"/>
      <c r="G94" s="1">
        <v>1</v>
      </c>
      <c r="H94" s="1">
        <v>2</v>
      </c>
      <c r="I94" s="1"/>
      <c r="J94" s="1">
        <v>0</v>
      </c>
      <c r="K94" s="1" t="s">
        <v>307</v>
      </c>
      <c r="L94" s="20">
        <f t="shared" si="3"/>
        <v>35</v>
      </c>
      <c r="M94" s="20">
        <f t="shared" si="4"/>
        <v>70</v>
      </c>
      <c r="N94" s="1">
        <v>2</v>
      </c>
      <c r="O94" s="1"/>
      <c r="P94" s="1"/>
      <c r="Q94" s="1">
        <v>2</v>
      </c>
      <c r="R94" s="1"/>
      <c r="S94" s="72">
        <f t="shared" si="5"/>
        <v>2.8571428571428571E-2</v>
      </c>
    </row>
    <row r="95" spans="1:19" x14ac:dyDescent="0.25">
      <c r="A95" s="1" t="s">
        <v>314</v>
      </c>
      <c r="B95" s="1"/>
      <c r="C95" s="1" t="s">
        <v>303</v>
      </c>
      <c r="D95" s="1" t="s">
        <v>304</v>
      </c>
      <c r="E95" s="1"/>
      <c r="F95" s="1">
        <v>1</v>
      </c>
      <c r="G95" s="1">
        <v>2</v>
      </c>
      <c r="H95" s="1">
        <v>2</v>
      </c>
      <c r="I95" s="1"/>
      <c r="J95" s="1">
        <v>1</v>
      </c>
      <c r="K95" s="1" t="s">
        <v>307</v>
      </c>
      <c r="L95" s="20">
        <f t="shared" si="3"/>
        <v>60</v>
      </c>
      <c r="M95" s="20">
        <f t="shared" si="4"/>
        <v>120</v>
      </c>
      <c r="N95" s="1"/>
      <c r="O95" s="1"/>
      <c r="P95" s="1">
        <v>2</v>
      </c>
      <c r="Q95" s="1">
        <v>2</v>
      </c>
      <c r="R95" s="1"/>
      <c r="S95" s="72">
        <f t="shared" si="5"/>
        <v>0</v>
      </c>
    </row>
    <row r="96" spans="1:19" x14ac:dyDescent="0.25">
      <c r="A96" s="1" t="s">
        <v>315</v>
      </c>
      <c r="B96" s="1"/>
      <c r="C96" s="1" t="s">
        <v>303</v>
      </c>
      <c r="D96" s="1" t="s">
        <v>304</v>
      </c>
      <c r="E96" s="1"/>
      <c r="F96" s="1">
        <v>3</v>
      </c>
      <c r="G96" s="1">
        <v>2</v>
      </c>
      <c r="H96" s="1">
        <v>2</v>
      </c>
      <c r="I96" s="1">
        <v>8</v>
      </c>
      <c r="J96" s="1">
        <v>7</v>
      </c>
      <c r="K96" s="1" t="s">
        <v>305</v>
      </c>
      <c r="L96" s="20">
        <f t="shared" si="3"/>
        <v>480</v>
      </c>
      <c r="M96" s="20">
        <f t="shared" si="4"/>
        <v>960</v>
      </c>
      <c r="N96" s="1">
        <v>7</v>
      </c>
      <c r="O96" s="1"/>
      <c r="P96" s="1">
        <v>7</v>
      </c>
      <c r="Q96" s="1"/>
      <c r="R96" s="1">
        <v>7</v>
      </c>
      <c r="S96" s="72">
        <f t="shared" si="5"/>
        <v>7.2916666666666668E-3</v>
      </c>
    </row>
    <row r="97" spans="1:19" x14ac:dyDescent="0.25">
      <c r="A97" s="1" t="s">
        <v>316</v>
      </c>
      <c r="B97" s="1"/>
      <c r="C97" s="1" t="s">
        <v>303</v>
      </c>
      <c r="D97" s="1" t="s">
        <v>304</v>
      </c>
      <c r="E97" s="1"/>
      <c r="F97" s="1">
        <v>3</v>
      </c>
      <c r="G97" s="1">
        <v>3</v>
      </c>
      <c r="H97" s="1">
        <v>3</v>
      </c>
      <c r="I97" s="1">
        <v>6</v>
      </c>
      <c r="J97" s="1">
        <v>7</v>
      </c>
      <c r="K97" s="1" t="s">
        <v>305</v>
      </c>
      <c r="L97" s="20">
        <f t="shared" si="3"/>
        <v>405</v>
      </c>
      <c r="M97" s="20">
        <f t="shared" si="4"/>
        <v>810</v>
      </c>
      <c r="N97" s="1">
        <v>7</v>
      </c>
      <c r="O97" s="1"/>
      <c r="P97" s="1">
        <v>7</v>
      </c>
      <c r="Q97" s="1"/>
      <c r="R97" s="1">
        <v>7</v>
      </c>
      <c r="S97" s="72">
        <f t="shared" si="5"/>
        <v>8.6419753086419745E-3</v>
      </c>
    </row>
    <row r="98" spans="1:19" x14ac:dyDescent="0.25">
      <c r="A98" s="1" t="s">
        <v>317</v>
      </c>
      <c r="B98" s="1"/>
      <c r="C98" s="1" t="s">
        <v>303</v>
      </c>
      <c r="D98" s="1" t="s">
        <v>304</v>
      </c>
      <c r="E98" s="1"/>
      <c r="F98" s="1">
        <v>1</v>
      </c>
      <c r="G98" s="1">
        <v>4</v>
      </c>
      <c r="H98" s="1">
        <v>3</v>
      </c>
      <c r="I98" s="1"/>
      <c r="J98" s="1">
        <v>3</v>
      </c>
      <c r="K98" s="1" t="s">
        <v>307</v>
      </c>
      <c r="L98" s="20">
        <f t="shared" si="3"/>
        <v>100</v>
      </c>
      <c r="M98" s="20">
        <f t="shared" si="4"/>
        <v>200</v>
      </c>
      <c r="N98" s="1">
        <v>4</v>
      </c>
      <c r="O98" s="1">
        <v>4</v>
      </c>
      <c r="P98" s="1">
        <v>4</v>
      </c>
      <c r="Q98" s="1"/>
      <c r="R98" s="1"/>
      <c r="S98" s="72">
        <f t="shared" si="5"/>
        <v>0.02</v>
      </c>
    </row>
    <row r="99" spans="1:19" x14ac:dyDescent="0.25">
      <c r="A99" s="1" t="s">
        <v>318</v>
      </c>
      <c r="B99" s="1"/>
      <c r="C99" s="1" t="s">
        <v>303</v>
      </c>
      <c r="D99" s="1" t="s">
        <v>304</v>
      </c>
      <c r="E99" s="1"/>
      <c r="F99" s="1">
        <v>5</v>
      </c>
      <c r="G99" s="1">
        <v>2</v>
      </c>
      <c r="H99" s="1">
        <v>2</v>
      </c>
      <c r="I99" s="1"/>
      <c r="J99" s="1"/>
      <c r="K99" s="1" t="s">
        <v>305</v>
      </c>
      <c r="L99" s="20">
        <f t="shared" si="3"/>
        <v>100</v>
      </c>
      <c r="M99" s="20">
        <f t="shared" si="4"/>
        <v>200</v>
      </c>
      <c r="N99" s="1">
        <v>5</v>
      </c>
      <c r="O99" s="1"/>
      <c r="P99" s="1">
        <v>5</v>
      </c>
      <c r="Q99" s="1"/>
      <c r="R99" s="1"/>
      <c r="S99" s="72">
        <f t="shared" si="5"/>
        <v>2.5000000000000001E-2</v>
      </c>
    </row>
    <row r="100" spans="1:19" x14ac:dyDescent="0.25">
      <c r="A100" s="1" t="s">
        <v>319</v>
      </c>
      <c r="B100" s="1"/>
      <c r="C100" s="1" t="s">
        <v>303</v>
      </c>
      <c r="D100" s="1" t="s">
        <v>304</v>
      </c>
      <c r="E100" s="1"/>
      <c r="F100" s="1">
        <v>1</v>
      </c>
      <c r="G100" s="1">
        <v>1</v>
      </c>
      <c r="H100" s="1">
        <v>2</v>
      </c>
      <c r="I100" s="1"/>
      <c r="J100" s="1">
        <v>0</v>
      </c>
      <c r="K100" s="1" t="s">
        <v>307</v>
      </c>
      <c r="L100" s="20">
        <f t="shared" si="3"/>
        <v>45</v>
      </c>
      <c r="M100" s="20">
        <f t="shared" si="4"/>
        <v>90</v>
      </c>
      <c r="N100" s="1">
        <v>2</v>
      </c>
      <c r="O100" s="1">
        <v>2</v>
      </c>
      <c r="P100" s="1"/>
      <c r="Q100" s="1">
        <v>2</v>
      </c>
      <c r="R100" s="1"/>
      <c r="S100" s="72">
        <f t="shared" si="5"/>
        <v>2.2222222222222223E-2</v>
      </c>
    </row>
    <row r="101" spans="1:19" x14ac:dyDescent="0.25">
      <c r="A101" s="1" t="s">
        <v>320</v>
      </c>
      <c r="B101" s="1"/>
      <c r="C101" s="1" t="s">
        <v>303</v>
      </c>
      <c r="D101" s="1" t="s">
        <v>304</v>
      </c>
      <c r="E101" s="1"/>
      <c r="F101" s="1">
        <v>3</v>
      </c>
      <c r="G101" s="1"/>
      <c r="H101" s="1">
        <v>2</v>
      </c>
      <c r="I101" s="1"/>
      <c r="J101" s="1">
        <v>1</v>
      </c>
      <c r="K101" s="1" t="s">
        <v>307</v>
      </c>
      <c r="L101" s="20">
        <f t="shared" si="3"/>
        <v>50</v>
      </c>
      <c r="M101" s="20">
        <f t="shared" si="4"/>
        <v>100</v>
      </c>
      <c r="N101" s="1">
        <v>2</v>
      </c>
      <c r="O101" s="1">
        <v>2</v>
      </c>
      <c r="P101" s="1">
        <v>2</v>
      </c>
      <c r="Q101" s="1"/>
      <c r="R101" s="1"/>
      <c r="S101" s="72">
        <f t="shared" si="5"/>
        <v>0.02</v>
      </c>
    </row>
    <row r="102" spans="1:19" x14ac:dyDescent="0.25">
      <c r="A102" s="1" t="s">
        <v>56</v>
      </c>
      <c r="B102" s="1"/>
      <c r="C102" s="1" t="s">
        <v>303</v>
      </c>
      <c r="D102" s="1" t="s">
        <v>304</v>
      </c>
      <c r="E102" s="1"/>
      <c r="F102">
        <v>15</v>
      </c>
      <c r="G102">
        <v>10</v>
      </c>
      <c r="H102">
        <v>25</v>
      </c>
      <c r="I102" s="1"/>
      <c r="J102" s="1">
        <v>2</v>
      </c>
      <c r="K102" s="1" t="s">
        <v>307</v>
      </c>
      <c r="L102" s="20">
        <f t="shared" si="3"/>
        <v>550</v>
      </c>
      <c r="M102" s="20">
        <f t="shared" si="4"/>
        <v>1100</v>
      </c>
      <c r="N102" s="1">
        <v>5</v>
      </c>
      <c r="O102" s="1"/>
      <c r="P102" s="1">
        <v>5</v>
      </c>
      <c r="Q102" s="1">
        <v>5</v>
      </c>
      <c r="R102" s="1"/>
      <c r="S102" s="72">
        <f t="shared" si="5"/>
        <v>4.5454545454545452E-3</v>
      </c>
    </row>
    <row r="103" spans="1:19" x14ac:dyDescent="0.25">
      <c r="A103" s="80" t="s">
        <v>90</v>
      </c>
      <c r="N103" s="80">
        <v>10</v>
      </c>
      <c r="O103" s="80">
        <v>10</v>
      </c>
      <c r="P103" s="80">
        <v>10</v>
      </c>
    </row>
  </sheetData>
  <mergeCells count="6">
    <mergeCell ref="S1:S2"/>
    <mergeCell ref="N1:R1"/>
    <mergeCell ref="F1:I1"/>
    <mergeCell ref="J1:J2"/>
    <mergeCell ref="L1:L2"/>
    <mergeCell ref="M1:M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H15" sqref="H15"/>
    </sheetView>
  </sheetViews>
  <sheetFormatPr defaultRowHeight="15" x14ac:dyDescent="0.25"/>
  <cols>
    <col min="1" max="1" width="15.42578125" customWidth="1"/>
  </cols>
  <sheetData>
    <row r="1" spans="1:13" x14ac:dyDescent="0.25">
      <c r="B1" t="s">
        <v>321</v>
      </c>
      <c r="C1" t="s">
        <v>322</v>
      </c>
      <c r="D1" t="s">
        <v>323</v>
      </c>
      <c r="E1" t="s">
        <v>221</v>
      </c>
      <c r="F1" t="s">
        <v>11</v>
      </c>
      <c r="G1" t="s">
        <v>12</v>
      </c>
      <c r="H1" t="s">
        <v>10</v>
      </c>
      <c r="I1" t="s">
        <v>215</v>
      </c>
    </row>
    <row r="2" spans="1:13" x14ac:dyDescent="0.25">
      <c r="A2" t="s">
        <v>28</v>
      </c>
      <c r="C2">
        <v>0</v>
      </c>
      <c r="D2">
        <v>0</v>
      </c>
      <c r="E2">
        <v>1</v>
      </c>
      <c r="G2">
        <v>1</v>
      </c>
      <c r="H2">
        <v>2</v>
      </c>
      <c r="J2">
        <f>F2*10+G2*15+H2*10</f>
        <v>35</v>
      </c>
    </row>
    <row r="3" spans="1:13" x14ac:dyDescent="0.25">
      <c r="A3" t="s">
        <v>309</v>
      </c>
      <c r="B3" t="s">
        <v>324</v>
      </c>
      <c r="C3" t="s">
        <v>325</v>
      </c>
      <c r="D3" t="s">
        <v>326</v>
      </c>
      <c r="E3">
        <v>3</v>
      </c>
      <c r="F3">
        <v>8</v>
      </c>
      <c r="G3">
        <v>3</v>
      </c>
      <c r="H3">
        <v>8</v>
      </c>
      <c r="I3">
        <v>10</v>
      </c>
      <c r="J3">
        <f>F3*10+G3*15+H3*10</f>
        <v>205</v>
      </c>
      <c r="K3">
        <f>J3*2</f>
        <v>410</v>
      </c>
      <c r="L3">
        <v>335</v>
      </c>
      <c r="M3">
        <f>K3/L3</f>
        <v>1.2238805970149254</v>
      </c>
    </row>
    <row r="4" spans="1:13" x14ac:dyDescent="0.25">
      <c r="A4" t="s">
        <v>310</v>
      </c>
      <c r="B4" t="s">
        <v>327</v>
      </c>
      <c r="C4" t="s">
        <v>328</v>
      </c>
      <c r="D4" t="s">
        <v>329</v>
      </c>
      <c r="E4">
        <v>3</v>
      </c>
      <c r="F4">
        <v>9</v>
      </c>
      <c r="G4">
        <v>3</v>
      </c>
      <c r="H4">
        <v>10</v>
      </c>
      <c r="I4">
        <v>15</v>
      </c>
      <c r="J4">
        <f t="shared" ref="J4:J9" si="0">F4*10+G4*15+H4*10</f>
        <v>235</v>
      </c>
      <c r="K4">
        <f t="shared" ref="K4:K9" si="1">J4*2</f>
        <v>470</v>
      </c>
      <c r="L4">
        <v>365</v>
      </c>
      <c r="M4">
        <f t="shared" ref="M4:M9" si="2">K4/L4</f>
        <v>1.2876712328767124</v>
      </c>
    </row>
    <row r="5" spans="1:13" x14ac:dyDescent="0.25">
      <c r="A5" t="s">
        <v>77</v>
      </c>
      <c r="B5" t="s">
        <v>330</v>
      </c>
      <c r="C5" t="s">
        <v>331</v>
      </c>
      <c r="D5" t="s">
        <v>332</v>
      </c>
      <c r="E5">
        <v>3</v>
      </c>
      <c r="F5">
        <v>4</v>
      </c>
      <c r="G5">
        <v>4</v>
      </c>
      <c r="H5">
        <v>6</v>
      </c>
      <c r="I5">
        <v>8</v>
      </c>
      <c r="J5">
        <f t="shared" si="0"/>
        <v>160</v>
      </c>
      <c r="K5">
        <f t="shared" si="1"/>
        <v>320</v>
      </c>
      <c r="L5">
        <v>145</v>
      </c>
      <c r="M5">
        <f t="shared" si="2"/>
        <v>2.2068965517241379</v>
      </c>
    </row>
    <row r="6" spans="1:13" x14ac:dyDescent="0.25">
      <c r="A6" t="s">
        <v>64</v>
      </c>
      <c r="B6" t="s">
        <v>333</v>
      </c>
      <c r="C6" t="s">
        <v>334</v>
      </c>
      <c r="D6" t="s">
        <v>335</v>
      </c>
      <c r="E6">
        <v>3</v>
      </c>
      <c r="F6">
        <v>6</v>
      </c>
      <c r="G6">
        <v>3</v>
      </c>
      <c r="H6">
        <v>5</v>
      </c>
      <c r="I6">
        <v>4</v>
      </c>
      <c r="J6">
        <f t="shared" si="0"/>
        <v>155</v>
      </c>
      <c r="K6">
        <f t="shared" si="1"/>
        <v>310</v>
      </c>
      <c r="L6">
        <v>271</v>
      </c>
      <c r="M6">
        <f t="shared" si="2"/>
        <v>1.1439114391143912</v>
      </c>
    </row>
    <row r="7" spans="1:13" x14ac:dyDescent="0.25">
      <c r="A7" t="s">
        <v>79</v>
      </c>
      <c r="B7" t="s">
        <v>333</v>
      </c>
      <c r="C7" t="s">
        <v>334</v>
      </c>
      <c r="D7" t="s">
        <v>335</v>
      </c>
      <c r="E7">
        <v>3</v>
      </c>
      <c r="F7">
        <v>6</v>
      </c>
      <c r="G7">
        <v>3</v>
      </c>
      <c r="H7">
        <v>5</v>
      </c>
      <c r="I7">
        <v>7</v>
      </c>
      <c r="J7">
        <f t="shared" si="0"/>
        <v>155</v>
      </c>
      <c r="K7">
        <f t="shared" si="1"/>
        <v>310</v>
      </c>
      <c r="L7">
        <v>271</v>
      </c>
      <c r="M7">
        <f t="shared" si="2"/>
        <v>1.1439114391143912</v>
      </c>
    </row>
    <row r="8" spans="1:13" x14ac:dyDescent="0.25">
      <c r="A8" t="s">
        <v>51</v>
      </c>
      <c r="B8" t="s">
        <v>336</v>
      </c>
      <c r="C8" t="s">
        <v>337</v>
      </c>
      <c r="D8" t="s">
        <v>338</v>
      </c>
      <c r="E8">
        <v>1</v>
      </c>
      <c r="F8">
        <v>2</v>
      </c>
      <c r="H8">
        <v>3</v>
      </c>
      <c r="I8">
        <v>3</v>
      </c>
      <c r="J8">
        <f t="shared" si="0"/>
        <v>50</v>
      </c>
      <c r="K8">
        <f t="shared" si="1"/>
        <v>100</v>
      </c>
      <c r="L8">
        <v>58</v>
      </c>
      <c r="M8">
        <f t="shared" si="2"/>
        <v>1.7241379310344827</v>
      </c>
    </row>
    <row r="9" spans="1:13" x14ac:dyDescent="0.25">
      <c r="A9" t="s">
        <v>56</v>
      </c>
      <c r="B9" t="s">
        <v>339</v>
      </c>
      <c r="C9" t="s">
        <v>340</v>
      </c>
      <c r="D9" t="s">
        <v>341</v>
      </c>
      <c r="E9">
        <v>1</v>
      </c>
      <c r="F9">
        <v>3</v>
      </c>
      <c r="G9">
        <v>2</v>
      </c>
      <c r="H9">
        <v>5</v>
      </c>
      <c r="I9">
        <v>5</v>
      </c>
      <c r="J9">
        <f t="shared" si="0"/>
        <v>110</v>
      </c>
      <c r="K9">
        <f t="shared" si="1"/>
        <v>220</v>
      </c>
      <c r="L9">
        <v>77</v>
      </c>
      <c r="M9">
        <f t="shared" si="2"/>
        <v>2.8571428571428572</v>
      </c>
    </row>
    <row r="11" spans="1:13" x14ac:dyDescent="0.25">
      <c r="A11" t="s">
        <v>309</v>
      </c>
      <c r="F11">
        <v>40</v>
      </c>
      <c r="G11">
        <v>15</v>
      </c>
      <c r="H11">
        <v>40</v>
      </c>
    </row>
    <row r="12" spans="1:13" x14ac:dyDescent="0.25">
      <c r="A12" t="s">
        <v>310</v>
      </c>
      <c r="F12">
        <v>45</v>
      </c>
      <c r="G12">
        <v>15</v>
      </c>
      <c r="H12">
        <v>50</v>
      </c>
    </row>
    <row r="13" spans="1:13" x14ac:dyDescent="0.25">
      <c r="A13" t="s">
        <v>77</v>
      </c>
      <c r="F13">
        <v>20</v>
      </c>
      <c r="G13">
        <v>20</v>
      </c>
      <c r="H13">
        <v>30</v>
      </c>
    </row>
    <row r="14" spans="1:13" x14ac:dyDescent="0.25">
      <c r="A14" t="s">
        <v>64</v>
      </c>
      <c r="F14">
        <v>30</v>
      </c>
      <c r="G14">
        <v>15</v>
      </c>
      <c r="H14">
        <v>25</v>
      </c>
    </row>
    <row r="15" spans="1:13" x14ac:dyDescent="0.25">
      <c r="A15" t="s">
        <v>79</v>
      </c>
      <c r="F15">
        <v>30</v>
      </c>
      <c r="G15">
        <v>15</v>
      </c>
      <c r="H15">
        <v>25</v>
      </c>
    </row>
    <row r="16" spans="1:13" x14ac:dyDescent="0.25">
      <c r="A16" t="s">
        <v>51</v>
      </c>
      <c r="F16">
        <v>10</v>
      </c>
      <c r="G16">
        <v>0</v>
      </c>
      <c r="H16">
        <v>15</v>
      </c>
    </row>
    <row r="17" spans="1:8" x14ac:dyDescent="0.25">
      <c r="A17" t="s">
        <v>56</v>
      </c>
      <c r="F17">
        <v>15</v>
      </c>
      <c r="G17">
        <v>10</v>
      </c>
      <c r="H17">
        <v>25</v>
      </c>
    </row>
    <row r="20" spans="1:8" x14ac:dyDescent="0.25">
      <c r="F20">
        <f>F13-F16</f>
        <v>10</v>
      </c>
      <c r="G20">
        <f t="shared" ref="G20:H20" si="3">G13-G16</f>
        <v>20</v>
      </c>
      <c r="H20">
        <f t="shared" si="3"/>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Очередь строительства</vt:lpstr>
      <vt:lpstr>Бухгалтерия</vt:lpstr>
      <vt:lpstr>ОТК</vt:lpstr>
      <vt:lpstr>Джилли ОТК</vt:lpstr>
      <vt:lpstr>Общий инвентарь</vt:lpstr>
      <vt:lpstr>NPC</vt:lpstr>
      <vt:lpstr>Details</vt:lpstr>
      <vt:lpstr>Лист1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 Palikhov</dc:creator>
  <cp:keywords/>
  <dc:description/>
  <cp:lastModifiedBy>Palikhov Anton</cp:lastModifiedBy>
  <cp:revision/>
  <dcterms:created xsi:type="dcterms:W3CDTF">2015-07-21T23:02:20Z</dcterms:created>
  <dcterms:modified xsi:type="dcterms:W3CDTF">2015-11-02T13:40:54Z</dcterms:modified>
</cp:coreProperties>
</file>